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Лист1!$A$2:$AB$3</definedName>
  </definedNames>
  <calcPr calcId="152511" iterateDelta="1E-4"/>
</workbook>
</file>

<file path=xl/calcChain.xml><?xml version="1.0" encoding="utf-8"?>
<calcChain xmlns="http://schemas.openxmlformats.org/spreadsheetml/2006/main">
  <c r="W45" i="1" l="1"/>
  <c r="N45" i="1"/>
  <c r="X44" i="1"/>
  <c r="W44" i="1"/>
  <c r="U44" i="1"/>
  <c r="U45" i="1" s="1"/>
  <c r="S44" i="1"/>
  <c r="S45" i="1" s="1"/>
  <c r="Q44" i="1"/>
  <c r="Q45" i="1" s="1"/>
  <c r="P44" i="1"/>
  <c r="P45" i="1" s="1"/>
  <c r="O44" i="1"/>
  <c r="O45" i="1" s="1"/>
  <c r="N44" i="1"/>
  <c r="K44" i="1"/>
  <c r="K45" i="1" s="1"/>
  <c r="G44" i="1"/>
  <c r="Y43" i="1"/>
  <c r="R43" i="1"/>
  <c r="T43" i="1" s="1"/>
  <c r="J43" i="1"/>
  <c r="Y42" i="1"/>
  <c r="Z42" i="1" s="1"/>
  <c r="R42" i="1"/>
  <c r="J42" i="1"/>
  <c r="T42" i="1" s="1"/>
  <c r="Y41" i="1"/>
  <c r="R41" i="1"/>
  <c r="L41" i="1"/>
  <c r="J41" i="1"/>
  <c r="T41" i="1" s="1"/>
  <c r="Y40" i="1"/>
  <c r="T40" i="1"/>
  <c r="Z40" i="1" s="1"/>
  <c r="R40" i="1"/>
  <c r="J40" i="1"/>
  <c r="Y39" i="1"/>
  <c r="R39" i="1"/>
  <c r="J39" i="1"/>
  <c r="T39" i="1" s="1"/>
  <c r="Z39" i="1" s="1"/>
  <c r="Y38" i="1"/>
  <c r="R38" i="1"/>
  <c r="M38" i="1"/>
  <c r="I38" i="1"/>
  <c r="H38" i="1"/>
  <c r="G38" i="1"/>
  <c r="F38" i="1"/>
  <c r="E38" i="1"/>
  <c r="E44" i="1" s="1"/>
  <c r="Y37" i="1"/>
  <c r="R37" i="1"/>
  <c r="H37" i="1"/>
  <c r="J37" i="1" s="1"/>
  <c r="T37" i="1" s="1"/>
  <c r="Y36" i="1"/>
  <c r="R36" i="1"/>
  <c r="H36" i="1"/>
  <c r="G36" i="1"/>
  <c r="F36" i="1"/>
  <c r="J36" i="1" s="1"/>
  <c r="T36" i="1" s="1"/>
  <c r="Z36" i="1" s="1"/>
  <c r="Y35" i="1"/>
  <c r="R35" i="1"/>
  <c r="M35" i="1"/>
  <c r="H35" i="1"/>
  <c r="J35" i="1" s="1"/>
  <c r="T35" i="1" s="1"/>
  <c r="Y34" i="1"/>
  <c r="R34" i="1"/>
  <c r="G34" i="1"/>
  <c r="F34" i="1"/>
  <c r="J34" i="1" s="1"/>
  <c r="T34" i="1" s="1"/>
  <c r="Y33" i="1"/>
  <c r="Z33" i="1" s="1"/>
  <c r="T33" i="1"/>
  <c r="R33" i="1"/>
  <c r="L33" i="1"/>
  <c r="J33" i="1"/>
  <c r="Y32" i="1"/>
  <c r="R32" i="1"/>
  <c r="J32" i="1"/>
  <c r="T32" i="1" s="1"/>
  <c r="Z32" i="1" s="1"/>
  <c r="Y31" i="1"/>
  <c r="Z31" i="1" s="1"/>
  <c r="T31" i="1"/>
  <c r="R31" i="1"/>
  <c r="J31" i="1"/>
  <c r="Y30" i="1"/>
  <c r="R30" i="1"/>
  <c r="J30" i="1"/>
  <c r="T30" i="1" s="1"/>
  <c r="Z30" i="1" s="1"/>
  <c r="Y29" i="1"/>
  <c r="Z29" i="1" s="1"/>
  <c r="T29" i="1"/>
  <c r="R29" i="1"/>
  <c r="J29" i="1"/>
  <c r="Y28" i="1"/>
  <c r="R28" i="1"/>
  <c r="J28" i="1"/>
  <c r="T28" i="1" s="1"/>
  <c r="Z28" i="1" s="1"/>
  <c r="Y27" i="1"/>
  <c r="Z27" i="1" s="1"/>
  <c r="R27" i="1"/>
  <c r="L27" i="1"/>
  <c r="J27" i="1"/>
  <c r="T27" i="1" s="1"/>
  <c r="Y26" i="1"/>
  <c r="T26" i="1"/>
  <c r="Z26" i="1" s="1"/>
  <c r="R26" i="1"/>
  <c r="J26" i="1"/>
  <c r="Y25" i="1"/>
  <c r="R25" i="1"/>
  <c r="J25" i="1"/>
  <c r="T25" i="1" s="1"/>
  <c r="Z25" i="1" s="1"/>
  <c r="Y24" i="1"/>
  <c r="R24" i="1"/>
  <c r="M24" i="1"/>
  <c r="L24" i="1"/>
  <c r="I24" i="1"/>
  <c r="H24" i="1"/>
  <c r="G24" i="1"/>
  <c r="F24" i="1"/>
  <c r="J24" i="1" s="1"/>
  <c r="T24" i="1" s="1"/>
  <c r="Z24" i="1" s="1"/>
  <c r="Y23" i="1"/>
  <c r="T23" i="1"/>
  <c r="Z23" i="1" s="1"/>
  <c r="R23" i="1"/>
  <c r="J23" i="1"/>
  <c r="Y22" i="1"/>
  <c r="R22" i="1"/>
  <c r="J22" i="1"/>
  <c r="T22" i="1" s="1"/>
  <c r="Z22" i="1" s="1"/>
  <c r="I22" i="1"/>
  <c r="I44" i="1" s="1"/>
  <c r="H22" i="1"/>
  <c r="J21" i="1"/>
  <c r="H21" i="1"/>
  <c r="H44" i="1" s="1"/>
  <c r="G21" i="1"/>
  <c r="F21" i="1"/>
  <c r="J20" i="1"/>
  <c r="G20" i="1"/>
  <c r="F20" i="1"/>
  <c r="M19" i="1"/>
  <c r="L19" i="1"/>
  <c r="J19" i="1"/>
  <c r="Y18" i="1"/>
  <c r="R18" i="1"/>
  <c r="J18" i="1"/>
  <c r="T18" i="1" s="1"/>
  <c r="Z18" i="1" s="1"/>
  <c r="Y17" i="1"/>
  <c r="Z17" i="1" s="1"/>
  <c r="T17" i="1"/>
  <c r="R17" i="1"/>
  <c r="J17" i="1"/>
  <c r="Y16" i="1"/>
  <c r="R16" i="1"/>
  <c r="L16" i="1"/>
  <c r="L44" i="1" s="1"/>
  <c r="J16" i="1"/>
  <c r="T16" i="1" s="1"/>
  <c r="Z16" i="1" s="1"/>
  <c r="F16" i="1"/>
  <c r="F44" i="1" s="1"/>
  <c r="A16" i="1"/>
  <c r="A17" i="1" s="1"/>
  <c r="Y15" i="1"/>
  <c r="R15" i="1"/>
  <c r="M15" i="1"/>
  <c r="M44" i="1" s="1"/>
  <c r="J15" i="1"/>
  <c r="T15" i="1" s="1"/>
  <c r="Z15" i="1" s="1"/>
  <c r="A15" i="1"/>
  <c r="Y14" i="1"/>
  <c r="R14" i="1"/>
  <c r="J14" i="1"/>
  <c r="T14" i="1" s="1"/>
  <c r="Z14" i="1" s="1"/>
  <c r="Y13" i="1"/>
  <c r="Y44" i="1" s="1"/>
  <c r="R13" i="1"/>
  <c r="R44" i="1" s="1"/>
  <c r="R45" i="1" s="1"/>
  <c r="J13" i="1"/>
  <c r="W11" i="1"/>
  <c r="V11" i="1"/>
  <c r="U11" i="1"/>
  <c r="S11" i="1"/>
  <c r="Q11" i="1"/>
  <c r="P11" i="1"/>
  <c r="O11" i="1"/>
  <c r="N11" i="1"/>
  <c r="K11" i="1"/>
  <c r="Y10" i="1"/>
  <c r="R10" i="1"/>
  <c r="J10" i="1"/>
  <c r="T10" i="1" s="1"/>
  <c r="Z10" i="1" s="1"/>
  <c r="A10" i="1"/>
  <c r="X9" i="1"/>
  <c r="Y9" i="1" s="1"/>
  <c r="M9" i="1"/>
  <c r="M11" i="1" s="1"/>
  <c r="L9" i="1"/>
  <c r="R9" i="1" s="1"/>
  <c r="I9" i="1"/>
  <c r="H9" i="1"/>
  <c r="G9" i="1"/>
  <c r="F9" i="1"/>
  <c r="J9" i="1" s="1"/>
  <c r="T9" i="1" s="1"/>
  <c r="Y8" i="1"/>
  <c r="R8" i="1"/>
  <c r="H8" i="1"/>
  <c r="G8" i="1"/>
  <c r="E8" i="1"/>
  <c r="J8" i="1" s="1"/>
  <c r="T8" i="1" s="1"/>
  <c r="Y7" i="1"/>
  <c r="X7" i="1"/>
  <c r="R7" i="1"/>
  <c r="I7" i="1"/>
  <c r="H7" i="1"/>
  <c r="G7" i="1"/>
  <c r="F7" i="1"/>
  <c r="J7" i="1" s="1"/>
  <c r="T7" i="1" s="1"/>
  <c r="Z7" i="1" s="1"/>
  <c r="A7" i="1"/>
  <c r="A8" i="1" s="1"/>
  <c r="A9" i="1" s="1"/>
  <c r="Y6" i="1"/>
  <c r="Z6" i="1" s="1"/>
  <c r="X6" i="1"/>
  <c r="T6" i="1"/>
  <c r="R6" i="1"/>
  <c r="A6" i="1"/>
  <c r="Y5" i="1"/>
  <c r="Y11" i="1" s="1"/>
  <c r="R5" i="1"/>
  <c r="R11" i="1" s="1"/>
  <c r="L5" i="1"/>
  <c r="I5" i="1"/>
  <c r="I11" i="1" s="1"/>
  <c r="H5" i="1"/>
  <c r="H11" i="1" s="1"/>
  <c r="G5" i="1"/>
  <c r="G11" i="1" s="1"/>
  <c r="F5" i="1"/>
  <c r="F11" i="1" s="1"/>
  <c r="E5" i="1"/>
  <c r="E11" i="1" s="1"/>
  <c r="G45" i="1" l="1"/>
  <c r="Z9" i="1"/>
  <c r="Y45" i="1"/>
  <c r="L45" i="1"/>
  <c r="Z41" i="1"/>
  <c r="Z8" i="1"/>
  <c r="A18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9" i="1"/>
  <c r="I45" i="1"/>
  <c r="Z34" i="1"/>
  <c r="Z35" i="1"/>
  <c r="Z37" i="1"/>
  <c r="M45" i="1"/>
  <c r="F45" i="1"/>
  <c r="H45" i="1"/>
  <c r="E45" i="1"/>
  <c r="Z43" i="1"/>
  <c r="X11" i="1"/>
  <c r="X45" i="1" s="1"/>
  <c r="T13" i="1"/>
  <c r="J38" i="1"/>
  <c r="T38" i="1" s="1"/>
  <c r="Z38" i="1" s="1"/>
  <c r="L11" i="1"/>
  <c r="J5" i="1"/>
  <c r="J11" i="1" l="1"/>
  <c r="T5" i="1"/>
  <c r="J44" i="1"/>
  <c r="J45" i="1" s="1"/>
  <c r="A31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2" i="1"/>
  <c r="Z13" i="1"/>
  <c r="Z44" i="1" s="1"/>
  <c r="T44" i="1"/>
  <c r="Z5" i="1" l="1"/>
  <c r="Z11" i="1" s="1"/>
  <c r="Z45" i="1" s="1"/>
  <c r="T11" i="1"/>
  <c r="T45" i="1"/>
</calcChain>
</file>

<file path=xl/comments1.xml><?xml version="1.0" encoding="utf-8"?>
<comments xmlns="http://schemas.openxmlformats.org/spreadsheetml/2006/main">
  <authors>
    <author>Автор</author>
  </authors>
  <commentList>
    <comment ref="E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3,5-асп</t>
        </r>
      </text>
    </comment>
    <comment ref="F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28,2ч- дот
</t>
        </r>
      </text>
    </comment>
    <comment ref="G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14,8ч-дот</t>
        </r>
      </text>
    </comment>
    <comment ref="H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15 час-дот;
200час-асп.</t>
        </r>
      </text>
    </comment>
    <comment ref="I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14,2 час-дот</t>
        </r>
      </text>
    </comment>
    <comment ref="L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34,4 час-дот;
82,95 час перенесено в договор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переплата 70ч в апреле (включен в ведомость с почасовиками), переработку вколичестве 70ч- не включать в ГПХ
</t>
        </r>
        <r>
          <rPr>
            <b/>
            <sz val="9"/>
            <color indexed="81"/>
            <rFont val="Tahoma"/>
            <family val="2"/>
            <charset val="204"/>
          </rPr>
          <t>Акопян Марианна Карленовна:</t>
        </r>
        <r>
          <rPr>
            <sz val="9"/>
            <color indexed="81"/>
            <rFont val="Tahoma"/>
            <family val="2"/>
            <charset val="204"/>
          </rPr>
          <t xml:space="preserve">
асп 16ч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асп-14,4
</t>
        </r>
      </text>
    </comment>
    <comment ref="F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2ч-дот</t>
        </r>
      </text>
    </comment>
    <comment ref="G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2ч-дот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 час-дот</t>
        </r>
      </text>
    </comment>
    <comment ref="I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 час-дот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6,5ч-асп</t>
        </r>
      </text>
    </comment>
    <comment ref="F8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127,5ч-дот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4ч-аспир-ра
</t>
        </r>
      </text>
    </comment>
    <comment ref="H8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26,2 час-дот;
29  час-асп;
4,5 час перенесено в пч</t>
        </r>
      </text>
    </comment>
    <comment ref="F9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2,4ч-дот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9,6ч-дот
</t>
        </r>
      </text>
    </comment>
    <comment ref="H9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27,6час-дот</t>
        </r>
      </text>
    </comment>
    <comment ref="I9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37,8 час-дот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час-дот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 час-дот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дот 11,4</t>
        </r>
        <r>
          <rPr>
            <sz val="9"/>
            <color indexed="81"/>
            <rFont val="Tahoma"/>
            <family val="2"/>
            <charset val="204"/>
          </rPr>
          <t xml:space="preserve">
Акопян Марианна Карленовна:
переплата 65,4ч(включая дот) в апреле (включена в ведомость с почасовиками), переработку вколичестве 65,4ч- не включать в ГПХ
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дот-18,4ч
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82,95 час-из штат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15,4 час-дот;
5 кр-кафедра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кафедра+50курс
дот-10,1ч+6курс+4вкр бак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Марианна Карленовна:</t>
        </r>
        <r>
          <rPr>
            <sz val="9"/>
            <color indexed="81"/>
            <rFont val="Tahoma"/>
            <family val="2"/>
            <charset val="204"/>
          </rPr>
          <t xml:space="preserve">
дот 8,6+11 курс
асп-4
кафедра-14курс/раб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из сентября;
5,5 ч-дот</t>
        </r>
      </text>
    </comment>
    <comment ref="L16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3,5 час-дот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дот-5ч</t>
        </r>
      </text>
    </comment>
    <comment ref="V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4,5 час перенесено из штат декабря;
</t>
        </r>
        <r>
          <rPr>
            <i/>
            <sz val="9"/>
            <color indexed="81"/>
            <rFont val="Tahoma"/>
            <family val="2"/>
            <charset val="204"/>
          </rPr>
          <t>225 час - асп (4,5 нкр)
оплата перенесена на январь!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4,7 час перенесено из штат декабря;
</t>
        </r>
        <r>
          <rPr>
            <i/>
            <sz val="9"/>
            <color indexed="81"/>
            <rFont val="Tahoma"/>
            <family val="2"/>
            <charset val="204"/>
          </rPr>
          <t>225 час - асп (4,5 нкр);
40,6 час-дот январь;
4 час-асп (январь)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4,7 час перенесено из штат декабря;
</t>
        </r>
        <r>
          <rPr>
            <i/>
            <sz val="9"/>
            <color indexed="81"/>
            <rFont val="Tahoma"/>
            <family val="2"/>
            <charset val="204"/>
          </rPr>
          <t xml:space="preserve">225 час - асп (4,5 нкр);
40,6 час-дот январь;
4 час-асп (январь);
перенесено на февраль (ждем пр.дог);
9,5 час+5 кр+4 бак-дот за февраль;
8 бак кафедра февраль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12 час-дот;
6 час- асп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асп-8
дот-15,3ч+18вкр
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кафедра-19курс/раб
дот-8
асп-4
</t>
        </r>
      </text>
    </comment>
    <comment ref="F2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1ч-дот</t>
        </r>
      </text>
    </comment>
    <comment ref="G20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1ч-дот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дот-3ч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F2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3ч-дот
</t>
        </r>
      </text>
    </comment>
    <comment ref="G2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3ч -дот</t>
        </r>
      </text>
    </comment>
    <comment ref="H2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2час-дот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31 кр-каф;
</t>
        </r>
        <r>
          <rPr>
            <i/>
            <sz val="9"/>
            <color indexed="81"/>
            <rFont val="Tahoma"/>
            <family val="2"/>
            <charset val="204"/>
          </rPr>
          <t>15 кр-дот</t>
        </r>
      </text>
    </comment>
    <comment ref="L2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6 кр-дот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кр-дот;
1 кр-кафедра</t>
        </r>
      </text>
    </comment>
    <comment ref="N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дот-3,6ч+2курс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кафедра-2курс/раб
дот-5,2+2курс/раб
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H22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2,8час-дот</t>
        </r>
      </text>
    </comment>
    <comment ref="I22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4,4 час-дот</t>
        </r>
      </text>
    </comment>
    <comment ref="O22" authorId="0" shape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Акопян Марианна Карленовна:
дот-0,2ч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F2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17,5ч-дот
</t>
        </r>
      </text>
    </comment>
    <comment ref="G2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8,6ч-дот</t>
        </r>
      </text>
    </comment>
    <comment ref="H2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18,6час-дот</t>
        </r>
      </text>
    </comment>
    <comment ref="I2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29,2 час-дот</t>
        </r>
      </text>
    </comment>
    <comment ref="L2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15,5 час-дот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15,2 час-дот;
4 час-асп
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дот-21,6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 5,2+1курс/раб
асп-4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1,5 час-дот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дот-4,5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данные исправлены (каф), правильно 22час  час-нужно удержать)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 час - разница (пр.22 час, подано в оплату 28 час);
</t>
        </r>
        <r>
          <rPr>
            <b/>
            <i/>
            <sz val="9"/>
            <color indexed="81"/>
            <rFont val="Tahoma"/>
            <family val="2"/>
            <charset val="204"/>
          </rPr>
          <t>нагрузки в марте не было, удержание перенесено на апрель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 час - разница (пр.22 час, подано в оплату 28 час):
Акопян М.К.-удержать в мае, в апреле не удержано
Акопян Марианна Карленовна:
дот-5
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удержать 6ч от февраля
</t>
        </r>
        <r>
          <rPr>
            <b/>
            <sz val="9"/>
            <color indexed="81"/>
            <rFont val="Tahoma"/>
            <family val="2"/>
            <charset val="204"/>
          </rPr>
          <t>Акопян Марианна Карленовна:</t>
        </r>
        <r>
          <rPr>
            <sz val="9"/>
            <color indexed="81"/>
            <rFont val="Tahoma"/>
            <family val="2"/>
            <charset val="204"/>
          </rPr>
          <t xml:space="preserve">
в мае не было нагрузки, удержать в июне
</t>
        </r>
      </text>
    </comment>
    <comment ref="F33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3,5ч-дот
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3,5 час-дот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асп 0,5
</t>
        </r>
      </text>
    </comment>
    <comment ref="F3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2ч-дот</t>
        </r>
      </text>
    </comment>
    <comment ref="G34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2ч-дот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 4ч
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H35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 час-дот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час-дот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кафедра -курс/раб 34шт
дот-2ч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F36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1ч-дот</t>
        </r>
      </text>
    </comment>
    <comment ref="G36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1ч-дот</t>
        </r>
      </text>
    </comment>
    <comment ref="H36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1час-дот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дот-11,5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H37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4 час-дот</t>
        </r>
      </text>
    </comment>
    <comment ref="V3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8ч-асп</t>
        </r>
      </text>
    </comment>
    <comment ref="F38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12ч-асп-ра;
1ч-дот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1ч-дот
27ч-аспир-ра</t>
        </r>
      </text>
    </comment>
    <comment ref="H38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1час-дот;
4 час-асп</t>
        </r>
      </text>
    </comment>
    <comment ref="I38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 час-дот;
8,20 час-асп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час-дот;
16 час-асп</t>
        </r>
      </text>
    </comment>
    <comment ref="V3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V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V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согласовано ОК</t>
        </r>
      </text>
    </comment>
    <comment ref="F4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12 бак.вкр</t>
        </r>
      </text>
    </comment>
    <comment ref="H41" authorId="0" shapeId="0">
      <text>
        <r>
          <rPr>
            <b/>
            <i/>
            <sz val="9"/>
            <color indexed="81"/>
            <rFont val="Tahoma"/>
            <family val="2"/>
            <charset val="204"/>
          </rPr>
          <t>Автор:</t>
        </r>
        <r>
          <rPr>
            <i/>
            <sz val="9"/>
            <color indexed="81"/>
            <rFont val="Tahoma"/>
            <family val="2"/>
            <charset val="204"/>
          </rPr>
          <t xml:space="preserve">
325 час (6,5 нкр-асп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6,1 час+3бак-дот;
7 бак по каф.(февраль)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3,5 час-дот</t>
        </r>
      </text>
    </comment>
  </commentList>
</comments>
</file>

<file path=xl/sharedStrings.xml><?xml version="1.0" encoding="utf-8"?>
<sst xmlns="http://schemas.openxmlformats.org/spreadsheetml/2006/main" count="226" uniqueCount="116">
  <si>
    <t>/</t>
  </si>
  <si>
    <t>ИС</t>
  </si>
  <si>
    <t>штатники</t>
  </si>
  <si>
    <t>БЛОЩУК АНДРЕЙ АЛЕКСЕЕВИЧ</t>
  </si>
  <si>
    <t>Доцент, (к.т.н.)</t>
  </si>
  <si>
    <t>с 01.09</t>
  </si>
  <si>
    <t>БЕЛЯЕВ ПАВЕЛ ВЯЧЕСЛАВОВИЧ</t>
  </si>
  <si>
    <t>Доцент</t>
  </si>
  <si>
    <t>в штате с 11.02.2022</t>
  </si>
  <si>
    <t>ЕЖОВА ГАЛИНА ЛЕОНИДОВНА</t>
  </si>
  <si>
    <t>доцент</t>
  </si>
  <si>
    <t>с 01.09, УВОЛЕНА с 18.02.2022!</t>
  </si>
  <si>
    <t>ЗАЙЦЕВ СЕРГЕЙ АЛЕКСАНДРОВИЧ</t>
  </si>
  <si>
    <t>Декан (к.т.н, доц)</t>
  </si>
  <si>
    <t>СТРЯПУНИНА НЭЛЯ ИЛЬИНИЧНА (дог. подр.)</t>
  </si>
  <si>
    <t>Ст.преподаватель</t>
  </si>
  <si>
    <t xml:space="preserve">с 04.10.2021 </t>
  </si>
  <si>
    <t>пч</t>
  </si>
  <si>
    <t>Итого штатная</t>
  </si>
  <si>
    <t>почасовики</t>
  </si>
  <si>
    <t>АНДРАШИТОВ ДМИТРИЙ СЕРГЕЕВИЧ (дог. подр.)</t>
  </si>
  <si>
    <t>*</t>
  </si>
  <si>
    <t>ПЧ / ктн, доц</t>
  </si>
  <si>
    <t>ПЧ /к.т.н.</t>
  </si>
  <si>
    <t>ПЧ / -</t>
  </si>
  <si>
    <t>с 01.02.2022</t>
  </si>
  <si>
    <t>БОГАТЫРЕВ СЕРГЕЙ АНАТОЛЬЕВИЧ</t>
  </si>
  <si>
    <t>ПЧ / ?</t>
  </si>
  <si>
    <t>БУЛЫЧЕВ АНДРЕЙ АЛЕКСАНДРОВИЧ</t>
  </si>
  <si>
    <t>ГРИГОРЬЕВ АНТОН НИКОЛАЕВИЧ</t>
  </si>
  <si>
    <t>ПЧ / к.т.н., доцент</t>
  </si>
  <si>
    <t>ЗВЕЗДИЧЕВ ГРИГОРИЙ ЮРЬЕВИЧ</t>
  </si>
  <si>
    <t>ПЧ / к.э.н., доцент</t>
  </si>
  <si>
    <t>ЗЫРЯНОВА ОЛЬГА ЮРЬЕВНА</t>
  </si>
  <si>
    <t>КЕРШЕНГОЛЬЦ АНДРЕЙ ИОСИФОВИЧ (дог. подр.)</t>
  </si>
  <si>
    <t>КНЯЗЕВ ОЛЕГ ВЛАДИМИРОВИЧ (дог. подр.)</t>
  </si>
  <si>
    <t>ПЧ / ктн</t>
  </si>
  <si>
    <t>КОРОЛЬКОВА ИРИНА АНАТОЛЬЕВНА</t>
  </si>
  <si>
    <t>ПЧ /-</t>
  </si>
  <si>
    <t>КРАХИН АЛЕКСАНДР ВАСИЛЬЕВИЧ (дог. подр.)</t>
  </si>
  <si>
    <t>ПЧ / дтн, доц</t>
  </si>
  <si>
    <t>ЛЕБЕДЕВ АЛЕКСЕЙ ВИКТОРОВИЧ (дог. подр.)</t>
  </si>
  <si>
    <t>ПЧ / дтн</t>
  </si>
  <si>
    <t>ЛОПАТНИКОВ ИЛЬЯ АНДРЕЕВИЧ (договорник) (дог. подр.)</t>
  </si>
  <si>
    <t>МЕЛКУМЯН БАГРАТ ВЛАДИМИРОВИЧ (дог. подр.)</t>
  </si>
  <si>
    <t>ПЧ / к.физ-мат н., доц</t>
  </si>
  <si>
    <t>МОНАХОВ МИХАИЛ ЮРЬЕВИЧ (дог. подр.)</t>
  </si>
  <si>
    <t xml:space="preserve">ПЧ </t>
  </si>
  <si>
    <t>МУРАВЬЕВ АРТЕМИЙ АНАТОЛЬЕВИЧ</t>
  </si>
  <si>
    <t>ПЧ / к.биол.н.</t>
  </si>
  <si>
    <t>НИЗАМОВ ДАНИЛ ЮРЬЕВИЧ (дог. подр.)</t>
  </si>
  <si>
    <t>ОРЛОВА Е.Р.</t>
  </si>
  <si>
    <t>ПЧ / Председатель</t>
  </si>
  <si>
    <t>ОРЛОВА ЕЛЕНА РОАЛЬДОВНА (дог. подр.)</t>
  </si>
  <si>
    <t>ПЧ / дэн, проф</t>
  </si>
  <si>
    <t>ПАВЛОВ АНТОН ИГОРЕВИЧ</t>
  </si>
  <si>
    <t>ПРЕОБРАЖЕНСКИЙ МАКСИМ ВЛАДИМИРОВИЧ</t>
  </si>
  <si>
    <t>ПРОСТОМОЛОТОВ АНДРЕЙ СЕРГЕЕВИЧ</t>
  </si>
  <si>
    <t>ПЧ / к.э.н</t>
  </si>
  <si>
    <t>САВИН МИХАИЛ ЭДУАРДОВИЧ</t>
  </si>
  <si>
    <t>СИДОРОВ ИГОРЬ ГЕННАДЬЕВИЧ</t>
  </si>
  <si>
    <t>СОЛДАТОВ ПАВЕЛ ИГОРЕВИЧ</t>
  </si>
  <si>
    <t>ПЧ / к. ф-м.н.</t>
  </si>
  <si>
    <t>СУРИНА ЕЛЕНА ЕВГЕНЬЕВНА (дог. подр.)</t>
  </si>
  <si>
    <t>бак</t>
  </si>
  <si>
    <t>нкр</t>
  </si>
  <si>
    <t>ФОМИЧЕВ ЕВГЕНИЙ НИКОЛАЕВИЧ (дог. подр.)</t>
  </si>
  <si>
    <t>**</t>
  </si>
  <si>
    <t xml:space="preserve">договора не будет - умер! </t>
  </si>
  <si>
    <t>ШАЛЫГИН СЕРГЕЙ ВЛАДИМИРОВИЧ (дог. подр.)</t>
  </si>
  <si>
    <t>Итого почасовая</t>
  </si>
  <si>
    <t>и</t>
  </si>
  <si>
    <t>итого по кафедре</t>
  </si>
  <si>
    <t>Стат ППС 2021-2022 уч. г.</t>
  </si>
  <si>
    <t>БУНиТД</t>
  </si>
  <si>
    <t>ГрПиП</t>
  </si>
  <si>
    <t>МиЕНД</t>
  </si>
  <si>
    <t>Мн</t>
  </si>
  <si>
    <t>ПиП</t>
  </si>
  <si>
    <t>РЧР</t>
  </si>
  <si>
    <t>СГД</t>
  </si>
  <si>
    <t>ТиИГиП</t>
  </si>
  <si>
    <t>УПиП</t>
  </si>
  <si>
    <t>ЭУР</t>
  </si>
  <si>
    <t>ФиК</t>
  </si>
  <si>
    <t>ЭГХиСО</t>
  </si>
  <si>
    <t>нет ип</t>
  </si>
  <si>
    <t>нет актов</t>
  </si>
  <si>
    <t>№№</t>
  </si>
  <si>
    <t>ФИО</t>
  </si>
  <si>
    <t>№ дог.</t>
  </si>
  <si>
    <t>Кафедра</t>
  </si>
  <si>
    <t>Нагрузка 1 семестр</t>
  </si>
  <si>
    <t>Итого часы 1 сем.</t>
  </si>
  <si>
    <t>Нагрузка 2 семестр</t>
  </si>
  <si>
    <t>Итого часы         2 сем.</t>
  </si>
  <si>
    <t>Итого часы        год</t>
  </si>
  <si>
    <t>Должность (степень, звание)</t>
  </si>
  <si>
    <t>Ставка п/ч</t>
  </si>
  <si>
    <t>Доля</t>
  </si>
  <si>
    <t>Норма</t>
  </si>
  <si>
    <t>Годовой норматив нагр. преп.</t>
  </si>
  <si>
    <t>Остаток</t>
  </si>
  <si>
    <t>Примечания</t>
  </si>
  <si>
    <t>Дог. передан в ОК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</si>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</sst>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i/>
      <u/>
      <sz val="11"/>
      <name val="Calibri"/>
      <family val="2"/>
      <charset val="204"/>
    </font>
    <font>
      <sz val="11"/>
      <name val="Calibri"/>
      <family val="2"/>
      <charset val="204"/>
    </font>
    <font>
      <b/>
      <i/>
      <sz val="11"/>
      <color indexed="12"/>
      <name val="Calibri"/>
      <family val="2"/>
      <charset val="204"/>
    </font>
    <font>
      <sz val="11"/>
      <color rgb="FFFFFF99"/>
      <name val="Calibri"/>
      <family val="2"/>
      <charset val="204"/>
    </font>
    <font>
      <i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sz val="10"/>
      <name val="Helvetica"/>
      <family val="2"/>
    </font>
    <font>
      <sz val="10"/>
      <name val="Arial"/>
      <family val="2"/>
      <charset val="204"/>
    </font>
    <font>
      <sz val="11"/>
      <color theme="0" tint="-0.34998626667073579"/>
      <name val="Calibri"/>
      <family val="2"/>
      <charset val="204"/>
    </font>
    <font>
      <i/>
      <sz val="11"/>
      <color theme="0" tint="-0.34998626667073579"/>
      <name val="Calibri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color theme="0" tint="-0.34998626667073579"/>
      <name val="Helvetica"/>
      <family val="2"/>
    </font>
    <font>
      <sz val="10"/>
      <color theme="0" tint="-0.34998626667073579"/>
      <name val="Arial"/>
      <family val="2"/>
      <charset val="204"/>
    </font>
    <font>
      <sz val="11"/>
      <color theme="0" tint="-0.499984740745262"/>
      <name val="Calibri"/>
      <family val="2"/>
      <charset val="204"/>
    </font>
    <font>
      <b/>
      <i/>
      <u/>
      <sz val="11"/>
      <color indexed="12"/>
      <name val="Calibri"/>
      <family val="2"/>
      <charset val="204"/>
    </font>
    <font>
      <sz val="11"/>
      <color theme="0" tint="-0.14999847407452621"/>
      <name val="Calibri"/>
      <family val="2"/>
      <charset val="204"/>
    </font>
    <font>
      <sz val="11"/>
      <color theme="0" tint="-0.14999847407452621"/>
      <name val="Calibri"/>
      <family val="2"/>
      <charset val="204"/>
      <scheme val="minor"/>
    </font>
    <font>
      <sz val="10"/>
      <color theme="0" tint="-0.14999847407452621"/>
      <name val="Arial"/>
      <family val="2"/>
      <charset val="204"/>
    </font>
    <font>
      <sz val="11"/>
      <color theme="3"/>
      <name val="Calibri"/>
      <family val="2"/>
      <charset val="204"/>
    </font>
    <font>
      <sz val="11"/>
      <color theme="3"/>
      <name val="Calibri"/>
      <family val="2"/>
      <charset val="204"/>
      <scheme val="minor"/>
    </font>
    <font>
      <sz val="10"/>
      <color theme="3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theme="0" tint="-0.14999847407452621"/>
      <name val="Helvetica"/>
      <family val="2"/>
    </font>
    <font>
      <b/>
      <i/>
      <u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sz val="14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92">
    <xf numFmtId="0" fontId="0" fillId="0" borderId="0" xfId="0"/>
    <xf numFmtId="3" fontId="4" fillId="3" borderId="1" xfId="0" applyNumberFormat="1" applyFont="1" applyFill="1" applyBorder="1" applyAlignment="1" applyProtection="1">
      <alignment horizontal="left" vertical="center"/>
    </xf>
    <xf numFmtId="164" fontId="1" fillId="3" borderId="1" xfId="0" applyNumberFormat="1" applyFont="1" applyFill="1" applyBorder="1" applyProtection="1"/>
    <xf numFmtId="164" fontId="3" fillId="3" borderId="1" xfId="0" applyNumberFormat="1" applyFont="1" applyFill="1" applyBorder="1" applyProtection="1"/>
    <xf numFmtId="164" fontId="5" fillId="3" borderId="1" xfId="0" applyNumberFormat="1" applyFont="1" applyFill="1" applyBorder="1" applyAlignment="1" applyProtection="1">
      <alignment horizontal="center"/>
    </xf>
    <xf numFmtId="164" fontId="5" fillId="3" borderId="1" xfId="0" applyNumberFormat="1" applyFont="1" applyFill="1" applyBorder="1" applyProtection="1"/>
    <xf numFmtId="4" fontId="3" fillId="3" borderId="1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Protection="1"/>
    <xf numFmtId="4" fontId="5" fillId="3" borderId="1" xfId="0" applyNumberFormat="1" applyFont="1" applyFill="1" applyBorder="1" applyProtection="1"/>
    <xf numFmtId="164" fontId="5" fillId="2" borderId="1" xfId="0" applyNumberFormat="1" applyFont="1" applyFill="1" applyBorder="1" applyProtection="1"/>
    <xf numFmtId="3" fontId="5" fillId="3" borderId="1" xfId="0" applyNumberFormat="1" applyFont="1" applyFill="1" applyBorder="1" applyAlignment="1" applyProtection="1">
      <alignment horizontal="center"/>
    </xf>
    <xf numFmtId="49" fontId="5" fillId="3" borderId="1" xfId="0" applyNumberFormat="1" applyFont="1" applyFill="1" applyBorder="1" applyProtection="1"/>
    <xf numFmtId="0" fontId="5" fillId="3" borderId="1" xfId="0" applyNumberFormat="1" applyFont="1" applyFill="1" applyBorder="1" applyProtection="1"/>
    <xf numFmtId="3" fontId="3" fillId="4" borderId="1" xfId="0" applyNumberFormat="1" applyFont="1" applyFill="1" applyBorder="1" applyAlignment="1" applyProtection="1">
      <alignment horizontal="center" vertical="center"/>
    </xf>
    <xf numFmtId="164" fontId="6" fillId="5" borderId="1" xfId="0" applyNumberFormat="1" applyFont="1" applyFill="1" applyBorder="1" applyAlignment="1" applyProtection="1">
      <alignment vertical="center"/>
    </xf>
    <xf numFmtId="0" fontId="3" fillId="6" borderId="1" xfId="0" applyNumberFormat="1" applyFont="1" applyFill="1" applyBorder="1" applyAlignment="1" applyProtection="1">
      <alignment horizontal="center" vertical="center"/>
    </xf>
    <xf numFmtId="164" fontId="3" fillId="0" borderId="1" xfId="0" applyNumberFormat="1" applyFont="1" applyFill="1" applyBorder="1" applyAlignment="1" applyProtection="1">
      <alignment horizontal="center"/>
    </xf>
    <xf numFmtId="4" fontId="7" fillId="0" borderId="1" xfId="0" applyNumberFormat="1" applyFont="1" applyFill="1" applyBorder="1" applyAlignment="1" applyProtection="1">
      <alignment horizontal="right"/>
    </xf>
    <xf numFmtId="4" fontId="3" fillId="0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Fill="1" applyBorder="1" applyProtection="1"/>
    <xf numFmtId="4" fontId="3" fillId="7" borderId="1" xfId="0" applyNumberFormat="1" applyFont="1" applyFill="1" applyBorder="1" applyProtection="1"/>
    <xf numFmtId="4" fontId="3" fillId="2" borderId="1" xfId="0" applyNumberFormat="1" applyFont="1" applyFill="1" applyBorder="1" applyProtection="1"/>
    <xf numFmtId="4" fontId="7" fillId="0" borderId="1" xfId="0" applyNumberFormat="1" applyFont="1" applyFill="1" applyBorder="1" applyProtection="1"/>
    <xf numFmtId="4" fontId="7" fillId="8" borderId="1" xfId="0" applyNumberFormat="1" applyFont="1" applyFill="1" applyBorder="1" applyProtection="1"/>
    <xf numFmtId="4" fontId="3" fillId="9" borderId="1" xfId="0" applyNumberFormat="1" applyFont="1" applyFill="1" applyBorder="1" applyProtection="1"/>
    <xf numFmtId="164" fontId="3" fillId="0" borderId="1" xfId="0" applyNumberFormat="1" applyFont="1" applyFill="1" applyBorder="1" applyProtection="1"/>
    <xf numFmtId="0" fontId="8" fillId="10" borderId="1" xfId="0" applyNumberFormat="1" applyFont="1" applyFill="1" applyBorder="1" applyAlignment="1" applyProtection="1">
      <alignment horizontal="center"/>
    </xf>
    <xf numFmtId="4" fontId="3" fillId="0" borderId="1" xfId="0" applyNumberFormat="1" applyFont="1" applyFill="1" applyBorder="1" applyProtection="1"/>
    <xf numFmtId="3" fontId="1" fillId="0" borderId="1" xfId="0" applyNumberFormat="1" applyFont="1" applyFill="1" applyBorder="1" applyAlignment="1" applyProtection="1">
      <alignment horizontal="center" shrinkToFit="1"/>
    </xf>
    <xf numFmtId="3" fontId="3" fillId="11" borderId="1" xfId="0" applyNumberFormat="1" applyFont="1" applyFill="1" applyBorder="1" applyAlignment="1" applyProtection="1">
      <alignment horizontal="center"/>
    </xf>
    <xf numFmtId="4" fontId="9" fillId="8" borderId="1" xfId="0" applyNumberFormat="1" applyFont="1" applyFill="1" applyBorder="1" applyAlignment="1" applyProtection="1">
      <alignment horizontal="right" vertical="center"/>
    </xf>
    <xf numFmtId="49" fontId="10" fillId="0" borderId="1" xfId="0" applyNumberFormat="1" applyFont="1" applyBorder="1" applyProtection="1"/>
    <xf numFmtId="0" fontId="11" fillId="0" borderId="1" xfId="0" applyNumberFormat="1" applyFont="1" applyBorder="1" applyAlignment="1" applyProtection="1">
      <alignment horizontal="center"/>
    </xf>
    <xf numFmtId="164" fontId="6" fillId="12" borderId="1" xfId="0" applyNumberFormat="1" applyFont="1" applyFill="1" applyBorder="1" applyAlignment="1" applyProtection="1">
      <alignment vertical="center"/>
    </xf>
    <xf numFmtId="164" fontId="9" fillId="0" borderId="1" xfId="0" applyNumberFormat="1" applyFont="1" applyFill="1" applyBorder="1" applyAlignment="1" applyProtection="1">
      <alignment horizontal="center"/>
    </xf>
    <xf numFmtId="4" fontId="7" fillId="13" borderId="1" xfId="0" applyNumberFormat="1" applyFont="1" applyFill="1" applyBorder="1" applyProtection="1"/>
    <xf numFmtId="3" fontId="9" fillId="11" borderId="1" xfId="0" applyNumberFormat="1" applyFont="1" applyFill="1" applyBorder="1" applyAlignment="1" applyProtection="1">
      <alignment horizontal="center"/>
    </xf>
    <xf numFmtId="3" fontId="12" fillId="14" borderId="1" xfId="0" applyNumberFormat="1" applyFont="1" applyFill="1" applyBorder="1" applyAlignment="1" applyProtection="1">
      <alignment horizontal="center" vertical="center"/>
    </xf>
    <xf numFmtId="164" fontId="13" fillId="14" borderId="1" xfId="0" applyNumberFormat="1" applyFont="1" applyFill="1" applyBorder="1" applyAlignment="1" applyProtection="1">
      <alignment vertical="center"/>
    </xf>
    <xf numFmtId="0" fontId="12" fillId="14" borderId="1" xfId="0" applyNumberFormat="1" applyFont="1" applyFill="1" applyBorder="1" applyAlignment="1" applyProtection="1">
      <alignment horizontal="center" vertical="center"/>
    </xf>
    <xf numFmtId="164" fontId="12" fillId="14" borderId="1" xfId="0" applyNumberFormat="1" applyFont="1" applyFill="1" applyBorder="1" applyAlignment="1" applyProtection="1">
      <alignment horizontal="center"/>
    </xf>
    <xf numFmtId="4" fontId="14" fillId="14" borderId="1" xfId="0" applyNumberFormat="1" applyFont="1" applyFill="1" applyBorder="1" applyAlignment="1" applyProtection="1">
      <alignment horizontal="right"/>
    </xf>
    <xf numFmtId="4" fontId="12" fillId="14" borderId="1" xfId="0" applyNumberFormat="1" applyFont="1" applyFill="1" applyBorder="1" applyAlignment="1" applyProtection="1">
      <alignment horizontal="right"/>
    </xf>
    <xf numFmtId="4" fontId="12" fillId="14" borderId="1" xfId="0" applyNumberFormat="1" applyFont="1" applyFill="1" applyBorder="1" applyProtection="1"/>
    <xf numFmtId="4" fontId="12" fillId="14" borderId="1" xfId="0" applyNumberFormat="1" applyFont="1" applyFill="1" applyBorder="1" applyAlignment="1" applyProtection="1"/>
    <xf numFmtId="164" fontId="12" fillId="14" borderId="1" xfId="0" applyNumberFormat="1" applyFont="1" applyFill="1" applyBorder="1" applyProtection="1"/>
    <xf numFmtId="0" fontId="13" fillId="14" borderId="1" xfId="0" applyNumberFormat="1" applyFont="1" applyFill="1" applyBorder="1" applyAlignment="1" applyProtection="1">
      <alignment horizontal="center"/>
    </xf>
    <xf numFmtId="3" fontId="12" fillId="14" borderId="1" xfId="0" applyNumberFormat="1" applyFont="1" applyFill="1" applyBorder="1" applyAlignment="1" applyProtection="1">
      <alignment horizontal="center" shrinkToFit="1"/>
    </xf>
    <xf numFmtId="3" fontId="12" fillId="14" borderId="1" xfId="0" applyNumberFormat="1" applyFont="1" applyFill="1" applyBorder="1" applyAlignment="1" applyProtection="1">
      <alignment horizontal="center"/>
    </xf>
    <xf numFmtId="4" fontId="12" fillId="14" borderId="1" xfId="0" applyNumberFormat="1" applyFont="1" applyFill="1" applyBorder="1" applyAlignment="1" applyProtection="1">
      <alignment horizontal="right" vertical="center"/>
    </xf>
    <xf numFmtId="49" fontId="15" fillId="14" borderId="1" xfId="0" applyNumberFormat="1" applyFont="1" applyFill="1" applyBorder="1" applyProtection="1"/>
    <xf numFmtId="0" fontId="16" fillId="14" borderId="1" xfId="0" applyNumberFormat="1" applyFont="1" applyFill="1" applyBorder="1" applyAlignment="1" applyProtection="1">
      <alignment horizontal="center"/>
    </xf>
    <xf numFmtId="164" fontId="8" fillId="5" borderId="1" xfId="0" applyNumberFormat="1" applyFont="1" applyFill="1" applyBorder="1" applyAlignment="1" applyProtection="1">
      <alignment vertical="center"/>
    </xf>
    <xf numFmtId="4" fontId="1" fillId="8" borderId="1" xfId="0" applyNumberFormat="1" applyFont="1" applyFill="1" applyBorder="1" applyProtection="1"/>
    <xf numFmtId="4" fontId="7" fillId="8" borderId="1" xfId="0" applyNumberFormat="1" applyFont="1" applyFill="1" applyBorder="1" applyAlignment="1" applyProtection="1">
      <alignment horizontal="left"/>
    </xf>
    <xf numFmtId="3" fontId="3" fillId="0" borderId="1" xfId="0" applyNumberFormat="1" applyFont="1" applyFill="1" applyBorder="1" applyAlignment="1" applyProtection="1">
      <alignment horizontal="center" shrinkToFit="1"/>
    </xf>
    <xf numFmtId="4" fontId="3" fillId="8" borderId="1" xfId="0" applyNumberFormat="1" applyFont="1" applyFill="1" applyBorder="1" applyAlignment="1" applyProtection="1">
      <alignment horizontal="right" vertical="center"/>
    </xf>
    <xf numFmtId="164" fontId="8" fillId="12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/>
    <xf numFmtId="4" fontId="3" fillId="13" borderId="1" xfId="0" applyNumberFormat="1" applyFont="1" applyFill="1" applyBorder="1" applyAlignment="1" applyProtection="1"/>
    <xf numFmtId="4" fontId="7" fillId="0" borderId="1" xfId="0" applyNumberFormat="1" applyFont="1" applyFill="1" applyBorder="1" applyAlignment="1" applyProtection="1">
      <alignment horizontal="left"/>
    </xf>
    <xf numFmtId="49" fontId="10" fillId="0" borderId="1" xfId="0" applyNumberFormat="1" applyFont="1" applyFill="1" applyBorder="1" applyProtection="1"/>
    <xf numFmtId="164" fontId="17" fillId="5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horizontal="right" vertical="center"/>
    </xf>
    <xf numFmtId="3" fontId="18" fillId="0" borderId="1" xfId="0" applyNumberFormat="1" applyFont="1" applyFill="1" applyBorder="1" applyAlignment="1" applyProtection="1">
      <alignment horizontal="right" vertical="center"/>
    </xf>
    <xf numFmtId="164" fontId="18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164" fontId="18" fillId="0" borderId="1" xfId="0" applyNumberFormat="1" applyFont="1" applyFill="1" applyBorder="1" applyAlignment="1" applyProtection="1">
      <alignment horizontal="center"/>
    </xf>
    <xf numFmtId="4" fontId="18" fillId="0" borderId="1" xfId="0" applyNumberFormat="1" applyFont="1" applyFill="1" applyBorder="1" applyAlignment="1" applyProtection="1">
      <alignment horizontal="right"/>
    </xf>
    <xf numFmtId="4" fontId="18" fillId="2" borderId="1" xfId="0" applyNumberFormat="1" applyFont="1" applyFill="1" applyBorder="1" applyAlignment="1" applyProtection="1">
      <alignment horizontal="right"/>
    </xf>
    <xf numFmtId="49" fontId="18" fillId="0" borderId="1" xfId="0" applyNumberFormat="1" applyFont="1" applyFill="1" applyBorder="1" applyAlignment="1" applyProtection="1">
      <alignment horizontal="left"/>
    </xf>
    <xf numFmtId="164" fontId="8" fillId="3" borderId="1" xfId="0" applyNumberFormat="1" applyFont="1" applyFill="1" applyBorder="1" applyProtection="1"/>
    <xf numFmtId="4" fontId="5" fillId="2" borderId="1" xfId="0" applyNumberFormat="1" applyFont="1" applyFill="1" applyBorder="1" applyProtection="1"/>
    <xf numFmtId="3" fontId="19" fillId="4" borderId="1" xfId="0" applyNumberFormat="1" applyFont="1" applyFill="1" applyBorder="1" applyAlignment="1" applyProtection="1">
      <alignment horizontal="center" vertical="center"/>
    </xf>
    <xf numFmtId="164" fontId="19" fillId="5" borderId="1" xfId="0" applyNumberFormat="1" applyFont="1" applyFill="1" applyBorder="1" applyAlignment="1" applyProtection="1">
      <alignment vertical="center"/>
    </xf>
    <xf numFmtId="0" fontId="19" fillId="6" borderId="1" xfId="0" applyNumberFormat="1" applyFont="1" applyFill="1" applyBorder="1" applyAlignment="1" applyProtection="1">
      <alignment horizontal="center" vertical="center"/>
    </xf>
    <xf numFmtId="164" fontId="19" fillId="0" borderId="1" xfId="0" applyNumberFormat="1" applyFont="1" applyFill="1" applyBorder="1" applyAlignment="1" applyProtection="1">
      <alignment horizontal="center"/>
    </xf>
    <xf numFmtId="4" fontId="20" fillId="0" borderId="1" xfId="0" applyNumberFormat="1" applyFont="1" applyFill="1" applyBorder="1" applyAlignment="1" applyProtection="1">
      <alignment horizontal="right"/>
    </xf>
    <xf numFmtId="4" fontId="19" fillId="7" borderId="1" xfId="0" applyNumberFormat="1" applyFont="1" applyFill="1" applyBorder="1" applyProtection="1"/>
    <xf numFmtId="4" fontId="19" fillId="2" borderId="1" xfId="0" applyNumberFormat="1" applyFont="1" applyFill="1" applyBorder="1" applyProtection="1"/>
    <xf numFmtId="4" fontId="19" fillId="9" borderId="1" xfId="0" applyNumberFormat="1" applyFont="1" applyFill="1" applyBorder="1" applyProtection="1"/>
    <xf numFmtId="164" fontId="19" fillId="0" borderId="1" xfId="0" applyNumberFormat="1" applyFont="1" applyFill="1" applyBorder="1" applyProtection="1"/>
    <xf numFmtId="0" fontId="19" fillId="10" borderId="1" xfId="0" applyNumberFormat="1" applyFont="1" applyFill="1" applyBorder="1" applyAlignment="1" applyProtection="1">
      <alignment horizontal="center"/>
    </xf>
    <xf numFmtId="4" fontId="19" fillId="0" borderId="1" xfId="0" applyNumberFormat="1" applyFont="1" applyFill="1" applyBorder="1" applyAlignment="1" applyProtection="1">
      <alignment shrinkToFit="1"/>
    </xf>
    <xf numFmtId="3" fontId="19" fillId="0" borderId="1" xfId="0" applyNumberFormat="1" applyFont="1" applyFill="1" applyBorder="1" applyAlignment="1" applyProtection="1">
      <alignment horizontal="center" shrinkToFit="1"/>
    </xf>
    <xf numFmtId="3" fontId="19" fillId="0" borderId="1" xfId="0" applyNumberFormat="1" applyFont="1" applyFill="1" applyBorder="1" applyAlignment="1" applyProtection="1">
      <alignment horizontal="center"/>
    </xf>
    <xf numFmtId="4" fontId="19" fillId="8" borderId="1" xfId="0" applyNumberFormat="1" applyFont="1" applyFill="1" applyBorder="1" applyAlignment="1" applyProtection="1">
      <alignment horizontal="right" vertical="center"/>
    </xf>
    <xf numFmtId="49" fontId="19" fillId="0" borderId="1" xfId="0" applyNumberFormat="1" applyFont="1" applyFill="1" applyBorder="1" applyAlignment="1" applyProtection="1">
      <alignment horizontal="left"/>
    </xf>
    <xf numFmtId="0" fontId="21" fillId="0" borderId="1" xfId="0" applyNumberFormat="1" applyFont="1" applyBorder="1" applyAlignment="1" applyProtection="1">
      <alignment horizontal="center"/>
    </xf>
    <xf numFmtId="164" fontId="3" fillId="5" borderId="1" xfId="0" applyNumberFormat="1" applyFont="1" applyFill="1" applyBorder="1" applyAlignment="1" applyProtection="1">
      <alignment vertical="center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3" fillId="10" borderId="1" xfId="0" applyNumberFormat="1" applyFont="1" applyFill="1" applyBorder="1" applyAlignment="1" applyProtection="1">
      <alignment horizontal="center"/>
    </xf>
    <xf numFmtId="4" fontId="3" fillId="0" borderId="1" xfId="0" applyNumberFormat="1" applyFont="1" applyFill="1" applyBorder="1" applyAlignment="1" applyProtection="1">
      <alignment shrinkToFit="1"/>
    </xf>
    <xf numFmtId="3" fontId="3" fillId="0" borderId="1" xfId="0" applyNumberFormat="1" applyFont="1" applyFill="1" applyBorder="1" applyAlignment="1" applyProtection="1">
      <alignment horizontal="center"/>
    </xf>
    <xf numFmtId="49" fontId="3" fillId="0" borderId="1" xfId="0" applyNumberFormat="1" applyFont="1" applyFill="1" applyBorder="1" applyAlignment="1" applyProtection="1">
      <alignment horizontal="left"/>
    </xf>
    <xf numFmtId="3" fontId="22" fillId="4" borderId="1" xfId="0" applyNumberFormat="1" applyFont="1" applyFill="1" applyBorder="1" applyAlignment="1" applyProtection="1">
      <alignment horizontal="center" vertical="center"/>
    </xf>
    <xf numFmtId="164" fontId="22" fillId="12" borderId="1" xfId="0" applyNumberFormat="1" applyFont="1" applyFill="1" applyBorder="1" applyAlignment="1" applyProtection="1">
      <alignment vertical="center"/>
    </xf>
    <xf numFmtId="0" fontId="22" fillId="6" borderId="1" xfId="0" applyNumberFormat="1" applyFont="1" applyFill="1" applyBorder="1" applyAlignment="1" applyProtection="1">
      <alignment horizontal="center" vertical="center" wrapText="1"/>
    </xf>
    <xf numFmtId="164" fontId="22" fillId="0" borderId="1" xfId="0" applyNumberFormat="1" applyFont="1" applyFill="1" applyBorder="1" applyAlignment="1" applyProtection="1">
      <alignment horizontal="center"/>
    </xf>
    <xf numFmtId="4" fontId="23" fillId="0" borderId="1" xfId="0" applyNumberFormat="1" applyFont="1" applyFill="1" applyBorder="1" applyAlignment="1" applyProtection="1">
      <alignment horizontal="right"/>
    </xf>
    <xf numFmtId="4" fontId="22" fillId="0" borderId="1" xfId="0" applyNumberFormat="1" applyFont="1" applyFill="1" applyBorder="1" applyAlignment="1" applyProtection="1">
      <alignment horizontal="right"/>
    </xf>
    <xf numFmtId="4" fontId="22" fillId="0" borderId="1" xfId="0" applyNumberFormat="1" applyFont="1" applyFill="1" applyBorder="1" applyProtection="1"/>
    <xf numFmtId="4" fontId="22" fillId="7" borderId="1" xfId="0" applyNumberFormat="1" applyFont="1" applyFill="1" applyBorder="1" applyProtection="1"/>
    <xf numFmtId="4" fontId="22" fillId="2" borderId="1" xfId="0" applyNumberFormat="1" applyFont="1" applyFill="1" applyBorder="1" applyProtection="1"/>
    <xf numFmtId="4" fontId="22" fillId="0" borderId="1" xfId="0" applyNumberFormat="1" applyFont="1" applyFill="1" applyBorder="1" applyAlignment="1" applyProtection="1"/>
    <xf numFmtId="4" fontId="22" fillId="3" borderId="1" xfId="0" applyNumberFormat="1" applyFont="1" applyFill="1" applyBorder="1" applyAlignment="1" applyProtection="1"/>
    <xf numFmtId="4" fontId="22" fillId="9" borderId="1" xfId="0" applyNumberFormat="1" applyFont="1" applyFill="1" applyBorder="1" applyProtection="1"/>
    <xf numFmtId="164" fontId="22" fillId="0" borderId="1" xfId="0" applyNumberFormat="1" applyFont="1" applyFill="1" applyBorder="1" applyProtection="1"/>
    <xf numFmtId="0" fontId="22" fillId="10" borderId="1" xfId="0" applyNumberFormat="1" applyFont="1" applyFill="1" applyBorder="1" applyAlignment="1" applyProtection="1">
      <alignment horizontal="center"/>
    </xf>
    <xf numFmtId="4" fontId="22" fillId="0" borderId="1" xfId="0" applyNumberFormat="1" applyFont="1" applyFill="1" applyBorder="1" applyAlignment="1" applyProtection="1">
      <alignment shrinkToFit="1"/>
    </xf>
    <xf numFmtId="3" fontId="22" fillId="0" borderId="1" xfId="0" applyNumberFormat="1" applyFont="1" applyFill="1" applyBorder="1" applyAlignment="1" applyProtection="1">
      <alignment horizontal="center" shrinkToFit="1"/>
    </xf>
    <xf numFmtId="3" fontId="22" fillId="0" borderId="1" xfId="0" applyNumberFormat="1" applyFont="1" applyFill="1" applyBorder="1" applyAlignment="1" applyProtection="1">
      <alignment horizontal="center"/>
    </xf>
    <xf numFmtId="4" fontId="22" fillId="8" borderId="1" xfId="0" applyNumberFormat="1" applyFont="1" applyFill="1" applyBorder="1" applyAlignment="1" applyProtection="1">
      <alignment horizontal="right" vertical="center"/>
    </xf>
    <xf numFmtId="49" fontId="22" fillId="0" borderId="1" xfId="0" applyNumberFormat="1" applyFont="1" applyFill="1" applyBorder="1" applyAlignment="1" applyProtection="1">
      <alignment horizontal="left"/>
    </xf>
    <xf numFmtId="0" fontId="24" fillId="0" borderId="1" xfId="0" applyNumberFormat="1" applyFont="1" applyBorder="1" applyAlignment="1" applyProtection="1">
      <alignment horizontal="center"/>
    </xf>
    <xf numFmtId="3" fontId="1" fillId="4" borderId="1" xfId="0" applyNumberFormat="1" applyFont="1" applyFill="1" applyBorder="1" applyAlignment="1" applyProtection="1">
      <alignment horizontal="center" vertical="center"/>
    </xf>
    <xf numFmtId="164" fontId="1" fillId="0" borderId="1" xfId="0" applyNumberFormat="1" applyFont="1" applyFill="1" applyBorder="1" applyAlignment="1" applyProtection="1">
      <alignment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/>
    </xf>
    <xf numFmtId="4" fontId="0" fillId="0" borderId="1" xfId="0" applyNumberFormat="1" applyFont="1" applyFill="1" applyBorder="1" applyAlignment="1" applyProtection="1">
      <alignment horizontal="right"/>
    </xf>
    <xf numFmtId="4" fontId="1" fillId="7" borderId="1" xfId="0" applyNumberFormat="1" applyFont="1" applyFill="1" applyBorder="1" applyProtection="1"/>
    <xf numFmtId="4" fontId="1" fillId="2" borderId="1" xfId="0" applyNumberFormat="1" applyFont="1" applyFill="1" applyBorder="1" applyProtection="1"/>
    <xf numFmtId="4" fontId="1" fillId="0" borderId="1" xfId="0" applyNumberFormat="1" applyFont="1" applyFill="1" applyBorder="1" applyAlignment="1" applyProtection="1"/>
    <xf numFmtId="4" fontId="1" fillId="9" borderId="1" xfId="0" applyNumberFormat="1" applyFont="1" applyFill="1" applyBorder="1" applyProtection="1"/>
    <xf numFmtId="164" fontId="1" fillId="0" borderId="1" xfId="0" applyNumberFormat="1" applyFont="1" applyFill="1" applyBorder="1" applyProtection="1"/>
    <xf numFmtId="0" fontId="1" fillId="10" borderId="1" xfId="0" applyNumberFormat="1" applyFont="1" applyFill="1" applyBorder="1" applyAlignment="1" applyProtection="1">
      <alignment horizontal="center"/>
    </xf>
    <xf numFmtId="4" fontId="1" fillId="0" borderId="1" xfId="0" applyNumberFormat="1" applyFont="1" applyFill="1" applyBorder="1" applyAlignment="1" applyProtection="1">
      <alignment shrinkToFit="1"/>
    </xf>
    <xf numFmtId="3" fontId="1" fillId="0" borderId="1" xfId="0" applyNumberFormat="1" applyFont="1" applyFill="1" applyBorder="1" applyAlignment="1" applyProtection="1">
      <alignment horizontal="center"/>
    </xf>
    <xf numFmtId="4" fontId="1" fillId="8" borderId="1" xfId="0" applyNumberFormat="1" applyFont="1" applyFill="1" applyBorder="1" applyAlignment="1" applyProtection="1">
      <alignment horizontal="right" vertical="center"/>
    </xf>
    <xf numFmtId="49" fontId="1" fillId="0" borderId="1" xfId="0" applyNumberFormat="1" applyFont="1" applyFill="1" applyBorder="1" applyAlignment="1" applyProtection="1">
      <alignment horizontal="left"/>
    </xf>
    <xf numFmtId="0" fontId="25" fillId="0" borderId="1" xfId="0" applyNumberFormat="1" applyFont="1" applyBorder="1" applyAlignment="1" applyProtection="1">
      <alignment horizontal="center"/>
    </xf>
    <xf numFmtId="164" fontId="3" fillId="12" borderId="1" xfId="0" applyNumberFormat="1" applyFont="1" applyFill="1" applyBorder="1" applyAlignment="1" applyProtection="1">
      <alignment vertical="center"/>
    </xf>
    <xf numFmtId="4" fontId="3" fillId="3" borderId="1" xfId="0" applyNumberFormat="1" applyFont="1" applyFill="1" applyBorder="1" applyProtection="1"/>
    <xf numFmtId="49" fontId="26" fillId="0" borderId="1" xfId="0" applyNumberFormat="1" applyFont="1" applyFill="1" applyBorder="1" applyAlignment="1" applyProtection="1">
      <alignment horizontal="left"/>
    </xf>
    <xf numFmtId="4" fontId="1" fillId="15" borderId="1" xfId="0" applyNumberFormat="1" applyFont="1" applyFill="1" applyBorder="1" applyProtection="1"/>
    <xf numFmtId="4" fontId="3" fillId="15" borderId="1" xfId="0" applyNumberFormat="1" applyFont="1" applyFill="1" applyBorder="1" applyAlignment="1" applyProtection="1"/>
    <xf numFmtId="4" fontId="3" fillId="3" borderId="1" xfId="0" applyNumberFormat="1" applyFont="1" applyFill="1" applyBorder="1" applyAlignment="1" applyProtection="1"/>
    <xf numFmtId="164" fontId="19" fillId="0" borderId="1" xfId="0" applyNumberFormat="1" applyFont="1" applyFill="1" applyBorder="1" applyAlignment="1" applyProtection="1">
      <alignment vertical="center"/>
    </xf>
    <xf numFmtId="0" fontId="19" fillId="6" borderId="1" xfId="0" applyNumberFormat="1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/>
    <xf numFmtId="49" fontId="27" fillId="0" borderId="1" xfId="0" applyNumberFormat="1" applyFont="1" applyFill="1" applyBorder="1" applyProtection="1"/>
    <xf numFmtId="164" fontId="3" fillId="0" borderId="1" xfId="0" applyNumberFormat="1" applyFont="1" applyFill="1" applyBorder="1" applyAlignment="1" applyProtection="1">
      <alignment vertical="center"/>
    </xf>
    <xf numFmtId="4" fontId="19" fillId="0" borderId="1" xfId="0" applyNumberFormat="1" applyFont="1" applyFill="1" applyBorder="1" applyAlignment="1" applyProtection="1">
      <alignment horizontal="right"/>
    </xf>
    <xf numFmtId="4" fontId="3" fillId="16" borderId="1" xfId="0" applyNumberFormat="1" applyFont="1" applyFill="1" applyBorder="1" applyAlignment="1" applyProtection="1"/>
    <xf numFmtId="4" fontId="7" fillId="13" borderId="1" xfId="0" applyNumberFormat="1" applyFont="1" applyFill="1" applyBorder="1" applyAlignment="1" applyProtection="1">
      <alignment horizontal="right"/>
    </xf>
    <xf numFmtId="4" fontId="3" fillId="16" borderId="1" xfId="0" applyNumberFormat="1" applyFont="1" applyFill="1" applyBorder="1" applyAlignment="1" applyProtection="1">
      <alignment horizontal="right"/>
    </xf>
    <xf numFmtId="4" fontId="7" fillId="16" borderId="1" xfId="0" applyNumberFormat="1" applyFont="1" applyFill="1" applyBorder="1" applyAlignment="1" applyProtection="1">
      <alignment horizontal="right"/>
    </xf>
    <xf numFmtId="4" fontId="3" fillId="13" borderId="1" xfId="0" applyNumberFormat="1" applyFont="1" applyFill="1" applyBorder="1" applyAlignment="1" applyProtection="1">
      <alignment horizontal="right"/>
    </xf>
    <xf numFmtId="4" fontId="3" fillId="3" borderId="1" xfId="0" applyNumberFormat="1" applyFont="1" applyFill="1" applyBorder="1" applyAlignment="1" applyProtection="1">
      <alignment horizontal="right" vertical="center"/>
    </xf>
    <xf numFmtId="4" fontId="3" fillId="0" borderId="1" xfId="0" applyNumberFormat="1" applyFont="1" applyFill="1" applyBorder="1" applyAlignment="1" applyProtection="1">
      <alignment horizontal="left"/>
    </xf>
    <xf numFmtId="3" fontId="28" fillId="0" borderId="1" xfId="0" applyNumberFormat="1" applyFont="1" applyFill="1" applyBorder="1" applyAlignment="1" applyProtection="1">
      <alignment horizontal="right" vertical="center"/>
    </xf>
    <xf numFmtId="164" fontId="28" fillId="0" borderId="1" xfId="0" applyNumberFormat="1" applyFont="1" applyFill="1" applyBorder="1" applyAlignment="1" applyProtection="1">
      <alignment horizontal="right"/>
    </xf>
    <xf numFmtId="164" fontId="28" fillId="0" borderId="1" xfId="0" applyNumberFormat="1" applyFont="1" applyFill="1" applyBorder="1" applyAlignment="1" applyProtection="1">
      <alignment horizontal="center"/>
    </xf>
    <xf numFmtId="4" fontId="28" fillId="0" borderId="1" xfId="0" applyNumberFormat="1" applyFont="1" applyFill="1" applyBorder="1" applyAlignment="1" applyProtection="1">
      <alignment horizontal="right"/>
    </xf>
    <xf numFmtId="4" fontId="28" fillId="2" borderId="1" xfId="0" applyNumberFormat="1" applyFont="1" applyFill="1" applyBorder="1" applyAlignment="1" applyProtection="1">
      <alignment horizontal="right"/>
    </xf>
    <xf numFmtId="49" fontId="28" fillId="0" borderId="1" xfId="0" applyNumberFormat="1" applyFont="1" applyFill="1" applyBorder="1" applyAlignment="1" applyProtection="1">
      <alignment horizontal="left"/>
    </xf>
    <xf numFmtId="0" fontId="29" fillId="0" borderId="1" xfId="0" applyNumberFormat="1" applyFont="1" applyBorder="1" applyAlignment="1" applyProtection="1">
      <alignment horizontal="center"/>
    </xf>
    <xf numFmtId="3" fontId="34" fillId="4" borderId="1" xfId="0" applyNumberFormat="1" applyFont="1" applyFill="1" applyBorder="1" applyAlignment="1" applyProtection="1">
      <alignment vertical="center"/>
    </xf>
    <xf numFmtId="164" fontId="35" fillId="0" borderId="1" xfId="0" applyNumberFormat="1" applyFont="1" applyFill="1" applyBorder="1" applyProtection="1"/>
    <xf numFmtId="0" fontId="36" fillId="0" borderId="1" xfId="0" applyNumberFormat="1" applyFont="1" applyFill="1" applyBorder="1" applyAlignment="1" applyProtection="1">
      <alignment horizontal="center" vertical="center"/>
    </xf>
    <xf numFmtId="164" fontId="35" fillId="0" borderId="1" xfId="0" applyNumberFormat="1" applyFont="1" applyFill="1" applyBorder="1" applyAlignment="1" applyProtection="1">
      <alignment horizontal="center" vertical="center"/>
    </xf>
    <xf numFmtId="0" fontId="37" fillId="0" borderId="0" xfId="1" applyAlignment="1" applyProtection="1">
      <alignment horizontal="center" vertical="center"/>
    </xf>
    <xf numFmtId="49" fontId="37" fillId="0" borderId="1" xfId="1" applyNumberFormat="1" applyFill="1" applyBorder="1" applyAlignment="1" applyProtection="1">
      <alignment horizontal="center" vertical="center"/>
    </xf>
    <xf numFmtId="4" fontId="37" fillId="0" borderId="1" xfId="1" applyNumberFormat="1" applyFill="1" applyBorder="1" applyAlignment="1" applyProtection="1">
      <alignment horizontal="center" vertical="center"/>
    </xf>
    <xf numFmtId="164" fontId="35" fillId="2" borderId="1" xfId="0" applyNumberFormat="1" applyFont="1" applyFill="1" applyBorder="1" applyAlignment="1" applyProtection="1">
      <alignment horizontal="center" vertical="center"/>
    </xf>
    <xf numFmtId="49" fontId="37" fillId="0" borderId="1" xfId="1" applyNumberFormat="1" applyFill="1" applyBorder="1" applyAlignment="1" applyProtection="1">
      <alignment vertical="center"/>
    </xf>
    <xf numFmtId="164" fontId="37" fillId="0" borderId="1" xfId="1" applyNumberFormat="1" applyFill="1" applyBorder="1" applyAlignment="1" applyProtection="1">
      <alignment horizontal="center" vertical="center"/>
    </xf>
    <xf numFmtId="4" fontId="35" fillId="0" borderId="1" xfId="0" applyNumberFormat="1" applyFont="1" applyFill="1" applyBorder="1" applyAlignment="1" applyProtection="1">
      <alignment horizontal="center" vertical="center"/>
    </xf>
    <xf numFmtId="0" fontId="35" fillId="0" borderId="1" xfId="0" applyNumberFormat="1" applyFont="1" applyFill="1" applyBorder="1" applyAlignment="1" applyProtection="1">
      <alignment horizontal="center" vertical="center"/>
    </xf>
    <xf numFmtId="3" fontId="35" fillId="0" borderId="1" xfId="0" applyNumberFormat="1" applyFont="1" applyFill="1" applyBorder="1" applyAlignment="1" applyProtection="1">
      <alignment horizontal="center" vertical="center" shrinkToFit="1"/>
    </xf>
    <xf numFmtId="4" fontId="35" fillId="17" borderId="1" xfId="0" applyNumberFormat="1" applyFont="1" applyFill="1" applyBorder="1" applyAlignment="1" applyProtection="1">
      <alignment horizontal="center" vertical="center"/>
    </xf>
    <xf numFmtId="49" fontId="35" fillId="18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/>
    </xf>
    <xf numFmtId="3" fontId="36" fillId="19" borderId="1" xfId="0" applyNumberFormat="1" applyFont="1" applyFill="1" applyBorder="1" applyAlignment="1" applyProtection="1">
      <alignment horizontal="center" vertical="center"/>
    </xf>
    <xf numFmtId="164" fontId="35" fillId="19" borderId="1" xfId="0" applyNumberFormat="1" applyFont="1" applyFill="1" applyBorder="1" applyAlignment="1" applyProtection="1">
      <alignment horizontal="center" vertical="center"/>
    </xf>
    <xf numFmtId="0" fontId="36" fillId="6" borderId="1" xfId="0" applyNumberFormat="1" applyFont="1" applyFill="1" applyBorder="1" applyAlignment="1" applyProtection="1">
      <alignment horizontal="center" vertical="center" wrapText="1"/>
    </xf>
    <xf numFmtId="164" fontId="35" fillId="19" borderId="2" xfId="0" applyNumberFormat="1" applyFont="1" applyFill="1" applyBorder="1" applyAlignment="1" applyProtection="1">
      <alignment horizontal="center" vertical="center"/>
    </xf>
    <xf numFmtId="164" fontId="35" fillId="19" borderId="3" xfId="0" applyNumberFormat="1" applyFont="1" applyFill="1" applyBorder="1" applyAlignment="1" applyProtection="1">
      <alignment horizontal="center" vertical="center"/>
    </xf>
    <xf numFmtId="164" fontId="35" fillId="19" borderId="4" xfId="0" applyNumberFormat="1" applyFont="1" applyFill="1" applyBorder="1" applyAlignment="1" applyProtection="1">
      <alignment horizontal="center" vertical="center"/>
    </xf>
    <xf numFmtId="4" fontId="35" fillId="7" borderId="1" xfId="0" applyNumberFormat="1" applyFont="1" applyFill="1" applyBorder="1" applyAlignment="1" applyProtection="1">
      <alignment horizontal="center" vertical="center" wrapText="1"/>
    </xf>
    <xf numFmtId="164" fontId="35" fillId="2" borderId="1" xfId="0" applyNumberFormat="1" applyFont="1" applyFill="1" applyBorder="1" applyAlignment="1" applyProtection="1">
      <alignment horizontal="center" vertical="center"/>
    </xf>
    <xf numFmtId="164" fontId="35" fillId="19" borderId="2" xfId="0" applyNumberFormat="1" applyFont="1" applyFill="1" applyBorder="1" applyAlignment="1" applyProtection="1">
      <alignment vertical="center"/>
    </xf>
    <xf numFmtId="4" fontId="35" fillId="9" borderId="1" xfId="0" applyNumberFormat="1" applyFont="1" applyFill="1" applyBorder="1" applyAlignment="1" applyProtection="1">
      <alignment horizontal="center" vertical="center" wrapText="1"/>
    </xf>
    <xf numFmtId="164" fontId="36" fillId="19" borderId="1" xfId="0" applyNumberFormat="1" applyFont="1" applyFill="1" applyBorder="1" applyAlignment="1" applyProtection="1">
      <alignment horizontal="center" vertical="center" wrapText="1"/>
    </xf>
    <xf numFmtId="0" fontId="36" fillId="19" borderId="1" xfId="0" applyNumberFormat="1" applyFont="1" applyFill="1" applyBorder="1" applyAlignment="1" applyProtection="1">
      <alignment horizontal="center" vertical="center" wrapText="1"/>
    </xf>
    <xf numFmtId="4" fontId="36" fillId="19" borderId="1" xfId="0" applyNumberFormat="1" applyFont="1" applyFill="1" applyBorder="1" applyAlignment="1" applyProtection="1">
      <alignment horizontal="center" vertical="center" wrapText="1"/>
    </xf>
    <xf numFmtId="3" fontId="36" fillId="19" borderId="1" xfId="0" applyNumberFormat="1" applyFont="1" applyFill="1" applyBorder="1" applyAlignment="1" applyProtection="1">
      <alignment horizontal="center" vertical="center" shrinkToFit="1"/>
    </xf>
    <xf numFmtId="3" fontId="36" fillId="11" borderId="1" xfId="0" applyNumberFormat="1" applyFont="1" applyFill="1" applyBorder="1" applyAlignment="1" applyProtection="1">
      <alignment horizontal="center" vertical="center" wrapText="1"/>
    </xf>
    <xf numFmtId="49" fontId="36" fillId="19" borderId="1" xfId="0" applyNumberFormat="1" applyFont="1" applyFill="1" applyBorder="1" applyAlignment="1" applyProtection="1">
      <alignment horizontal="center" vertical="center" wrapText="1"/>
    </xf>
    <xf numFmtId="164" fontId="35" fillId="19" borderId="1" xfId="0" applyNumberFormat="1" applyFont="1" applyFill="1" applyBorder="1" applyAlignment="1" applyProtection="1">
      <alignment horizontal="center" vertical="center"/>
    </xf>
    <xf numFmtId="164" fontId="35" fillId="19" borderId="1" xfId="0" applyNumberFormat="1" applyFont="1" applyFill="1" applyBorder="1" applyAlignment="1" applyProtection="1">
      <alignment vertical="center"/>
    </xf>
    <xf numFmtId="164" fontId="36" fillId="19" borderId="1" xfId="0" applyNumberFormat="1" applyFont="1" applyFill="1" applyBorder="1" applyAlignment="1" applyProtection="1">
      <alignment horizontal="center" vertical="center"/>
    </xf>
  </cellXfs>
  <cellStyles count="2">
    <cellStyle name="Гиперссылка" xfId="1" builtinId="8"/>
    <cellStyle name="Обычный" xfId="0" builtinId="0"/>
  </cellStyles>
  <dxfs count="5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tabSelected="1" workbookViewId="0">
      <selection activeCell="O1" sqref="O1:O1048576"/>
    </sheetView>
  </sheetViews>
  <sheetFormatPr defaultRowHeight="15" x14ac:dyDescent="0.25"/>
  <cols>
    <col min="2" max="2" width="50.7109375" customWidth="1"/>
  </cols>
  <sheetData>
    <row r="1" spans="1:28" ht="18.75" x14ac:dyDescent="0.25">
      <c r="A1" s="157" t="s">
        <v>73</v>
      </c>
      <c r="B1" s="158"/>
      <c r="C1" s="159"/>
      <c r="D1" s="160"/>
      <c r="E1" s="161" t="s">
        <v>74</v>
      </c>
      <c r="F1" s="162" t="s">
        <v>75</v>
      </c>
      <c r="G1" s="162" t="s">
        <v>1</v>
      </c>
      <c r="H1" s="162" t="s">
        <v>76</v>
      </c>
      <c r="I1" s="162" t="s">
        <v>77</v>
      </c>
      <c r="J1" s="163" t="s">
        <v>78</v>
      </c>
      <c r="K1" s="164"/>
      <c r="L1" s="165" t="s">
        <v>79</v>
      </c>
      <c r="M1" s="162" t="s">
        <v>80</v>
      </c>
      <c r="N1" s="162" t="s">
        <v>81</v>
      </c>
      <c r="O1" s="162" t="s">
        <v>82</v>
      </c>
      <c r="P1" s="162" t="s">
        <v>83</v>
      </c>
      <c r="Q1" s="166" t="s">
        <v>84</v>
      </c>
      <c r="R1" s="163" t="s">
        <v>85</v>
      </c>
      <c r="S1" s="164"/>
      <c r="T1" s="167"/>
      <c r="U1" s="160"/>
      <c r="V1" s="168"/>
      <c r="W1" s="167"/>
      <c r="X1" s="169"/>
      <c r="Y1" s="169"/>
      <c r="Z1" s="170" t="s">
        <v>86</v>
      </c>
      <c r="AA1" s="171" t="s">
        <v>87</v>
      </c>
      <c r="AB1" s="172"/>
    </row>
    <row r="2" spans="1:28" x14ac:dyDescent="0.25">
      <c r="A2" s="173" t="s">
        <v>88</v>
      </c>
      <c r="B2" s="174" t="s">
        <v>89</v>
      </c>
      <c r="C2" s="175" t="s">
        <v>90</v>
      </c>
      <c r="D2" s="174" t="s">
        <v>91</v>
      </c>
      <c r="E2" s="176" t="s">
        <v>92</v>
      </c>
      <c r="F2" s="177"/>
      <c r="G2" s="177"/>
      <c r="H2" s="177"/>
      <c r="I2" s="178"/>
      <c r="J2" s="179" t="s">
        <v>93</v>
      </c>
      <c r="K2" s="180"/>
      <c r="L2" s="181" t="s">
        <v>94</v>
      </c>
      <c r="M2" s="177"/>
      <c r="N2" s="177"/>
      <c r="O2" s="177"/>
      <c r="P2" s="177"/>
      <c r="Q2" s="178"/>
      <c r="R2" s="179" t="s">
        <v>95</v>
      </c>
      <c r="S2" s="180"/>
      <c r="T2" s="182" t="s">
        <v>96</v>
      </c>
      <c r="U2" s="183" t="s">
        <v>97</v>
      </c>
      <c r="V2" s="184" t="s">
        <v>98</v>
      </c>
      <c r="W2" s="185" t="s">
        <v>99</v>
      </c>
      <c r="X2" s="186" t="s">
        <v>100</v>
      </c>
      <c r="Y2" s="187" t="s">
        <v>101</v>
      </c>
      <c r="Z2" s="185" t="s">
        <v>102</v>
      </c>
      <c r="AA2" s="188" t="s">
        <v>103</v>
      </c>
      <c r="AB2" s="184" t="s">
        <v>104</v>
      </c>
    </row>
    <row r="3" spans="1:28" ht="15" customHeight="1" x14ac:dyDescent="0.25">
      <c r="A3" s="173"/>
      <c r="B3" s="174"/>
      <c r="C3" s="175"/>
      <c r="D3" s="174"/>
      <c r="E3" s="189" t="s">
        <v>105</v>
      </c>
      <c r="F3" s="189" t="s">
        <v>106</v>
      </c>
      <c r="G3" s="189" t="s">
        <v>107</v>
      </c>
      <c r="H3" s="189" t="s">
        <v>108</v>
      </c>
      <c r="I3" s="189" t="s">
        <v>109</v>
      </c>
      <c r="J3" s="179"/>
      <c r="K3" s="180"/>
      <c r="L3" s="190" t="s">
        <v>110</v>
      </c>
      <c r="M3" s="189" t="s">
        <v>111</v>
      </c>
      <c r="N3" s="189" t="s">
        <v>112</v>
      </c>
      <c r="O3" s="189" t="s">
        <v>113</v>
      </c>
      <c r="P3" s="189" t="s">
        <v>114</v>
      </c>
      <c r="Q3" s="191" t="s">
        <v>115</v>
      </c>
      <c r="R3" s="179"/>
      <c r="S3" s="180"/>
      <c r="T3" s="182"/>
      <c r="U3" s="183"/>
      <c r="V3" s="184"/>
      <c r="W3" s="185"/>
      <c r="X3" s="186"/>
      <c r="Y3" s="187"/>
      <c r="Z3" s="185"/>
      <c r="AA3" s="188"/>
      <c r="AB3" s="184"/>
    </row>
    <row r="4" spans="1:28" x14ac:dyDescent="0.25">
      <c r="A4" s="1" t="s">
        <v>2</v>
      </c>
      <c r="B4" s="2"/>
      <c r="C4" s="3" t="s">
        <v>0</v>
      </c>
      <c r="D4" s="4" t="s">
        <v>0</v>
      </c>
      <c r="E4" s="5" t="s">
        <v>0</v>
      </c>
      <c r="F4" s="6"/>
      <c r="G4" s="7"/>
      <c r="H4" s="7"/>
      <c r="I4" s="7"/>
      <c r="J4" s="8" t="s">
        <v>0</v>
      </c>
      <c r="K4" s="9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8" t="s">
        <v>0</v>
      </c>
      <c r="S4" s="9" t="s">
        <v>0</v>
      </c>
      <c r="T4" s="8" t="s">
        <v>0</v>
      </c>
      <c r="U4" s="5" t="s">
        <v>0</v>
      </c>
      <c r="V4" s="5" t="s">
        <v>0</v>
      </c>
      <c r="W4" s="5" t="s">
        <v>0</v>
      </c>
      <c r="X4" s="4" t="s">
        <v>0</v>
      </c>
      <c r="Y4" s="10" t="s">
        <v>0</v>
      </c>
      <c r="Z4" s="8" t="s">
        <v>0</v>
      </c>
      <c r="AA4" s="11" t="s">
        <v>0</v>
      </c>
      <c r="AB4" s="12" t="s">
        <v>0</v>
      </c>
    </row>
    <row r="5" spans="1:28" x14ac:dyDescent="0.25">
      <c r="A5" s="13">
        <v>1</v>
      </c>
      <c r="B5" s="14" t="s">
        <v>3</v>
      </c>
      <c r="C5" s="15"/>
      <c r="D5" s="16" t="s">
        <v>1</v>
      </c>
      <c r="E5" s="17">
        <f>114+3.5</f>
        <v>117.5</v>
      </c>
      <c r="F5" s="18">
        <f>168+28.2</f>
        <v>196.2</v>
      </c>
      <c r="G5" s="19">
        <f>106+14.8</f>
        <v>120.8</v>
      </c>
      <c r="H5" s="19">
        <f>117.4+15+200</f>
        <v>332.4</v>
      </c>
      <c r="I5" s="19">
        <f>50.05+14.2</f>
        <v>64.25</v>
      </c>
      <c r="J5" s="20">
        <f>SUM(E5:I5)</f>
        <v>831.15</v>
      </c>
      <c r="K5" s="21"/>
      <c r="L5" s="22">
        <f>67.4+34.4-82.95</f>
        <v>18.850000000000009</v>
      </c>
      <c r="M5" s="23"/>
      <c r="N5" s="23"/>
      <c r="O5" s="23"/>
      <c r="P5" s="23"/>
      <c r="Q5" s="23"/>
      <c r="R5" s="20">
        <f>SUM(L5:Q5)</f>
        <v>18.850000000000009</v>
      </c>
      <c r="S5" s="21"/>
      <c r="T5" s="24">
        <f t="shared" ref="T5:T10" si="0">J5+R5</f>
        <v>850</v>
      </c>
      <c r="U5" s="25" t="s">
        <v>4</v>
      </c>
      <c r="V5" s="26"/>
      <c r="W5" s="27">
        <v>1</v>
      </c>
      <c r="X5" s="28">
        <v>850</v>
      </c>
      <c r="Y5" s="29">
        <f t="shared" ref="Y5:Y10" si="1">W5*X5</f>
        <v>850</v>
      </c>
      <c r="Z5" s="30">
        <f t="shared" ref="Z5:Z10" si="2">Y5-T5</f>
        <v>0</v>
      </c>
      <c r="AA5" s="31" t="s">
        <v>5</v>
      </c>
      <c r="AB5" s="32"/>
    </row>
    <row r="6" spans="1:28" x14ac:dyDescent="0.25">
      <c r="A6" s="13">
        <f>IF(NOT(B6=B5),IF(NOT(A5=0),A5+1,A3+1),)</f>
        <v>2</v>
      </c>
      <c r="B6" s="33" t="s">
        <v>6</v>
      </c>
      <c r="C6" s="15"/>
      <c r="D6" s="34" t="s">
        <v>1</v>
      </c>
      <c r="E6" s="17"/>
      <c r="F6" s="18"/>
      <c r="G6" s="19"/>
      <c r="H6" s="19"/>
      <c r="I6" s="19"/>
      <c r="J6" s="20"/>
      <c r="K6" s="21"/>
      <c r="L6" s="22">
        <v>42</v>
      </c>
      <c r="M6" s="22">
        <v>146</v>
      </c>
      <c r="N6" s="35">
        <v>140.1</v>
      </c>
      <c r="O6" s="22">
        <v>119.25</v>
      </c>
      <c r="P6" s="22"/>
      <c r="Q6" s="22"/>
      <c r="R6" s="20">
        <f t="shared" ref="R6:R9" si="3">SUM(L6:Q6)</f>
        <v>447.35</v>
      </c>
      <c r="S6" s="21"/>
      <c r="T6" s="24">
        <f t="shared" si="0"/>
        <v>447.35</v>
      </c>
      <c r="U6" s="25" t="s">
        <v>7</v>
      </c>
      <c r="V6" s="26"/>
      <c r="W6" s="27">
        <v>1</v>
      </c>
      <c r="X6" s="28">
        <f>85/27*17+85*4</f>
        <v>393.51851851851853</v>
      </c>
      <c r="Y6" s="36">
        <f t="shared" si="1"/>
        <v>393.51851851851853</v>
      </c>
      <c r="Z6" s="30">
        <f t="shared" si="2"/>
        <v>-53.831481481481489</v>
      </c>
      <c r="AA6" s="31" t="s">
        <v>8</v>
      </c>
      <c r="AB6" s="32"/>
    </row>
    <row r="7" spans="1:28" x14ac:dyDescent="0.25">
      <c r="A7" s="37">
        <f>IF(NOT(B7=B5),IF(NOT(A5=0),A5+1,A4+1),)</f>
        <v>2</v>
      </c>
      <c r="B7" s="38" t="s">
        <v>9</v>
      </c>
      <c r="C7" s="39"/>
      <c r="D7" s="40" t="s">
        <v>1</v>
      </c>
      <c r="E7" s="41">
        <v>58</v>
      </c>
      <c r="F7" s="42">
        <f>100+2</f>
        <v>102</v>
      </c>
      <c r="G7" s="43">
        <f>88+2</f>
        <v>90</v>
      </c>
      <c r="H7" s="43">
        <f>92+2</f>
        <v>94</v>
      </c>
      <c r="I7" s="43">
        <f>49.45+3</f>
        <v>52.45</v>
      </c>
      <c r="J7" s="43">
        <f>SUM(E7:I7)</f>
        <v>396.45</v>
      </c>
      <c r="K7" s="43"/>
      <c r="L7" s="44"/>
      <c r="M7" s="44"/>
      <c r="N7" s="44"/>
      <c r="O7" s="44"/>
      <c r="P7" s="44"/>
      <c r="Q7" s="44"/>
      <c r="R7" s="43">
        <f t="shared" si="3"/>
        <v>0</v>
      </c>
      <c r="S7" s="43"/>
      <c r="T7" s="43">
        <f t="shared" si="0"/>
        <v>396.45</v>
      </c>
      <c r="U7" s="45" t="s">
        <v>10</v>
      </c>
      <c r="V7" s="46"/>
      <c r="W7" s="43">
        <v>1</v>
      </c>
      <c r="X7" s="47">
        <f>85*5+85/27*17</f>
        <v>478.51851851851853</v>
      </c>
      <c r="Y7" s="48">
        <f t="shared" si="1"/>
        <v>478.51851851851853</v>
      </c>
      <c r="Z7" s="49">
        <f t="shared" si="2"/>
        <v>82.068518518518545</v>
      </c>
      <c r="AA7" s="50" t="s">
        <v>11</v>
      </c>
      <c r="AB7" s="51"/>
    </row>
    <row r="8" spans="1:28" x14ac:dyDescent="0.25">
      <c r="A8" s="13">
        <f>IF(NOT(B8=B7),IF(NOT(A7=0),A7+1,A5+1),)</f>
        <v>3</v>
      </c>
      <c r="B8" s="52" t="s">
        <v>12</v>
      </c>
      <c r="C8" s="15"/>
      <c r="D8" s="16" t="s">
        <v>1</v>
      </c>
      <c r="E8" s="17">
        <f>6.5+5.5</f>
        <v>12</v>
      </c>
      <c r="F8" s="18">
        <v>127.5</v>
      </c>
      <c r="G8" s="19">
        <f>2+4</f>
        <v>6</v>
      </c>
      <c r="H8" s="19">
        <f>4+26.2+29-4.7</f>
        <v>54.5</v>
      </c>
      <c r="I8" s="53"/>
      <c r="J8" s="20">
        <f>SUM(E8:I8)</f>
        <v>200</v>
      </c>
      <c r="K8" s="21"/>
      <c r="L8" s="54"/>
      <c r="M8" s="54"/>
      <c r="N8" s="54"/>
      <c r="O8" s="54"/>
      <c r="P8" s="54"/>
      <c r="Q8" s="54"/>
      <c r="R8" s="20">
        <f t="shared" si="3"/>
        <v>0</v>
      </c>
      <c r="S8" s="21"/>
      <c r="T8" s="24">
        <f t="shared" si="0"/>
        <v>200</v>
      </c>
      <c r="U8" s="25" t="s">
        <v>13</v>
      </c>
      <c r="V8" s="26"/>
      <c r="W8" s="27">
        <v>1</v>
      </c>
      <c r="X8" s="55">
        <v>200</v>
      </c>
      <c r="Y8" s="29">
        <f t="shared" si="1"/>
        <v>200</v>
      </c>
      <c r="Z8" s="56">
        <f t="shared" si="2"/>
        <v>0</v>
      </c>
      <c r="AA8" s="31" t="s">
        <v>5</v>
      </c>
      <c r="AB8" s="32"/>
    </row>
    <row r="9" spans="1:28" x14ac:dyDescent="0.25">
      <c r="A9" s="13">
        <f>IF(NOT(B9=B8),IF(NOT(A8=0),A8+1,A7+1),)</f>
        <v>4</v>
      </c>
      <c r="B9" s="57" t="s">
        <v>14</v>
      </c>
      <c r="C9" s="15"/>
      <c r="D9" s="16" t="s">
        <v>1</v>
      </c>
      <c r="E9" s="17"/>
      <c r="F9" s="18">
        <f>78+2.4</f>
        <v>80.400000000000006</v>
      </c>
      <c r="G9" s="27">
        <f>94+9.6</f>
        <v>103.6</v>
      </c>
      <c r="H9" s="27">
        <f>72+27.6</f>
        <v>99.6</v>
      </c>
      <c r="I9" s="27">
        <f>24.2+37.8</f>
        <v>62</v>
      </c>
      <c r="J9" s="20">
        <f>SUM(E9:I9)</f>
        <v>345.6</v>
      </c>
      <c r="K9" s="21"/>
      <c r="L9" s="58">
        <f>79.25+1</f>
        <v>80.25</v>
      </c>
      <c r="M9" s="58">
        <f>136.4+2</f>
        <v>138.4</v>
      </c>
      <c r="N9" s="59">
        <v>105.4</v>
      </c>
      <c r="O9" s="58">
        <v>60</v>
      </c>
      <c r="P9" s="60"/>
      <c r="Q9" s="22"/>
      <c r="R9" s="20">
        <f t="shared" si="3"/>
        <v>384.05</v>
      </c>
      <c r="S9" s="21"/>
      <c r="T9" s="24">
        <f t="shared" si="0"/>
        <v>729.65000000000009</v>
      </c>
      <c r="U9" s="25" t="s">
        <v>15</v>
      </c>
      <c r="V9" s="26"/>
      <c r="W9" s="27">
        <v>1</v>
      </c>
      <c r="X9" s="55">
        <f>88*9-88/30*3</f>
        <v>783.2</v>
      </c>
      <c r="Y9" s="29">
        <f t="shared" si="1"/>
        <v>783.2</v>
      </c>
      <c r="Z9" s="56">
        <f t="shared" si="2"/>
        <v>53.549999999999955</v>
      </c>
      <c r="AA9" s="61" t="s">
        <v>16</v>
      </c>
      <c r="AB9" s="32"/>
    </row>
    <row r="10" spans="1:28" x14ac:dyDescent="0.25">
      <c r="A10" s="13" t="e">
        <f>IF(NOT(B10=#REF!),IF(NOT(#REF!=0),#REF!+1,A7+1),)</f>
        <v>#REF!</v>
      </c>
      <c r="B10" s="62"/>
      <c r="C10" s="15"/>
      <c r="D10" s="16" t="s">
        <v>1</v>
      </c>
      <c r="E10" s="17"/>
      <c r="F10" s="18"/>
      <c r="G10" s="19"/>
      <c r="H10" s="19"/>
      <c r="I10" s="19"/>
      <c r="J10" s="20">
        <f>SUM(E10:I10)</f>
        <v>0</v>
      </c>
      <c r="K10" s="21"/>
      <c r="L10" s="58"/>
      <c r="M10" s="58"/>
      <c r="N10" s="58"/>
      <c r="O10" s="58"/>
      <c r="P10" s="58"/>
      <c r="Q10" s="58"/>
      <c r="R10" s="20">
        <f>SUM(L10:Q10)</f>
        <v>0</v>
      </c>
      <c r="S10" s="21"/>
      <c r="T10" s="24">
        <f t="shared" si="0"/>
        <v>0</v>
      </c>
      <c r="U10" s="25"/>
      <c r="V10" s="26"/>
      <c r="W10" s="27"/>
      <c r="X10" s="55"/>
      <c r="Y10" s="29">
        <f t="shared" si="1"/>
        <v>0</v>
      </c>
      <c r="Z10" s="63">
        <f t="shared" si="2"/>
        <v>0</v>
      </c>
      <c r="AA10" s="31"/>
      <c r="AB10" s="32"/>
    </row>
    <row r="11" spans="1:28" x14ac:dyDescent="0.25">
      <c r="A11" s="64" t="s">
        <v>17</v>
      </c>
      <c r="B11" s="65" t="s">
        <v>18</v>
      </c>
      <c r="C11" s="66"/>
      <c r="D11" s="67" t="s">
        <v>1</v>
      </c>
      <c r="E11" s="68">
        <f t="shared" ref="E11:Z11" si="4">SUM(E5:E10)</f>
        <v>187.5</v>
      </c>
      <c r="F11" s="68">
        <f t="shared" si="4"/>
        <v>506.1</v>
      </c>
      <c r="G11" s="68">
        <f>SUM(G5:G10)</f>
        <v>320.39999999999998</v>
      </c>
      <c r="H11" s="68">
        <f t="shared" si="4"/>
        <v>580.5</v>
      </c>
      <c r="I11" s="68">
        <f t="shared" si="4"/>
        <v>178.7</v>
      </c>
      <c r="J11" s="68">
        <f t="shared" si="4"/>
        <v>1773.1999999999998</v>
      </c>
      <c r="K11" s="69">
        <f t="shared" si="4"/>
        <v>0</v>
      </c>
      <c r="L11" s="68">
        <f t="shared" si="4"/>
        <v>141.10000000000002</v>
      </c>
      <c r="M11" s="68">
        <f t="shared" si="4"/>
        <v>284.39999999999998</v>
      </c>
      <c r="N11" s="68">
        <f t="shared" si="4"/>
        <v>245.5</v>
      </c>
      <c r="O11" s="68">
        <f t="shared" si="4"/>
        <v>179.25</v>
      </c>
      <c r="P11" s="68">
        <f t="shared" si="4"/>
        <v>0</v>
      </c>
      <c r="Q11" s="68">
        <f t="shared" si="4"/>
        <v>0</v>
      </c>
      <c r="R11" s="68">
        <f t="shared" si="4"/>
        <v>850.25</v>
      </c>
      <c r="S11" s="69">
        <f t="shared" si="4"/>
        <v>0</v>
      </c>
      <c r="T11" s="68">
        <f t="shared" si="4"/>
        <v>2623.45</v>
      </c>
      <c r="U11" s="68">
        <f t="shared" si="4"/>
        <v>0</v>
      </c>
      <c r="V11" s="68">
        <f t="shared" si="4"/>
        <v>0</v>
      </c>
      <c r="W11" s="68">
        <f t="shared" si="4"/>
        <v>5</v>
      </c>
      <c r="X11" s="68">
        <f t="shared" si="4"/>
        <v>2705.2370370370372</v>
      </c>
      <c r="Y11" s="68">
        <f t="shared" si="4"/>
        <v>2705.2370370370372</v>
      </c>
      <c r="Z11" s="68">
        <f t="shared" si="4"/>
        <v>81.78703703703701</v>
      </c>
      <c r="AA11" s="70"/>
      <c r="AB11" s="32"/>
    </row>
    <row r="12" spans="1:28" x14ac:dyDescent="0.25">
      <c r="A12" s="1" t="s">
        <v>19</v>
      </c>
      <c r="B12" s="71"/>
      <c r="C12" s="3" t="s">
        <v>0</v>
      </c>
      <c r="D12" s="4" t="s">
        <v>0</v>
      </c>
      <c r="E12" s="8" t="s">
        <v>0</v>
      </c>
      <c r="F12" s="6"/>
      <c r="G12" s="7"/>
      <c r="H12" s="7"/>
      <c r="I12" s="7"/>
      <c r="J12" s="8" t="s">
        <v>0</v>
      </c>
      <c r="K12" s="72" t="s">
        <v>0</v>
      </c>
      <c r="L12" s="8" t="s">
        <v>0</v>
      </c>
      <c r="M12" s="8" t="s">
        <v>0</v>
      </c>
      <c r="N12" s="8" t="s">
        <v>0</v>
      </c>
      <c r="O12" s="8" t="s">
        <v>0</v>
      </c>
      <c r="P12" s="8" t="s">
        <v>0</v>
      </c>
      <c r="Q12" s="8" t="s">
        <v>0</v>
      </c>
      <c r="R12" s="8" t="s">
        <v>0</v>
      </c>
      <c r="S12" s="72" t="s">
        <v>0</v>
      </c>
      <c r="T12" s="8" t="s">
        <v>0</v>
      </c>
      <c r="U12" s="5" t="s">
        <v>0</v>
      </c>
      <c r="V12" s="5" t="s">
        <v>0</v>
      </c>
      <c r="W12" s="5" t="s">
        <v>0</v>
      </c>
      <c r="X12" s="10" t="s">
        <v>0</v>
      </c>
      <c r="Y12" s="10" t="s">
        <v>0</v>
      </c>
      <c r="Z12" s="8" t="s">
        <v>0</v>
      </c>
      <c r="AA12" s="11" t="s">
        <v>0</v>
      </c>
      <c r="AB12" s="12"/>
    </row>
    <row r="13" spans="1:28" x14ac:dyDescent="0.25">
      <c r="A13" s="73">
        <v>1</v>
      </c>
      <c r="B13" s="74" t="s">
        <v>20</v>
      </c>
      <c r="C13" s="75" t="s">
        <v>21</v>
      </c>
      <c r="D13" s="76" t="s">
        <v>1</v>
      </c>
      <c r="E13" s="77"/>
      <c r="F13" s="18"/>
      <c r="G13" s="19"/>
      <c r="H13" s="19"/>
      <c r="I13" s="19"/>
      <c r="J13" s="78">
        <f t="shared" ref="J13:J43" si="5">SUM(E13:I13)</f>
        <v>0</v>
      </c>
      <c r="K13" s="79"/>
      <c r="L13" s="77"/>
      <c r="M13" s="77"/>
      <c r="N13" s="77"/>
      <c r="O13" s="77"/>
      <c r="P13" s="77"/>
      <c r="Q13" s="77"/>
      <c r="R13" s="78">
        <f t="shared" ref="R13:R18" si="6">SUM(L13:Q13)</f>
        <v>0</v>
      </c>
      <c r="S13" s="79"/>
      <c r="T13" s="80">
        <f t="shared" ref="T13:T18" si="7">J13+R13</f>
        <v>0</v>
      </c>
      <c r="U13" s="81" t="s">
        <v>22</v>
      </c>
      <c r="V13" s="82"/>
      <c r="W13" s="83"/>
      <c r="X13" s="84"/>
      <c r="Y13" s="85">
        <f t="shared" ref="Y13:Y18" si="8">W13*X13</f>
        <v>0</v>
      </c>
      <c r="Z13" s="86">
        <f t="shared" ref="Z13:Z18" si="9">Y13-T13</f>
        <v>0</v>
      </c>
      <c r="AA13" s="87"/>
      <c r="AB13" s="88"/>
    </row>
    <row r="14" spans="1:28" x14ac:dyDescent="0.25">
      <c r="A14" s="13">
        <v>16</v>
      </c>
      <c r="B14" s="89" t="s">
        <v>6</v>
      </c>
      <c r="C14" s="90">
        <v>289</v>
      </c>
      <c r="D14" s="16" t="s">
        <v>1</v>
      </c>
      <c r="E14" s="17">
        <v>8</v>
      </c>
      <c r="F14" s="18">
        <v>50</v>
      </c>
      <c r="G14" s="19">
        <v>24</v>
      </c>
      <c r="H14" s="19"/>
      <c r="I14" s="19">
        <v>6.4</v>
      </c>
      <c r="J14" s="20">
        <f t="shared" si="5"/>
        <v>88.4</v>
      </c>
      <c r="K14" s="21"/>
      <c r="L14" s="58">
        <v>38.4</v>
      </c>
      <c r="M14" s="58"/>
      <c r="N14" s="58"/>
      <c r="O14" s="58"/>
      <c r="P14" s="58"/>
      <c r="Q14" s="58"/>
      <c r="R14" s="20">
        <f t="shared" si="6"/>
        <v>38.4</v>
      </c>
      <c r="S14" s="21"/>
      <c r="T14" s="24">
        <f t="shared" si="7"/>
        <v>126.80000000000001</v>
      </c>
      <c r="U14" s="25" t="s">
        <v>23</v>
      </c>
      <c r="V14" s="91">
        <v>700</v>
      </c>
      <c r="W14" s="92">
        <v>1</v>
      </c>
      <c r="X14" s="55">
        <v>500</v>
      </c>
      <c r="Y14" s="93">
        <f t="shared" si="8"/>
        <v>500</v>
      </c>
      <c r="Z14" s="56">
        <f t="shared" si="9"/>
        <v>373.2</v>
      </c>
      <c r="AA14" s="94"/>
      <c r="AB14" s="32">
        <v>14</v>
      </c>
    </row>
    <row r="15" spans="1:28" x14ac:dyDescent="0.25">
      <c r="A15" s="95">
        <f>IF(NOT(B15=B14),IF(NOT(A14=0),A14+1,A13+1),)</f>
        <v>17</v>
      </c>
      <c r="B15" s="96" t="s">
        <v>3</v>
      </c>
      <c r="C15" s="97">
        <v>69</v>
      </c>
      <c r="D15" s="98" t="s">
        <v>1</v>
      </c>
      <c r="E15" s="99"/>
      <c r="F15" s="100"/>
      <c r="G15" s="101"/>
      <c r="H15" s="101"/>
      <c r="I15" s="101"/>
      <c r="J15" s="102">
        <f t="shared" si="5"/>
        <v>0</v>
      </c>
      <c r="K15" s="103"/>
      <c r="L15" s="104">
        <v>82.95</v>
      </c>
      <c r="M15" s="105">
        <f>153.6+15.4</f>
        <v>169</v>
      </c>
      <c r="N15" s="104">
        <v>75.5</v>
      </c>
      <c r="O15" s="104">
        <v>72.400000000000006</v>
      </c>
      <c r="P15" s="104"/>
      <c r="Q15" s="104"/>
      <c r="R15" s="102">
        <f t="shared" si="6"/>
        <v>399.85</v>
      </c>
      <c r="S15" s="103"/>
      <c r="T15" s="106">
        <f t="shared" si="7"/>
        <v>399.85</v>
      </c>
      <c r="U15" s="107" t="s">
        <v>24</v>
      </c>
      <c r="V15" s="108">
        <v>350</v>
      </c>
      <c r="W15" s="109">
        <v>1</v>
      </c>
      <c r="X15" s="110">
        <v>300</v>
      </c>
      <c r="Y15" s="111">
        <f t="shared" si="8"/>
        <v>300</v>
      </c>
      <c r="Z15" s="112">
        <f t="shared" si="9"/>
        <v>-99.850000000000023</v>
      </c>
      <c r="AA15" s="113" t="s">
        <v>25</v>
      </c>
      <c r="AB15" s="114">
        <v>12</v>
      </c>
    </row>
    <row r="16" spans="1:28" x14ac:dyDescent="0.25">
      <c r="A16" s="115">
        <f>IF(NOT(B16=B15),IF(NOT(A15=0),A15+1,A14+1),)</f>
        <v>18</v>
      </c>
      <c r="B16" s="116" t="s">
        <v>26</v>
      </c>
      <c r="C16" s="117">
        <v>474</v>
      </c>
      <c r="D16" s="118" t="s">
        <v>1</v>
      </c>
      <c r="E16" s="119"/>
      <c r="F16" s="18">
        <f>5+5.5</f>
        <v>10.5</v>
      </c>
      <c r="G16" s="19"/>
      <c r="H16" s="19"/>
      <c r="I16" s="19"/>
      <c r="J16" s="120">
        <f t="shared" si="5"/>
        <v>10.5</v>
      </c>
      <c r="K16" s="121"/>
      <c r="L16" s="122">
        <f>7.5+3.5</f>
        <v>11</v>
      </c>
      <c r="M16" s="122"/>
      <c r="N16" s="122">
        <v>11.5</v>
      </c>
      <c r="O16" s="122"/>
      <c r="P16" s="122"/>
      <c r="Q16" s="122"/>
      <c r="R16" s="120">
        <f t="shared" si="6"/>
        <v>22.5</v>
      </c>
      <c r="S16" s="121"/>
      <c r="T16" s="123">
        <f t="shared" si="7"/>
        <v>33</v>
      </c>
      <c r="U16" s="124" t="s">
        <v>27</v>
      </c>
      <c r="V16" s="125">
        <v>700</v>
      </c>
      <c r="W16" s="126">
        <v>1</v>
      </c>
      <c r="X16" s="28">
        <v>500</v>
      </c>
      <c r="Y16" s="127">
        <f t="shared" si="8"/>
        <v>500</v>
      </c>
      <c r="Z16" s="128">
        <f t="shared" si="9"/>
        <v>467</v>
      </c>
      <c r="AA16" s="129"/>
      <c r="AB16" s="130">
        <v>16</v>
      </c>
    </row>
    <row r="17" spans="1:28" x14ac:dyDescent="0.25">
      <c r="A17" s="13">
        <f>IF(NOT(B17=B16),IF(NOT(A16=0),A16+1,A15+1),)</f>
        <v>19</v>
      </c>
      <c r="B17" s="131" t="s">
        <v>28</v>
      </c>
      <c r="C17" s="90">
        <v>291</v>
      </c>
      <c r="D17" s="16" t="s">
        <v>1</v>
      </c>
      <c r="E17" s="17">
        <v>26</v>
      </c>
      <c r="F17" s="18">
        <v>52</v>
      </c>
      <c r="G17" s="19">
        <v>40</v>
      </c>
      <c r="H17" s="19">
        <v>34</v>
      </c>
      <c r="I17" s="19">
        <v>2</v>
      </c>
      <c r="J17" s="20">
        <f t="shared" si="5"/>
        <v>154</v>
      </c>
      <c r="K17" s="21"/>
      <c r="L17" s="17">
        <v>32</v>
      </c>
      <c r="M17" s="17">
        <v>74</v>
      </c>
      <c r="N17" s="17">
        <v>60</v>
      </c>
      <c r="O17" s="17">
        <v>16</v>
      </c>
      <c r="P17" s="17"/>
      <c r="Q17" s="17"/>
      <c r="R17" s="20">
        <f t="shared" si="6"/>
        <v>182</v>
      </c>
      <c r="S17" s="21"/>
      <c r="T17" s="24">
        <f t="shared" si="7"/>
        <v>336</v>
      </c>
      <c r="U17" s="25" t="s">
        <v>24</v>
      </c>
      <c r="V17" s="91">
        <v>700</v>
      </c>
      <c r="W17" s="92">
        <v>1</v>
      </c>
      <c r="X17" s="55">
        <v>500</v>
      </c>
      <c r="Y17" s="93">
        <f t="shared" si="8"/>
        <v>500</v>
      </c>
      <c r="Z17" s="56">
        <f t="shared" si="9"/>
        <v>164</v>
      </c>
      <c r="AA17" s="94"/>
      <c r="AB17" s="32">
        <v>12</v>
      </c>
    </row>
    <row r="18" spans="1:28" x14ac:dyDescent="0.25">
      <c r="A18" s="13">
        <f>IF(NOT(B18=B17),IF(NOT(A17=0),A17+1,A16+1),)</f>
        <v>20</v>
      </c>
      <c r="B18" s="131" t="s">
        <v>29</v>
      </c>
      <c r="C18" s="90">
        <v>307</v>
      </c>
      <c r="D18" s="16" t="s">
        <v>1</v>
      </c>
      <c r="E18" s="17">
        <v>12</v>
      </c>
      <c r="F18" s="18">
        <v>4</v>
      </c>
      <c r="G18" s="19"/>
      <c r="H18" s="19"/>
      <c r="I18" s="19">
        <v>4</v>
      </c>
      <c r="J18" s="20">
        <f t="shared" si="5"/>
        <v>20</v>
      </c>
      <c r="K18" s="21"/>
      <c r="L18" s="58">
        <v>5.75</v>
      </c>
      <c r="M18" s="58">
        <v>4</v>
      </c>
      <c r="N18" s="58">
        <v>12</v>
      </c>
      <c r="O18" s="58">
        <v>8</v>
      </c>
      <c r="P18" s="58"/>
      <c r="Q18" s="58"/>
      <c r="R18" s="20">
        <f t="shared" si="6"/>
        <v>29.75</v>
      </c>
      <c r="S18" s="21"/>
      <c r="T18" s="24">
        <f t="shared" si="7"/>
        <v>49.75</v>
      </c>
      <c r="U18" s="25" t="s">
        <v>24</v>
      </c>
      <c r="V18" s="91">
        <v>700</v>
      </c>
      <c r="W18" s="92">
        <v>1</v>
      </c>
      <c r="X18" s="55">
        <v>500</v>
      </c>
      <c r="Y18" s="93">
        <f t="shared" si="8"/>
        <v>500</v>
      </c>
      <c r="Z18" s="56">
        <f t="shared" si="9"/>
        <v>450.25</v>
      </c>
      <c r="AA18" s="94"/>
      <c r="AB18" s="32">
        <v>16</v>
      </c>
    </row>
    <row r="19" spans="1:28" x14ac:dyDescent="0.25">
      <c r="A19" s="13">
        <f>IF(NOT(B19=B17),IF(NOT(A17=0),A17+1,A16+1),)</f>
        <v>20</v>
      </c>
      <c r="B19" s="131" t="s">
        <v>12</v>
      </c>
      <c r="C19" s="15">
        <v>3</v>
      </c>
      <c r="D19" s="16" t="s">
        <v>1</v>
      </c>
      <c r="E19" s="17"/>
      <c r="F19" s="18"/>
      <c r="G19" s="27"/>
      <c r="H19" s="132"/>
      <c r="I19" s="132"/>
      <c r="J19" s="20">
        <f t="shared" si="5"/>
        <v>0</v>
      </c>
      <c r="K19" s="21"/>
      <c r="L19" s="132">
        <f>3.6+4.7+40.6+4+9.5+14.3</f>
        <v>76.7</v>
      </c>
      <c r="M19" s="58">
        <f>16.7+6+12</f>
        <v>34.700000000000003</v>
      </c>
      <c r="N19" s="58">
        <v>63.3</v>
      </c>
      <c r="O19" s="58">
        <v>30.5</v>
      </c>
      <c r="P19" s="58"/>
      <c r="Q19" s="58"/>
      <c r="R19" s="20">
        <v>0</v>
      </c>
      <c r="S19" s="21"/>
      <c r="T19" s="24">
        <v>0</v>
      </c>
      <c r="U19" s="25" t="s">
        <v>30</v>
      </c>
      <c r="V19" s="91">
        <v>400</v>
      </c>
      <c r="W19" s="92">
        <v>1</v>
      </c>
      <c r="X19" s="55">
        <v>300</v>
      </c>
      <c r="Y19" s="93">
        <v>300</v>
      </c>
      <c r="Z19" s="56">
        <v>300</v>
      </c>
      <c r="AA19" s="133" t="s">
        <v>25</v>
      </c>
      <c r="AB19" s="32">
        <v>20</v>
      </c>
    </row>
    <row r="20" spans="1:28" x14ac:dyDescent="0.25">
      <c r="A20" s="13">
        <f>IF(NOT(B20=B18),IF(NOT(A18=0),A18+1,A17+1),)</f>
        <v>21</v>
      </c>
      <c r="B20" s="131" t="s">
        <v>31</v>
      </c>
      <c r="C20" s="90">
        <v>283</v>
      </c>
      <c r="D20" s="16" t="s">
        <v>1</v>
      </c>
      <c r="E20" s="17">
        <v>16</v>
      </c>
      <c r="F20" s="18">
        <f>16+1</f>
        <v>17</v>
      </c>
      <c r="G20" s="19">
        <f>12+1</f>
        <v>13</v>
      </c>
      <c r="H20" s="19">
        <v>16.2</v>
      </c>
      <c r="I20" s="19">
        <v>2.7</v>
      </c>
      <c r="J20" s="20">
        <f t="shared" si="5"/>
        <v>64.900000000000006</v>
      </c>
      <c r="K20" s="21"/>
      <c r="L20" s="58">
        <v>18</v>
      </c>
      <c r="M20" s="58">
        <v>32</v>
      </c>
      <c r="N20" s="58">
        <v>43</v>
      </c>
      <c r="O20" s="58">
        <v>16</v>
      </c>
      <c r="P20" s="58"/>
      <c r="Q20" s="58"/>
      <c r="R20" s="20">
        <v>0</v>
      </c>
      <c r="S20" s="21"/>
      <c r="T20" s="24">
        <v>0</v>
      </c>
      <c r="U20" s="25" t="s">
        <v>32</v>
      </c>
      <c r="V20" s="91">
        <v>700</v>
      </c>
      <c r="W20" s="92">
        <v>1</v>
      </c>
      <c r="X20" s="55">
        <v>500</v>
      </c>
      <c r="Y20" s="93">
        <v>500</v>
      </c>
      <c r="Z20" s="56">
        <v>300</v>
      </c>
      <c r="AA20" s="94"/>
      <c r="AB20" s="32">
        <v>10</v>
      </c>
    </row>
    <row r="21" spans="1:28" x14ac:dyDescent="0.25">
      <c r="A21" s="13">
        <f>IF(NOT(B21=B20),IF(NOT(A20=0),A20+1,A18+1),)</f>
        <v>22</v>
      </c>
      <c r="B21" s="131" t="s">
        <v>33</v>
      </c>
      <c r="C21" s="90">
        <v>284</v>
      </c>
      <c r="D21" s="16" t="s">
        <v>1</v>
      </c>
      <c r="E21" s="17">
        <v>36</v>
      </c>
      <c r="F21" s="18">
        <f>68+3</f>
        <v>71</v>
      </c>
      <c r="G21" s="19">
        <f>68+3</f>
        <v>71</v>
      </c>
      <c r="H21" s="19">
        <f>68+2</f>
        <v>70</v>
      </c>
      <c r="I21" s="134">
        <v>22.95</v>
      </c>
      <c r="J21" s="20">
        <f t="shared" si="5"/>
        <v>270.95</v>
      </c>
      <c r="K21" s="21"/>
      <c r="L21" s="135">
        <v>28.4</v>
      </c>
      <c r="M21" s="136">
        <v>16</v>
      </c>
      <c r="N21" s="58">
        <v>12.55</v>
      </c>
      <c r="O21" s="58">
        <v>5.2</v>
      </c>
      <c r="P21" s="58"/>
      <c r="Q21" s="58"/>
      <c r="R21" s="20">
        <v>0</v>
      </c>
      <c r="S21" s="21"/>
      <c r="T21" s="24">
        <v>0</v>
      </c>
      <c r="U21" s="25" t="s">
        <v>24</v>
      </c>
      <c r="V21" s="91">
        <v>700</v>
      </c>
      <c r="W21" s="92">
        <v>1</v>
      </c>
      <c r="X21" s="55">
        <v>500</v>
      </c>
      <c r="Y21" s="93">
        <v>500</v>
      </c>
      <c r="Z21" s="56">
        <v>300</v>
      </c>
      <c r="AA21" s="94"/>
      <c r="AB21" s="32">
        <v>10</v>
      </c>
    </row>
    <row r="22" spans="1:28" x14ac:dyDescent="0.25">
      <c r="A22" s="13">
        <f t="shared" ref="A22:A31" si="10">IF(NOT(B22=B21),IF(NOT(A21=0),A21+1,A20+1),)</f>
        <v>23</v>
      </c>
      <c r="B22" s="131" t="s">
        <v>34</v>
      </c>
      <c r="C22" s="90">
        <v>292</v>
      </c>
      <c r="D22" s="16" t="s">
        <v>1</v>
      </c>
      <c r="E22" s="17">
        <v>28</v>
      </c>
      <c r="F22" s="18">
        <v>48</v>
      </c>
      <c r="G22" s="19">
        <v>36</v>
      </c>
      <c r="H22" s="19">
        <f>30+2.8</f>
        <v>32.799999999999997</v>
      </c>
      <c r="I22" s="19">
        <f>24.35+4.4</f>
        <v>28.75</v>
      </c>
      <c r="J22" s="20">
        <f t="shared" si="5"/>
        <v>173.55</v>
      </c>
      <c r="K22" s="21"/>
      <c r="L22" s="58">
        <v>24</v>
      </c>
      <c r="M22" s="58">
        <v>48</v>
      </c>
      <c r="N22" s="58">
        <v>44</v>
      </c>
      <c r="O22" s="58">
        <v>28.2</v>
      </c>
      <c r="P22" s="58"/>
      <c r="Q22" s="58"/>
      <c r="R22" s="20">
        <f t="shared" ref="R22:R43" si="11">SUM(L22:Q22)</f>
        <v>144.19999999999999</v>
      </c>
      <c r="S22" s="21"/>
      <c r="T22" s="24">
        <f t="shared" ref="T22:T43" si="12">J22+R22</f>
        <v>317.75</v>
      </c>
      <c r="U22" s="25" t="s">
        <v>24</v>
      </c>
      <c r="V22" s="91">
        <v>700</v>
      </c>
      <c r="W22" s="92">
        <v>1</v>
      </c>
      <c r="X22" s="55">
        <v>500</v>
      </c>
      <c r="Y22" s="93">
        <f t="shared" ref="Y22:Y43" si="13">W22*X22</f>
        <v>500</v>
      </c>
      <c r="Z22" s="56">
        <f t="shared" ref="Z22:Z43" si="14">Y22-T22</f>
        <v>182.25</v>
      </c>
      <c r="AA22" s="94"/>
      <c r="AB22" s="32"/>
    </row>
    <row r="23" spans="1:28" x14ac:dyDescent="0.25">
      <c r="A23" s="13">
        <f t="shared" si="10"/>
        <v>24</v>
      </c>
      <c r="B23" s="137" t="s">
        <v>35</v>
      </c>
      <c r="C23" s="138" t="s">
        <v>21</v>
      </c>
      <c r="D23" s="76" t="s">
        <v>1</v>
      </c>
      <c r="E23" s="77"/>
      <c r="F23" s="18"/>
      <c r="G23" s="19"/>
      <c r="H23" s="19"/>
      <c r="I23" s="19"/>
      <c r="J23" s="78">
        <f t="shared" si="5"/>
        <v>0</v>
      </c>
      <c r="K23" s="79"/>
      <c r="L23" s="139"/>
      <c r="M23" s="139"/>
      <c r="N23" s="139"/>
      <c r="O23" s="139"/>
      <c r="P23" s="139"/>
      <c r="Q23" s="139"/>
      <c r="R23" s="78">
        <f t="shared" si="11"/>
        <v>0</v>
      </c>
      <c r="S23" s="79"/>
      <c r="T23" s="80">
        <f t="shared" si="12"/>
        <v>0</v>
      </c>
      <c r="U23" s="81" t="s">
        <v>36</v>
      </c>
      <c r="V23" s="82"/>
      <c r="W23" s="83"/>
      <c r="X23" s="84"/>
      <c r="Y23" s="85">
        <f t="shared" si="13"/>
        <v>0</v>
      </c>
      <c r="Z23" s="86">
        <f t="shared" si="14"/>
        <v>0</v>
      </c>
      <c r="AA23" s="87"/>
      <c r="AB23" s="88"/>
    </row>
    <row r="24" spans="1:28" x14ac:dyDescent="0.25">
      <c r="A24" s="13">
        <f t="shared" si="10"/>
        <v>25</v>
      </c>
      <c r="B24" s="89" t="s">
        <v>37</v>
      </c>
      <c r="C24" s="90">
        <v>313</v>
      </c>
      <c r="D24" s="16" t="s">
        <v>1</v>
      </c>
      <c r="E24" s="17">
        <v>20</v>
      </c>
      <c r="F24" s="18">
        <f>8+17.5</f>
        <v>25.5</v>
      </c>
      <c r="G24" s="19">
        <f>14+8.6</f>
        <v>22.6</v>
      </c>
      <c r="H24" s="19">
        <f>24.85+18.6</f>
        <v>43.45</v>
      </c>
      <c r="I24" s="19">
        <f>7+29.2</f>
        <v>36.200000000000003</v>
      </c>
      <c r="J24" s="20">
        <f t="shared" si="5"/>
        <v>147.75</v>
      </c>
      <c r="K24" s="21"/>
      <c r="L24" s="58">
        <f>36+15.5</f>
        <v>51.5</v>
      </c>
      <c r="M24" s="58">
        <f>73.6+4+15.2</f>
        <v>92.8</v>
      </c>
      <c r="N24" s="58">
        <v>51.15</v>
      </c>
      <c r="O24" s="58">
        <v>69.2</v>
      </c>
      <c r="P24" s="58"/>
      <c r="Q24" s="58"/>
      <c r="R24" s="20">
        <f t="shared" si="11"/>
        <v>264.65000000000003</v>
      </c>
      <c r="S24" s="21"/>
      <c r="T24" s="24">
        <f t="shared" si="12"/>
        <v>412.40000000000003</v>
      </c>
      <c r="U24" s="25" t="s">
        <v>38</v>
      </c>
      <c r="V24" s="91">
        <v>300</v>
      </c>
      <c r="W24" s="92">
        <v>1</v>
      </c>
      <c r="X24" s="55">
        <v>300</v>
      </c>
      <c r="Y24" s="93">
        <f t="shared" si="13"/>
        <v>300</v>
      </c>
      <c r="Z24" s="56">
        <f t="shared" si="14"/>
        <v>-112.40000000000003</v>
      </c>
      <c r="AA24" s="94"/>
      <c r="AB24" s="32">
        <v>14</v>
      </c>
    </row>
    <row r="25" spans="1:28" x14ac:dyDescent="0.25">
      <c r="A25" s="13">
        <f t="shared" si="10"/>
        <v>26</v>
      </c>
      <c r="B25" s="137" t="s">
        <v>39</v>
      </c>
      <c r="C25" s="138" t="s">
        <v>21</v>
      </c>
      <c r="D25" s="76" t="s">
        <v>1</v>
      </c>
      <c r="E25" s="77"/>
      <c r="F25" s="18"/>
      <c r="G25" s="19"/>
      <c r="H25" s="19"/>
      <c r="I25" s="19"/>
      <c r="J25" s="78">
        <f t="shared" si="5"/>
        <v>0</v>
      </c>
      <c r="K25" s="79"/>
      <c r="L25" s="77"/>
      <c r="M25" s="77"/>
      <c r="N25" s="77"/>
      <c r="O25" s="77"/>
      <c r="P25" s="77"/>
      <c r="Q25" s="77"/>
      <c r="R25" s="78">
        <f t="shared" si="11"/>
        <v>0</v>
      </c>
      <c r="S25" s="79"/>
      <c r="T25" s="80">
        <f t="shared" si="12"/>
        <v>0</v>
      </c>
      <c r="U25" s="81" t="s">
        <v>40</v>
      </c>
      <c r="V25" s="82"/>
      <c r="W25" s="83"/>
      <c r="X25" s="84"/>
      <c r="Y25" s="85">
        <f t="shared" si="13"/>
        <v>0</v>
      </c>
      <c r="Z25" s="86">
        <f t="shared" si="14"/>
        <v>0</v>
      </c>
      <c r="AA25" s="140"/>
      <c r="AB25" s="88"/>
    </row>
    <row r="26" spans="1:28" x14ac:dyDescent="0.25">
      <c r="A26" s="13">
        <f t="shared" si="10"/>
        <v>27</v>
      </c>
      <c r="B26" s="74" t="s">
        <v>41</v>
      </c>
      <c r="C26" s="138" t="s">
        <v>21</v>
      </c>
      <c r="D26" s="76" t="s">
        <v>1</v>
      </c>
      <c r="E26" s="77"/>
      <c r="F26" s="18"/>
      <c r="G26" s="19"/>
      <c r="H26" s="19"/>
      <c r="I26" s="19"/>
      <c r="J26" s="78">
        <f t="shared" si="5"/>
        <v>0</v>
      </c>
      <c r="K26" s="79"/>
      <c r="L26" s="77"/>
      <c r="M26" s="77"/>
      <c r="N26" s="77"/>
      <c r="O26" s="77"/>
      <c r="P26" s="77"/>
      <c r="Q26" s="77"/>
      <c r="R26" s="78">
        <f t="shared" si="11"/>
        <v>0</v>
      </c>
      <c r="S26" s="79"/>
      <c r="T26" s="80">
        <f t="shared" si="12"/>
        <v>0</v>
      </c>
      <c r="U26" s="81" t="s">
        <v>42</v>
      </c>
      <c r="V26" s="82"/>
      <c r="W26" s="83"/>
      <c r="X26" s="84"/>
      <c r="Y26" s="85">
        <f t="shared" si="13"/>
        <v>0</v>
      </c>
      <c r="Z26" s="86">
        <f t="shared" si="14"/>
        <v>0</v>
      </c>
      <c r="AA26" s="87"/>
      <c r="AB26" s="88"/>
    </row>
    <row r="27" spans="1:28" x14ac:dyDescent="0.25">
      <c r="A27" s="13">
        <f t="shared" si="10"/>
        <v>28</v>
      </c>
      <c r="B27" s="141" t="s">
        <v>43</v>
      </c>
      <c r="C27" s="90">
        <v>44</v>
      </c>
      <c r="D27" s="16" t="s">
        <v>1</v>
      </c>
      <c r="E27" s="17"/>
      <c r="F27" s="18"/>
      <c r="G27" s="27"/>
      <c r="H27" s="27"/>
      <c r="I27" s="27"/>
      <c r="J27" s="20">
        <f t="shared" si="5"/>
        <v>0</v>
      </c>
      <c r="K27" s="21"/>
      <c r="L27" s="17">
        <f>7.5+1.5</f>
        <v>9</v>
      </c>
      <c r="M27" s="17"/>
      <c r="N27" s="17">
        <v>8.5</v>
      </c>
      <c r="O27" s="17"/>
      <c r="P27" s="17"/>
      <c r="Q27" s="17"/>
      <c r="R27" s="20">
        <f t="shared" si="11"/>
        <v>17.5</v>
      </c>
      <c r="S27" s="21"/>
      <c r="T27" s="24">
        <f t="shared" si="12"/>
        <v>17.5</v>
      </c>
      <c r="U27" s="25" t="s">
        <v>24</v>
      </c>
      <c r="V27" s="91">
        <v>300</v>
      </c>
      <c r="W27" s="92">
        <v>1</v>
      </c>
      <c r="X27" s="55">
        <v>500</v>
      </c>
      <c r="Y27" s="93">
        <f t="shared" si="13"/>
        <v>500</v>
      </c>
      <c r="Z27" s="56">
        <f t="shared" si="14"/>
        <v>482.5</v>
      </c>
      <c r="AA27" s="94"/>
      <c r="AB27" s="32">
        <v>12</v>
      </c>
    </row>
    <row r="28" spans="1:28" x14ac:dyDescent="0.25">
      <c r="A28" s="13">
        <f t="shared" si="10"/>
        <v>29</v>
      </c>
      <c r="B28" s="137" t="s">
        <v>44</v>
      </c>
      <c r="C28" s="138" t="s">
        <v>21</v>
      </c>
      <c r="D28" s="76" t="s">
        <v>1</v>
      </c>
      <c r="E28" s="77"/>
      <c r="F28" s="18"/>
      <c r="G28" s="19"/>
      <c r="H28" s="19"/>
      <c r="I28" s="19"/>
      <c r="J28" s="78">
        <f t="shared" si="5"/>
        <v>0</v>
      </c>
      <c r="K28" s="79"/>
      <c r="L28" s="77"/>
      <c r="M28" s="77"/>
      <c r="N28" s="77"/>
      <c r="O28" s="77"/>
      <c r="P28" s="77"/>
      <c r="Q28" s="77"/>
      <c r="R28" s="78">
        <f t="shared" si="11"/>
        <v>0</v>
      </c>
      <c r="S28" s="79"/>
      <c r="T28" s="80">
        <f t="shared" si="12"/>
        <v>0</v>
      </c>
      <c r="U28" s="81" t="s">
        <v>45</v>
      </c>
      <c r="V28" s="82"/>
      <c r="W28" s="83"/>
      <c r="X28" s="84"/>
      <c r="Y28" s="85">
        <f t="shared" si="13"/>
        <v>0</v>
      </c>
      <c r="Z28" s="86">
        <f t="shared" si="14"/>
        <v>0</v>
      </c>
      <c r="AA28" s="87"/>
      <c r="AB28" s="88"/>
    </row>
    <row r="29" spans="1:28" x14ac:dyDescent="0.25">
      <c r="A29" s="13">
        <f t="shared" si="10"/>
        <v>30</v>
      </c>
      <c r="B29" s="137" t="s">
        <v>46</v>
      </c>
      <c r="C29" s="138" t="s">
        <v>21</v>
      </c>
      <c r="D29" s="76" t="s">
        <v>1</v>
      </c>
      <c r="E29" s="77"/>
      <c r="F29" s="18"/>
      <c r="G29" s="19"/>
      <c r="H29" s="19"/>
      <c r="I29" s="19"/>
      <c r="J29" s="78">
        <f t="shared" si="5"/>
        <v>0</v>
      </c>
      <c r="K29" s="79"/>
      <c r="L29" s="142"/>
      <c r="M29" s="142"/>
      <c r="N29" s="142"/>
      <c r="O29" s="142"/>
      <c r="P29" s="142"/>
      <c r="Q29" s="142"/>
      <c r="R29" s="78">
        <f t="shared" si="11"/>
        <v>0</v>
      </c>
      <c r="S29" s="79"/>
      <c r="T29" s="80">
        <f t="shared" si="12"/>
        <v>0</v>
      </c>
      <c r="U29" s="81" t="s">
        <v>47</v>
      </c>
      <c r="V29" s="82"/>
      <c r="W29" s="83"/>
      <c r="X29" s="84"/>
      <c r="Y29" s="85">
        <f t="shared" si="13"/>
        <v>0</v>
      </c>
      <c r="Z29" s="86">
        <f t="shared" si="14"/>
        <v>0</v>
      </c>
      <c r="AA29" s="87"/>
      <c r="AB29" s="88"/>
    </row>
    <row r="30" spans="1:28" x14ac:dyDescent="0.25">
      <c r="A30" s="13">
        <f t="shared" si="10"/>
        <v>31</v>
      </c>
      <c r="B30" s="137" t="s">
        <v>48</v>
      </c>
      <c r="C30" s="138" t="s">
        <v>21</v>
      </c>
      <c r="D30" s="76" t="s">
        <v>1</v>
      </c>
      <c r="E30" s="77"/>
      <c r="F30" s="18"/>
      <c r="G30" s="19"/>
      <c r="H30" s="19"/>
      <c r="I30" s="19"/>
      <c r="J30" s="78">
        <f t="shared" si="5"/>
        <v>0</v>
      </c>
      <c r="K30" s="79"/>
      <c r="L30" s="139"/>
      <c r="M30" s="139"/>
      <c r="N30" s="139"/>
      <c r="O30" s="139"/>
      <c r="P30" s="139"/>
      <c r="Q30" s="139"/>
      <c r="R30" s="78">
        <f t="shared" si="11"/>
        <v>0</v>
      </c>
      <c r="S30" s="79"/>
      <c r="T30" s="80">
        <f t="shared" si="12"/>
        <v>0</v>
      </c>
      <c r="U30" s="81" t="s">
        <v>49</v>
      </c>
      <c r="V30" s="82"/>
      <c r="W30" s="83"/>
      <c r="X30" s="84"/>
      <c r="Y30" s="85">
        <f t="shared" si="13"/>
        <v>0</v>
      </c>
      <c r="Z30" s="86">
        <f t="shared" si="14"/>
        <v>0</v>
      </c>
      <c r="AA30" s="87"/>
      <c r="AB30" s="88"/>
    </row>
    <row r="31" spans="1:28" x14ac:dyDescent="0.25">
      <c r="A31" s="13">
        <f t="shared" si="10"/>
        <v>32</v>
      </c>
      <c r="B31" s="131" t="s">
        <v>50</v>
      </c>
      <c r="C31" s="90">
        <v>322</v>
      </c>
      <c r="D31" s="16" t="s">
        <v>1</v>
      </c>
      <c r="E31" s="17">
        <v>12</v>
      </c>
      <c r="F31" s="18">
        <v>20</v>
      </c>
      <c r="G31" s="19">
        <v>16</v>
      </c>
      <c r="H31" s="19">
        <v>12</v>
      </c>
      <c r="I31" s="19"/>
      <c r="J31" s="20">
        <f t="shared" si="5"/>
        <v>60</v>
      </c>
      <c r="K31" s="21"/>
      <c r="L31" s="58">
        <v>8</v>
      </c>
      <c r="M31" s="58">
        <v>14</v>
      </c>
      <c r="N31" s="58">
        <v>8</v>
      </c>
      <c r="O31" s="143"/>
      <c r="P31" s="58"/>
      <c r="Q31" s="58"/>
      <c r="R31" s="20">
        <f t="shared" si="11"/>
        <v>30</v>
      </c>
      <c r="S31" s="21"/>
      <c r="T31" s="24">
        <f t="shared" si="12"/>
        <v>90</v>
      </c>
      <c r="U31" s="25" t="s">
        <v>24</v>
      </c>
      <c r="V31" s="91">
        <v>700</v>
      </c>
      <c r="W31" s="92">
        <v>1</v>
      </c>
      <c r="X31" s="55">
        <v>500</v>
      </c>
      <c r="Y31" s="93">
        <f t="shared" si="13"/>
        <v>500</v>
      </c>
      <c r="Z31" s="56">
        <f t="shared" si="14"/>
        <v>410</v>
      </c>
      <c r="AA31" s="94"/>
      <c r="AB31" s="32">
        <v>14</v>
      </c>
    </row>
    <row r="32" spans="1:28" x14ac:dyDescent="0.25">
      <c r="A32" s="13">
        <f>IF(NOT(B32=B30),IF(NOT(A30=0),A30+1,A29+1),)</f>
        <v>32</v>
      </c>
      <c r="B32" s="141" t="s">
        <v>51</v>
      </c>
      <c r="C32" s="90">
        <v>351</v>
      </c>
      <c r="D32" s="16" t="s">
        <v>1</v>
      </c>
      <c r="E32" s="17">
        <v>23</v>
      </c>
      <c r="F32" s="18"/>
      <c r="G32" s="19"/>
      <c r="H32" s="19"/>
      <c r="I32" s="19"/>
      <c r="J32" s="20">
        <f t="shared" si="5"/>
        <v>23</v>
      </c>
      <c r="K32" s="21"/>
      <c r="L32" s="17">
        <v>28</v>
      </c>
      <c r="M32" s="17"/>
      <c r="N32" s="144">
        <v>54.5</v>
      </c>
      <c r="O32" s="144"/>
      <c r="P32" s="144"/>
      <c r="Q32" s="17"/>
      <c r="R32" s="20">
        <f t="shared" si="11"/>
        <v>82.5</v>
      </c>
      <c r="S32" s="21"/>
      <c r="T32" s="24">
        <f t="shared" si="12"/>
        <v>105.5</v>
      </c>
      <c r="U32" s="25" t="s">
        <v>52</v>
      </c>
      <c r="V32" s="91">
        <v>350</v>
      </c>
      <c r="W32" s="92">
        <v>1</v>
      </c>
      <c r="X32" s="55">
        <v>500</v>
      </c>
      <c r="Y32" s="93">
        <f t="shared" si="13"/>
        <v>500</v>
      </c>
      <c r="Z32" s="56">
        <f t="shared" si="14"/>
        <v>394.5</v>
      </c>
      <c r="AA32" s="94"/>
      <c r="AB32" s="32">
        <v>16</v>
      </c>
    </row>
    <row r="33" spans="1:28" x14ac:dyDescent="0.25">
      <c r="A33" s="13">
        <f>IF(NOT(B33=B31),IF(NOT(A31=0),A31+1,A30+1),)</f>
        <v>33</v>
      </c>
      <c r="B33" s="141" t="s">
        <v>53</v>
      </c>
      <c r="C33" s="90">
        <v>472</v>
      </c>
      <c r="D33" s="16" t="s">
        <v>1</v>
      </c>
      <c r="E33" s="17">
        <v>5.5</v>
      </c>
      <c r="F33" s="18">
        <v>3.5</v>
      </c>
      <c r="G33" s="19"/>
      <c r="H33" s="19"/>
      <c r="I33" s="19"/>
      <c r="J33" s="20">
        <f t="shared" si="5"/>
        <v>9</v>
      </c>
      <c r="K33" s="21"/>
      <c r="L33" s="17">
        <f>7.5+3.5</f>
        <v>11</v>
      </c>
      <c r="M33" s="17"/>
      <c r="N33" s="17">
        <v>0.5</v>
      </c>
      <c r="O33" s="17"/>
      <c r="P33" s="17"/>
      <c r="Q33" s="17"/>
      <c r="R33" s="20">
        <f t="shared" si="11"/>
        <v>11.5</v>
      </c>
      <c r="S33" s="21"/>
      <c r="T33" s="24">
        <f t="shared" si="12"/>
        <v>20.5</v>
      </c>
      <c r="U33" s="25" t="s">
        <v>54</v>
      </c>
      <c r="V33" s="91">
        <v>500</v>
      </c>
      <c r="W33" s="92">
        <v>1</v>
      </c>
      <c r="X33" s="55">
        <v>500</v>
      </c>
      <c r="Y33" s="93">
        <f t="shared" si="13"/>
        <v>500</v>
      </c>
      <c r="Z33" s="56">
        <f t="shared" si="14"/>
        <v>479.5</v>
      </c>
      <c r="AA33" s="94"/>
      <c r="AB33" s="32">
        <v>16</v>
      </c>
    </row>
    <row r="34" spans="1:28" x14ac:dyDescent="0.25">
      <c r="A34" s="13">
        <f>IF(NOT(B34=B33),IF(NOT(A33=0),A33+1,A31+1),)</f>
        <v>34</v>
      </c>
      <c r="B34" s="131" t="s">
        <v>55</v>
      </c>
      <c r="C34" s="90">
        <v>314</v>
      </c>
      <c r="D34" s="16" t="s">
        <v>1</v>
      </c>
      <c r="E34" s="17"/>
      <c r="F34" s="18">
        <f>20+2</f>
        <v>22</v>
      </c>
      <c r="G34" s="19">
        <f>12+2</f>
        <v>14</v>
      </c>
      <c r="H34" s="19"/>
      <c r="I34" s="19"/>
      <c r="J34" s="20">
        <f t="shared" si="5"/>
        <v>36</v>
      </c>
      <c r="K34" s="21"/>
      <c r="L34" s="58">
        <v>22.35</v>
      </c>
      <c r="M34" s="58">
        <v>6</v>
      </c>
      <c r="N34" s="58">
        <v>16</v>
      </c>
      <c r="O34" s="58">
        <v>8</v>
      </c>
      <c r="P34" s="58"/>
      <c r="Q34" s="58"/>
      <c r="R34" s="20">
        <f t="shared" si="11"/>
        <v>52.35</v>
      </c>
      <c r="S34" s="21"/>
      <c r="T34" s="24">
        <f t="shared" si="12"/>
        <v>88.35</v>
      </c>
      <c r="U34" s="25" t="s">
        <v>24</v>
      </c>
      <c r="V34" s="91">
        <v>700</v>
      </c>
      <c r="W34" s="92">
        <v>1</v>
      </c>
      <c r="X34" s="55">
        <v>500</v>
      </c>
      <c r="Y34" s="93">
        <f t="shared" si="13"/>
        <v>500</v>
      </c>
      <c r="Z34" s="56">
        <f t="shared" si="14"/>
        <v>411.65</v>
      </c>
      <c r="AA34" s="94"/>
      <c r="AB34" s="32">
        <v>16</v>
      </c>
    </row>
    <row r="35" spans="1:28" x14ac:dyDescent="0.25">
      <c r="A35" s="13">
        <f t="shared" ref="A35:A43" si="15">IF(NOT(B35=B34),IF(NOT(A34=0),A34+1,A33+1),)</f>
        <v>35</v>
      </c>
      <c r="B35" s="131" t="s">
        <v>56</v>
      </c>
      <c r="C35" s="90">
        <v>286</v>
      </c>
      <c r="D35" s="16" t="s">
        <v>1</v>
      </c>
      <c r="E35" s="17">
        <v>44</v>
      </c>
      <c r="F35" s="18">
        <v>82</v>
      </c>
      <c r="G35" s="19">
        <v>72</v>
      </c>
      <c r="H35" s="19">
        <f>70+1</f>
        <v>71</v>
      </c>
      <c r="I35" s="19">
        <v>33.9</v>
      </c>
      <c r="J35" s="20">
        <f t="shared" si="5"/>
        <v>302.89999999999998</v>
      </c>
      <c r="K35" s="21"/>
      <c r="L35" s="58">
        <v>56.6</v>
      </c>
      <c r="M35" s="58">
        <f>92+1</f>
        <v>93</v>
      </c>
      <c r="N35" s="58">
        <v>83.3</v>
      </c>
      <c r="O35" s="58">
        <v>56</v>
      </c>
      <c r="P35" s="58"/>
      <c r="Q35" s="58"/>
      <c r="R35" s="20">
        <f t="shared" si="11"/>
        <v>288.89999999999998</v>
      </c>
      <c r="S35" s="21"/>
      <c r="T35" s="24">
        <f t="shared" si="12"/>
        <v>591.79999999999995</v>
      </c>
      <c r="U35" s="25" t="s">
        <v>24</v>
      </c>
      <c r="V35" s="91">
        <v>700</v>
      </c>
      <c r="W35" s="92">
        <v>1</v>
      </c>
      <c r="X35" s="55">
        <v>500</v>
      </c>
      <c r="Y35" s="93">
        <f t="shared" si="13"/>
        <v>500</v>
      </c>
      <c r="Z35" s="56">
        <f t="shared" si="14"/>
        <v>-91.799999999999955</v>
      </c>
      <c r="AA35" s="94"/>
      <c r="AB35" s="32">
        <v>12</v>
      </c>
    </row>
    <row r="36" spans="1:28" x14ac:dyDescent="0.25">
      <c r="A36" s="13">
        <f t="shared" si="15"/>
        <v>36</v>
      </c>
      <c r="B36" s="131" t="s">
        <v>57</v>
      </c>
      <c r="C36" s="90">
        <v>293</v>
      </c>
      <c r="D36" s="16" t="s">
        <v>1</v>
      </c>
      <c r="E36" s="119">
        <v>8</v>
      </c>
      <c r="F36" s="18">
        <f>36+1</f>
        <v>37</v>
      </c>
      <c r="G36" s="19">
        <f>32+1</f>
        <v>33</v>
      </c>
      <c r="H36" s="19">
        <f>8+1</f>
        <v>9</v>
      </c>
      <c r="I36" s="19">
        <v>11.55</v>
      </c>
      <c r="J36" s="20">
        <f t="shared" si="5"/>
        <v>98.55</v>
      </c>
      <c r="K36" s="121"/>
      <c r="L36" s="58">
        <v>20.9</v>
      </c>
      <c r="M36" s="58">
        <v>50</v>
      </c>
      <c r="N36" s="58">
        <v>25.3</v>
      </c>
      <c r="O36" s="58"/>
      <c r="P36" s="58"/>
      <c r="Q36" s="58"/>
      <c r="R36" s="120">
        <f t="shared" si="11"/>
        <v>96.2</v>
      </c>
      <c r="S36" s="121"/>
      <c r="T36" s="123">
        <f t="shared" si="12"/>
        <v>194.75</v>
      </c>
      <c r="U36" s="124" t="s">
        <v>58</v>
      </c>
      <c r="V36" s="91">
        <v>700</v>
      </c>
      <c r="W36" s="126">
        <v>1</v>
      </c>
      <c r="X36" s="28">
        <v>500</v>
      </c>
      <c r="Y36" s="127">
        <f t="shared" si="13"/>
        <v>500</v>
      </c>
      <c r="Z36" s="128">
        <f t="shared" si="14"/>
        <v>305.25</v>
      </c>
      <c r="AA36" s="129"/>
      <c r="AB36" s="32">
        <v>10</v>
      </c>
    </row>
    <row r="37" spans="1:28" x14ac:dyDescent="0.25">
      <c r="A37" s="13">
        <f t="shared" si="15"/>
        <v>37</v>
      </c>
      <c r="B37" s="141" t="s">
        <v>59</v>
      </c>
      <c r="C37" s="90">
        <v>287</v>
      </c>
      <c r="D37" s="16" t="s">
        <v>1</v>
      </c>
      <c r="E37" s="17">
        <v>14</v>
      </c>
      <c r="F37" s="18">
        <v>84</v>
      </c>
      <c r="G37" s="19">
        <v>72</v>
      </c>
      <c r="H37" s="19">
        <f>66+4</f>
        <v>70</v>
      </c>
      <c r="I37" s="19">
        <v>9.9</v>
      </c>
      <c r="J37" s="20">
        <f t="shared" si="5"/>
        <v>249.9</v>
      </c>
      <c r="K37" s="21"/>
      <c r="L37" s="58"/>
      <c r="M37" s="58"/>
      <c r="N37" s="143"/>
      <c r="O37" s="143"/>
      <c r="P37" s="58"/>
      <c r="Q37" s="58"/>
      <c r="R37" s="20">
        <f t="shared" si="11"/>
        <v>0</v>
      </c>
      <c r="S37" s="21"/>
      <c r="T37" s="24">
        <f t="shared" si="12"/>
        <v>249.9</v>
      </c>
      <c r="U37" s="25" t="s">
        <v>24</v>
      </c>
      <c r="V37" s="91">
        <v>700</v>
      </c>
      <c r="W37" s="92">
        <v>1</v>
      </c>
      <c r="X37" s="55">
        <v>500</v>
      </c>
      <c r="Y37" s="93">
        <f t="shared" si="13"/>
        <v>500</v>
      </c>
      <c r="Z37" s="56">
        <f t="shared" si="14"/>
        <v>250.1</v>
      </c>
      <c r="AA37" s="94"/>
      <c r="AB37" s="32">
        <v>12</v>
      </c>
    </row>
    <row r="38" spans="1:28" x14ac:dyDescent="0.25">
      <c r="A38" s="13">
        <f t="shared" si="15"/>
        <v>38</v>
      </c>
      <c r="B38" s="131" t="s">
        <v>60</v>
      </c>
      <c r="C38" s="90">
        <v>285</v>
      </c>
      <c r="D38" s="16" t="s">
        <v>1</v>
      </c>
      <c r="E38" s="17">
        <f>8+8</f>
        <v>16</v>
      </c>
      <c r="F38" s="18">
        <f>20+12+1</f>
        <v>33</v>
      </c>
      <c r="G38" s="19">
        <f>24+1+27</f>
        <v>52</v>
      </c>
      <c r="H38" s="19">
        <f>12+1+4</f>
        <v>17</v>
      </c>
      <c r="I38" s="19">
        <f>22.6+1+8.2</f>
        <v>31.8</v>
      </c>
      <c r="J38" s="20">
        <f t="shared" si="5"/>
        <v>149.80000000000001</v>
      </c>
      <c r="K38" s="21"/>
      <c r="L38" s="58">
        <v>19.45</v>
      </c>
      <c r="M38" s="18">
        <f>30+16+1</f>
        <v>47</v>
      </c>
      <c r="N38" s="145"/>
      <c r="O38" s="145"/>
      <c r="P38" s="18"/>
      <c r="Q38" s="18"/>
      <c r="R38" s="20">
        <f t="shared" si="11"/>
        <v>66.45</v>
      </c>
      <c r="S38" s="21"/>
      <c r="T38" s="24">
        <f t="shared" si="12"/>
        <v>216.25</v>
      </c>
      <c r="U38" s="25" t="s">
        <v>36</v>
      </c>
      <c r="V38" s="91">
        <v>700</v>
      </c>
      <c r="W38" s="92">
        <v>1</v>
      </c>
      <c r="X38" s="55">
        <v>500</v>
      </c>
      <c r="Y38" s="93">
        <f t="shared" si="13"/>
        <v>500</v>
      </c>
      <c r="Z38" s="56">
        <f t="shared" si="14"/>
        <v>283.75</v>
      </c>
      <c r="AA38" s="94"/>
      <c r="AB38" s="32">
        <v>12</v>
      </c>
    </row>
    <row r="39" spans="1:28" x14ac:dyDescent="0.25">
      <c r="A39" s="13">
        <f t="shared" si="15"/>
        <v>39</v>
      </c>
      <c r="B39" s="141" t="s">
        <v>61</v>
      </c>
      <c r="C39" s="90">
        <v>299</v>
      </c>
      <c r="D39" s="16" t="s">
        <v>1</v>
      </c>
      <c r="E39" s="17">
        <v>8</v>
      </c>
      <c r="F39" s="18">
        <v>20</v>
      </c>
      <c r="G39" s="19">
        <v>16</v>
      </c>
      <c r="H39" s="19">
        <v>12</v>
      </c>
      <c r="I39" s="19">
        <v>4</v>
      </c>
      <c r="J39" s="20">
        <f t="shared" si="5"/>
        <v>60</v>
      </c>
      <c r="K39" s="21"/>
      <c r="L39" s="17"/>
      <c r="M39" s="17"/>
      <c r="N39" s="17"/>
      <c r="O39" s="146"/>
      <c r="P39" s="17"/>
      <c r="Q39" s="17"/>
      <c r="R39" s="20">
        <f t="shared" si="11"/>
        <v>0</v>
      </c>
      <c r="S39" s="21"/>
      <c r="T39" s="24">
        <f t="shared" si="12"/>
        <v>60</v>
      </c>
      <c r="U39" s="25" t="s">
        <v>62</v>
      </c>
      <c r="V39" s="91">
        <v>1000</v>
      </c>
      <c r="W39" s="92">
        <v>1</v>
      </c>
      <c r="X39" s="55">
        <v>500</v>
      </c>
      <c r="Y39" s="93">
        <f t="shared" si="13"/>
        <v>500</v>
      </c>
      <c r="Z39" s="56">
        <f t="shared" si="14"/>
        <v>440</v>
      </c>
      <c r="AA39" s="94"/>
      <c r="AB39" s="32">
        <v>10</v>
      </c>
    </row>
    <row r="40" spans="1:28" x14ac:dyDescent="0.25">
      <c r="A40" s="13">
        <f t="shared" si="15"/>
        <v>40</v>
      </c>
      <c r="B40" s="89" t="s">
        <v>14</v>
      </c>
      <c r="C40" s="90">
        <v>288</v>
      </c>
      <c r="D40" s="16" t="s">
        <v>1</v>
      </c>
      <c r="E40" s="17">
        <v>68</v>
      </c>
      <c r="F40" s="18">
        <v>42</v>
      </c>
      <c r="G40" s="19"/>
      <c r="H40" s="19"/>
      <c r="I40" s="19"/>
      <c r="J40" s="20">
        <f t="shared" si="5"/>
        <v>110</v>
      </c>
      <c r="K40" s="21"/>
      <c r="L40" s="58"/>
      <c r="M40" s="58"/>
      <c r="N40" s="58"/>
      <c r="O40" s="58"/>
      <c r="P40" s="58"/>
      <c r="Q40" s="58"/>
      <c r="R40" s="20">
        <f t="shared" si="11"/>
        <v>0</v>
      </c>
      <c r="S40" s="21"/>
      <c r="T40" s="24">
        <f t="shared" si="12"/>
        <v>110</v>
      </c>
      <c r="U40" s="25" t="s">
        <v>24</v>
      </c>
      <c r="V40" s="91">
        <v>700</v>
      </c>
      <c r="W40" s="92">
        <v>1</v>
      </c>
      <c r="X40" s="55">
        <v>300</v>
      </c>
      <c r="Y40" s="93">
        <f t="shared" si="13"/>
        <v>300</v>
      </c>
      <c r="Z40" s="56">
        <f t="shared" si="14"/>
        <v>190</v>
      </c>
      <c r="AA40" s="94"/>
      <c r="AB40" s="32">
        <v>18</v>
      </c>
    </row>
    <row r="41" spans="1:28" x14ac:dyDescent="0.25">
      <c r="A41" s="13">
        <f t="shared" si="15"/>
        <v>41</v>
      </c>
      <c r="B41" s="89" t="s">
        <v>63</v>
      </c>
      <c r="C41" s="90">
        <v>471</v>
      </c>
      <c r="D41" s="16" t="s">
        <v>1</v>
      </c>
      <c r="E41" s="17"/>
      <c r="F41" s="147" t="s">
        <v>64</v>
      </c>
      <c r="G41" s="27">
        <v>4</v>
      </c>
      <c r="H41" s="148" t="s">
        <v>65</v>
      </c>
      <c r="I41" s="27">
        <v>2.8</v>
      </c>
      <c r="J41" s="20">
        <f t="shared" si="5"/>
        <v>6.8</v>
      </c>
      <c r="K41" s="21"/>
      <c r="L41" s="135">
        <f>7.5+6.1</f>
        <v>13.6</v>
      </c>
      <c r="M41" s="58"/>
      <c r="N41" s="58">
        <v>7.5</v>
      </c>
      <c r="O41" s="58">
        <v>4.8</v>
      </c>
      <c r="P41" s="58"/>
      <c r="Q41" s="58"/>
      <c r="R41" s="20">
        <f t="shared" si="11"/>
        <v>25.900000000000002</v>
      </c>
      <c r="S41" s="21"/>
      <c r="T41" s="24">
        <f t="shared" si="12"/>
        <v>32.700000000000003</v>
      </c>
      <c r="U41" s="25" t="s">
        <v>22</v>
      </c>
      <c r="V41" s="91">
        <v>400</v>
      </c>
      <c r="W41" s="92">
        <v>1</v>
      </c>
      <c r="X41" s="55">
        <v>300</v>
      </c>
      <c r="Y41" s="93">
        <f t="shared" si="13"/>
        <v>300</v>
      </c>
      <c r="Z41" s="56">
        <f t="shared" si="14"/>
        <v>267.3</v>
      </c>
      <c r="AA41" s="94"/>
      <c r="AB41" s="32">
        <v>14</v>
      </c>
    </row>
    <row r="42" spans="1:28" x14ac:dyDescent="0.25">
      <c r="A42" s="13">
        <f t="shared" si="15"/>
        <v>42</v>
      </c>
      <c r="B42" s="89" t="s">
        <v>66</v>
      </c>
      <c r="C42" s="90" t="s">
        <v>67</v>
      </c>
      <c r="D42" s="16" t="s">
        <v>1</v>
      </c>
      <c r="E42" s="17"/>
      <c r="F42" s="18"/>
      <c r="G42" s="27"/>
      <c r="H42" s="27"/>
      <c r="I42" s="27"/>
      <c r="J42" s="20">
        <f t="shared" si="5"/>
        <v>0</v>
      </c>
      <c r="K42" s="21"/>
      <c r="L42" s="17"/>
      <c r="M42" s="17"/>
      <c r="N42" s="17"/>
      <c r="O42" s="17"/>
      <c r="P42" s="17"/>
      <c r="Q42" s="149"/>
      <c r="R42" s="20">
        <f t="shared" si="11"/>
        <v>0</v>
      </c>
      <c r="S42" s="21"/>
      <c r="T42" s="24">
        <f t="shared" si="12"/>
        <v>0</v>
      </c>
      <c r="U42" s="25" t="s">
        <v>47</v>
      </c>
      <c r="V42" s="91"/>
      <c r="W42" s="92">
        <v>1</v>
      </c>
      <c r="X42" s="55">
        <v>500</v>
      </c>
      <c r="Y42" s="93">
        <f t="shared" si="13"/>
        <v>500</v>
      </c>
      <c r="Z42" s="56">
        <f t="shared" si="14"/>
        <v>500</v>
      </c>
      <c r="AA42" s="94" t="s">
        <v>68</v>
      </c>
      <c r="AB42" s="32"/>
    </row>
    <row r="43" spans="1:28" x14ac:dyDescent="0.25">
      <c r="A43" s="13">
        <f t="shared" si="15"/>
        <v>43</v>
      </c>
      <c r="B43" s="137" t="s">
        <v>69</v>
      </c>
      <c r="C43" s="138" t="s">
        <v>21</v>
      </c>
      <c r="D43" s="76" t="s">
        <v>1</v>
      </c>
      <c r="E43" s="77"/>
      <c r="F43" s="18"/>
      <c r="G43" s="19"/>
      <c r="H43" s="19"/>
      <c r="I43" s="19"/>
      <c r="J43" s="78">
        <f t="shared" si="5"/>
        <v>0</v>
      </c>
      <c r="K43" s="79"/>
      <c r="L43" s="77"/>
      <c r="M43" s="77"/>
      <c r="N43" s="77"/>
      <c r="O43" s="77"/>
      <c r="P43" s="77"/>
      <c r="Q43" s="77"/>
      <c r="R43" s="78">
        <f t="shared" si="11"/>
        <v>0</v>
      </c>
      <c r="S43" s="79"/>
      <c r="T43" s="80">
        <f t="shared" si="12"/>
        <v>0</v>
      </c>
      <c r="U43" s="81" t="s">
        <v>36</v>
      </c>
      <c r="V43" s="82"/>
      <c r="W43" s="83"/>
      <c r="X43" s="84"/>
      <c r="Y43" s="85">
        <f t="shared" si="13"/>
        <v>0</v>
      </c>
      <c r="Z43" s="86">
        <f t="shared" si="14"/>
        <v>0</v>
      </c>
      <c r="AA43" s="87"/>
      <c r="AB43" s="88"/>
    </row>
    <row r="44" spans="1:28" x14ac:dyDescent="0.25">
      <c r="A44" s="64" t="s">
        <v>17</v>
      </c>
      <c r="B44" s="65" t="s">
        <v>70</v>
      </c>
      <c r="C44" s="66"/>
      <c r="D44" s="67" t="s">
        <v>1</v>
      </c>
      <c r="E44" s="68">
        <f>SUM(E13:E43)</f>
        <v>344.5</v>
      </c>
      <c r="F44" s="68">
        <f t="shared" ref="F44:Z44" si="16">SUM(F13:F43)</f>
        <v>621.5</v>
      </c>
      <c r="G44" s="68">
        <f>SUM(G13:G43)</f>
        <v>485.6</v>
      </c>
      <c r="H44" s="68">
        <f t="shared" si="16"/>
        <v>387.45</v>
      </c>
      <c r="I44" s="68">
        <f t="shared" si="16"/>
        <v>196.95000000000005</v>
      </c>
      <c r="J44" s="68">
        <f t="shared" si="16"/>
        <v>2035.9999999999998</v>
      </c>
      <c r="K44" s="69">
        <f t="shared" si="16"/>
        <v>0</v>
      </c>
      <c r="L44" s="68">
        <f t="shared" si="16"/>
        <v>557.60000000000014</v>
      </c>
      <c r="M44" s="68">
        <f t="shared" si="16"/>
        <v>680.5</v>
      </c>
      <c r="N44" s="68">
        <f t="shared" si="16"/>
        <v>576.59999999999991</v>
      </c>
      <c r="O44" s="68">
        <f t="shared" si="16"/>
        <v>314.3</v>
      </c>
      <c r="P44" s="68">
        <f t="shared" si="16"/>
        <v>0</v>
      </c>
      <c r="Q44" s="68">
        <f t="shared" si="16"/>
        <v>0</v>
      </c>
      <c r="R44" s="68">
        <f t="shared" si="16"/>
        <v>1752.65</v>
      </c>
      <c r="S44" s="69">
        <f t="shared" si="16"/>
        <v>0</v>
      </c>
      <c r="T44" s="68">
        <f t="shared" si="16"/>
        <v>3452.7999999999997</v>
      </c>
      <c r="U44" s="68">
        <f t="shared" si="16"/>
        <v>0</v>
      </c>
      <c r="V44" s="68"/>
      <c r="W44" s="68">
        <f t="shared" si="16"/>
        <v>23</v>
      </c>
      <c r="X44" s="68">
        <f t="shared" si="16"/>
        <v>10500</v>
      </c>
      <c r="Y44" s="68">
        <f t="shared" si="16"/>
        <v>10500</v>
      </c>
      <c r="Z44" s="68">
        <f t="shared" si="16"/>
        <v>6647.2</v>
      </c>
      <c r="AA44" s="70"/>
      <c r="AB44" s="32"/>
    </row>
    <row r="45" spans="1:28" x14ac:dyDescent="0.25">
      <c r="A45" s="150" t="s">
        <v>71</v>
      </c>
      <c r="B45" s="151" t="s">
        <v>72</v>
      </c>
      <c r="C45" s="66"/>
      <c r="D45" s="152" t="s">
        <v>1</v>
      </c>
      <c r="E45" s="153">
        <f>E44+E11</f>
        <v>532</v>
      </c>
      <c r="F45" s="153">
        <f t="shared" ref="F45:Z45" si="17">F44+F11</f>
        <v>1127.5999999999999</v>
      </c>
      <c r="G45" s="153">
        <f t="shared" si="17"/>
        <v>806</v>
      </c>
      <c r="H45" s="153">
        <f t="shared" si="17"/>
        <v>967.95</v>
      </c>
      <c r="I45" s="153">
        <f t="shared" si="17"/>
        <v>375.65000000000003</v>
      </c>
      <c r="J45" s="153">
        <f t="shared" si="17"/>
        <v>3809.2</v>
      </c>
      <c r="K45" s="154">
        <f t="shared" si="17"/>
        <v>0</v>
      </c>
      <c r="L45" s="153">
        <f t="shared" si="17"/>
        <v>698.70000000000016</v>
      </c>
      <c r="M45" s="153">
        <f t="shared" si="17"/>
        <v>964.9</v>
      </c>
      <c r="N45" s="153">
        <f t="shared" si="17"/>
        <v>822.09999999999991</v>
      </c>
      <c r="O45" s="153">
        <f t="shared" si="17"/>
        <v>493.55</v>
      </c>
      <c r="P45" s="153">
        <f t="shared" si="17"/>
        <v>0</v>
      </c>
      <c r="Q45" s="153">
        <f t="shared" si="17"/>
        <v>0</v>
      </c>
      <c r="R45" s="153">
        <f t="shared" si="17"/>
        <v>2602.9</v>
      </c>
      <c r="S45" s="154">
        <f t="shared" si="17"/>
        <v>0</v>
      </c>
      <c r="T45" s="153">
        <f t="shared" si="17"/>
        <v>6076.25</v>
      </c>
      <c r="U45" s="153">
        <f t="shared" si="17"/>
        <v>0</v>
      </c>
      <c r="V45" s="153"/>
      <c r="W45" s="153">
        <f t="shared" si="17"/>
        <v>28</v>
      </c>
      <c r="X45" s="153">
        <f t="shared" si="17"/>
        <v>13205.237037037037</v>
      </c>
      <c r="Y45" s="153">
        <f t="shared" si="17"/>
        <v>13205.237037037037</v>
      </c>
      <c r="Z45" s="153">
        <f t="shared" si="17"/>
        <v>6728.9870370370372</v>
      </c>
      <c r="AA45" s="155"/>
      <c r="AB45" s="156"/>
    </row>
  </sheetData>
  <autoFilter ref="A2:AB3">
    <filterColumn colId="4" showButton="0"/>
    <filterColumn colId="5" showButton="0"/>
    <filterColumn colId="6" showButton="0"/>
    <filterColumn colId="7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9">
    <mergeCell ref="AB2:AB3"/>
    <mergeCell ref="V2:V3"/>
    <mergeCell ref="W2:W3"/>
    <mergeCell ref="X2:X3"/>
    <mergeCell ref="Y2:Y3"/>
    <mergeCell ref="Z2:Z3"/>
    <mergeCell ref="AA2:AA3"/>
    <mergeCell ref="K2:K3"/>
    <mergeCell ref="L2:Q2"/>
    <mergeCell ref="R2:R3"/>
    <mergeCell ref="S2:S3"/>
    <mergeCell ref="T2:T3"/>
    <mergeCell ref="U2:U3"/>
    <mergeCell ref="A2:A3"/>
    <mergeCell ref="B2:B3"/>
    <mergeCell ref="C2:C3"/>
    <mergeCell ref="D2:D3"/>
    <mergeCell ref="E2:I2"/>
    <mergeCell ref="J2:J3"/>
  </mergeCells>
  <conditionalFormatting sqref="Z20 Z8:Z10">
    <cfRule type="cellIs" dxfId="300" priority="288" operator="lessThan">
      <formula>0</formula>
    </cfRule>
    <cfRule type="cellIs" dxfId="299" priority="289" operator="between">
      <formula>0.000001</formula>
      <formula>50</formula>
    </cfRule>
    <cfRule type="cellIs" dxfId="298" priority="290" operator="equal">
      <formula>0</formula>
    </cfRule>
  </conditionalFormatting>
  <conditionalFormatting sqref="J17:Q17 E4:E6 P20:Q20 E20 E8:E12 K20:N20 J4:Q6 J12:Q12 F11:Z11 E45:Z45 J8:Q10 F4:I10 F12:I43 J18:J20">
    <cfRule type="cellIs" dxfId="297" priority="287" operator="equal">
      <formula>"Акты"</formula>
    </cfRule>
  </conditionalFormatting>
  <conditionalFormatting sqref="J17:R17 E4:E6 P20:R20 E20 E8:E12 K20:N20 J4:R5 J12:R12 F11:Z11 E45:Z45 J10:R10 F4:I10 F12:I43 J18:J20 J8:Q9 J6:Q6 R6:R9">
    <cfRule type="cellIs" dxfId="296" priority="285" operator="equal">
      <formula>"ДОГОВОР"</formula>
    </cfRule>
    <cfRule type="cellIs" dxfId="295" priority="286" operator="equal">
      <formula>"Акты"</formula>
    </cfRule>
  </conditionalFormatting>
  <conditionalFormatting sqref="P20:R20 K20:N20">
    <cfRule type="cellIs" dxfId="294" priority="284" operator="equal">
      <formula>"служебка"</formula>
    </cfRule>
  </conditionalFormatting>
  <conditionalFormatting sqref="V13 V25">
    <cfRule type="cellIs" dxfId="293" priority="283" operator="equal">
      <formula>0</formula>
    </cfRule>
  </conditionalFormatting>
  <conditionalFormatting sqref="Z13">
    <cfRule type="cellIs" dxfId="292" priority="280" operator="lessThan">
      <formula>0</formula>
    </cfRule>
    <cfRule type="cellIs" dxfId="291" priority="281" operator="between">
      <formula>0.000001</formula>
      <formula>50</formula>
    </cfRule>
    <cfRule type="cellIs" dxfId="290" priority="282" operator="equal">
      <formula>0</formula>
    </cfRule>
  </conditionalFormatting>
  <conditionalFormatting sqref="J13:K13">
    <cfRule type="cellIs" dxfId="289" priority="279" operator="equal">
      <formula>"Акты"</formula>
    </cfRule>
  </conditionalFormatting>
  <conditionalFormatting sqref="J13:K13 R13">
    <cfRule type="cellIs" dxfId="288" priority="277" operator="equal">
      <formula>"ДОГОВОР"</formula>
    </cfRule>
    <cfRule type="cellIs" dxfId="287" priority="278" operator="equal">
      <formula>"Акты"</formula>
    </cfRule>
  </conditionalFormatting>
  <conditionalFormatting sqref="J13:K13 J17:Q17 P20:Q20 E20 E8:E12 E4:E6 K20:N20 J4:Q6 J12:Q12 F11:Z11 E45:Z45 J8:Q10 F4:I10 F12:I43 J18:J20">
    <cfRule type="cellIs" dxfId="286" priority="276" operator="equal">
      <formula>"ДОГОВОР"</formula>
    </cfRule>
  </conditionalFormatting>
  <conditionalFormatting sqref="Z27:Z28 Z35 Z25 Z39:Z41 Z31">
    <cfRule type="cellIs" dxfId="285" priority="273" operator="lessThan">
      <formula>0</formula>
    </cfRule>
    <cfRule type="cellIs" dxfId="284" priority="274" operator="between">
      <formula>0.000001</formula>
      <formula>50</formula>
    </cfRule>
    <cfRule type="cellIs" dxfId="283" priority="275" operator="equal">
      <formula>0</formula>
    </cfRule>
  </conditionalFormatting>
  <conditionalFormatting sqref="E35 E27:E28 K27:Q28 E25 E31 E39:E41 J39:Q41 J31:Q31 J25:Q25 J35:Q35">
    <cfRule type="cellIs" dxfId="282" priority="272" operator="equal">
      <formula>"Акты"</formula>
    </cfRule>
  </conditionalFormatting>
  <conditionalFormatting sqref="E35 E27:E28 K27:R28 E25 E31 E39:E41 J39:R41 J31:R31 J25:R25 J35:R35">
    <cfRule type="cellIs" dxfId="281" priority="270" operator="equal">
      <formula>"ДОГОВОР"</formula>
    </cfRule>
    <cfRule type="cellIs" dxfId="280" priority="271" operator="equal">
      <formula>"Акты"</formula>
    </cfRule>
  </conditionalFormatting>
  <conditionalFormatting sqref="E35 E27:E28 K27:Q28 E25 E31 E39:E41 J39:Q41 J31:Q31 J25:Q25 J35:Q35">
    <cfRule type="cellIs" dxfId="279" priority="269" operator="equal">
      <formula>"ДОГОВОР"</formula>
    </cfRule>
  </conditionalFormatting>
  <conditionalFormatting sqref="E13">
    <cfRule type="cellIs" dxfId="278" priority="268" operator="equal">
      <formula>"Акты"</formula>
    </cfRule>
  </conditionalFormatting>
  <conditionalFormatting sqref="E13">
    <cfRule type="cellIs" dxfId="277" priority="266" operator="equal">
      <formula>"ДОГОВОР"</formula>
    </cfRule>
    <cfRule type="cellIs" dxfId="276" priority="267" operator="equal">
      <formula>"Акты"</formula>
    </cfRule>
  </conditionalFormatting>
  <conditionalFormatting sqref="E13">
    <cfRule type="cellIs" dxfId="275" priority="265" operator="equal">
      <formula>"служебка"</formula>
    </cfRule>
  </conditionalFormatting>
  <conditionalFormatting sqref="E13">
    <cfRule type="cellIs" dxfId="274" priority="264" operator="equal">
      <formula>"ДОГОВОР"</formula>
    </cfRule>
  </conditionalFormatting>
  <conditionalFormatting sqref="L13:Q13">
    <cfRule type="cellIs" dxfId="273" priority="263" operator="equal">
      <formula>"Акты"</formula>
    </cfRule>
  </conditionalFormatting>
  <conditionalFormatting sqref="L13:Q13">
    <cfRule type="cellIs" dxfId="272" priority="261" operator="equal">
      <formula>"ДОГОВОР"</formula>
    </cfRule>
    <cfRule type="cellIs" dxfId="271" priority="262" operator="equal">
      <formula>"Акты"</formula>
    </cfRule>
  </conditionalFormatting>
  <conditionalFormatting sqref="L13:Q13">
    <cfRule type="cellIs" dxfId="270" priority="260" operator="equal">
      <formula>"служебка"</formula>
    </cfRule>
  </conditionalFormatting>
  <conditionalFormatting sqref="L13:Q13">
    <cfRule type="cellIs" dxfId="269" priority="259" operator="equal">
      <formula>"ДОГОВОР"</formula>
    </cfRule>
  </conditionalFormatting>
  <conditionalFormatting sqref="V36:V43 V27:V31 V33:V34">
    <cfRule type="cellIs" dxfId="268" priority="258" operator="equal">
      <formula>0</formula>
    </cfRule>
  </conditionalFormatting>
  <conditionalFormatting sqref="C13 C18">
    <cfRule type="duplicateValues" dxfId="267" priority="257"/>
  </conditionalFormatting>
  <conditionalFormatting sqref="C20:C31 C14:C17 C33:C43">
    <cfRule type="duplicateValues" dxfId="266" priority="256"/>
  </conditionalFormatting>
  <conditionalFormatting sqref="Z26">
    <cfRule type="cellIs" dxfId="265" priority="253" operator="lessThan">
      <formula>0</formula>
    </cfRule>
    <cfRule type="cellIs" dxfId="264" priority="254" operator="between">
      <formula>0.000001</formula>
      <formula>50</formula>
    </cfRule>
    <cfRule type="cellIs" dxfId="263" priority="255" operator="equal">
      <formula>0</formula>
    </cfRule>
  </conditionalFormatting>
  <conditionalFormatting sqref="K26">
    <cfRule type="cellIs" dxfId="262" priority="252" operator="equal">
      <formula>"Акты"</formula>
    </cfRule>
  </conditionalFormatting>
  <conditionalFormatting sqref="K26 R26">
    <cfRule type="cellIs" dxfId="261" priority="250" operator="equal">
      <formula>"ДОГОВОР"</formula>
    </cfRule>
    <cfRule type="cellIs" dxfId="260" priority="251" operator="equal">
      <formula>"Акты"</formula>
    </cfRule>
  </conditionalFormatting>
  <conditionalFormatting sqref="K26">
    <cfRule type="cellIs" dxfId="259" priority="249" operator="equal">
      <formula>"ДОГОВОР"</formula>
    </cfRule>
  </conditionalFormatting>
  <conditionalFormatting sqref="V26">
    <cfRule type="cellIs" dxfId="258" priority="248" operator="equal">
      <formula>0</formula>
    </cfRule>
  </conditionalFormatting>
  <conditionalFormatting sqref="L26:Q26 E26">
    <cfRule type="cellIs" dxfId="257" priority="247" operator="equal">
      <formula>"Акты"</formula>
    </cfRule>
  </conditionalFormatting>
  <conditionalFormatting sqref="L26:Q26 E26">
    <cfRule type="cellIs" dxfId="256" priority="245" operator="equal">
      <formula>"ДОГОВОР"</formula>
    </cfRule>
    <cfRule type="cellIs" dxfId="255" priority="246" operator="equal">
      <formula>"Акты"</formula>
    </cfRule>
  </conditionalFormatting>
  <conditionalFormatting sqref="L26:Q26 E26">
    <cfRule type="cellIs" dxfId="254" priority="244" operator="equal">
      <formula>"служебка"</formula>
    </cfRule>
  </conditionalFormatting>
  <conditionalFormatting sqref="L26:Q26 E26">
    <cfRule type="cellIs" dxfId="253" priority="243" operator="equal">
      <formula>"ДОГОВОР"</formula>
    </cfRule>
  </conditionalFormatting>
  <conditionalFormatting sqref="Z42">
    <cfRule type="cellIs" dxfId="252" priority="240" operator="lessThan">
      <formula>0</formula>
    </cfRule>
    <cfRule type="cellIs" dxfId="251" priority="241" operator="between">
      <formula>0.000001</formula>
      <formula>50</formula>
    </cfRule>
    <cfRule type="cellIs" dxfId="250" priority="242" operator="equal">
      <formula>0</formula>
    </cfRule>
  </conditionalFormatting>
  <conditionalFormatting sqref="E42 J42:Q42">
    <cfRule type="cellIs" dxfId="249" priority="239" operator="equal">
      <formula>"Акты"</formula>
    </cfRule>
  </conditionalFormatting>
  <conditionalFormatting sqref="E42 J42:R42">
    <cfRule type="cellIs" dxfId="248" priority="237" operator="equal">
      <formula>"ДОГОВОР"</formula>
    </cfRule>
    <cfRule type="cellIs" dxfId="247" priority="238" operator="equal">
      <formula>"Акты"</formula>
    </cfRule>
  </conditionalFormatting>
  <conditionalFormatting sqref="E42 J42:Q42">
    <cfRule type="cellIs" dxfId="246" priority="236" operator="equal">
      <formula>"ДОГОВОР"</formula>
    </cfRule>
  </conditionalFormatting>
  <conditionalFormatting sqref="J26:J28">
    <cfRule type="cellIs" dxfId="245" priority="235" operator="equal">
      <formula>"Акты"</formula>
    </cfRule>
  </conditionalFormatting>
  <conditionalFormatting sqref="J26:J28">
    <cfRule type="cellIs" dxfId="244" priority="233" operator="equal">
      <formula>"ДОГОВОР"</formula>
    </cfRule>
    <cfRule type="cellIs" dxfId="243" priority="234" operator="equal">
      <formula>"Акты"</formula>
    </cfRule>
  </conditionalFormatting>
  <conditionalFormatting sqref="J26:J28">
    <cfRule type="cellIs" dxfId="242" priority="232" operator="equal">
      <formula>"служебка"</formula>
    </cfRule>
  </conditionalFormatting>
  <conditionalFormatting sqref="J26:J28">
    <cfRule type="cellIs" dxfId="241" priority="231" operator="equal">
      <formula>"ДОГОВОР"</formula>
    </cfRule>
  </conditionalFormatting>
  <conditionalFormatting sqref="Z14">
    <cfRule type="cellIs" dxfId="240" priority="228" operator="lessThan">
      <formula>0</formula>
    </cfRule>
    <cfRule type="cellIs" dxfId="239" priority="229" operator="between">
      <formula>0.000001</formula>
      <formula>50</formula>
    </cfRule>
    <cfRule type="cellIs" dxfId="238" priority="230" operator="equal">
      <formula>0</formula>
    </cfRule>
  </conditionalFormatting>
  <conditionalFormatting sqref="E14 J14:Q14">
    <cfRule type="cellIs" dxfId="237" priority="227" operator="equal">
      <formula>"Акты"</formula>
    </cfRule>
  </conditionalFormatting>
  <conditionalFormatting sqref="E14 J14:R14">
    <cfRule type="cellIs" dxfId="236" priority="225" operator="equal">
      <formula>"ДОГОВОР"</formula>
    </cfRule>
    <cfRule type="cellIs" dxfId="235" priority="226" operator="equal">
      <formula>"Акты"</formula>
    </cfRule>
  </conditionalFormatting>
  <conditionalFormatting sqref="E14 J14:Q14">
    <cfRule type="cellIs" dxfId="234" priority="224" operator="equal">
      <formula>"ДОГОВОР"</formula>
    </cfRule>
  </conditionalFormatting>
  <conditionalFormatting sqref="V14">
    <cfRule type="cellIs" dxfId="233" priority="223" operator="equal">
      <formula>0</formula>
    </cfRule>
  </conditionalFormatting>
  <conditionalFormatting sqref="Z17">
    <cfRule type="cellIs" dxfId="232" priority="220" operator="lessThan">
      <formula>0</formula>
    </cfRule>
    <cfRule type="cellIs" dxfId="231" priority="221" operator="between">
      <formula>0.000001</formula>
      <formula>50</formula>
    </cfRule>
    <cfRule type="cellIs" dxfId="230" priority="222" operator="equal">
      <formula>0</formula>
    </cfRule>
  </conditionalFormatting>
  <conditionalFormatting sqref="E17">
    <cfRule type="cellIs" dxfId="229" priority="219" operator="equal">
      <formula>"Акты"</formula>
    </cfRule>
  </conditionalFormatting>
  <conditionalFormatting sqref="E17">
    <cfRule type="cellIs" dxfId="228" priority="217" operator="equal">
      <formula>"ДОГОВОР"</formula>
    </cfRule>
    <cfRule type="cellIs" dxfId="227" priority="218" operator="equal">
      <formula>"Акты"</formula>
    </cfRule>
  </conditionalFormatting>
  <conditionalFormatting sqref="E17">
    <cfRule type="cellIs" dxfId="226" priority="216" operator="equal">
      <formula>"ДОГОВОР"</formula>
    </cfRule>
  </conditionalFormatting>
  <conditionalFormatting sqref="Z7">
    <cfRule type="cellIs" dxfId="225" priority="210" operator="lessThan">
      <formula>0</formula>
    </cfRule>
    <cfRule type="cellIs" dxfId="224" priority="211" operator="between">
      <formula>0.000001</formula>
      <formula>50</formula>
    </cfRule>
    <cfRule type="cellIs" dxfId="223" priority="212" operator="equal">
      <formula>0</formula>
    </cfRule>
  </conditionalFormatting>
  <conditionalFormatting sqref="E7 J7:Q7">
    <cfRule type="cellIs" dxfId="222" priority="209" operator="equal">
      <formula>"Акты"</formula>
    </cfRule>
  </conditionalFormatting>
  <conditionalFormatting sqref="E7 J7:Q7">
    <cfRule type="cellIs" dxfId="221" priority="207" operator="equal">
      <formula>"ДОГОВОР"</formula>
    </cfRule>
    <cfRule type="cellIs" dxfId="220" priority="208" operator="equal">
      <formula>"Акты"</formula>
    </cfRule>
  </conditionalFormatting>
  <conditionalFormatting sqref="E7 J7:Q7">
    <cfRule type="cellIs" dxfId="219" priority="206" operator="equal">
      <formula>"служебка"</formula>
    </cfRule>
  </conditionalFormatting>
  <conditionalFormatting sqref="E7 J7:Q7">
    <cfRule type="cellIs" dxfId="218" priority="205" operator="equal">
      <formula>"ДОГОВОР"</formula>
    </cfRule>
  </conditionalFormatting>
  <conditionalFormatting sqref="C7">
    <cfRule type="duplicateValues" dxfId="217" priority="213"/>
  </conditionalFormatting>
  <conditionalFormatting sqref="C7">
    <cfRule type="duplicateValues" dxfId="216" priority="214"/>
  </conditionalFormatting>
  <conditionalFormatting sqref="C7">
    <cfRule type="duplicateValues" dxfId="215" priority="215"/>
  </conditionalFormatting>
  <conditionalFormatting sqref="L17:Q17">
    <cfRule type="cellIs" dxfId="214" priority="204" operator="equal">
      <formula>"Акты"</formula>
    </cfRule>
  </conditionalFormatting>
  <conditionalFormatting sqref="L17:Q17">
    <cfRule type="cellIs" dxfId="213" priority="202" operator="equal">
      <formula>"ДОГОВОР"</formula>
    </cfRule>
    <cfRule type="cellIs" dxfId="212" priority="203" operator="equal">
      <formula>"Акты"</formula>
    </cfRule>
  </conditionalFormatting>
  <conditionalFormatting sqref="L17:Q17">
    <cfRule type="cellIs" dxfId="211" priority="201" operator="equal">
      <formula>"служебка"</formula>
    </cfRule>
  </conditionalFormatting>
  <conditionalFormatting sqref="L17:Q17">
    <cfRule type="cellIs" dxfId="210" priority="200" operator="equal">
      <formula>"ДОГОВОР"</formula>
    </cfRule>
  </conditionalFormatting>
  <conditionalFormatting sqref="Z29">
    <cfRule type="cellIs" dxfId="209" priority="197" operator="lessThan">
      <formula>0</formula>
    </cfRule>
    <cfRule type="cellIs" dxfId="208" priority="198" operator="between">
      <formula>0.000001</formula>
      <formula>50</formula>
    </cfRule>
    <cfRule type="cellIs" dxfId="207" priority="199" operator="equal">
      <formula>0</formula>
    </cfRule>
  </conditionalFormatting>
  <conditionalFormatting sqref="J29:K29">
    <cfRule type="cellIs" dxfId="206" priority="196" operator="equal">
      <formula>"Акты"</formula>
    </cfRule>
  </conditionalFormatting>
  <conditionalFormatting sqref="J29:K29 R29">
    <cfRule type="cellIs" dxfId="205" priority="194" operator="equal">
      <formula>"ДОГОВОР"</formula>
    </cfRule>
    <cfRule type="cellIs" dxfId="204" priority="195" operator="equal">
      <formula>"Акты"</formula>
    </cfRule>
  </conditionalFormatting>
  <conditionalFormatting sqref="J29:K29 R29">
    <cfRule type="cellIs" dxfId="203" priority="193" operator="equal">
      <formula>"служебка"</formula>
    </cfRule>
  </conditionalFormatting>
  <conditionalFormatting sqref="J29:K29">
    <cfRule type="cellIs" dxfId="202" priority="192" operator="equal">
      <formula>"ДОГОВОР"</formula>
    </cfRule>
  </conditionalFormatting>
  <conditionalFormatting sqref="E29">
    <cfRule type="cellIs" dxfId="201" priority="191" operator="equal">
      <formula>"Акты"</formula>
    </cfRule>
  </conditionalFormatting>
  <conditionalFormatting sqref="E29">
    <cfRule type="cellIs" dxfId="200" priority="189" operator="equal">
      <formula>"ДОГОВОР"</formula>
    </cfRule>
    <cfRule type="cellIs" dxfId="199" priority="190" operator="equal">
      <formula>"Акты"</formula>
    </cfRule>
  </conditionalFormatting>
  <conditionalFormatting sqref="E29">
    <cfRule type="cellIs" dxfId="198" priority="188" operator="equal">
      <formula>"служебка"</formula>
    </cfRule>
  </conditionalFormatting>
  <conditionalFormatting sqref="E29">
    <cfRule type="cellIs" dxfId="197" priority="187" operator="equal">
      <formula>"ДОГОВОР"</formula>
    </cfRule>
  </conditionalFormatting>
  <conditionalFormatting sqref="Z33">
    <cfRule type="cellIs" dxfId="196" priority="184" operator="lessThan">
      <formula>0</formula>
    </cfRule>
    <cfRule type="cellIs" dxfId="195" priority="185" operator="between">
      <formula>0.000001</formula>
      <formula>50</formula>
    </cfRule>
    <cfRule type="cellIs" dxfId="194" priority="186" operator="equal">
      <formula>0</formula>
    </cfRule>
  </conditionalFormatting>
  <conditionalFormatting sqref="J33:Q33">
    <cfRule type="cellIs" dxfId="193" priority="183" operator="equal">
      <formula>"Акты"</formula>
    </cfRule>
  </conditionalFormatting>
  <conditionalFormatting sqref="J33:R33">
    <cfRule type="cellIs" dxfId="192" priority="181" operator="equal">
      <formula>"ДОГОВОР"</formula>
    </cfRule>
    <cfRule type="cellIs" dxfId="191" priority="182" operator="equal">
      <formula>"Акты"</formula>
    </cfRule>
  </conditionalFormatting>
  <conditionalFormatting sqref="J33:Q33">
    <cfRule type="cellIs" dxfId="190" priority="180" operator="equal">
      <formula>"ДОГОВОР"</formula>
    </cfRule>
  </conditionalFormatting>
  <conditionalFormatting sqref="E33">
    <cfRule type="cellIs" dxfId="189" priority="179" operator="equal">
      <formula>"Акты"</formula>
    </cfRule>
  </conditionalFormatting>
  <conditionalFormatting sqref="E33">
    <cfRule type="cellIs" dxfId="188" priority="177" operator="equal">
      <formula>"ДОГОВОР"</formula>
    </cfRule>
    <cfRule type="cellIs" dxfId="187" priority="178" operator="equal">
      <formula>"Акты"</formula>
    </cfRule>
  </conditionalFormatting>
  <conditionalFormatting sqref="E33">
    <cfRule type="cellIs" dxfId="186" priority="176" operator="equal">
      <formula>"служебка"</formula>
    </cfRule>
  </conditionalFormatting>
  <conditionalFormatting sqref="E33">
    <cfRule type="cellIs" dxfId="185" priority="175" operator="equal">
      <formula>"ДОГОВОР"</formula>
    </cfRule>
  </conditionalFormatting>
  <conditionalFormatting sqref="L29:Q29">
    <cfRule type="cellIs" dxfId="184" priority="174" operator="equal">
      <formula>"Акты"</formula>
    </cfRule>
  </conditionalFormatting>
  <conditionalFormatting sqref="L29:Q29">
    <cfRule type="cellIs" dxfId="183" priority="172" operator="equal">
      <formula>"ДОГОВОР"</formula>
    </cfRule>
    <cfRule type="cellIs" dxfId="182" priority="173" operator="equal">
      <formula>"Акты"</formula>
    </cfRule>
  </conditionalFormatting>
  <conditionalFormatting sqref="L29:Q29">
    <cfRule type="cellIs" dxfId="181" priority="171" operator="equal">
      <formula>"служебка"</formula>
    </cfRule>
  </conditionalFormatting>
  <conditionalFormatting sqref="L29:Q29">
    <cfRule type="cellIs" dxfId="180" priority="170" operator="equal">
      <formula>"Акты"</formula>
    </cfRule>
  </conditionalFormatting>
  <conditionalFormatting sqref="L29:Q29">
    <cfRule type="cellIs" dxfId="179" priority="168" operator="equal">
      <formula>"ДОГОВОР"</formula>
    </cfRule>
    <cfRule type="cellIs" dxfId="178" priority="169" operator="equal">
      <formula>"Акты"</formula>
    </cfRule>
  </conditionalFormatting>
  <conditionalFormatting sqref="L29:Q29">
    <cfRule type="cellIs" dxfId="177" priority="167" operator="equal">
      <formula>"служебка"</formula>
    </cfRule>
  </conditionalFormatting>
  <conditionalFormatting sqref="L29:Q29">
    <cfRule type="cellIs" dxfId="176" priority="166" operator="equal">
      <formula>"ДОГОВОР"</formula>
    </cfRule>
  </conditionalFormatting>
  <conditionalFormatting sqref="E14">
    <cfRule type="cellIs" dxfId="175" priority="165" operator="equal">
      <formula>"Акты"</formula>
    </cfRule>
  </conditionalFormatting>
  <conditionalFormatting sqref="E14">
    <cfRule type="cellIs" dxfId="174" priority="163" operator="equal">
      <formula>"ДОГОВОР"</formula>
    </cfRule>
    <cfRule type="cellIs" dxfId="173" priority="164" operator="equal">
      <formula>"Акты"</formula>
    </cfRule>
  </conditionalFormatting>
  <conditionalFormatting sqref="E14">
    <cfRule type="cellIs" dxfId="172" priority="162" operator="equal">
      <formula>"служебка"</formula>
    </cfRule>
  </conditionalFormatting>
  <conditionalFormatting sqref="E14">
    <cfRule type="cellIs" dxfId="171" priority="161" operator="equal">
      <formula>"ДОГОВОР"</formula>
    </cfRule>
  </conditionalFormatting>
  <conditionalFormatting sqref="Z37">
    <cfRule type="cellIs" dxfId="170" priority="158" operator="lessThan">
      <formula>0</formula>
    </cfRule>
    <cfRule type="cellIs" dxfId="169" priority="159" operator="between">
      <formula>0.000001</formula>
      <formula>50</formula>
    </cfRule>
    <cfRule type="cellIs" dxfId="168" priority="160" operator="equal">
      <formula>0</formula>
    </cfRule>
  </conditionalFormatting>
  <conditionalFormatting sqref="E37 J37:L37">
    <cfRule type="cellIs" dxfId="167" priority="157" operator="equal">
      <formula>"Акты"</formula>
    </cfRule>
  </conditionalFormatting>
  <conditionalFormatting sqref="E37 R37 J37:L37">
    <cfRule type="cellIs" dxfId="166" priority="155" operator="equal">
      <formula>"ДОГОВОР"</formula>
    </cfRule>
    <cfRule type="cellIs" dxfId="165" priority="156" operator="equal">
      <formula>"Акты"</formula>
    </cfRule>
  </conditionalFormatting>
  <conditionalFormatting sqref="E37 J37:L37">
    <cfRule type="cellIs" dxfId="164" priority="154" operator="equal">
      <formula>"ДОГОВОР"</formula>
    </cfRule>
  </conditionalFormatting>
  <conditionalFormatting sqref="M37:Q37">
    <cfRule type="cellIs" dxfId="163" priority="153" operator="equal">
      <formula>"Акты"</formula>
    </cfRule>
  </conditionalFormatting>
  <conditionalFormatting sqref="M37:Q37">
    <cfRule type="cellIs" dxfId="162" priority="151" operator="equal">
      <formula>"ДОГОВОР"</formula>
    </cfRule>
    <cfRule type="cellIs" dxfId="161" priority="152" operator="equal">
      <formula>"Акты"</formula>
    </cfRule>
  </conditionalFormatting>
  <conditionalFormatting sqref="M37:Q37">
    <cfRule type="cellIs" dxfId="160" priority="150" operator="equal">
      <formula>"служебка"</formula>
    </cfRule>
  </conditionalFormatting>
  <conditionalFormatting sqref="M37:Q37">
    <cfRule type="cellIs" dxfId="159" priority="149" operator="equal">
      <formula>"Акты"</formula>
    </cfRule>
  </conditionalFormatting>
  <conditionalFormatting sqref="M37:Q37">
    <cfRule type="cellIs" dxfId="158" priority="147" operator="equal">
      <formula>"ДОГОВОР"</formula>
    </cfRule>
    <cfRule type="cellIs" dxfId="157" priority="148" operator="equal">
      <formula>"Акты"</formula>
    </cfRule>
  </conditionalFormatting>
  <conditionalFormatting sqref="M37:Q37">
    <cfRule type="cellIs" dxfId="156" priority="146" operator="equal">
      <formula>"служебка"</formula>
    </cfRule>
  </conditionalFormatting>
  <conditionalFormatting sqref="M37:Q37">
    <cfRule type="cellIs" dxfId="155" priority="145" operator="equal">
      <formula>"ДОГОВОР"</formula>
    </cfRule>
  </conditionalFormatting>
  <conditionalFormatting sqref="Z30">
    <cfRule type="cellIs" dxfId="154" priority="142" operator="lessThan">
      <formula>0</formula>
    </cfRule>
    <cfRule type="cellIs" dxfId="153" priority="143" operator="between">
      <formula>0.000001</formula>
      <formula>50</formula>
    </cfRule>
    <cfRule type="cellIs" dxfId="152" priority="144" operator="equal">
      <formula>0</formula>
    </cfRule>
  </conditionalFormatting>
  <conditionalFormatting sqref="E30 J30:Q30">
    <cfRule type="cellIs" dxfId="151" priority="141" operator="equal">
      <formula>"Акты"</formula>
    </cfRule>
  </conditionalFormatting>
  <conditionalFormatting sqref="E30 J30:R30">
    <cfRule type="cellIs" dxfId="150" priority="139" operator="equal">
      <formula>"ДОГОВОР"</formula>
    </cfRule>
    <cfRule type="cellIs" dxfId="149" priority="140" operator="equal">
      <formula>"Акты"</formula>
    </cfRule>
  </conditionalFormatting>
  <conditionalFormatting sqref="E30 J30:Q30">
    <cfRule type="cellIs" dxfId="148" priority="138" operator="equal">
      <formula>"ДОГОВОР"</formula>
    </cfRule>
  </conditionalFormatting>
  <conditionalFormatting sqref="Z21">
    <cfRule type="cellIs" dxfId="147" priority="135" operator="lessThan">
      <formula>0</formula>
    </cfRule>
    <cfRule type="cellIs" dxfId="146" priority="136" operator="between">
      <formula>0.000001</formula>
      <formula>50</formula>
    </cfRule>
    <cfRule type="cellIs" dxfId="145" priority="137" operator="equal">
      <formula>0</formula>
    </cfRule>
  </conditionalFormatting>
  <conditionalFormatting sqref="E21 E23:E24 J21:Q21">
    <cfRule type="cellIs" dxfId="144" priority="134" operator="equal">
      <formula>"Акты"</formula>
    </cfRule>
  </conditionalFormatting>
  <conditionalFormatting sqref="E21 E23:E24 J21:R21">
    <cfRule type="cellIs" dxfId="143" priority="132" operator="equal">
      <formula>"ДОГОВОР"</formula>
    </cfRule>
    <cfRule type="cellIs" dxfId="142" priority="133" operator="equal">
      <formula>"Акты"</formula>
    </cfRule>
  </conditionalFormatting>
  <conditionalFormatting sqref="E21 E23:E24 J21:Q21">
    <cfRule type="cellIs" dxfId="141" priority="131" operator="equal">
      <formula>"ДОГОВОР"</formula>
    </cfRule>
  </conditionalFormatting>
  <conditionalFormatting sqref="V21">
    <cfRule type="cellIs" dxfId="140" priority="130" operator="equal">
      <formula>0</formula>
    </cfRule>
  </conditionalFormatting>
  <conditionalFormatting sqref="Z23:Z24">
    <cfRule type="cellIs" dxfId="139" priority="127" operator="lessThan">
      <formula>0</formula>
    </cfRule>
    <cfRule type="cellIs" dxfId="138" priority="128" operator="between">
      <formula>0.000001</formula>
      <formula>50</formula>
    </cfRule>
    <cfRule type="cellIs" dxfId="137" priority="129" operator="equal">
      <formula>0</formula>
    </cfRule>
  </conditionalFormatting>
  <conditionalFormatting sqref="J23:Q24">
    <cfRule type="cellIs" dxfId="136" priority="126" operator="equal">
      <formula>"Акты"</formula>
    </cfRule>
  </conditionalFormatting>
  <conditionalFormatting sqref="J23:R24">
    <cfRule type="cellIs" dxfId="135" priority="124" operator="equal">
      <formula>"ДОГОВОР"</formula>
    </cfRule>
    <cfRule type="cellIs" dxfId="134" priority="125" operator="equal">
      <formula>"Акты"</formula>
    </cfRule>
  </conditionalFormatting>
  <conditionalFormatting sqref="J23:Q24">
    <cfRule type="cellIs" dxfId="133" priority="123" operator="equal">
      <formula>"ДОГОВОР"</formula>
    </cfRule>
  </conditionalFormatting>
  <conditionalFormatting sqref="V23:V24">
    <cfRule type="cellIs" dxfId="132" priority="122" operator="equal">
      <formula>0</formula>
    </cfRule>
  </conditionalFormatting>
  <conditionalFormatting sqref="Z43">
    <cfRule type="cellIs" dxfId="131" priority="119" operator="lessThan">
      <formula>0</formula>
    </cfRule>
    <cfRule type="cellIs" dxfId="130" priority="120" operator="between">
      <formula>0.000001</formula>
      <formula>50</formula>
    </cfRule>
    <cfRule type="cellIs" dxfId="129" priority="121" operator="equal">
      <formula>0</formula>
    </cfRule>
  </conditionalFormatting>
  <conditionalFormatting sqref="E43 J43:Q43">
    <cfRule type="cellIs" dxfId="128" priority="118" operator="equal">
      <formula>"Акты"</formula>
    </cfRule>
  </conditionalFormatting>
  <conditionalFormatting sqref="E43 J43:R43">
    <cfRule type="cellIs" dxfId="127" priority="116" operator="equal">
      <formula>"ДОГОВОР"</formula>
    </cfRule>
    <cfRule type="cellIs" dxfId="126" priority="117" operator="equal">
      <formula>"Акты"</formula>
    </cfRule>
  </conditionalFormatting>
  <conditionalFormatting sqref="E43 J43:Q43">
    <cfRule type="cellIs" dxfId="125" priority="115" operator="equal">
      <formula>"ДОГОВОР"</formula>
    </cfRule>
  </conditionalFormatting>
  <conditionalFormatting sqref="AA23:AA31 AA37 AA17 AA20:AA21 AA35 AA4:AA14 AA33 AA39:AA45">
    <cfRule type="cellIs" dxfId="124" priority="114" operator="equal">
      <formula>"служебка"</formula>
    </cfRule>
  </conditionalFormatting>
  <conditionalFormatting sqref="Z38">
    <cfRule type="cellIs" dxfId="123" priority="111" operator="lessThan">
      <formula>0</formula>
    </cfRule>
    <cfRule type="cellIs" dxfId="122" priority="112" operator="between">
      <formula>0.000001</formula>
      <formula>50</formula>
    </cfRule>
    <cfRule type="cellIs" dxfId="121" priority="113" operator="equal">
      <formula>0</formula>
    </cfRule>
  </conditionalFormatting>
  <conditionalFormatting sqref="E38 J38:Q38">
    <cfRule type="cellIs" dxfId="120" priority="110" operator="equal">
      <formula>"Акты"</formula>
    </cfRule>
  </conditionalFormatting>
  <conditionalFormatting sqref="E38 J38:R38">
    <cfRule type="cellIs" dxfId="119" priority="108" operator="equal">
      <formula>"ДОГОВОР"</formula>
    </cfRule>
    <cfRule type="cellIs" dxfId="118" priority="109" operator="equal">
      <formula>"Акты"</formula>
    </cfRule>
  </conditionalFormatting>
  <conditionalFormatting sqref="E38 J38:Q38">
    <cfRule type="cellIs" dxfId="117" priority="107" operator="equal">
      <formula>"ДОГОВОР"</formula>
    </cfRule>
  </conditionalFormatting>
  <conditionalFormatting sqref="AA38">
    <cfRule type="cellIs" dxfId="116" priority="106" operator="equal">
      <formula>"служебка"</formula>
    </cfRule>
  </conditionalFormatting>
  <conditionalFormatting sqref="Z22">
    <cfRule type="cellIs" dxfId="115" priority="103" operator="lessThan">
      <formula>0</formula>
    </cfRule>
    <cfRule type="cellIs" dxfId="114" priority="104" operator="between">
      <formula>0.000001</formula>
      <formula>50</formula>
    </cfRule>
    <cfRule type="cellIs" dxfId="113" priority="105" operator="equal">
      <formula>0</formula>
    </cfRule>
  </conditionalFormatting>
  <conditionalFormatting sqref="E22 J22:Q22">
    <cfRule type="cellIs" dxfId="112" priority="102" operator="equal">
      <formula>"Акты"</formula>
    </cfRule>
  </conditionalFormatting>
  <conditionalFormatting sqref="E22 J22:R22">
    <cfRule type="cellIs" dxfId="111" priority="100" operator="equal">
      <formula>"ДОГОВОР"</formula>
    </cfRule>
    <cfRule type="cellIs" dxfId="110" priority="101" operator="equal">
      <formula>"Акты"</formula>
    </cfRule>
  </conditionalFormatting>
  <conditionalFormatting sqref="E22 J22:Q22">
    <cfRule type="cellIs" dxfId="109" priority="99" operator="equal">
      <formula>"ДОГОВОР"</formula>
    </cfRule>
  </conditionalFormatting>
  <conditionalFormatting sqref="AA22">
    <cfRule type="cellIs" dxfId="108" priority="98" operator="equal">
      <formula>"служебка"</formula>
    </cfRule>
  </conditionalFormatting>
  <conditionalFormatting sqref="Z34">
    <cfRule type="cellIs" dxfId="107" priority="95" operator="lessThan">
      <formula>0</formula>
    </cfRule>
    <cfRule type="cellIs" dxfId="106" priority="96" operator="between">
      <formula>0.000001</formula>
      <formula>50</formula>
    </cfRule>
    <cfRule type="cellIs" dxfId="105" priority="97" operator="equal">
      <formula>0</formula>
    </cfRule>
  </conditionalFormatting>
  <conditionalFormatting sqref="E34 J34:Q34">
    <cfRule type="cellIs" dxfId="104" priority="94" operator="equal">
      <formula>"Акты"</formula>
    </cfRule>
  </conditionalFormatting>
  <conditionalFormatting sqref="E34 J34:R34">
    <cfRule type="cellIs" dxfId="103" priority="92" operator="equal">
      <formula>"ДОГОВОР"</formula>
    </cfRule>
    <cfRule type="cellIs" dxfId="102" priority="93" operator="equal">
      <formula>"Акты"</formula>
    </cfRule>
  </conditionalFormatting>
  <conditionalFormatting sqref="E34 J34:Q34">
    <cfRule type="cellIs" dxfId="101" priority="91" operator="equal">
      <formula>"ДОГОВОР"</formula>
    </cfRule>
  </conditionalFormatting>
  <conditionalFormatting sqref="AA34">
    <cfRule type="cellIs" dxfId="100" priority="90" operator="equal">
      <formula>"служебка"</formula>
    </cfRule>
  </conditionalFormatting>
  <conditionalFormatting sqref="L27">
    <cfRule type="cellIs" dxfId="99" priority="89" operator="equal">
      <formula>"Акты"</formula>
    </cfRule>
  </conditionalFormatting>
  <conditionalFormatting sqref="L27">
    <cfRule type="cellIs" dxfId="98" priority="87" operator="equal">
      <formula>"ДОГОВОР"</formula>
    </cfRule>
    <cfRule type="cellIs" dxfId="97" priority="88" operator="equal">
      <formula>"Акты"</formula>
    </cfRule>
  </conditionalFormatting>
  <conditionalFormatting sqref="L27">
    <cfRule type="cellIs" dxfId="96" priority="86" operator="equal">
      <formula>"служебка"</formula>
    </cfRule>
  </conditionalFormatting>
  <conditionalFormatting sqref="L27">
    <cfRule type="cellIs" dxfId="95" priority="85" operator="equal">
      <formula>"ДОГОВОР"</formula>
    </cfRule>
  </conditionalFormatting>
  <conditionalFormatting sqref="Z36">
    <cfRule type="cellIs" dxfId="94" priority="82" operator="lessThan">
      <formula>0</formula>
    </cfRule>
    <cfRule type="cellIs" dxfId="93" priority="83" operator="between">
      <formula>0.000001</formula>
      <formula>50</formula>
    </cfRule>
    <cfRule type="cellIs" dxfId="92" priority="84" operator="equal">
      <formula>0</formula>
    </cfRule>
  </conditionalFormatting>
  <conditionalFormatting sqref="E36 J36:Q36">
    <cfRule type="cellIs" dxfId="91" priority="81" operator="equal">
      <formula>"Акты"</formula>
    </cfRule>
  </conditionalFormatting>
  <conditionalFormatting sqref="E36 J36:R36">
    <cfRule type="cellIs" dxfId="90" priority="79" operator="equal">
      <formula>"ДОГОВОР"</formula>
    </cfRule>
    <cfRule type="cellIs" dxfId="89" priority="80" operator="equal">
      <formula>"Акты"</formula>
    </cfRule>
  </conditionalFormatting>
  <conditionalFormatting sqref="E36 J36:Q36">
    <cfRule type="cellIs" dxfId="88" priority="78" operator="equal">
      <formula>"ДОГОВОР"</formula>
    </cfRule>
  </conditionalFormatting>
  <conditionalFormatting sqref="AA36">
    <cfRule type="cellIs" dxfId="87" priority="77" operator="equal">
      <formula>"служебка"</formula>
    </cfRule>
  </conditionalFormatting>
  <conditionalFormatting sqref="Z16">
    <cfRule type="cellIs" dxfId="86" priority="74" operator="lessThan">
      <formula>0</formula>
    </cfRule>
    <cfRule type="cellIs" dxfId="85" priority="75" operator="between">
      <formula>0.000001</formula>
      <formula>50</formula>
    </cfRule>
    <cfRule type="cellIs" dxfId="84" priority="76" operator="equal">
      <formula>0</formula>
    </cfRule>
  </conditionalFormatting>
  <conditionalFormatting sqref="E16 J16:Q16">
    <cfRule type="cellIs" dxfId="83" priority="73" operator="equal">
      <formula>"Акты"</formula>
    </cfRule>
  </conditionalFormatting>
  <conditionalFormatting sqref="E16 J16:R16">
    <cfRule type="cellIs" dxfId="82" priority="71" operator="equal">
      <formula>"ДОГОВОР"</formula>
    </cfRule>
    <cfRule type="cellIs" dxfId="81" priority="72" operator="equal">
      <formula>"Акты"</formula>
    </cfRule>
  </conditionalFormatting>
  <conditionalFormatting sqref="E16 J16:Q16">
    <cfRule type="cellIs" dxfId="80" priority="70" operator="equal">
      <formula>"ДОГОВОР"</formula>
    </cfRule>
  </conditionalFormatting>
  <conditionalFormatting sqref="AA16">
    <cfRule type="cellIs" dxfId="79" priority="69" operator="equal">
      <formula>"служебка"</formula>
    </cfRule>
  </conditionalFormatting>
  <conditionalFormatting sqref="Z15">
    <cfRule type="cellIs" dxfId="78" priority="66" operator="lessThan">
      <formula>0</formula>
    </cfRule>
    <cfRule type="cellIs" dxfId="77" priority="67" operator="between">
      <formula>0.000001</formula>
      <formula>50</formula>
    </cfRule>
    <cfRule type="cellIs" dxfId="76" priority="68" operator="equal">
      <formula>0</formula>
    </cfRule>
  </conditionalFormatting>
  <conditionalFormatting sqref="E15 J15:Q15">
    <cfRule type="cellIs" dxfId="75" priority="65" operator="equal">
      <formula>"Акты"</formula>
    </cfRule>
  </conditionalFormatting>
  <conditionalFormatting sqref="E15 J15:R15">
    <cfRule type="cellIs" dxfId="74" priority="63" operator="equal">
      <formula>"ДОГОВОР"</formula>
    </cfRule>
    <cfRule type="cellIs" dxfId="73" priority="64" operator="equal">
      <formula>"Акты"</formula>
    </cfRule>
  </conditionalFormatting>
  <conditionalFormatting sqref="E15 J15:Q15">
    <cfRule type="cellIs" dxfId="72" priority="62" operator="equal">
      <formula>"ДОГОВОР"</formula>
    </cfRule>
  </conditionalFormatting>
  <conditionalFormatting sqref="AA15">
    <cfRule type="cellIs" dxfId="71" priority="61" operator="equal">
      <formula>"служебка"</formula>
    </cfRule>
  </conditionalFormatting>
  <conditionalFormatting sqref="C44:C45 C5:C6 C8:C11">
    <cfRule type="duplicateValues" dxfId="70" priority="291"/>
  </conditionalFormatting>
  <conditionalFormatting sqref="C44:C45">
    <cfRule type="duplicateValues" dxfId="69" priority="292"/>
  </conditionalFormatting>
  <conditionalFormatting sqref="C44:C45">
    <cfRule type="duplicateValues" dxfId="68" priority="293"/>
  </conditionalFormatting>
  <conditionalFormatting sqref="V20">
    <cfRule type="cellIs" dxfId="67" priority="60" operator="equal">
      <formula>0</formula>
    </cfRule>
  </conditionalFormatting>
  <conditionalFormatting sqref="Z19">
    <cfRule type="cellIs" dxfId="66" priority="57" operator="lessThan">
      <formula>0</formula>
    </cfRule>
    <cfRule type="cellIs" dxfId="65" priority="58" operator="between">
      <formula>0.000001</formula>
      <formula>50</formula>
    </cfRule>
    <cfRule type="cellIs" dxfId="64" priority="59" operator="equal">
      <formula>0</formula>
    </cfRule>
  </conditionalFormatting>
  <conditionalFormatting sqref="P19:Q19 E19 K19:N19">
    <cfRule type="cellIs" dxfId="63" priority="56" operator="equal">
      <formula>"Акты"</formula>
    </cfRule>
  </conditionalFormatting>
  <conditionalFormatting sqref="P19:R19 E19 K19:N19">
    <cfRule type="cellIs" dxfId="62" priority="54" operator="equal">
      <formula>"ДОГОВОР"</formula>
    </cfRule>
    <cfRule type="cellIs" dxfId="61" priority="55" operator="equal">
      <formula>"Акты"</formula>
    </cfRule>
  </conditionalFormatting>
  <conditionalFormatting sqref="P19:R19 K19:N19">
    <cfRule type="cellIs" dxfId="60" priority="53" operator="equal">
      <formula>"служебка"</formula>
    </cfRule>
  </conditionalFormatting>
  <conditionalFormatting sqref="P19:Q19 E19 K19:N19">
    <cfRule type="cellIs" dxfId="59" priority="52" operator="equal">
      <formula>"ДОГОВОР"</formula>
    </cfRule>
  </conditionalFormatting>
  <conditionalFormatting sqref="C19">
    <cfRule type="duplicateValues" dxfId="58" priority="51"/>
  </conditionalFormatting>
  <conditionalFormatting sqref="AA19">
    <cfRule type="cellIs" dxfId="57" priority="50" operator="equal">
      <formula>"служебка"</formula>
    </cfRule>
  </conditionalFormatting>
  <conditionalFormatting sqref="V19">
    <cfRule type="cellIs" dxfId="56" priority="49" operator="equal">
      <formula>0</formula>
    </cfRule>
  </conditionalFormatting>
  <conditionalFormatting sqref="V22">
    <cfRule type="cellIs" dxfId="55" priority="48" operator="equal">
      <formula>0</formula>
    </cfRule>
  </conditionalFormatting>
  <conditionalFormatting sqref="V16">
    <cfRule type="cellIs" dxfId="54" priority="47" operator="equal">
      <formula>0</formula>
    </cfRule>
  </conditionalFormatting>
  <conditionalFormatting sqref="V15">
    <cfRule type="cellIs" dxfId="53" priority="46" operator="equal">
      <formula>0</formula>
    </cfRule>
  </conditionalFormatting>
  <conditionalFormatting sqref="V35">
    <cfRule type="cellIs" dxfId="52" priority="45" operator="equal">
      <formula>0</formula>
    </cfRule>
  </conditionalFormatting>
  <conditionalFormatting sqref="V17">
    <cfRule type="cellIs" dxfId="51" priority="44" operator="equal">
      <formula>0</formula>
    </cfRule>
  </conditionalFormatting>
  <conditionalFormatting sqref="V32">
    <cfRule type="cellIs" dxfId="50" priority="43" operator="equal">
      <formula>0</formula>
    </cfRule>
  </conditionalFormatting>
  <conditionalFormatting sqref="C32">
    <cfRule type="duplicateValues" dxfId="49" priority="42"/>
  </conditionalFormatting>
  <conditionalFormatting sqref="Z32">
    <cfRule type="cellIs" dxfId="48" priority="39" operator="lessThan">
      <formula>0</formula>
    </cfRule>
    <cfRule type="cellIs" dxfId="47" priority="40" operator="between">
      <formula>0.000001</formula>
      <formula>50</formula>
    </cfRule>
    <cfRule type="cellIs" dxfId="46" priority="41" operator="equal">
      <formula>0</formula>
    </cfRule>
  </conditionalFormatting>
  <conditionalFormatting sqref="J32:Q32">
    <cfRule type="cellIs" dxfId="45" priority="38" operator="equal">
      <formula>"Акты"</formula>
    </cfRule>
  </conditionalFormatting>
  <conditionalFormatting sqref="J32:R32">
    <cfRule type="cellIs" dxfId="44" priority="36" operator="equal">
      <formula>"ДОГОВОР"</formula>
    </cfRule>
    <cfRule type="cellIs" dxfId="43" priority="37" operator="equal">
      <formula>"Акты"</formula>
    </cfRule>
  </conditionalFormatting>
  <conditionalFormatting sqref="J32:Q32">
    <cfRule type="cellIs" dxfId="42" priority="35" operator="equal">
      <formula>"ДОГОВОР"</formula>
    </cfRule>
  </conditionalFormatting>
  <conditionalFormatting sqref="E32">
    <cfRule type="cellIs" dxfId="41" priority="34" operator="equal">
      <formula>"Акты"</formula>
    </cfRule>
  </conditionalFormatting>
  <conditionalFormatting sqref="E32">
    <cfRule type="cellIs" dxfId="40" priority="32" operator="equal">
      <formula>"ДОГОВОР"</formula>
    </cfRule>
    <cfRule type="cellIs" dxfId="39" priority="33" operator="equal">
      <formula>"Акты"</formula>
    </cfRule>
  </conditionalFormatting>
  <conditionalFormatting sqref="E32">
    <cfRule type="cellIs" dxfId="38" priority="31" operator="equal">
      <formula>"служебка"</formula>
    </cfRule>
  </conditionalFormatting>
  <conditionalFormatting sqref="E32">
    <cfRule type="cellIs" dxfId="37" priority="30" operator="equal">
      <formula>"ДОГОВОР"</formula>
    </cfRule>
  </conditionalFormatting>
  <conditionalFormatting sqref="AA32">
    <cfRule type="cellIs" dxfId="36" priority="29" operator="equal">
      <formula>"служебка"</formula>
    </cfRule>
  </conditionalFormatting>
  <conditionalFormatting sqref="Z18">
    <cfRule type="cellIs" dxfId="35" priority="26" operator="lessThan">
      <formula>0</formula>
    </cfRule>
    <cfRule type="cellIs" dxfId="34" priority="27" operator="between">
      <formula>0.000001</formula>
      <formula>50</formula>
    </cfRule>
    <cfRule type="cellIs" dxfId="33" priority="28" operator="equal">
      <formula>0</formula>
    </cfRule>
  </conditionalFormatting>
  <conditionalFormatting sqref="P18:Q18 E18 K18 M18:N18">
    <cfRule type="cellIs" dxfId="32" priority="25" operator="equal">
      <formula>"Акты"</formula>
    </cfRule>
  </conditionalFormatting>
  <conditionalFormatting sqref="P18:R18 E18 K18 M18:N18">
    <cfRule type="cellIs" dxfId="31" priority="23" operator="equal">
      <formula>"ДОГОВОР"</formula>
    </cfRule>
    <cfRule type="cellIs" dxfId="30" priority="24" operator="equal">
      <formula>"Акты"</formula>
    </cfRule>
  </conditionalFormatting>
  <conditionalFormatting sqref="P18:R18 K18 M18:N18">
    <cfRule type="cellIs" dxfId="29" priority="22" operator="equal">
      <formula>"служебка"</formula>
    </cfRule>
  </conditionalFormatting>
  <conditionalFormatting sqref="P18:Q18 E18 K18 M18:N18">
    <cfRule type="cellIs" dxfId="28" priority="21" operator="equal">
      <formula>"ДОГОВОР"</formula>
    </cfRule>
  </conditionalFormatting>
  <conditionalFormatting sqref="AA18">
    <cfRule type="cellIs" dxfId="27" priority="20" operator="equal">
      <formula>"служебка"</formula>
    </cfRule>
  </conditionalFormatting>
  <conditionalFormatting sqref="V18">
    <cfRule type="cellIs" dxfId="26" priority="19" operator="equal">
      <formula>0</formula>
    </cfRule>
  </conditionalFormatting>
  <conditionalFormatting sqref="L18">
    <cfRule type="cellIs" dxfId="25" priority="18" operator="equal">
      <formula>"Акты"</formula>
    </cfRule>
  </conditionalFormatting>
  <conditionalFormatting sqref="L18">
    <cfRule type="cellIs" dxfId="24" priority="16" operator="equal">
      <formula>"ДОГОВОР"</formula>
    </cfRule>
    <cfRule type="cellIs" dxfId="23" priority="17" operator="equal">
      <formula>"Акты"</formula>
    </cfRule>
  </conditionalFormatting>
  <conditionalFormatting sqref="L18">
    <cfRule type="cellIs" dxfId="22" priority="15" operator="equal">
      <formula>"ДОГОВОР"</formula>
    </cfRule>
  </conditionalFormatting>
  <conditionalFormatting sqref="Z6">
    <cfRule type="cellIs" dxfId="21" priority="12" operator="lessThan">
      <formula>0</formula>
    </cfRule>
    <cfRule type="cellIs" dxfId="20" priority="13" operator="between">
      <formula>0.000001</formula>
      <formula>50</formula>
    </cfRule>
    <cfRule type="cellIs" dxfId="19" priority="14" operator="equal">
      <formula>0</formula>
    </cfRule>
  </conditionalFormatting>
  <conditionalFormatting sqref="Z5">
    <cfRule type="cellIs" dxfId="18" priority="9" operator="lessThan">
      <formula>0</formula>
    </cfRule>
    <cfRule type="cellIs" dxfId="17" priority="10" operator="between">
      <formula>0.000001</formula>
      <formula>50</formula>
    </cfRule>
    <cfRule type="cellIs" dxfId="16" priority="11" operator="equal">
      <formula>0</formula>
    </cfRule>
  </conditionalFormatting>
  <conditionalFormatting sqref="E1:Q1 E2 J2:L2 E3:Q3">
    <cfRule type="cellIs" dxfId="15" priority="5" operator="equal">
      <formula>"Акты"</formula>
    </cfRule>
  </conditionalFormatting>
  <conditionalFormatting sqref="E1:R1 E2 J2:L2 R2 E3:R3">
    <cfRule type="cellIs" dxfId="13" priority="3" operator="equal">
      <formula>"ДОГОВОР"</formula>
    </cfRule>
    <cfRule type="cellIs" dxfId="12" priority="4" operator="equal">
      <formula>"Акты"</formula>
    </cfRule>
  </conditionalFormatting>
  <conditionalFormatting sqref="E1:Q1 E2 J2:L2 E3:Q3">
    <cfRule type="cellIs" dxfId="9" priority="2" operator="equal">
      <formula>"ДОГОВОР"</formula>
    </cfRule>
  </conditionalFormatting>
  <conditionalFormatting sqref="AA1:AA3">
    <cfRule type="cellIs" dxfId="7" priority="1" operator="equal">
      <formula>"служебка"</formula>
    </cfRule>
  </conditionalFormatting>
  <conditionalFormatting sqref="C1:C3">
    <cfRule type="duplicateValues" dxfId="5" priority="6"/>
  </conditionalFormatting>
  <conditionalFormatting sqref="C1:C3">
    <cfRule type="duplicateValues" dxfId="3" priority="7"/>
  </conditionalFormatting>
  <conditionalFormatting sqref="C1:C3">
    <cfRule type="duplicateValues" dxfId="1" priority="8"/>
  </conditionalFormatting>
  <hyperlinks>
    <hyperlink ref="F1" display="ГрПиП"/>
    <hyperlink ref="G1" display="ИС"/>
    <hyperlink ref="H1" display="МиЕНД"/>
    <hyperlink ref="I1" display="Мн"/>
    <hyperlink ref="J1" location="'19-20'!D134" display="ПиП"/>
    <hyperlink ref="L1" display="РЧР"/>
    <hyperlink ref="M1" display="СГД"/>
    <hyperlink ref="N1" location="'19-20'!D210" display="ТиИГиП"/>
    <hyperlink ref="O1" location="'19-20'!D236" display="УПиП"/>
    <hyperlink ref="P1" display="ЭУР"/>
    <hyperlink ref="Q1" display="ФиК"/>
    <hyperlink ref="R1" display="ЭГХиСО"/>
    <hyperlink ref="E1" display="БУНиТД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2022-06-16T11:42:55Z</dcterms:modified>
</cp:coreProperties>
</file>