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MastersThesis\Calculation files\"/>
    </mc:Choice>
  </mc:AlternateContent>
  <bookViews>
    <workbookView xWindow="0" yWindow="0" windowWidth="38400" windowHeight="17700"/>
  </bookViews>
  <sheets>
    <sheet name="LED_3.2V" sheetId="1" r:id="rId1"/>
    <sheet name="LED_2.2V" sheetId="2" r:id="rId2"/>
    <sheet name="LED_3V" sheetId="3" r:id="rId3"/>
  </sheets>
  <calcPr calcId="162913" fullCalcOnLoad="1"/>
</workbook>
</file>

<file path=xl/calcChain.xml><?xml version="1.0" encoding="utf-8"?>
<calcChain xmlns="http://schemas.openxmlformats.org/spreadsheetml/2006/main">
  <c r="H54" i="3" l="1"/>
  <c r="J54" i="3" s="1"/>
  <c r="F26" i="3"/>
  <c r="F28" i="3" s="1"/>
  <c r="F22" i="3"/>
  <c r="F24" i="3" s="1"/>
  <c r="F20" i="3"/>
  <c r="H20" i="3" s="1"/>
  <c r="F16" i="3"/>
  <c r="F18" i="3" s="1"/>
  <c r="H18" i="3" s="1"/>
  <c r="H13" i="3"/>
  <c r="F13" i="3"/>
  <c r="H54" i="2"/>
  <c r="J54" i="2" s="1"/>
  <c r="F26" i="2"/>
  <c r="F28" i="2" s="1"/>
  <c r="F22" i="2"/>
  <c r="F24" i="2" s="1"/>
  <c r="F20" i="2"/>
  <c r="H20" i="2" s="1"/>
  <c r="F16" i="2"/>
  <c r="F18" i="2" s="1"/>
  <c r="H18" i="2" s="1"/>
  <c r="H21" i="2" s="1"/>
  <c r="F13" i="2"/>
  <c r="H13" i="2" s="1"/>
  <c r="H54" i="1"/>
  <c r="J54" i="1" s="1"/>
  <c r="F26" i="1"/>
  <c r="F28" i="1" s="1"/>
  <c r="F22" i="1"/>
  <c r="F24" i="1" s="1"/>
  <c r="F20" i="1"/>
  <c r="H20" i="1" s="1"/>
  <c r="F18" i="1"/>
  <c r="H18" i="1" s="1"/>
  <c r="F16" i="1"/>
  <c r="F13" i="1"/>
  <c r="H13" i="1" s="1"/>
  <c r="F34" i="1" l="1"/>
  <c r="F32" i="1"/>
  <c r="H51" i="1"/>
  <c r="F30" i="1"/>
  <c r="F34" i="3"/>
  <c r="F32" i="3"/>
  <c r="H51" i="3"/>
  <c r="F30" i="3"/>
  <c r="F34" i="2"/>
  <c r="F32" i="2"/>
  <c r="F30" i="2"/>
  <c r="H51" i="2"/>
  <c r="F36" i="3" l="1"/>
  <c r="F42" i="1"/>
  <c r="H42" i="1" s="1"/>
  <c r="G48" i="1"/>
  <c r="H50" i="1" s="1"/>
  <c r="F36" i="1"/>
  <c r="F38" i="1" s="1"/>
  <c r="H38" i="1" s="1"/>
  <c r="F42" i="3"/>
  <c r="H42" i="3" s="1"/>
  <c r="F38" i="3"/>
  <c r="H38" i="3" s="1"/>
  <c r="F42" i="2"/>
  <c r="H42" i="2" s="1"/>
  <c r="G48" i="2"/>
  <c r="H50" i="2" s="1"/>
  <c r="F36" i="2"/>
  <c r="F38" i="2" s="1"/>
  <c r="H38" i="2" s="1"/>
  <c r="H56" i="3" l="1"/>
  <c r="J56" i="3" s="1"/>
  <c r="F44" i="3"/>
  <c r="H56" i="1"/>
  <c r="J56" i="1" s="1"/>
  <c r="F44" i="1"/>
  <c r="F44" i="2"/>
  <c r="H56" i="2"/>
  <c r="J56" i="2" s="1"/>
  <c r="G48" i="3"/>
  <c r="H50" i="3" s="1"/>
</calcChain>
</file>

<file path=xl/sharedStrings.xml><?xml version="1.0" encoding="utf-8"?>
<sst xmlns="http://schemas.openxmlformats.org/spreadsheetml/2006/main" count="261" uniqueCount="58">
  <si>
    <t>Vin(min)</t>
  </si>
  <si>
    <t>Vin(max)</t>
  </si>
  <si>
    <t>Default config</t>
  </si>
  <si>
    <t>Led’s</t>
  </si>
  <si>
    <t>If</t>
  </si>
  <si>
    <t>Uf</t>
  </si>
  <si>
    <t>Fsw</t>
  </si>
  <si>
    <t>tw(off)</t>
  </si>
  <si>
    <t>V(ISET)</t>
  </si>
  <si>
    <t>A(ISET)</t>
  </si>
  <si>
    <t>V(LED)</t>
  </si>
  <si>
    <t>V</t>
  </si>
  <si>
    <t>V_OVPHI</t>
  </si>
  <si>
    <t>I_OVP</t>
  </si>
  <si>
    <t>A</t>
  </si>
  <si>
    <t>R(ISET) =</t>
  </si>
  <si>
    <t>Ohm</t>
  </si>
  <si>
    <t>kOhm</t>
  </si>
  <si>
    <t>ts(0ff)</t>
  </si>
  <si>
    <t>Wybrany R(ISET)</t>
  </si>
  <si>
    <t>Vd</t>
  </si>
  <si>
    <t>Sprawnosc</t>
  </si>
  <si>
    <t>%</t>
  </si>
  <si>
    <t>V_OUT(OVP)</t>
  </si>
  <si>
    <t>PWM_HZ</t>
  </si>
  <si>
    <t>Hz</t>
  </si>
  <si>
    <t>DIMM_MIN</t>
  </si>
  <si>
    <t>R_OVP1</t>
  </si>
  <si>
    <t>V_COUT</t>
  </si>
  <si>
    <t>I_IKG</t>
  </si>
  <si>
    <t>R_OVP2</t>
  </si>
  <si>
    <t>Wybrany R_OVP</t>
  </si>
  <si>
    <t>D(maxofboost)</t>
  </si>
  <si>
    <t>V_OUT(max)</t>
  </si>
  <si>
    <t>D(max)</t>
  </si>
  <si>
    <t>Max duty cycle</t>
  </si>
  <si>
    <t>I_IN(max)</t>
  </si>
  <si>
    <t>I_IN(min)</t>
  </si>
  <si>
    <t>Delta_IL(max)=</t>
  </si>
  <si>
    <t>L</t>
  </si>
  <si>
    <t>H</t>
  </si>
  <si>
    <t>uH</t>
  </si>
  <si>
    <t>Wybrana cewka</t>
  </si>
  <si>
    <t>Sprawdz czy I_IN(min) &gt; ½ * Delta_IL(max)</t>
  </si>
  <si>
    <t>Delta_I_L_used</t>
  </si>
  <si>
    <t>Req_Slope</t>
  </si>
  <si>
    <t>A/us</t>
  </si>
  <si>
    <t>Srawdz czy Req_Slope jest mneijszy od 3.73</t>
  </si>
  <si>
    <t>Inductor current rating</t>
  </si>
  <si>
    <t>Switching diode current rating</t>
  </si>
  <si>
    <t>Reverse voltage rating &gt; V_OUT(OVP)</t>
  </si>
  <si>
    <t>Diode leake current</t>
  </si>
  <si>
    <t>1-100uA</t>
  </si>
  <si>
    <t>Kondensator C_OUT</t>
  </si>
  <si>
    <t>F</t>
  </si>
  <si>
    <t>uF</t>
  </si>
  <si>
    <t>Kondensator C_IN</t>
  </si>
  <si>
    <t>R_1+R_2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</si>
</sst>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theme="1"/>
      <name val="Liberation Sans"/>
      <charset val="238"/>
    </font>
    <font>
      <sz val="10"/>
      <color theme="1"/>
      <name val="Liberation Sans"/>
      <charset val="238"/>
    </font>
    <font>
      <b/>
      <sz val="10"/>
      <color theme="1"/>
      <name val="Liberation Sans"/>
      <charset val="238"/>
    </font>
    <font>
      <b/>
      <sz val="10"/>
      <color rgb="FFFFFFFF"/>
      <name val="Liberation Sans"/>
      <charset val="238"/>
    </font>
    <font>
      <sz val="10"/>
      <color rgb="FFCC0000"/>
      <name val="Liberation Sans"/>
      <charset val="238"/>
    </font>
    <font>
      <i/>
      <sz val="10"/>
      <color rgb="FF808080"/>
      <name val="Liberation Sans"/>
      <charset val="238"/>
    </font>
    <font>
      <sz val="10"/>
      <color rgb="FF006600"/>
      <name val="Liberation Sans"/>
      <charset val="238"/>
    </font>
    <font>
      <b/>
      <sz val="24"/>
      <color rgb="FF000000"/>
      <name val="Liberation Sans"/>
      <charset val="238"/>
    </font>
    <font>
      <b/>
      <sz val="18"/>
      <color rgb="FF000000"/>
      <name val="Liberation Sans"/>
      <charset val="238"/>
    </font>
    <font>
      <b/>
      <sz val="12"/>
      <color rgb="FF000000"/>
      <name val="Liberation Sans"/>
      <charset val="238"/>
    </font>
    <font>
      <u/>
      <sz val="10"/>
      <color rgb="FF0000EE"/>
      <name val="Liberation Sans"/>
      <charset val="238"/>
    </font>
    <font>
      <sz val="10"/>
      <color rgb="FF996600"/>
      <name val="Liberation Sans"/>
      <charset val="238"/>
    </font>
    <font>
      <sz val="10"/>
      <color rgb="FF333333"/>
      <name val="Liberation Sans"/>
      <charset val="238"/>
    </font>
    <font>
      <b/>
      <i/>
      <u/>
      <sz val="10"/>
      <color theme="1"/>
      <name val="Liberation Sans"/>
      <charset val="238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3FAF46"/>
        <bgColor rgb="FF3FAF46"/>
      </patternFill>
    </fill>
    <fill>
      <patternFill patternType="solid">
        <fgColor rgb="FF77BC65"/>
        <bgColor rgb="FF77BC65"/>
      </patternFill>
    </fill>
    <fill>
      <patternFill patternType="solid">
        <fgColor rgb="FFFF972F"/>
        <bgColor rgb="FFFF972F"/>
      </patternFill>
    </fill>
    <fill>
      <patternFill patternType="solid">
        <fgColor rgb="FF069A2E"/>
        <bgColor rgb="FF069A2E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1" fillId="0" borderId="0" applyNumberFormat="0" applyFont="0" applyFill="0" applyBorder="0" applyAlignment="0" applyProtection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20">
    <cellStyle name="Accent" xfId="1"/>
    <cellStyle name="Accent 1" xfId="2"/>
    <cellStyle name="Accent 2" xfId="3"/>
    <cellStyle name="Accent 3" xfId="4"/>
    <cellStyle name="Bad" xfId="5"/>
    <cellStyle name="Default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4"/>
    <cellStyle name="Normalny" xfId="0" builtinId="0" customBuiltin="1"/>
    <cellStyle name="Note" xfId="15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workbookViewId="0"/>
  </sheetViews>
  <sheetFormatPr defaultRowHeight="12.75"/>
  <cols>
    <col min="1" max="16" width="12.140625" customWidth="1"/>
  </cols>
  <sheetData>
    <row r="1" spans="1:16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>
      <c r="A2" t="s">
        <v>0</v>
      </c>
      <c r="B2">
        <v>12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>
      <c r="A3" t="s">
        <v>1</v>
      </c>
      <c r="B3">
        <v>12</v>
      </c>
      <c r="C3"/>
      <c r="D3"/>
      <c r="E3"/>
      <c r="F3"/>
      <c r="G3"/>
      <c r="H3"/>
      <c r="I3"/>
      <c r="J3"/>
      <c r="K3"/>
      <c r="L3"/>
      <c r="M3"/>
      <c r="N3" t="s">
        <v>2</v>
      </c>
      <c r="O3"/>
      <c r="P3">
        <v>5</v>
      </c>
    </row>
    <row r="4" spans="1:16">
      <c r="A4" t="s">
        <v>3</v>
      </c>
      <c r="B4">
        <v>8</v>
      </c>
      <c r="C4"/>
      <c r="D4"/>
      <c r="E4"/>
      <c r="F4"/>
      <c r="G4"/>
      <c r="H4"/>
      <c r="I4"/>
      <c r="J4"/>
      <c r="K4"/>
      <c r="L4"/>
      <c r="M4"/>
      <c r="N4"/>
      <c r="O4"/>
      <c r="P4">
        <v>16</v>
      </c>
    </row>
    <row r="5" spans="1:16">
      <c r="A5" t="s">
        <v>4</v>
      </c>
      <c r="B5">
        <v>0.15</v>
      </c>
      <c r="C5"/>
      <c r="D5"/>
      <c r="E5"/>
      <c r="F5"/>
      <c r="G5"/>
      <c r="H5"/>
      <c r="I5"/>
      <c r="J5"/>
      <c r="K5"/>
      <c r="L5"/>
      <c r="M5"/>
      <c r="N5"/>
      <c r="O5"/>
      <c r="P5">
        <v>6</v>
      </c>
    </row>
    <row r="6" spans="1:16">
      <c r="A6" t="s">
        <v>5</v>
      </c>
      <c r="B6">
        <v>3.2</v>
      </c>
      <c r="C6"/>
      <c r="D6"/>
      <c r="E6"/>
      <c r="F6"/>
      <c r="G6"/>
      <c r="H6"/>
      <c r="I6"/>
      <c r="J6"/>
      <c r="K6"/>
      <c r="L6"/>
      <c r="M6"/>
      <c r="N6"/>
      <c r="O6"/>
      <c r="P6">
        <v>0.12</v>
      </c>
    </row>
    <row r="7" spans="1:16">
      <c r="A7" t="s">
        <v>6</v>
      </c>
      <c r="B7">
        <v>2000000</v>
      </c>
      <c r="C7"/>
      <c r="D7"/>
      <c r="E7"/>
      <c r="F7"/>
      <c r="G7"/>
      <c r="H7"/>
      <c r="I7"/>
      <c r="J7"/>
      <c r="K7"/>
      <c r="L7"/>
      <c r="M7"/>
      <c r="N7"/>
      <c r="O7"/>
      <c r="P7">
        <v>3.2</v>
      </c>
    </row>
    <row r="8" spans="1:16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>
        <v>2000000</v>
      </c>
    </row>
    <row r="9" spans="1:16">
      <c r="A9" t="s">
        <v>8</v>
      </c>
      <c r="B9">
        <v>1.0029999999999999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6">
      <c r="A10" t="s">
        <v>9</v>
      </c>
      <c r="B10">
        <v>1045</v>
      </c>
      <c r="C10"/>
      <c r="D10"/>
      <c r="E10"/>
      <c r="F10"/>
      <c r="G10"/>
      <c r="H10"/>
      <c r="I10"/>
      <c r="J10"/>
      <c r="K10"/>
      <c r="L10"/>
      <c r="M10"/>
      <c r="N10"/>
      <c r="O10"/>
      <c r="P10">
        <v>1.0029999999999999</v>
      </c>
    </row>
    <row r="11" spans="1:16">
      <c r="A11" t="s">
        <v>10</v>
      </c>
      <c r="B11">
        <v>0.88</v>
      </c>
      <c r="C11" t="s">
        <v>11</v>
      </c>
      <c r="D11"/>
      <c r="E11"/>
      <c r="F11"/>
      <c r="G11"/>
      <c r="H11"/>
      <c r="I11"/>
      <c r="J11"/>
      <c r="K11"/>
      <c r="L11"/>
      <c r="M11"/>
      <c r="N11"/>
      <c r="O11"/>
      <c r="P11">
        <v>1045</v>
      </c>
    </row>
    <row r="12" spans="1:16">
      <c r="A12" t="s">
        <v>12</v>
      </c>
      <c r="B12">
        <v>1.218</v>
      </c>
      <c r="C12" t="s">
        <v>11</v>
      </c>
      <c r="D12"/>
      <c r="E12"/>
      <c r="F12"/>
      <c r="G12"/>
      <c r="H12"/>
      <c r="I12"/>
      <c r="J12"/>
      <c r="K12"/>
      <c r="L12"/>
      <c r="M12"/>
      <c r="N12"/>
      <c r="O12"/>
      <c r="P12">
        <v>0.88</v>
      </c>
    </row>
    <row r="13" spans="1:16">
      <c r="A13" t="s">
        <v>13</v>
      </c>
      <c r="B13">
        <v>5.0000000000000002E-5</v>
      </c>
      <c r="C13" t="s">
        <v>14</v>
      </c>
      <c r="D13"/>
      <c r="E13" t="s">
        <v>15</v>
      </c>
      <c r="F13">
        <f>(B9*B10)/B5</f>
        <v>6987.5666666666666</v>
      </c>
      <c r="G13" t="s">
        <v>16</v>
      </c>
      <c r="H13">
        <f>F13/1000</f>
        <v>6.9875666666666669</v>
      </c>
      <c r="I13" t="s">
        <v>17</v>
      </c>
      <c r="J13"/>
      <c r="K13"/>
      <c r="L13"/>
      <c r="M13"/>
      <c r="N13"/>
      <c r="O13"/>
      <c r="P13">
        <v>1.218</v>
      </c>
    </row>
    <row r="14" spans="1:16">
      <c r="A14" t="s">
        <v>18</v>
      </c>
      <c r="B14">
        <v>8.4999999999999994E-8</v>
      </c>
      <c r="C14"/>
      <c r="D14"/>
      <c r="E14" t="s">
        <v>19</v>
      </c>
      <c r="F14"/>
      <c r="G14"/>
      <c r="H14">
        <v>6.8</v>
      </c>
      <c r="I14" t="s">
        <v>17</v>
      </c>
      <c r="J14"/>
      <c r="K14"/>
      <c r="L14"/>
      <c r="M14"/>
      <c r="N14"/>
      <c r="O14"/>
      <c r="P14">
        <v>5.0000000000000002E-5</v>
      </c>
    </row>
    <row r="15" spans="1:16">
      <c r="A15" t="s">
        <v>20</v>
      </c>
      <c r="B15">
        <v>0.47</v>
      </c>
      <c r="C15" t="s">
        <v>11</v>
      </c>
      <c r="D15"/>
      <c r="E15"/>
      <c r="F15"/>
      <c r="G15"/>
      <c r="H15"/>
      <c r="I15"/>
      <c r="J15"/>
      <c r="K15"/>
      <c r="L15"/>
      <c r="M15"/>
      <c r="N15"/>
      <c r="O15"/>
      <c r="P15">
        <v>8.4999999999999994E-8</v>
      </c>
    </row>
    <row r="16" spans="1:16">
      <c r="A16" t="s">
        <v>21</v>
      </c>
      <c r="B16">
        <v>0.9</v>
      </c>
      <c r="C16" t="s">
        <v>22</v>
      </c>
      <c r="D16"/>
      <c r="E16" t="s">
        <v>23</v>
      </c>
      <c r="F16">
        <f>(B4*B6)+B11+2</f>
        <v>28.48</v>
      </c>
      <c r="G16" t="s">
        <v>11</v>
      </c>
      <c r="H16"/>
      <c r="I16"/>
      <c r="J16"/>
      <c r="K16"/>
      <c r="L16"/>
      <c r="M16"/>
      <c r="N16"/>
      <c r="O16"/>
      <c r="P16">
        <v>0.4</v>
      </c>
    </row>
    <row r="17" spans="1:16">
      <c r="A17" t="s">
        <v>24</v>
      </c>
      <c r="B17">
        <v>200</v>
      </c>
      <c r="C17" t="s">
        <v>25</v>
      </c>
      <c r="D17"/>
      <c r="E17"/>
      <c r="F17"/>
      <c r="G17"/>
      <c r="H17"/>
      <c r="I17"/>
      <c r="J17"/>
      <c r="K17"/>
      <c r="L17"/>
      <c r="M17"/>
      <c r="N17"/>
      <c r="O17"/>
      <c r="P17">
        <v>0.9</v>
      </c>
    </row>
    <row r="18" spans="1:16">
      <c r="A18" t="s">
        <v>26</v>
      </c>
      <c r="B18">
        <v>0.01</v>
      </c>
      <c r="C18" t="s">
        <v>22</v>
      </c>
      <c r="D18"/>
      <c r="E18" t="s">
        <v>27</v>
      </c>
      <c r="F18">
        <f>(F16-B12)/B13</f>
        <v>545240</v>
      </c>
      <c r="G18" t="s">
        <v>16</v>
      </c>
      <c r="H18">
        <f>F18/1000</f>
        <v>545.24</v>
      </c>
      <c r="I18" t="s">
        <v>17</v>
      </c>
      <c r="J18"/>
      <c r="K18"/>
      <c r="L18"/>
      <c r="M18"/>
      <c r="N18"/>
      <c r="O18"/>
      <c r="P18">
        <v>200</v>
      </c>
    </row>
    <row r="19" spans="1:16">
      <c r="A19" t="s">
        <v>28</v>
      </c>
      <c r="B19">
        <v>0.25</v>
      </c>
      <c r="C19" t="s">
        <v>11</v>
      </c>
      <c r="D19"/>
      <c r="E19"/>
      <c r="F19"/>
      <c r="G19"/>
      <c r="H19"/>
      <c r="I19"/>
      <c r="J19"/>
      <c r="K19"/>
      <c r="L19"/>
      <c r="M19"/>
      <c r="N19"/>
      <c r="O19"/>
      <c r="P19">
        <v>0.01</v>
      </c>
    </row>
    <row r="20" spans="1:16">
      <c r="A20" t="s">
        <v>29</v>
      </c>
      <c r="B20">
        <v>1.2E-4</v>
      </c>
      <c r="C20" t="s">
        <v>14</v>
      </c>
      <c r="D20"/>
      <c r="E20" t="s">
        <v>30</v>
      </c>
      <c r="F20">
        <f>B12/B13</f>
        <v>24360</v>
      </c>
      <c r="G20" t="s">
        <v>16</v>
      </c>
      <c r="H20">
        <f>F20/1000</f>
        <v>24.36</v>
      </c>
      <c r="I20" t="s">
        <v>17</v>
      </c>
      <c r="J20"/>
      <c r="K20"/>
      <c r="L20"/>
      <c r="M20"/>
      <c r="N20"/>
      <c r="O20"/>
      <c r="P20">
        <v>0.25</v>
      </c>
    </row>
    <row r="21" spans="1:16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>
        <v>1.2E-4</v>
      </c>
    </row>
    <row r="22" spans="1:16">
      <c r="A22"/>
      <c r="B22"/>
      <c r="C22"/>
      <c r="D22"/>
      <c r="E22" t="s">
        <v>31</v>
      </c>
      <c r="F22">
        <f>H22*1000</f>
        <v>560000</v>
      </c>
      <c r="G22" t="s">
        <v>16</v>
      </c>
      <c r="H22">
        <v>560</v>
      </c>
      <c r="I22" t="s">
        <v>17</v>
      </c>
      <c r="J22"/>
      <c r="K22"/>
      <c r="L22"/>
      <c r="M22"/>
      <c r="N22"/>
      <c r="O22"/>
      <c r="P22"/>
    </row>
    <row r="23" spans="1:16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>
      <c r="A24"/>
      <c r="B24"/>
      <c r="C24"/>
      <c r="D24"/>
      <c r="E24" t="s">
        <v>23</v>
      </c>
      <c r="F24">
        <f>(F22*B13)+B12</f>
        <v>29.218</v>
      </c>
      <c r="G24" t="s">
        <v>11</v>
      </c>
      <c r="H24"/>
      <c r="I24"/>
      <c r="J24"/>
      <c r="K24"/>
      <c r="L24"/>
      <c r="M24"/>
      <c r="N24"/>
      <c r="O24"/>
      <c r="P24"/>
    </row>
    <row r="25" spans="1:16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>
      <c r="A26"/>
      <c r="B26"/>
      <c r="C26"/>
      <c r="D26"/>
      <c r="E26" t="s">
        <v>32</v>
      </c>
      <c r="F26">
        <f>1-(B14*B7)</f>
        <v>0.83000000000000007</v>
      </c>
      <c r="G26" t="s">
        <v>22</v>
      </c>
      <c r="H26"/>
      <c r="I26"/>
      <c r="J26"/>
      <c r="K26"/>
      <c r="L26"/>
      <c r="M26"/>
      <c r="N26"/>
      <c r="O26"/>
      <c r="P26"/>
    </row>
    <row r="27" spans="1:16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>
      <c r="A28"/>
      <c r="B28"/>
      <c r="C28"/>
      <c r="D28"/>
      <c r="E28" t="s">
        <v>33</v>
      </c>
      <c r="F28">
        <f>(B2/(1-F26))+B15</f>
        <v>71.058235294117679</v>
      </c>
      <c r="G28" t="s">
        <v>11</v>
      </c>
      <c r="H28"/>
      <c r="I28"/>
      <c r="J28"/>
      <c r="K28"/>
      <c r="L28"/>
      <c r="M28"/>
      <c r="N28"/>
      <c r="O28"/>
      <c r="P28"/>
    </row>
    <row r="29" spans="1:16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>
      <c r="A30"/>
      <c r="B30"/>
      <c r="C30"/>
      <c r="D30"/>
      <c r="E30" t="s">
        <v>34</v>
      </c>
      <c r="F30">
        <f>1- (B2/(F24+B15))</f>
        <v>0.59579628132578821</v>
      </c>
      <c r="G30" t="s">
        <v>22</v>
      </c>
      <c r="H30" t="s">
        <v>35</v>
      </c>
      <c r="I30"/>
      <c r="J30"/>
      <c r="K30"/>
      <c r="L30"/>
      <c r="M30"/>
      <c r="N30"/>
      <c r="O30"/>
      <c r="P30"/>
    </row>
    <row r="31" spans="1:16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>
      <c r="A32"/>
      <c r="B32"/>
      <c r="C32"/>
      <c r="D32"/>
      <c r="E32" t="s">
        <v>36</v>
      </c>
      <c r="F32">
        <f>(F24*B5)/(B2*B16)</f>
        <v>0.40580555555555553</v>
      </c>
      <c r="G32" t="s">
        <v>14</v>
      </c>
      <c r="H32"/>
      <c r="I32"/>
      <c r="J32"/>
      <c r="K32"/>
      <c r="L32"/>
      <c r="M32"/>
      <c r="N32"/>
      <c r="O32"/>
      <c r="P32"/>
    </row>
    <row r="33" spans="1:16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>
      <c r="A34"/>
      <c r="B34"/>
      <c r="C34"/>
      <c r="D34"/>
      <c r="E34" t="s">
        <v>37</v>
      </c>
      <c r="F34">
        <f>(F24*B5)/(B3*B16)</f>
        <v>0.40580555555555553</v>
      </c>
      <c r="G34" t="s">
        <v>14</v>
      </c>
      <c r="H34"/>
      <c r="I34"/>
      <c r="J34"/>
      <c r="K34"/>
      <c r="L34"/>
      <c r="M34"/>
      <c r="N34"/>
      <c r="O34"/>
      <c r="P34"/>
    </row>
    <row r="35" spans="1:16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>
      <c r="A36"/>
      <c r="B36"/>
      <c r="C36"/>
      <c r="D36"/>
      <c r="E36" t="s">
        <v>38</v>
      </c>
      <c r="F36">
        <f>F32*0.3</f>
        <v>0.12174166666666665</v>
      </c>
      <c r="G36" t="s">
        <v>14</v>
      </c>
      <c r="H36"/>
      <c r="I36"/>
      <c r="J36"/>
      <c r="K36"/>
      <c r="L36"/>
      <c r="M36"/>
      <c r="N36"/>
      <c r="O36"/>
      <c r="P36"/>
    </row>
    <row r="37" spans="1:16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>
      <c r="A38"/>
      <c r="B38"/>
      <c r="C38"/>
      <c r="D38"/>
      <c r="E38" t="s">
        <v>39</v>
      </c>
      <c r="F38">
        <f>(B2*F30)/(F36*B7)</f>
        <v>2.9363633551548192E-5</v>
      </c>
      <c r="G38" t="s">
        <v>40</v>
      </c>
      <c r="H38">
        <f>F38*1000*1000</f>
        <v>29.363633551548194</v>
      </c>
      <c r="I38" t="s">
        <v>41</v>
      </c>
      <c r="J38"/>
      <c r="K38"/>
      <c r="L38"/>
      <c r="M38"/>
      <c r="N38"/>
      <c r="O38"/>
      <c r="P38"/>
    </row>
    <row r="39" spans="1:16">
      <c r="A39"/>
      <c r="B39"/>
      <c r="C39"/>
      <c r="D39"/>
      <c r="E39" t="s">
        <v>42</v>
      </c>
      <c r="F39"/>
      <c r="G39"/>
      <c r="H39">
        <v>30</v>
      </c>
      <c r="I39" t="s">
        <v>41</v>
      </c>
      <c r="J39"/>
      <c r="K39"/>
      <c r="L39"/>
      <c r="M39"/>
      <c r="N39"/>
      <c r="O39"/>
      <c r="P39"/>
    </row>
    <row r="40" spans="1:16">
      <c r="A40"/>
      <c r="B40"/>
      <c r="C40"/>
      <c r="D40"/>
      <c r="E40" t="s">
        <v>43</v>
      </c>
      <c r="F40"/>
      <c r="G40"/>
      <c r="H40"/>
      <c r="I40"/>
      <c r="J40"/>
      <c r="K40"/>
      <c r="L40"/>
      <c r="M40"/>
      <c r="N40"/>
      <c r="O40"/>
      <c r="P40"/>
    </row>
    <row r="41" spans="1:16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>
      <c r="A42"/>
      <c r="B42"/>
      <c r="C42"/>
      <c r="D42"/>
      <c r="E42" t="s">
        <v>44</v>
      </c>
      <c r="F42">
        <f>(B2*F30)/(H39*B7)</f>
        <v>1.1915925626515765E-7</v>
      </c>
      <c r="G42"/>
      <c r="H42">
        <f>F42*1000*1000</f>
        <v>0.11915925626515764</v>
      </c>
      <c r="I42" t="s">
        <v>14</v>
      </c>
      <c r="J42"/>
      <c r="K42"/>
      <c r="L42"/>
      <c r="M42"/>
      <c r="N42"/>
      <c r="O42"/>
      <c r="P42"/>
    </row>
    <row r="43" spans="1:16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>
      <c r="A44"/>
      <c r="B44"/>
      <c r="C44"/>
      <c r="D44"/>
      <c r="E44" t="s">
        <v>45</v>
      </c>
      <c r="F44">
        <f>(H42*(10^-6))/((1/B7)*(1-F30))</f>
        <v>0.58960000000000001</v>
      </c>
      <c r="G44" t="s">
        <v>46</v>
      </c>
      <c r="H44"/>
      <c r="I44"/>
      <c r="J44"/>
      <c r="K44"/>
      <c r="L44"/>
      <c r="M44"/>
      <c r="N44"/>
      <c r="O44"/>
      <c r="P44"/>
    </row>
    <row r="45" spans="1:16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>
      <c r="A46"/>
      <c r="B46"/>
      <c r="C46"/>
      <c r="D46"/>
      <c r="E46" t="s">
        <v>47</v>
      </c>
      <c r="F46"/>
      <c r="G46"/>
      <c r="H46"/>
      <c r="I46"/>
      <c r="J46"/>
      <c r="K46"/>
      <c r="L46"/>
      <c r="M46"/>
      <c r="N46"/>
      <c r="O46"/>
      <c r="P46"/>
    </row>
    <row r="47" spans="1:16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>
      <c r="A48"/>
      <c r="B48"/>
      <c r="C48"/>
      <c r="D48"/>
      <c r="E48" t="s">
        <v>48</v>
      </c>
      <c r="F48"/>
      <c r="G48">
        <f>F32+(H42/2)</f>
        <v>0.46538518368813436</v>
      </c>
      <c r="H48" t="s">
        <v>14</v>
      </c>
      <c r="I48"/>
      <c r="J48"/>
      <c r="K48"/>
      <c r="L48"/>
      <c r="M48"/>
      <c r="N48"/>
      <c r="O48"/>
      <c r="P48"/>
    </row>
    <row r="49" spans="1:16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>
      <c r="A50"/>
      <c r="B50"/>
      <c r="C50"/>
      <c r="D50"/>
      <c r="E50" t="s">
        <v>49</v>
      </c>
      <c r="F50"/>
      <c r="G50"/>
      <c r="H50">
        <f>G48</f>
        <v>0.46538518368813436</v>
      </c>
      <c r="I50" t="s">
        <v>14</v>
      </c>
      <c r="J50"/>
      <c r="K50"/>
      <c r="L50"/>
      <c r="M50"/>
      <c r="N50"/>
      <c r="O50"/>
      <c r="P50"/>
    </row>
    <row r="51" spans="1:16">
      <c r="A51"/>
      <c r="B51"/>
      <c r="C51"/>
      <c r="D51"/>
      <c r="E51" t="s">
        <v>50</v>
      </c>
      <c r="F51"/>
      <c r="G51"/>
      <c r="H51">
        <f>F24</f>
        <v>29.218</v>
      </c>
      <c r="I51" t="s">
        <v>11</v>
      </c>
      <c r="J51"/>
      <c r="K51"/>
      <c r="L51"/>
      <c r="M51"/>
      <c r="N51"/>
      <c r="O51"/>
      <c r="P51"/>
    </row>
    <row r="52" spans="1:16">
      <c r="A52"/>
      <c r="B52"/>
      <c r="C52"/>
      <c r="D52"/>
      <c r="E52" t="s">
        <v>51</v>
      </c>
      <c r="F52"/>
      <c r="G52"/>
      <c r="H52" t="s">
        <v>52</v>
      </c>
      <c r="I52"/>
      <c r="J52"/>
      <c r="K52"/>
      <c r="L52"/>
      <c r="M52"/>
      <c r="N52"/>
      <c r="O52"/>
      <c r="P52"/>
    </row>
    <row r="53" spans="1:16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>
      <c r="A54"/>
      <c r="B54"/>
      <c r="C54"/>
      <c r="D54"/>
      <c r="E54" t="s">
        <v>53</v>
      </c>
      <c r="F54"/>
      <c r="G54"/>
      <c r="H54">
        <f>B20*((1-B18)/(B17*B19))</f>
        <v>2.3759999999999998E-6</v>
      </c>
      <c r="I54" t="s">
        <v>54</v>
      </c>
      <c r="J54">
        <f>H54*1000*1000</f>
        <v>2.3759999999999994</v>
      </c>
      <c r="K54" t="s">
        <v>55</v>
      </c>
      <c r="L54"/>
      <c r="M54"/>
      <c r="N54"/>
      <c r="O54"/>
      <c r="P54"/>
    </row>
    <row r="55" spans="1:16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>
      <c r="A56"/>
      <c r="B56"/>
      <c r="C56"/>
      <c r="D56"/>
      <c r="E56" t="s">
        <v>56</v>
      </c>
      <c r="F56"/>
      <c r="G56"/>
      <c r="H56">
        <f>H42/(8*B7*B2*0.01)</f>
        <v>6.206211263810294E-8</v>
      </c>
      <c r="I56" t="s">
        <v>54</v>
      </c>
      <c r="J56">
        <f>H56*1000*1000</f>
        <v>6.2062112638102934E-2</v>
      </c>
      <c r="K56" t="s">
        <v>55</v>
      </c>
      <c r="L56"/>
      <c r="M56"/>
      <c r="N56"/>
      <c r="O56"/>
      <c r="P56"/>
    </row>
  </sheetData>
  <pageMargins left="0" right="0" top="0.39370078740157483" bottom="0.39370078740157483" header="0" footer="0"/>
  <headerFooter>
    <oddHeader>&amp;C&amp;A</oddHeader>
    <oddFooter>&amp;CStrona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workbookViewId="0"/>
  </sheetViews>
  <sheetFormatPr defaultRowHeight="12.75"/>
  <cols>
    <col min="1" max="4" width="12.140625" customWidth="1"/>
    <col min="5" max="5" width="19.85546875" customWidth="1"/>
    <col min="6" max="16" width="12.140625" customWidth="1"/>
  </cols>
  <sheetData>
    <row r="1" spans="1:16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>
      <c r="A2" s="1" t="s">
        <v>0</v>
      </c>
      <c r="B2" s="2">
        <v>12</v>
      </c>
      <c r="C2" s="1" t="s">
        <v>11</v>
      </c>
      <c r="D2"/>
      <c r="E2"/>
      <c r="F2"/>
      <c r="G2"/>
      <c r="H2"/>
      <c r="I2"/>
      <c r="J2"/>
      <c r="K2"/>
      <c r="L2"/>
      <c r="M2"/>
      <c r="N2"/>
      <c r="O2"/>
      <c r="P2"/>
    </row>
    <row r="3" spans="1:16">
      <c r="A3" s="1" t="s">
        <v>1</v>
      </c>
      <c r="B3" s="2">
        <v>12</v>
      </c>
      <c r="C3" s="1" t="s">
        <v>11</v>
      </c>
      <c r="D3"/>
      <c r="E3"/>
      <c r="F3"/>
      <c r="G3"/>
      <c r="H3"/>
      <c r="I3"/>
      <c r="J3"/>
      <c r="K3"/>
      <c r="L3"/>
      <c r="M3"/>
      <c r="N3" t="s">
        <v>2</v>
      </c>
      <c r="O3"/>
      <c r="P3">
        <v>5</v>
      </c>
    </row>
    <row r="4" spans="1:16">
      <c r="A4" s="1" t="s">
        <v>3</v>
      </c>
      <c r="B4" s="2">
        <v>8</v>
      </c>
      <c r="C4" s="1"/>
      <c r="D4"/>
      <c r="E4"/>
      <c r="F4"/>
      <c r="G4"/>
      <c r="H4"/>
      <c r="I4"/>
      <c r="J4"/>
      <c r="K4"/>
      <c r="L4"/>
      <c r="M4"/>
      <c r="N4"/>
      <c r="O4"/>
      <c r="P4">
        <v>16</v>
      </c>
    </row>
    <row r="5" spans="1:16">
      <c r="A5" s="1" t="s">
        <v>4</v>
      </c>
      <c r="B5" s="2">
        <v>0.15</v>
      </c>
      <c r="C5" s="1" t="s">
        <v>14</v>
      </c>
      <c r="D5"/>
      <c r="E5"/>
      <c r="F5"/>
      <c r="G5"/>
      <c r="H5"/>
      <c r="I5"/>
      <c r="J5"/>
      <c r="K5"/>
      <c r="L5"/>
      <c r="M5"/>
      <c r="N5"/>
      <c r="O5"/>
      <c r="P5">
        <v>6</v>
      </c>
    </row>
    <row r="6" spans="1:16">
      <c r="A6" s="1" t="s">
        <v>5</v>
      </c>
      <c r="B6" s="2">
        <v>2.2000000000000002</v>
      </c>
      <c r="C6" s="1"/>
      <c r="D6"/>
      <c r="E6"/>
      <c r="F6"/>
      <c r="G6"/>
      <c r="H6"/>
      <c r="I6"/>
      <c r="J6"/>
      <c r="K6"/>
      <c r="L6"/>
      <c r="M6"/>
      <c r="N6"/>
      <c r="O6"/>
      <c r="P6">
        <v>0.12</v>
      </c>
    </row>
    <row r="7" spans="1:16">
      <c r="A7" s="1" t="s">
        <v>6</v>
      </c>
      <c r="B7" s="2">
        <v>2000000</v>
      </c>
      <c r="C7" s="1" t="s">
        <v>25</v>
      </c>
      <c r="D7"/>
      <c r="E7"/>
      <c r="F7"/>
      <c r="G7"/>
      <c r="H7"/>
      <c r="I7"/>
      <c r="J7"/>
      <c r="K7"/>
      <c r="L7"/>
      <c r="M7"/>
      <c r="N7"/>
      <c r="O7"/>
      <c r="P7">
        <v>3.2</v>
      </c>
    </row>
    <row r="8" spans="1:16">
      <c r="A8" s="1" t="s">
        <v>7</v>
      </c>
      <c r="B8" s="2"/>
      <c r="C8" s="1"/>
      <c r="D8"/>
      <c r="E8"/>
      <c r="F8"/>
      <c r="G8"/>
      <c r="H8"/>
      <c r="I8"/>
      <c r="J8"/>
      <c r="K8"/>
      <c r="L8"/>
      <c r="M8"/>
      <c r="N8"/>
      <c r="O8"/>
      <c r="P8">
        <v>2000000</v>
      </c>
    </row>
    <row r="9" spans="1:16">
      <c r="A9" s="1" t="s">
        <v>8</v>
      </c>
      <c r="B9" s="2">
        <v>1.0029999999999999</v>
      </c>
      <c r="C9" s="1"/>
      <c r="D9"/>
      <c r="E9"/>
      <c r="F9"/>
      <c r="G9"/>
      <c r="H9"/>
      <c r="I9"/>
      <c r="J9"/>
      <c r="K9"/>
      <c r="L9"/>
      <c r="M9"/>
      <c r="N9"/>
      <c r="O9"/>
      <c r="P9"/>
    </row>
    <row r="10" spans="1:16">
      <c r="A10" s="1" t="s">
        <v>9</v>
      </c>
      <c r="B10" s="2">
        <v>1045</v>
      </c>
      <c r="C10" s="1"/>
      <c r="D10"/>
      <c r="E10"/>
      <c r="F10"/>
      <c r="G10"/>
      <c r="H10"/>
      <c r="I10"/>
      <c r="J10"/>
      <c r="K10"/>
      <c r="L10"/>
      <c r="M10"/>
      <c r="N10"/>
      <c r="O10"/>
      <c r="P10">
        <v>1.0029999999999999</v>
      </c>
    </row>
    <row r="11" spans="1:16">
      <c r="A11" s="1" t="s">
        <v>10</v>
      </c>
      <c r="B11" s="2">
        <v>0.88</v>
      </c>
      <c r="C11" s="1" t="s">
        <v>11</v>
      </c>
      <c r="D11"/>
      <c r="E11"/>
      <c r="F11"/>
      <c r="G11"/>
      <c r="H11"/>
      <c r="I11"/>
      <c r="J11"/>
      <c r="K11"/>
      <c r="L11"/>
      <c r="M11"/>
      <c r="N11"/>
      <c r="O11"/>
      <c r="P11">
        <v>1045</v>
      </c>
    </row>
    <row r="12" spans="1:16">
      <c r="A12" s="1" t="s">
        <v>12</v>
      </c>
      <c r="B12" s="2">
        <v>1.218</v>
      </c>
      <c r="C12" s="1" t="s">
        <v>11</v>
      </c>
      <c r="D12"/>
      <c r="E12"/>
      <c r="F12"/>
      <c r="G12"/>
      <c r="H12"/>
      <c r="I12"/>
      <c r="J12"/>
      <c r="K12"/>
      <c r="L12"/>
      <c r="M12"/>
      <c r="N12"/>
      <c r="O12"/>
      <c r="P12">
        <v>0.88</v>
      </c>
    </row>
    <row r="13" spans="1:16">
      <c r="A13" s="1" t="s">
        <v>13</v>
      </c>
      <c r="B13" s="2">
        <v>5.0000000000000002E-5</v>
      </c>
      <c r="C13" s="1" t="s">
        <v>14</v>
      </c>
      <c r="D13"/>
      <c r="E13" s="3" t="s">
        <v>15</v>
      </c>
      <c r="F13" s="3">
        <f>(B9*B10)/B5</f>
        <v>6987.5666666666666</v>
      </c>
      <c r="G13" s="3" t="s">
        <v>16</v>
      </c>
      <c r="H13" s="3">
        <f>F13/1000</f>
        <v>6.9875666666666669</v>
      </c>
      <c r="I13" s="3" t="s">
        <v>17</v>
      </c>
      <c r="J13"/>
      <c r="K13"/>
      <c r="L13"/>
      <c r="M13"/>
      <c r="N13"/>
      <c r="O13"/>
      <c r="P13">
        <v>1.218</v>
      </c>
    </row>
    <row r="14" spans="1:16">
      <c r="A14" s="1" t="s">
        <v>18</v>
      </c>
      <c r="B14" s="2">
        <v>8.4999999999999994E-8</v>
      </c>
      <c r="C14" s="1"/>
      <c r="D14"/>
      <c r="E14" s="4" t="s">
        <v>19</v>
      </c>
      <c r="F14" s="4"/>
      <c r="G14" s="4"/>
      <c r="H14" s="2">
        <v>6.8</v>
      </c>
      <c r="I14" s="4" t="s">
        <v>17</v>
      </c>
      <c r="J14"/>
      <c r="K14"/>
      <c r="L14"/>
      <c r="M14"/>
      <c r="N14"/>
      <c r="O14"/>
      <c r="P14">
        <v>5.0000000000000002E-5</v>
      </c>
    </row>
    <row r="15" spans="1:16">
      <c r="A15" s="1" t="s">
        <v>20</v>
      </c>
      <c r="B15" s="2">
        <v>0.47</v>
      </c>
      <c r="C15" s="1" t="s">
        <v>11</v>
      </c>
      <c r="D15"/>
      <c r="E15"/>
      <c r="F15"/>
      <c r="G15"/>
      <c r="H15"/>
      <c r="I15"/>
      <c r="J15"/>
      <c r="K15"/>
      <c r="L15"/>
      <c r="M15"/>
      <c r="N15"/>
      <c r="O15"/>
      <c r="P15">
        <v>8.4999999999999994E-8</v>
      </c>
    </row>
    <row r="16" spans="1:16">
      <c r="A16" s="1" t="s">
        <v>21</v>
      </c>
      <c r="B16" s="2">
        <v>0.9</v>
      </c>
      <c r="C16" s="1" t="s">
        <v>22</v>
      </c>
      <c r="D16"/>
      <c r="E16" t="s">
        <v>23</v>
      </c>
      <c r="F16">
        <f>(B4*B6)+B11+2</f>
        <v>20.48</v>
      </c>
      <c r="G16" t="s">
        <v>11</v>
      </c>
      <c r="H16"/>
      <c r="I16"/>
      <c r="J16"/>
      <c r="K16"/>
      <c r="L16"/>
      <c r="M16"/>
      <c r="N16"/>
      <c r="O16"/>
      <c r="P16">
        <v>0.4</v>
      </c>
    </row>
    <row r="17" spans="1:16">
      <c r="A17" s="1" t="s">
        <v>24</v>
      </c>
      <c r="B17" s="2">
        <v>200</v>
      </c>
      <c r="C17" s="1" t="s">
        <v>25</v>
      </c>
      <c r="D17"/>
      <c r="E17"/>
      <c r="F17"/>
      <c r="G17"/>
      <c r="H17"/>
      <c r="I17"/>
      <c r="J17"/>
      <c r="K17"/>
      <c r="L17"/>
      <c r="M17"/>
      <c r="N17"/>
      <c r="O17"/>
      <c r="P17">
        <v>0.9</v>
      </c>
    </row>
    <row r="18" spans="1:16">
      <c r="A18" s="1" t="s">
        <v>26</v>
      </c>
      <c r="B18" s="2">
        <v>0.01</v>
      </c>
      <c r="C18" s="1" t="s">
        <v>22</v>
      </c>
      <c r="D18"/>
      <c r="E18" s="3" t="s">
        <v>27</v>
      </c>
      <c r="F18" s="3">
        <f>(F16-B12)/B13</f>
        <v>385240</v>
      </c>
      <c r="G18" s="3" t="s">
        <v>16</v>
      </c>
      <c r="H18" s="3">
        <f>F18/1000</f>
        <v>385.24</v>
      </c>
      <c r="I18" s="3" t="s">
        <v>17</v>
      </c>
      <c r="J18"/>
      <c r="K18"/>
      <c r="L18"/>
      <c r="M18"/>
      <c r="N18"/>
      <c r="O18"/>
      <c r="P18">
        <v>200</v>
      </c>
    </row>
    <row r="19" spans="1:16">
      <c r="A19" s="1" t="s">
        <v>28</v>
      </c>
      <c r="B19" s="2">
        <v>0.25</v>
      </c>
      <c r="C19" s="1" t="s">
        <v>11</v>
      </c>
      <c r="D19"/>
      <c r="E19"/>
      <c r="F19"/>
      <c r="G19"/>
      <c r="H19"/>
      <c r="I19"/>
      <c r="J19"/>
      <c r="K19"/>
      <c r="L19"/>
      <c r="M19"/>
      <c r="N19"/>
      <c r="O19"/>
      <c r="P19">
        <v>0.01</v>
      </c>
    </row>
    <row r="20" spans="1:16">
      <c r="A20" s="1" t="s">
        <v>29</v>
      </c>
      <c r="B20" s="2">
        <v>1.2E-4</v>
      </c>
      <c r="C20" s="1" t="s">
        <v>14</v>
      </c>
      <c r="D20"/>
      <c r="E20" s="3" t="s">
        <v>30</v>
      </c>
      <c r="F20" s="3">
        <f>B12/B13</f>
        <v>24360</v>
      </c>
      <c r="G20" s="3" t="s">
        <v>16</v>
      </c>
      <c r="H20" s="3">
        <f>F20/1000</f>
        <v>24.36</v>
      </c>
      <c r="I20" s="3" t="s">
        <v>17</v>
      </c>
      <c r="J20"/>
      <c r="K20"/>
      <c r="L20"/>
      <c r="M20"/>
      <c r="N20"/>
      <c r="O20"/>
      <c r="P20">
        <v>0.25</v>
      </c>
    </row>
    <row r="21" spans="1:16">
      <c r="A21"/>
      <c r="B21"/>
      <c r="C21"/>
      <c r="D21"/>
      <c r="E21" t="s">
        <v>57</v>
      </c>
      <c r="F21"/>
      <c r="G21"/>
      <c r="H21">
        <f>H18+H20</f>
        <v>409.6</v>
      </c>
      <c r="I21" t="s">
        <v>17</v>
      </c>
      <c r="J21"/>
      <c r="K21"/>
      <c r="L21"/>
      <c r="M21"/>
      <c r="N21"/>
      <c r="O21"/>
      <c r="P21">
        <v>1.2E-4</v>
      </c>
    </row>
    <row r="22" spans="1:16">
      <c r="A22"/>
      <c r="B22"/>
      <c r="C22"/>
      <c r="D22"/>
      <c r="E22" s="1" t="s">
        <v>31</v>
      </c>
      <c r="F22" s="1">
        <f>H22*1000</f>
        <v>410000</v>
      </c>
      <c r="G22" s="1" t="s">
        <v>16</v>
      </c>
      <c r="H22" s="2">
        <v>410</v>
      </c>
      <c r="I22" s="1" t="s">
        <v>17</v>
      </c>
      <c r="J22"/>
      <c r="K22"/>
      <c r="L22"/>
      <c r="M22"/>
      <c r="N22"/>
      <c r="O22"/>
      <c r="P22"/>
    </row>
    <row r="23" spans="1:16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>
      <c r="A24"/>
      <c r="B24"/>
      <c r="C24"/>
      <c r="D24"/>
      <c r="E24" t="s">
        <v>23</v>
      </c>
      <c r="F24">
        <f>(F22*B13)+B12</f>
        <v>21.718</v>
      </c>
      <c r="G24" t="s">
        <v>11</v>
      </c>
      <c r="H24"/>
      <c r="I24"/>
      <c r="J24"/>
      <c r="K24"/>
      <c r="L24"/>
      <c r="M24"/>
      <c r="N24"/>
      <c r="O24"/>
      <c r="P24"/>
    </row>
    <row r="25" spans="1:16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>
      <c r="A26"/>
      <c r="B26"/>
      <c r="C26"/>
      <c r="D26"/>
      <c r="E26" t="s">
        <v>32</v>
      </c>
      <c r="F26">
        <f>1-(B14*B7)</f>
        <v>0.83000000000000007</v>
      </c>
      <c r="G26" t="s">
        <v>22</v>
      </c>
      <c r="H26"/>
      <c r="I26"/>
      <c r="J26"/>
      <c r="K26"/>
      <c r="L26"/>
      <c r="M26"/>
      <c r="N26"/>
      <c r="O26"/>
      <c r="P26"/>
    </row>
    <row r="27" spans="1:16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>
      <c r="A28"/>
      <c r="B28" s="2">
        <v>12</v>
      </c>
      <c r="C28"/>
      <c r="D28"/>
      <c r="E28" t="s">
        <v>33</v>
      </c>
      <c r="F28">
        <f>(B2/(1-F26))+B15</f>
        <v>71.058235294117679</v>
      </c>
      <c r="G28" t="s">
        <v>11</v>
      </c>
      <c r="H28"/>
      <c r="I28"/>
      <c r="J28"/>
      <c r="K28"/>
      <c r="L28"/>
      <c r="M28"/>
      <c r="N28"/>
      <c r="O28"/>
      <c r="P28"/>
    </row>
    <row r="29" spans="1:16">
      <c r="A29"/>
      <c r="B29" s="2">
        <v>12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>
      <c r="A30"/>
      <c r="B30" s="2">
        <v>8</v>
      </c>
      <c r="C30"/>
      <c r="D30"/>
      <c r="E30" t="s">
        <v>34</v>
      </c>
      <c r="F30">
        <f>1- (B2/(F24+B15))</f>
        <v>0.45916711736073546</v>
      </c>
      <c r="G30" t="s">
        <v>22</v>
      </c>
      <c r="H30" t="s">
        <v>35</v>
      </c>
      <c r="I30"/>
      <c r="J30"/>
      <c r="K30"/>
      <c r="L30"/>
      <c r="M30"/>
      <c r="N30"/>
      <c r="O30"/>
      <c r="P30" s="2">
        <v>12</v>
      </c>
    </row>
    <row r="31" spans="1:16">
      <c r="A31"/>
      <c r="B31" s="2">
        <v>0.15</v>
      </c>
      <c r="C31"/>
      <c r="D31"/>
      <c r="E31"/>
      <c r="F31"/>
      <c r="G31"/>
      <c r="H31"/>
      <c r="I31"/>
      <c r="J31"/>
      <c r="K31"/>
      <c r="L31"/>
      <c r="M31"/>
      <c r="N31"/>
      <c r="O31"/>
      <c r="P31" s="2">
        <v>12</v>
      </c>
    </row>
    <row r="32" spans="1:16">
      <c r="A32"/>
      <c r="B32" s="2">
        <v>2.2000000000000002</v>
      </c>
      <c r="C32"/>
      <c r="D32"/>
      <c r="E32" t="s">
        <v>36</v>
      </c>
      <c r="F32">
        <f>(F24*B5)/(B2*B16)</f>
        <v>0.30163888888888885</v>
      </c>
      <c r="G32" t="s">
        <v>14</v>
      </c>
      <c r="H32"/>
      <c r="I32"/>
      <c r="J32"/>
      <c r="K32"/>
      <c r="L32"/>
      <c r="M32"/>
      <c r="N32"/>
      <c r="O32"/>
      <c r="P32" s="2">
        <v>8</v>
      </c>
    </row>
    <row r="33" spans="1:16">
      <c r="A33"/>
      <c r="B33" s="2">
        <v>2000000</v>
      </c>
      <c r="C33"/>
      <c r="D33"/>
      <c r="E33"/>
      <c r="F33"/>
      <c r="G33"/>
      <c r="H33"/>
      <c r="I33"/>
      <c r="J33"/>
      <c r="K33"/>
      <c r="L33"/>
      <c r="M33"/>
      <c r="N33"/>
      <c r="O33"/>
      <c r="P33" s="2">
        <v>0.15</v>
      </c>
    </row>
    <row r="34" spans="1:16">
      <c r="A34"/>
      <c r="B34" s="2"/>
      <c r="C34"/>
      <c r="D34"/>
      <c r="E34" t="s">
        <v>37</v>
      </c>
      <c r="F34">
        <f>(F24*B5)/(B3*B16)</f>
        <v>0.30163888888888885</v>
      </c>
      <c r="G34" t="s">
        <v>14</v>
      </c>
      <c r="H34"/>
      <c r="I34"/>
      <c r="J34"/>
      <c r="K34"/>
      <c r="L34"/>
      <c r="M34"/>
      <c r="N34"/>
      <c r="O34"/>
      <c r="P34" s="2">
        <v>2.2000000000000002</v>
      </c>
    </row>
    <row r="35" spans="1:16">
      <c r="A35"/>
      <c r="B35" s="2">
        <v>1.0029999999999999</v>
      </c>
      <c r="C35"/>
      <c r="D35"/>
      <c r="E35"/>
      <c r="F35"/>
      <c r="G35"/>
      <c r="H35"/>
      <c r="I35"/>
      <c r="J35"/>
      <c r="K35"/>
      <c r="L35"/>
      <c r="M35"/>
      <c r="N35"/>
      <c r="O35"/>
      <c r="P35" s="2">
        <v>2000000</v>
      </c>
    </row>
    <row r="36" spans="1:16">
      <c r="A36"/>
      <c r="B36" s="2">
        <v>1045</v>
      </c>
      <c r="C36"/>
      <c r="D36"/>
      <c r="E36" t="s">
        <v>38</v>
      </c>
      <c r="F36">
        <f>F32*0.3</f>
        <v>9.0491666666666651E-2</v>
      </c>
      <c r="G36" t="s">
        <v>14</v>
      </c>
      <c r="H36"/>
      <c r="I36"/>
      <c r="J36"/>
      <c r="K36"/>
      <c r="L36"/>
      <c r="M36"/>
      <c r="N36"/>
      <c r="O36"/>
      <c r="P36" s="2"/>
    </row>
    <row r="37" spans="1:16">
      <c r="A37"/>
      <c r="B37" s="2">
        <v>0.88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 s="2">
        <v>1.0029999999999999</v>
      </c>
    </row>
    <row r="38" spans="1:16">
      <c r="A38"/>
      <c r="B38" s="2">
        <v>1.218</v>
      </c>
      <c r="C38"/>
      <c r="D38"/>
      <c r="E38" s="3" t="s">
        <v>39</v>
      </c>
      <c r="F38" s="3">
        <f>(B2*F30)/(F36*B7)</f>
        <v>3.0444822221174099E-5</v>
      </c>
      <c r="G38" s="3" t="s">
        <v>40</v>
      </c>
      <c r="H38" s="3">
        <f>F38*1000*1000</f>
        <v>30.4448222211741</v>
      </c>
      <c r="I38" s="3" t="s">
        <v>41</v>
      </c>
      <c r="J38"/>
      <c r="K38"/>
      <c r="L38"/>
      <c r="M38"/>
      <c r="N38"/>
      <c r="O38"/>
      <c r="P38" s="2">
        <v>1045</v>
      </c>
    </row>
    <row r="39" spans="1:16">
      <c r="A39"/>
      <c r="B39" s="2">
        <v>5.0000000000000002E-5</v>
      </c>
      <c r="C39"/>
      <c r="D39"/>
      <c r="E39" s="1" t="s">
        <v>42</v>
      </c>
      <c r="F39" s="1"/>
      <c r="G39" s="1"/>
      <c r="H39" s="2">
        <v>30</v>
      </c>
      <c r="I39" s="1" t="s">
        <v>41</v>
      </c>
      <c r="J39"/>
      <c r="K39"/>
      <c r="L39"/>
      <c r="M39"/>
      <c r="N39"/>
      <c r="O39"/>
      <c r="P39" s="2">
        <v>0.88</v>
      </c>
    </row>
    <row r="40" spans="1:16">
      <c r="A40"/>
      <c r="B40" s="2">
        <v>8.4999999999999994E-8</v>
      </c>
      <c r="C40"/>
      <c r="D40"/>
      <c r="E40" t="s">
        <v>43</v>
      </c>
      <c r="F40"/>
      <c r="G40"/>
      <c r="H40"/>
      <c r="I40"/>
      <c r="J40"/>
      <c r="K40"/>
      <c r="L40"/>
      <c r="M40"/>
      <c r="N40"/>
      <c r="O40"/>
      <c r="P40" s="2">
        <v>1.218</v>
      </c>
    </row>
    <row r="41" spans="1:16">
      <c r="A41"/>
      <c r="B41" s="2">
        <v>0.47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 s="2">
        <v>5.0000000000000002E-5</v>
      </c>
    </row>
    <row r="42" spans="1:16">
      <c r="A42"/>
      <c r="B42" s="2">
        <v>0.9</v>
      </c>
      <c r="C42"/>
      <c r="D42"/>
      <c r="E42" t="s">
        <v>44</v>
      </c>
      <c r="F42">
        <f>(B2*F30)/(H39*B7)</f>
        <v>9.1833423472147095E-8</v>
      </c>
      <c r="G42"/>
      <c r="H42">
        <f>F42*1000*1000</f>
        <v>9.1833423472147097E-2</v>
      </c>
      <c r="I42" t="s">
        <v>14</v>
      </c>
      <c r="J42"/>
      <c r="K42"/>
      <c r="L42"/>
      <c r="M42"/>
      <c r="N42"/>
      <c r="O42"/>
      <c r="P42" s="2">
        <v>8.4999999999999994E-8</v>
      </c>
    </row>
    <row r="43" spans="1:16">
      <c r="A43"/>
      <c r="B43" s="2">
        <v>200</v>
      </c>
      <c r="C43"/>
      <c r="D43"/>
      <c r="E43"/>
      <c r="F43"/>
      <c r="G43"/>
      <c r="H43"/>
      <c r="I43"/>
      <c r="J43"/>
      <c r="K43"/>
      <c r="L43"/>
      <c r="M43"/>
      <c r="N43"/>
      <c r="O43"/>
      <c r="P43" s="2">
        <v>0.47</v>
      </c>
    </row>
    <row r="44" spans="1:16">
      <c r="A44"/>
      <c r="B44" s="2">
        <v>0.01</v>
      </c>
      <c r="C44"/>
      <c r="D44"/>
      <c r="E44" t="s">
        <v>45</v>
      </c>
      <c r="F44">
        <f>(H42*(10^-6))/((1/B7)*(1-F30))</f>
        <v>0.33959999999999996</v>
      </c>
      <c r="G44" t="s">
        <v>46</v>
      </c>
      <c r="H44"/>
      <c r="I44"/>
      <c r="J44"/>
      <c r="K44"/>
      <c r="L44"/>
      <c r="M44"/>
      <c r="N44"/>
      <c r="O44"/>
      <c r="P44" s="2">
        <v>0.9</v>
      </c>
    </row>
    <row r="45" spans="1:16">
      <c r="A45"/>
      <c r="B45" s="2">
        <v>0.25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 s="2">
        <v>200</v>
      </c>
    </row>
    <row r="46" spans="1:16">
      <c r="A46"/>
      <c r="B46" s="2">
        <v>1.2E-4</v>
      </c>
      <c r="C46"/>
      <c r="D46"/>
      <c r="E46" t="s">
        <v>47</v>
      </c>
      <c r="F46"/>
      <c r="G46"/>
      <c r="H46"/>
      <c r="I46"/>
      <c r="J46"/>
      <c r="K46"/>
      <c r="L46"/>
      <c r="M46"/>
      <c r="N46"/>
      <c r="O46"/>
      <c r="P46" s="2">
        <v>0.01</v>
      </c>
    </row>
    <row r="47" spans="1:16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s="2">
        <v>0.25</v>
      </c>
    </row>
    <row r="48" spans="1:16">
      <c r="A48"/>
      <c r="B48"/>
      <c r="C48"/>
      <c r="D48"/>
      <c r="E48" s="3" t="s">
        <v>48</v>
      </c>
      <c r="F48" s="3"/>
      <c r="G48" s="3">
        <f>F32+(H42/2)</f>
        <v>0.34755560062496238</v>
      </c>
      <c r="H48" s="3" t="s">
        <v>14</v>
      </c>
      <c r="I48" s="3"/>
      <c r="J48"/>
      <c r="K48"/>
      <c r="L48"/>
      <c r="M48"/>
      <c r="N48"/>
      <c r="O48"/>
      <c r="P48" s="2">
        <v>1.2E-4</v>
      </c>
    </row>
    <row r="49" spans="1:16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>
      <c r="A50"/>
      <c r="B50"/>
      <c r="C50"/>
      <c r="D50"/>
      <c r="E50" s="3" t="s">
        <v>49</v>
      </c>
      <c r="F50" s="3"/>
      <c r="G50" s="3"/>
      <c r="H50" s="3">
        <f>G48</f>
        <v>0.34755560062496238</v>
      </c>
      <c r="I50" s="3" t="s">
        <v>14</v>
      </c>
      <c r="J50"/>
      <c r="K50"/>
      <c r="L50"/>
      <c r="M50"/>
      <c r="N50"/>
      <c r="O50"/>
      <c r="P50"/>
    </row>
    <row r="51" spans="1:16">
      <c r="A51"/>
      <c r="B51"/>
      <c r="C51"/>
      <c r="D51"/>
      <c r="E51" s="3" t="s">
        <v>50</v>
      </c>
      <c r="F51" s="3"/>
      <c r="G51" s="3"/>
      <c r="H51" s="3">
        <f>F24</f>
        <v>21.718</v>
      </c>
      <c r="I51" s="3" t="s">
        <v>11</v>
      </c>
      <c r="J51"/>
      <c r="K51"/>
      <c r="L51"/>
      <c r="M51"/>
      <c r="N51"/>
      <c r="O51"/>
      <c r="P51"/>
    </row>
    <row r="52" spans="1:16">
      <c r="A52"/>
      <c r="B52"/>
      <c r="C52"/>
      <c r="D52"/>
      <c r="E52" s="3" t="s">
        <v>51</v>
      </c>
      <c r="F52" s="3"/>
      <c r="G52" s="3"/>
      <c r="H52" s="3" t="s">
        <v>52</v>
      </c>
      <c r="I52" s="3"/>
      <c r="J52"/>
      <c r="K52"/>
      <c r="L52"/>
      <c r="M52"/>
      <c r="N52"/>
      <c r="O52"/>
      <c r="P52"/>
    </row>
    <row r="53" spans="1:16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>
      <c r="A54"/>
      <c r="B54"/>
      <c r="C54"/>
      <c r="D54"/>
      <c r="E54" s="3" t="s">
        <v>53</v>
      </c>
      <c r="F54" s="3"/>
      <c r="G54" s="3"/>
      <c r="H54" s="3">
        <f>B20*((1-B18)/(B17*B19))</f>
        <v>2.3759999999999998E-6</v>
      </c>
      <c r="I54" s="3" t="s">
        <v>54</v>
      </c>
      <c r="J54" s="3">
        <f>H54*1000*1000</f>
        <v>2.3759999999999994</v>
      </c>
      <c r="K54" s="3" t="s">
        <v>55</v>
      </c>
      <c r="L54"/>
      <c r="M54"/>
      <c r="N54"/>
      <c r="O54"/>
      <c r="P54"/>
    </row>
    <row r="55" spans="1:16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>
      <c r="A56"/>
      <c r="B56"/>
      <c r="C56"/>
      <c r="D56"/>
      <c r="E56" s="3" t="s">
        <v>56</v>
      </c>
      <c r="F56" s="3"/>
      <c r="G56" s="3"/>
      <c r="H56" s="3">
        <f>H42/(8*B7*B2*0.01)</f>
        <v>4.7829908058409945E-8</v>
      </c>
      <c r="I56" s="3" t="s">
        <v>54</v>
      </c>
      <c r="J56" s="3">
        <f>H56*1000*1000</f>
        <v>4.7829908058409948E-2</v>
      </c>
      <c r="K56" s="3" t="s">
        <v>55</v>
      </c>
      <c r="L56"/>
      <c r="M56"/>
      <c r="N56"/>
      <c r="O56"/>
      <c r="P56"/>
    </row>
  </sheetData>
  <pageMargins left="0" right="0" top="0.39370078740157483" bottom="0.39370078740157483" header="0" footer="0"/>
  <headerFooter>
    <oddHeader>&amp;C&amp;A</oddHeader>
    <oddFooter>&amp;CStrona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workbookViewId="0"/>
  </sheetViews>
  <sheetFormatPr defaultRowHeight="12.75"/>
  <cols>
    <col min="1" max="16" width="12.140625" customWidth="1"/>
  </cols>
  <sheetData>
    <row r="1" spans="1:16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>
      <c r="A2" t="s">
        <v>0</v>
      </c>
      <c r="B2">
        <v>12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>
      <c r="A3" t="s">
        <v>1</v>
      </c>
      <c r="B3">
        <v>12</v>
      </c>
      <c r="C3"/>
      <c r="D3"/>
      <c r="E3"/>
      <c r="F3"/>
      <c r="G3"/>
      <c r="H3"/>
      <c r="I3"/>
      <c r="J3"/>
      <c r="K3"/>
      <c r="L3"/>
      <c r="M3"/>
      <c r="N3" t="s">
        <v>2</v>
      </c>
      <c r="O3"/>
      <c r="P3">
        <v>5</v>
      </c>
    </row>
    <row r="4" spans="1:16">
      <c r="A4" t="s">
        <v>3</v>
      </c>
      <c r="B4">
        <v>8</v>
      </c>
      <c r="C4"/>
      <c r="D4"/>
      <c r="E4"/>
      <c r="F4"/>
      <c r="G4"/>
      <c r="H4"/>
      <c r="I4"/>
      <c r="J4"/>
      <c r="K4"/>
      <c r="L4"/>
      <c r="M4"/>
      <c r="N4"/>
      <c r="O4"/>
      <c r="P4">
        <v>16</v>
      </c>
    </row>
    <row r="5" spans="1:16">
      <c r="A5" t="s">
        <v>4</v>
      </c>
      <c r="B5">
        <v>0.15</v>
      </c>
      <c r="C5"/>
      <c r="D5"/>
      <c r="E5"/>
      <c r="F5"/>
      <c r="G5"/>
      <c r="H5"/>
      <c r="I5"/>
      <c r="J5"/>
      <c r="K5"/>
      <c r="L5"/>
      <c r="M5"/>
      <c r="N5"/>
      <c r="O5"/>
      <c r="P5">
        <v>6</v>
      </c>
    </row>
    <row r="6" spans="1:16">
      <c r="A6" t="s">
        <v>5</v>
      </c>
      <c r="B6">
        <v>3</v>
      </c>
      <c r="C6"/>
      <c r="D6"/>
      <c r="E6"/>
      <c r="F6"/>
      <c r="G6"/>
      <c r="H6"/>
      <c r="I6"/>
      <c r="J6"/>
      <c r="K6"/>
      <c r="L6"/>
      <c r="M6"/>
      <c r="N6"/>
      <c r="O6"/>
      <c r="P6">
        <v>0.12</v>
      </c>
    </row>
    <row r="7" spans="1:16">
      <c r="A7" t="s">
        <v>6</v>
      </c>
      <c r="B7">
        <v>2000000</v>
      </c>
      <c r="C7"/>
      <c r="D7"/>
      <c r="E7"/>
      <c r="F7"/>
      <c r="G7"/>
      <c r="H7"/>
      <c r="I7"/>
      <c r="J7"/>
      <c r="K7"/>
      <c r="L7"/>
      <c r="M7"/>
      <c r="N7"/>
      <c r="O7"/>
      <c r="P7">
        <v>3.2</v>
      </c>
    </row>
    <row r="8" spans="1:16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>
        <v>2000000</v>
      </c>
    </row>
    <row r="9" spans="1:16">
      <c r="A9" t="s">
        <v>8</v>
      </c>
      <c r="B9">
        <v>1.0029999999999999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6">
      <c r="A10" t="s">
        <v>9</v>
      </c>
      <c r="B10">
        <v>1045</v>
      </c>
      <c r="C10"/>
      <c r="D10"/>
      <c r="E10"/>
      <c r="F10"/>
      <c r="G10"/>
      <c r="H10"/>
      <c r="I10"/>
      <c r="J10"/>
      <c r="K10"/>
      <c r="L10"/>
      <c r="M10"/>
      <c r="N10"/>
      <c r="O10"/>
      <c r="P10">
        <v>1.0029999999999999</v>
      </c>
    </row>
    <row r="11" spans="1:16">
      <c r="A11" t="s">
        <v>10</v>
      </c>
      <c r="B11">
        <v>0.88</v>
      </c>
      <c r="C11" t="s">
        <v>11</v>
      </c>
      <c r="D11"/>
      <c r="E11"/>
      <c r="F11"/>
      <c r="G11"/>
      <c r="H11"/>
      <c r="I11"/>
      <c r="J11"/>
      <c r="K11"/>
      <c r="L11"/>
      <c r="M11"/>
      <c r="N11"/>
      <c r="O11"/>
      <c r="P11">
        <v>1045</v>
      </c>
    </row>
    <row r="12" spans="1:16">
      <c r="A12" t="s">
        <v>12</v>
      </c>
      <c r="B12">
        <v>1.218</v>
      </c>
      <c r="C12" t="s">
        <v>11</v>
      </c>
      <c r="D12"/>
      <c r="E12"/>
      <c r="F12"/>
      <c r="G12"/>
      <c r="H12"/>
      <c r="I12"/>
      <c r="J12"/>
      <c r="K12"/>
      <c r="L12"/>
      <c r="M12"/>
      <c r="N12"/>
      <c r="O12"/>
      <c r="P12">
        <v>0.88</v>
      </c>
    </row>
    <row r="13" spans="1:16">
      <c r="A13" t="s">
        <v>13</v>
      </c>
      <c r="B13">
        <v>5.0000000000000002E-5</v>
      </c>
      <c r="C13" t="s">
        <v>14</v>
      </c>
      <c r="D13"/>
      <c r="E13" t="s">
        <v>15</v>
      </c>
      <c r="F13">
        <f>(B9*B10)/B5</f>
        <v>6987.5666666666666</v>
      </c>
      <c r="G13" t="s">
        <v>16</v>
      </c>
      <c r="H13">
        <f>F13/1000</f>
        <v>6.9875666666666669</v>
      </c>
      <c r="I13" t="s">
        <v>17</v>
      </c>
      <c r="J13"/>
      <c r="K13"/>
      <c r="L13"/>
      <c r="M13"/>
      <c r="N13"/>
      <c r="O13"/>
      <c r="P13">
        <v>1.218</v>
      </c>
    </row>
    <row r="14" spans="1:16">
      <c r="A14" t="s">
        <v>18</v>
      </c>
      <c r="B14">
        <v>8.4999999999999994E-8</v>
      </c>
      <c r="C14"/>
      <c r="D14"/>
      <c r="E14" t="s">
        <v>19</v>
      </c>
      <c r="F14"/>
      <c r="G14"/>
      <c r="H14">
        <v>6.8</v>
      </c>
      <c r="I14" t="s">
        <v>17</v>
      </c>
      <c r="J14"/>
      <c r="K14"/>
      <c r="L14"/>
      <c r="M14"/>
      <c r="N14"/>
      <c r="O14"/>
      <c r="P14">
        <v>5.0000000000000002E-5</v>
      </c>
    </row>
    <row r="15" spans="1:16">
      <c r="A15" t="s">
        <v>20</v>
      </c>
      <c r="B15">
        <v>0.47</v>
      </c>
      <c r="C15" t="s">
        <v>11</v>
      </c>
      <c r="D15"/>
      <c r="E15"/>
      <c r="F15"/>
      <c r="G15"/>
      <c r="H15"/>
      <c r="I15"/>
      <c r="J15"/>
      <c r="K15"/>
      <c r="L15"/>
      <c r="M15"/>
      <c r="N15"/>
      <c r="O15"/>
      <c r="P15">
        <v>8.4999999999999994E-8</v>
      </c>
    </row>
    <row r="16" spans="1:16">
      <c r="A16" t="s">
        <v>21</v>
      </c>
      <c r="B16">
        <v>0.9</v>
      </c>
      <c r="C16" t="s">
        <v>22</v>
      </c>
      <c r="D16"/>
      <c r="E16" t="s">
        <v>23</v>
      </c>
      <c r="F16">
        <f>(B4*B6)+B11+2</f>
        <v>26.88</v>
      </c>
      <c r="G16" t="s">
        <v>11</v>
      </c>
      <c r="H16"/>
      <c r="I16"/>
      <c r="J16"/>
      <c r="K16"/>
      <c r="L16"/>
      <c r="M16"/>
      <c r="N16"/>
      <c r="O16"/>
      <c r="P16">
        <v>0.4</v>
      </c>
    </row>
    <row r="17" spans="1:16">
      <c r="A17" t="s">
        <v>24</v>
      </c>
      <c r="B17">
        <v>200</v>
      </c>
      <c r="C17" t="s">
        <v>25</v>
      </c>
      <c r="D17"/>
      <c r="E17"/>
      <c r="F17"/>
      <c r="G17"/>
      <c r="H17"/>
      <c r="I17"/>
      <c r="J17"/>
      <c r="K17"/>
      <c r="L17"/>
      <c r="M17"/>
      <c r="N17"/>
      <c r="O17"/>
      <c r="P17">
        <v>0.9</v>
      </c>
    </row>
    <row r="18" spans="1:16">
      <c r="A18" t="s">
        <v>26</v>
      </c>
      <c r="B18">
        <v>0.01</v>
      </c>
      <c r="C18" t="s">
        <v>22</v>
      </c>
      <c r="D18"/>
      <c r="E18" t="s">
        <v>27</v>
      </c>
      <c r="F18">
        <f>(F16-B12)/B13</f>
        <v>513239.99999999994</v>
      </c>
      <c r="G18" t="s">
        <v>16</v>
      </c>
      <c r="H18">
        <f>F18/1000</f>
        <v>513.2399999999999</v>
      </c>
      <c r="I18" t="s">
        <v>17</v>
      </c>
      <c r="J18"/>
      <c r="K18"/>
      <c r="L18"/>
      <c r="M18"/>
      <c r="N18"/>
      <c r="O18"/>
      <c r="P18">
        <v>200</v>
      </c>
    </row>
    <row r="19" spans="1:16">
      <c r="A19" t="s">
        <v>28</v>
      </c>
      <c r="B19">
        <v>0.25</v>
      </c>
      <c r="C19" t="s">
        <v>11</v>
      </c>
      <c r="D19"/>
      <c r="E19"/>
      <c r="F19"/>
      <c r="G19"/>
      <c r="H19"/>
      <c r="I19"/>
      <c r="J19"/>
      <c r="K19"/>
      <c r="L19"/>
      <c r="M19"/>
      <c r="N19"/>
      <c r="O19"/>
      <c r="P19">
        <v>0.01</v>
      </c>
    </row>
    <row r="20" spans="1:16">
      <c r="A20" t="s">
        <v>29</v>
      </c>
      <c r="B20">
        <v>1.2E-4</v>
      </c>
      <c r="C20" t="s">
        <v>14</v>
      </c>
      <c r="D20"/>
      <c r="E20" t="s">
        <v>30</v>
      </c>
      <c r="F20">
        <f>B12/B13</f>
        <v>24360</v>
      </c>
      <c r="G20" t="s">
        <v>16</v>
      </c>
      <c r="H20">
        <f>F20/1000</f>
        <v>24.36</v>
      </c>
      <c r="I20" t="s">
        <v>17</v>
      </c>
      <c r="J20"/>
      <c r="K20"/>
      <c r="L20"/>
      <c r="M20"/>
      <c r="N20"/>
      <c r="O20"/>
      <c r="P20">
        <v>0.25</v>
      </c>
    </row>
    <row r="21" spans="1:16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>
        <v>1.2E-4</v>
      </c>
    </row>
    <row r="22" spans="1:16">
      <c r="A22"/>
      <c r="B22"/>
      <c r="C22"/>
      <c r="D22"/>
      <c r="E22" t="s">
        <v>31</v>
      </c>
      <c r="F22">
        <f>H22*1000</f>
        <v>560000</v>
      </c>
      <c r="G22" t="s">
        <v>16</v>
      </c>
      <c r="H22">
        <v>560</v>
      </c>
      <c r="I22" t="s">
        <v>17</v>
      </c>
      <c r="J22"/>
      <c r="K22"/>
      <c r="L22"/>
      <c r="M22"/>
      <c r="N22"/>
      <c r="O22"/>
      <c r="P22"/>
    </row>
    <row r="23" spans="1:16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>
      <c r="A24"/>
      <c r="B24"/>
      <c r="C24"/>
      <c r="D24"/>
      <c r="E24" t="s">
        <v>23</v>
      </c>
      <c r="F24">
        <f>(F22*B13)+B12</f>
        <v>29.218</v>
      </c>
      <c r="G24" t="s">
        <v>11</v>
      </c>
      <c r="H24"/>
      <c r="I24"/>
      <c r="J24"/>
      <c r="K24"/>
      <c r="L24"/>
      <c r="M24"/>
      <c r="N24"/>
      <c r="O24"/>
      <c r="P24"/>
    </row>
    <row r="25" spans="1:16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>
      <c r="A26"/>
      <c r="B26"/>
      <c r="C26"/>
      <c r="D26"/>
      <c r="E26" t="s">
        <v>32</v>
      </c>
      <c r="F26">
        <f>1-(B14*B7)</f>
        <v>0.83000000000000007</v>
      </c>
      <c r="G26" t="s">
        <v>22</v>
      </c>
      <c r="H26"/>
      <c r="I26"/>
      <c r="J26"/>
      <c r="K26"/>
      <c r="L26"/>
      <c r="M26"/>
      <c r="N26"/>
      <c r="O26"/>
      <c r="P26"/>
    </row>
    <row r="27" spans="1:16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>
      <c r="A28"/>
      <c r="B28"/>
      <c r="C28"/>
      <c r="D28"/>
      <c r="E28" t="s">
        <v>33</v>
      </c>
      <c r="F28">
        <f>(B2/(1-F26))+B15</f>
        <v>71.058235294117679</v>
      </c>
      <c r="G28" t="s">
        <v>11</v>
      </c>
      <c r="H28"/>
      <c r="I28"/>
      <c r="J28"/>
      <c r="K28"/>
      <c r="L28"/>
      <c r="M28"/>
      <c r="N28"/>
      <c r="O28"/>
      <c r="P28"/>
    </row>
    <row r="29" spans="1:16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>
      <c r="A30"/>
      <c r="B30"/>
      <c r="C30"/>
      <c r="D30"/>
      <c r="E30" t="s">
        <v>34</v>
      </c>
      <c r="F30">
        <f>1- (B2/(F24+B15))</f>
        <v>0.59579628132578821</v>
      </c>
      <c r="G30" t="s">
        <v>22</v>
      </c>
      <c r="H30" t="s">
        <v>35</v>
      </c>
      <c r="I30"/>
      <c r="J30"/>
      <c r="K30"/>
      <c r="L30"/>
      <c r="M30"/>
      <c r="N30"/>
      <c r="O30"/>
      <c r="P30"/>
    </row>
    <row r="31" spans="1:16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>
      <c r="A32"/>
      <c r="B32"/>
      <c r="C32"/>
      <c r="D32"/>
      <c r="E32" t="s">
        <v>36</v>
      </c>
      <c r="F32">
        <f>(F24*B5)/(B2*B16)</f>
        <v>0.40580555555555553</v>
      </c>
      <c r="G32" t="s">
        <v>14</v>
      </c>
      <c r="H32"/>
      <c r="I32"/>
      <c r="J32"/>
      <c r="K32"/>
      <c r="L32"/>
      <c r="M32"/>
      <c r="N32"/>
      <c r="O32"/>
      <c r="P32"/>
    </row>
    <row r="33" spans="1:16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>
      <c r="A34"/>
      <c r="B34"/>
      <c r="C34"/>
      <c r="D34"/>
      <c r="E34" t="s">
        <v>37</v>
      </c>
      <c r="F34">
        <f>(F24*B5)/(B3*B16)</f>
        <v>0.40580555555555553</v>
      </c>
      <c r="G34" t="s">
        <v>14</v>
      </c>
      <c r="H34"/>
      <c r="I34"/>
      <c r="J34"/>
      <c r="K34"/>
      <c r="L34"/>
      <c r="M34"/>
      <c r="N34"/>
      <c r="O34"/>
      <c r="P34"/>
    </row>
    <row r="35" spans="1:16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>
      <c r="A36"/>
      <c r="B36"/>
      <c r="C36"/>
      <c r="D36"/>
      <c r="E36" t="s">
        <v>38</v>
      </c>
      <c r="F36">
        <f>F32*0.3</f>
        <v>0.12174166666666665</v>
      </c>
      <c r="G36" t="s">
        <v>14</v>
      </c>
      <c r="H36"/>
      <c r="I36"/>
      <c r="J36"/>
      <c r="K36"/>
      <c r="L36"/>
      <c r="M36"/>
      <c r="N36"/>
      <c r="O36"/>
      <c r="P36"/>
    </row>
    <row r="37" spans="1:16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>
      <c r="A38"/>
      <c r="B38"/>
      <c r="C38"/>
      <c r="D38"/>
      <c r="E38" t="s">
        <v>39</v>
      </c>
      <c r="F38">
        <f>(B2*F30)/(F36*B7)</f>
        <v>2.9363633551548192E-5</v>
      </c>
      <c r="G38" t="s">
        <v>40</v>
      </c>
      <c r="H38">
        <f>F38*1000*1000</f>
        <v>29.363633551548194</v>
      </c>
      <c r="I38" t="s">
        <v>41</v>
      </c>
      <c r="J38"/>
      <c r="K38"/>
      <c r="L38"/>
      <c r="M38"/>
      <c r="N38"/>
      <c r="O38"/>
      <c r="P38"/>
    </row>
    <row r="39" spans="1:16">
      <c r="A39"/>
      <c r="B39"/>
      <c r="C39"/>
      <c r="D39"/>
      <c r="E39" t="s">
        <v>42</v>
      </c>
      <c r="F39"/>
      <c r="G39"/>
      <c r="H39">
        <v>30</v>
      </c>
      <c r="I39" t="s">
        <v>41</v>
      </c>
      <c r="J39"/>
      <c r="K39"/>
      <c r="L39"/>
      <c r="M39"/>
      <c r="N39"/>
      <c r="O39"/>
      <c r="P39"/>
    </row>
    <row r="40" spans="1:16">
      <c r="A40"/>
      <c r="B40"/>
      <c r="C40"/>
      <c r="D40"/>
      <c r="E40" t="s">
        <v>43</v>
      </c>
      <c r="F40"/>
      <c r="G40"/>
      <c r="H40"/>
      <c r="I40"/>
      <c r="J40"/>
      <c r="K40"/>
      <c r="L40"/>
      <c r="M40"/>
      <c r="N40"/>
      <c r="O40"/>
      <c r="P40"/>
    </row>
    <row r="41" spans="1:16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>
      <c r="A42"/>
      <c r="B42"/>
      <c r="C42"/>
      <c r="D42"/>
      <c r="E42" t="s">
        <v>44</v>
      </c>
      <c r="F42">
        <f>(B2*F30)/(H39*B7)</f>
        <v>1.1915925626515765E-7</v>
      </c>
      <c r="G42"/>
      <c r="H42">
        <f>F42*1000*1000</f>
        <v>0.11915925626515764</v>
      </c>
      <c r="I42" t="s">
        <v>14</v>
      </c>
      <c r="J42"/>
      <c r="K42"/>
      <c r="L42"/>
      <c r="M42"/>
      <c r="N42"/>
      <c r="O42"/>
      <c r="P42"/>
    </row>
    <row r="43" spans="1:16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>
      <c r="A44"/>
      <c r="B44"/>
      <c r="C44"/>
      <c r="D44"/>
      <c r="E44" t="s">
        <v>45</v>
      </c>
      <c r="F44">
        <f>(H42*(10^-6))/((1/B7)*(1-F30))</f>
        <v>0.58960000000000001</v>
      </c>
      <c r="G44" t="s">
        <v>46</v>
      </c>
      <c r="H44"/>
      <c r="I44"/>
      <c r="J44"/>
      <c r="K44"/>
      <c r="L44"/>
      <c r="M44"/>
      <c r="N44"/>
      <c r="O44"/>
      <c r="P44"/>
    </row>
    <row r="45" spans="1:16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>
      <c r="A46"/>
      <c r="B46"/>
      <c r="C46"/>
      <c r="D46"/>
      <c r="E46" t="s">
        <v>47</v>
      </c>
      <c r="F46"/>
      <c r="G46"/>
      <c r="H46"/>
      <c r="I46"/>
      <c r="J46"/>
      <c r="K46"/>
      <c r="L46"/>
      <c r="M46"/>
      <c r="N46"/>
      <c r="O46"/>
      <c r="P46"/>
    </row>
    <row r="47" spans="1:16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>
      <c r="A48"/>
      <c r="B48"/>
      <c r="C48"/>
      <c r="D48"/>
      <c r="E48" t="s">
        <v>48</v>
      </c>
      <c r="F48"/>
      <c r="G48">
        <f>F32+(H42/2)</f>
        <v>0.46538518368813436</v>
      </c>
      <c r="H48" t="s">
        <v>14</v>
      </c>
      <c r="I48"/>
      <c r="J48"/>
      <c r="K48"/>
      <c r="L48"/>
      <c r="M48"/>
      <c r="N48"/>
      <c r="O48"/>
      <c r="P48"/>
    </row>
    <row r="49" spans="1:16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>
      <c r="A50"/>
      <c r="B50"/>
      <c r="C50"/>
      <c r="D50"/>
      <c r="E50" t="s">
        <v>49</v>
      </c>
      <c r="F50"/>
      <c r="G50"/>
      <c r="H50">
        <f>G48</f>
        <v>0.46538518368813436</v>
      </c>
      <c r="I50" t="s">
        <v>14</v>
      </c>
      <c r="J50"/>
      <c r="K50"/>
      <c r="L50"/>
      <c r="M50"/>
      <c r="N50"/>
      <c r="O50"/>
      <c r="P50"/>
    </row>
    <row r="51" spans="1:16">
      <c r="A51"/>
      <c r="B51"/>
      <c r="C51"/>
      <c r="D51"/>
      <c r="E51" t="s">
        <v>50</v>
      </c>
      <c r="F51"/>
      <c r="G51"/>
      <c r="H51">
        <f>F24</f>
        <v>29.218</v>
      </c>
      <c r="I51" t="s">
        <v>11</v>
      </c>
      <c r="J51"/>
      <c r="K51"/>
      <c r="L51"/>
      <c r="M51"/>
      <c r="N51"/>
      <c r="O51"/>
      <c r="P51"/>
    </row>
    <row r="52" spans="1:16">
      <c r="A52"/>
      <c r="B52"/>
      <c r="C52"/>
      <c r="D52"/>
      <c r="E52" t="s">
        <v>51</v>
      </c>
      <c r="F52"/>
      <c r="G52"/>
      <c r="H52" t="s">
        <v>52</v>
      </c>
      <c r="I52"/>
      <c r="J52"/>
      <c r="K52"/>
      <c r="L52"/>
      <c r="M52"/>
      <c r="N52"/>
      <c r="O52"/>
      <c r="P52"/>
    </row>
    <row r="53" spans="1:16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>
      <c r="A54"/>
      <c r="B54"/>
      <c r="C54"/>
      <c r="D54"/>
      <c r="E54" t="s">
        <v>53</v>
      </c>
      <c r="F54"/>
      <c r="G54"/>
      <c r="H54">
        <f>B20*((1-B18)/(B17*B19))</f>
        <v>2.3759999999999998E-6</v>
      </c>
      <c r="I54" t="s">
        <v>54</v>
      </c>
      <c r="J54">
        <f>H54*1000*1000</f>
        <v>2.3759999999999994</v>
      </c>
      <c r="K54" t="s">
        <v>55</v>
      </c>
      <c r="L54"/>
      <c r="M54"/>
      <c r="N54"/>
      <c r="O54"/>
      <c r="P54"/>
    </row>
    <row r="55" spans="1:16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>
      <c r="A56"/>
      <c r="B56"/>
      <c r="C56"/>
      <c r="D56"/>
      <c r="E56" t="s">
        <v>56</v>
      </c>
      <c r="F56"/>
      <c r="G56"/>
      <c r="H56">
        <f>H42/(8*B7*B2*0.01)</f>
        <v>6.206211263810294E-8</v>
      </c>
      <c r="I56" t="s">
        <v>54</v>
      </c>
      <c r="J56">
        <f>H56*1000*1000</f>
        <v>6.2062112638102934E-2</v>
      </c>
      <c r="K56" t="s">
        <v>55</v>
      </c>
      <c r="L56"/>
      <c r="M56"/>
      <c r="N56"/>
      <c r="O56"/>
      <c r="P56"/>
    </row>
  </sheetData>
  <pageMargins left="0" right="0" top="0.39370078740157483" bottom="0.39370078740157483" header="0" footer="0"/>
  <headerFooter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1539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LED_3.2V</vt:lpstr>
      <vt:lpstr>LED_2.2V</vt:lpstr>
      <vt:lpstr>LED_3V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Dariusz Krawczyk</dc:creator>
  <cp:lastModifiedBy>Dariusz Krawczyk</cp:lastModifiedBy>
  <cp:revision>6</cp:revision>
  <dcterms:created xsi:type="dcterms:W3CDTF">2023-11-26T15:18:27Z</dcterms:created>
  <dcterms:modified xsi:type="dcterms:W3CDTF">2024-12-13T16:34:21Z</dcterms:modified>
</cp:coreProperties>
</file>