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ADRIANA ROMERO\"/>
    </mc:Choice>
  </mc:AlternateContent>
  <bookViews>
    <workbookView xWindow="0" yWindow="0" windowWidth="20490" windowHeight="70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J8" i="1"/>
  <c r="J17" i="2"/>
  <c r="H174" i="1"/>
  <c r="H173" i="1"/>
  <c r="H171" i="1"/>
  <c r="E44" i="1"/>
  <c r="E31" i="1"/>
  <c r="E32" i="1"/>
  <c r="E33" i="1"/>
  <c r="E35" i="1"/>
  <c r="E36" i="1"/>
  <c r="E37" i="1"/>
  <c r="E38" i="1"/>
  <c r="E39" i="1"/>
  <c r="E40" i="1"/>
  <c r="E41" i="1"/>
  <c r="E42" i="1"/>
  <c r="E43" i="1"/>
  <c r="E30" i="1"/>
  <c r="D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30" i="1"/>
  <c r="I126" i="1"/>
  <c r="I121" i="1"/>
  <c r="I8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I133" i="1"/>
  <c r="I131" i="1"/>
  <c r="N23" i="1"/>
  <c r="O23" i="1"/>
  <c r="P23" i="1"/>
  <c r="Q23" i="1"/>
  <c r="R23" i="1"/>
  <c r="H84" i="1"/>
  <c r="I175" i="1"/>
  <c r="I105" i="1"/>
  <c r="I89" i="1"/>
  <c r="H67" i="1"/>
  <c r="H51" i="1"/>
  <c r="G188" i="1" l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8" i="1"/>
  <c r="F21" i="1"/>
  <c r="F19" i="1"/>
  <c r="F12" i="1"/>
  <c r="F11" i="1"/>
  <c r="J16" i="2"/>
  <c r="J15" i="2"/>
  <c r="J14" i="2"/>
  <c r="F40" i="2"/>
  <c r="E8" i="1"/>
  <c r="F23" i="1" l="1"/>
  <c r="C47" i="2"/>
  <c r="F49" i="2" s="1"/>
  <c r="C37" i="2"/>
  <c r="F41" i="2" s="1"/>
  <c r="C28" i="2"/>
  <c r="F31" i="2" s="1"/>
  <c r="F22" i="2"/>
  <c r="C20" i="2"/>
  <c r="F23" i="2" s="1"/>
  <c r="C12" i="2"/>
  <c r="F15" i="2" s="1"/>
  <c r="F14" i="2" l="1"/>
  <c r="F16" i="2" s="1"/>
  <c r="F30" i="2"/>
  <c r="F50" i="2"/>
  <c r="F51" i="2" s="1"/>
  <c r="F42" i="2"/>
  <c r="F32" i="2"/>
  <c r="F24" i="2"/>
  <c r="E9" i="1" l="1"/>
  <c r="E10" i="1"/>
  <c r="E11" i="1"/>
  <c r="C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G10" i="1"/>
  <c r="G9" i="1"/>
  <c r="G8" i="1"/>
  <c r="F30" i="1" l="1"/>
  <c r="G30" i="1"/>
  <c r="K30" i="1"/>
  <c r="J30" i="1"/>
  <c r="I30" i="1"/>
  <c r="H30" i="1"/>
  <c r="I11" i="1"/>
  <c r="I9" i="1"/>
  <c r="L8" i="1"/>
  <c r="M8" i="1"/>
  <c r="M23" i="1" s="1"/>
  <c r="K8" i="1"/>
  <c r="I12" i="1"/>
  <c r="I13" i="1"/>
  <c r="I14" i="1"/>
  <c r="I15" i="1"/>
  <c r="I16" i="1"/>
  <c r="I17" i="1"/>
  <c r="I18" i="1"/>
  <c r="I19" i="1"/>
  <c r="I20" i="1"/>
  <c r="I21" i="1"/>
  <c r="I22" i="1"/>
  <c r="I10" i="1"/>
  <c r="G23" i="1"/>
  <c r="E23" i="1"/>
  <c r="E34" i="1" l="1"/>
  <c r="L34" i="1"/>
  <c r="K33" i="1"/>
  <c r="J33" i="1"/>
  <c r="I33" i="1"/>
  <c r="H33" i="1"/>
  <c r="D33" i="1"/>
  <c r="H44" i="1"/>
  <c r="D44" i="1"/>
  <c r="K44" i="1"/>
  <c r="J44" i="1"/>
  <c r="I44" i="1"/>
  <c r="H40" i="1"/>
  <c r="D40" i="1"/>
  <c r="F40" i="1"/>
  <c r="G40" i="1"/>
  <c r="C40" i="1"/>
  <c r="K40" i="1"/>
  <c r="J40" i="1"/>
  <c r="I40" i="1"/>
  <c r="H36" i="1"/>
  <c r="D36" i="1"/>
  <c r="K36" i="1"/>
  <c r="J36" i="1"/>
  <c r="I36" i="1"/>
  <c r="K43" i="1"/>
  <c r="J43" i="1"/>
  <c r="I43" i="1"/>
  <c r="H43" i="1"/>
  <c r="D43" i="1"/>
  <c r="K39" i="1"/>
  <c r="J39" i="1"/>
  <c r="I39" i="1"/>
  <c r="H39" i="1"/>
  <c r="D39" i="1"/>
  <c r="J35" i="1"/>
  <c r="I35" i="1"/>
  <c r="H35" i="1"/>
  <c r="D35" i="1"/>
  <c r="K35" i="1"/>
  <c r="G32" i="1"/>
  <c r="H32" i="1"/>
  <c r="D32" i="1"/>
  <c r="C32" i="1"/>
  <c r="F32" i="1"/>
  <c r="K32" i="1"/>
  <c r="J32" i="1"/>
  <c r="I32" i="1"/>
  <c r="K41" i="1"/>
  <c r="J41" i="1"/>
  <c r="I41" i="1"/>
  <c r="H41" i="1"/>
  <c r="D41" i="1"/>
  <c r="K37" i="1"/>
  <c r="J37" i="1"/>
  <c r="I37" i="1"/>
  <c r="H37" i="1"/>
  <c r="D37" i="1"/>
  <c r="H42" i="1"/>
  <c r="D42" i="1"/>
  <c r="K42" i="1"/>
  <c r="J42" i="1"/>
  <c r="I42" i="1"/>
  <c r="H38" i="1"/>
  <c r="K38" i="1"/>
  <c r="J38" i="1"/>
  <c r="I38" i="1"/>
  <c r="D38" i="1"/>
  <c r="H34" i="1"/>
  <c r="K34" i="1"/>
  <c r="J34" i="1"/>
  <c r="I34" i="1"/>
  <c r="D34" i="1"/>
  <c r="K31" i="1"/>
  <c r="J31" i="1"/>
  <c r="I31" i="1"/>
  <c r="H31" i="1"/>
  <c r="D31" i="1"/>
  <c r="F45" i="1"/>
  <c r="K17" i="1"/>
  <c r="K16" i="1"/>
  <c r="M9" i="1"/>
  <c r="M10" i="1"/>
  <c r="K15" i="1"/>
  <c r="K11" i="1"/>
  <c r="K22" i="1"/>
  <c r="J14" i="1"/>
  <c r="J21" i="1"/>
  <c r="J13" i="1"/>
  <c r="J20" i="1"/>
  <c r="K12" i="1"/>
  <c r="J17" i="1"/>
  <c r="S17" i="1" s="1"/>
  <c r="T17" i="1" s="1"/>
  <c r="J19" i="1"/>
  <c r="K20" i="1"/>
  <c r="M18" i="1"/>
  <c r="K19" i="1"/>
  <c r="J16" i="1"/>
  <c r="J10" i="1"/>
  <c r="S8" i="1"/>
  <c r="T8" i="1" s="1"/>
  <c r="G150" i="1" s="1"/>
  <c r="L18" i="1"/>
  <c r="K14" i="1"/>
  <c r="S14" i="1" s="1"/>
  <c r="T14" i="1" s="1"/>
  <c r="K13" i="1"/>
  <c r="J15" i="1"/>
  <c r="K9" i="1"/>
  <c r="L9" i="1"/>
  <c r="J9" i="1"/>
  <c r="K21" i="1"/>
  <c r="J18" i="1"/>
  <c r="K18" i="1"/>
  <c r="K10" i="1"/>
  <c r="L10" i="1"/>
  <c r="J12" i="1"/>
  <c r="J22" i="1"/>
  <c r="J11" i="1"/>
  <c r="I23" i="1"/>
  <c r="L45" i="1" l="1"/>
  <c r="H168" i="1" s="1"/>
  <c r="I181" i="1" s="1"/>
  <c r="E45" i="1"/>
  <c r="H169" i="1" s="1"/>
  <c r="S19" i="1"/>
  <c r="T19" i="1" s="1"/>
  <c r="G45" i="1"/>
  <c r="S15" i="1"/>
  <c r="T15" i="1" s="1"/>
  <c r="S13" i="1"/>
  <c r="T13" i="1" s="1"/>
  <c r="S20" i="1"/>
  <c r="T20" i="1" s="1"/>
  <c r="C45" i="1"/>
  <c r="D45" i="1"/>
  <c r="H170" i="1" s="1"/>
  <c r="I178" i="1" s="1"/>
  <c r="G191" i="1" s="1"/>
  <c r="H45" i="1"/>
  <c r="H172" i="1" s="1"/>
  <c r="I177" i="1" s="1"/>
  <c r="G190" i="1" s="1"/>
  <c r="S16" i="1"/>
  <c r="T16" i="1" s="1"/>
  <c r="H72" i="1"/>
  <c r="K45" i="1"/>
  <c r="H166" i="1" s="1"/>
  <c r="I180" i="1" s="1"/>
  <c r="J45" i="1"/>
  <c r="H165" i="1" s="1"/>
  <c r="I179" i="1" s="1"/>
  <c r="I45" i="1"/>
  <c r="H167" i="1" s="1"/>
  <c r="I182" i="1" s="1"/>
  <c r="S10" i="1"/>
  <c r="S9" i="1"/>
  <c r="T9" i="1" s="1"/>
  <c r="S12" i="1"/>
  <c r="T12" i="1" s="1"/>
  <c r="G154" i="1" s="1"/>
  <c r="I149" i="1" s="1"/>
  <c r="S11" i="1"/>
  <c r="T11" i="1" s="1"/>
  <c r="S22" i="1"/>
  <c r="T22" i="1" s="1"/>
  <c r="S18" i="1"/>
  <c r="T18" i="1" s="1"/>
  <c r="S21" i="1"/>
  <c r="T21" i="1" s="1"/>
  <c r="L23" i="1"/>
  <c r="T10" i="1"/>
  <c r="K23" i="1"/>
  <c r="J23" i="1"/>
  <c r="G187" i="1" l="1"/>
  <c r="H183" i="1"/>
  <c r="I176" i="1"/>
  <c r="G189" i="1" s="1"/>
  <c r="G192" i="1"/>
  <c r="S23" i="1"/>
  <c r="T23" i="1"/>
  <c r="H193" i="1" l="1"/>
  <c r="I183" i="1"/>
</calcChain>
</file>

<file path=xl/sharedStrings.xml><?xml version="1.0" encoding="utf-8"?>
<sst xmlns="http://schemas.openxmlformats.org/spreadsheetml/2006/main" count="288" uniqueCount="129">
  <si>
    <t>SALARIO MINIMO</t>
  </si>
  <si>
    <t>AUX. DE TRANSPORTE</t>
  </si>
  <si>
    <t xml:space="preserve">No </t>
  </si>
  <si>
    <t>DATOS DEL EMPLEADO</t>
  </si>
  <si>
    <t xml:space="preserve">DEVENGADOS </t>
  </si>
  <si>
    <t>DEDUCCIONES</t>
  </si>
  <si>
    <t>NOMBRE DEL EMPLEADO</t>
  </si>
  <si>
    <t>SALARIO
BASICO</t>
  </si>
  <si>
    <t>DIAS
LIQUIDADOS</t>
  </si>
  <si>
    <t>SALARIO
DEVENGADO</t>
  </si>
  <si>
    <t>TRABAJO
EXTRA</t>
  </si>
  <si>
    <t>AUX. DE 
TRANSPORTE</t>
  </si>
  <si>
    <t>COMISIONES</t>
  </si>
  <si>
    <t>TOTAL
DEVENGADO</t>
  </si>
  <si>
    <t>SALUD 4%</t>
  </si>
  <si>
    <t>PENSION 4%</t>
  </si>
  <si>
    <t>FDO. SOLIDARIDAD
PENSIONAL</t>
  </si>
  <si>
    <t>RET. EN LA 
FUENTE</t>
  </si>
  <si>
    <t>SINDICALES</t>
  </si>
  <si>
    <t>COPERATIVA</t>
  </si>
  <si>
    <t>OTOROS</t>
  </si>
  <si>
    <t>TOTAL 
DEDUCCIONES</t>
  </si>
  <si>
    <t>NETO A
PAGAR</t>
  </si>
  <si>
    <t>Pedro Sánchez</t>
  </si>
  <si>
    <t>María Vergara</t>
  </si>
  <si>
    <t>Oscar Ortiz</t>
  </si>
  <si>
    <t>Angela Ruiz</t>
  </si>
  <si>
    <t>Arturo Reyes</t>
  </si>
  <si>
    <t>Angie Castro</t>
  </si>
  <si>
    <t>Camila Zúñiga</t>
  </si>
  <si>
    <t>Alejandra Herazo</t>
  </si>
  <si>
    <t>Cleopatra Palacios</t>
  </si>
  <si>
    <t>Juana Vidal</t>
  </si>
  <si>
    <t>Magda Ríos</t>
  </si>
  <si>
    <t>Inés Fonseca</t>
  </si>
  <si>
    <t>Clara Martínez</t>
  </si>
  <si>
    <t>César Hernández</t>
  </si>
  <si>
    <t>Susana Hinestroza</t>
  </si>
  <si>
    <t>TOTAL</t>
  </si>
  <si>
    <t>PROVICIONES A CARGO DEL EMPLEADOR</t>
  </si>
  <si>
    <t>SALUD 8.5%</t>
  </si>
  <si>
    <t>PENSION 12%</t>
  </si>
  <si>
    <t>SENA 2%</t>
  </si>
  <si>
    <t>ICBF 3%</t>
  </si>
  <si>
    <t>PRIMA DE SERVICIO 8.33%</t>
  </si>
  <si>
    <t>NOMINA ME DE NOVIEMBRE DE 22-ELECTROMATERIALES S.A.S</t>
  </si>
  <si>
    <t>V.H.O</t>
  </si>
  <si>
    <t>Salario Minimo</t>
  </si>
  <si>
    <t>APORTES 
SOCIALE 0.522%</t>
  </si>
  <si>
    <t>CAJA DE 
COMPESACION 4%</t>
  </si>
  <si>
    <t>PROV. DE 
VACACIONES 4.17</t>
  </si>
  <si>
    <t>INT. DE 
CESANTIAS 1%</t>
  </si>
  <si>
    <t>CESANTIAS 
8.33%</t>
  </si>
  <si>
    <t>LABORAN DE LUNES A SABADO</t>
  </si>
  <si>
    <t>(08:00 am a 12:00 m - 02:00 pm a 06:00pm)</t>
  </si>
  <si>
    <t xml:space="preserve">HORAS EXTRAS </t>
  </si>
  <si>
    <t>(1PM-9PM)</t>
  </si>
  <si>
    <t>H.D.D</t>
  </si>
  <si>
    <t>(9PM-11PM)</t>
  </si>
  <si>
    <t>H.D.N</t>
  </si>
  <si>
    <t xml:space="preserve">Ines Fonseca </t>
  </si>
  <si>
    <t>Cesar Hernandez</t>
  </si>
  <si>
    <t>(8AM-6PM)</t>
  </si>
  <si>
    <t xml:space="preserve">JORNADA LABORAL </t>
  </si>
  <si>
    <t>6PM-9PM)</t>
  </si>
  <si>
    <t>H.E.D</t>
  </si>
  <si>
    <t>(9PM-11PM</t>
  </si>
  <si>
    <t>H.E.N</t>
  </si>
  <si>
    <t>(2PM-6PM)</t>
  </si>
  <si>
    <t>C). DOMINGO</t>
  </si>
  <si>
    <t>B).MIERCOLES</t>
  </si>
  <si>
    <t>A). DOMINGO</t>
  </si>
  <si>
    <t>FONDO DE EMPLEADO</t>
  </si>
  <si>
    <t>CREDITO</t>
  </si>
  <si>
    <t>Arturo reyes</t>
  </si>
  <si>
    <t xml:space="preserve">     TOTAL HORAS EXTRAS</t>
  </si>
  <si>
    <t>Ines fonseca</t>
  </si>
  <si>
    <t>CAUSACIÓN DE LA NOMINA</t>
  </si>
  <si>
    <t>CODIGO</t>
  </si>
  <si>
    <t>CUENTAS</t>
  </si>
  <si>
    <t>PARCIALES</t>
  </si>
  <si>
    <t>DEBITO</t>
  </si>
  <si>
    <t>SUELDOS</t>
  </si>
  <si>
    <t>510506-01</t>
  </si>
  <si>
    <t>510506-02</t>
  </si>
  <si>
    <t>510506-03</t>
  </si>
  <si>
    <t>510506-04</t>
  </si>
  <si>
    <t>510506-05</t>
  </si>
  <si>
    <t>510506-06</t>
  </si>
  <si>
    <t>510506-07</t>
  </si>
  <si>
    <t>510506-08</t>
  </si>
  <si>
    <t>510506-09</t>
  </si>
  <si>
    <t>510506-10</t>
  </si>
  <si>
    <t>510506-11</t>
  </si>
  <si>
    <t>510506-12</t>
  </si>
  <si>
    <t>510506-13</t>
  </si>
  <si>
    <t>510506-14</t>
  </si>
  <si>
    <t>510506-15</t>
  </si>
  <si>
    <t>HORAS EXTRAS Y RECARGOS</t>
  </si>
  <si>
    <t>510515-01</t>
  </si>
  <si>
    <t>510515-02</t>
  </si>
  <si>
    <t>510515-03</t>
  </si>
  <si>
    <t>510515-04</t>
  </si>
  <si>
    <t>AUX DE TRANSPORTE</t>
  </si>
  <si>
    <t>APORTE A ENTIDAD PROMOTORA DE SALUD, EPS</t>
  </si>
  <si>
    <t>FONDO DE CENSATIAS Y/O PENSIONES</t>
  </si>
  <si>
    <t>FONDO DE SOLIDARIDAD</t>
  </si>
  <si>
    <t xml:space="preserve">Salarios por pagar </t>
  </si>
  <si>
    <t>Cesantias</t>
  </si>
  <si>
    <t xml:space="preserve">interese sobre cesantias </t>
  </si>
  <si>
    <t xml:space="preserve">Prima de servicio </t>
  </si>
  <si>
    <t xml:space="preserve">Vacasiones </t>
  </si>
  <si>
    <t>Aportes ARL</t>
  </si>
  <si>
    <t xml:space="preserve">Aportes a fondos de pensiones y/o cesantias </t>
  </si>
  <si>
    <t>Aportes a entidades promotoras de la salud, EPS</t>
  </si>
  <si>
    <t xml:space="preserve">Aportes de caja de compesacion familiar </t>
  </si>
  <si>
    <t>Aportes ICBF</t>
  </si>
  <si>
    <t>Aportes SENA</t>
  </si>
  <si>
    <t xml:space="preserve">Aportes al ICBF, SENA Y Caja de compesacion familiar </t>
  </si>
  <si>
    <t xml:space="preserve">Aportes de fondos de pensiones y/o cesantias </t>
  </si>
  <si>
    <t xml:space="preserve">Cesantias </t>
  </si>
  <si>
    <t xml:space="preserve">Intereses de cesantias </t>
  </si>
  <si>
    <t>1 DE DICIEMBRE</t>
  </si>
  <si>
    <t>CUENTA</t>
  </si>
  <si>
    <t>Fondo de solidaridad pensional</t>
  </si>
  <si>
    <t>Banco</t>
  </si>
  <si>
    <t>SALARIOS Y PAGOS LABOLARES</t>
  </si>
  <si>
    <t>LIBRANZAS</t>
  </si>
  <si>
    <t>FONDOS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</si>
</sst>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center"/>
    </xf>
    <xf numFmtId="3" fontId="1" fillId="0" borderId="0" xfId="0" applyNumberFormat="1" applyFont="1"/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/>
    <xf numFmtId="3" fontId="0" fillId="3" borderId="1" xfId="0" applyNumberFormat="1" applyFill="1" applyBorder="1"/>
    <xf numFmtId="0" fontId="0" fillId="0" borderId="4" xfId="0" applyBorder="1"/>
    <xf numFmtId="3" fontId="0" fillId="0" borderId="4" xfId="0" applyNumberFormat="1" applyBorder="1"/>
    <xf numFmtId="3" fontId="1" fillId="0" borderId="6" xfId="0" applyNumberFormat="1" applyFont="1" applyBorder="1"/>
    <xf numFmtId="3" fontId="1" fillId="2" borderId="1" xfId="0" applyNumberFormat="1" applyFont="1" applyFill="1" applyBorder="1"/>
    <xf numFmtId="3" fontId="1" fillId="3" borderId="1" xfId="0" applyNumberFormat="1" applyFont="1" applyFill="1" applyBorder="1"/>
    <xf numFmtId="3" fontId="1" fillId="0" borderId="1" xfId="0" applyNumberFormat="1" applyFont="1" applyBorder="1"/>
    <xf numFmtId="3" fontId="0" fillId="0" borderId="6" xfId="0" applyNumberFormat="1" applyBorder="1"/>
    <xf numFmtId="0" fontId="0" fillId="0" borderId="0" xfId="0" applyBorder="1"/>
    <xf numFmtId="0" fontId="0" fillId="0" borderId="0" xfId="0" applyFill="1"/>
    <xf numFmtId="0" fontId="1" fillId="0" borderId="0" xfId="0" applyFont="1" applyFill="1" applyBorder="1"/>
    <xf numFmtId="3" fontId="1" fillId="0" borderId="0" xfId="0" applyNumberFormat="1" applyFont="1" applyFill="1" applyBorder="1"/>
    <xf numFmtId="0" fontId="0" fillId="0" borderId="0" xfId="0" applyFill="1" applyBorder="1"/>
    <xf numFmtId="3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0" fillId="0" borderId="0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1" fillId="0" borderId="0" xfId="0" applyFont="1"/>
    <xf numFmtId="2" fontId="0" fillId="0" borderId="0" xfId="0" applyNumberFormat="1" applyFill="1"/>
    <xf numFmtId="3" fontId="0" fillId="5" borderId="1" xfId="0" applyNumberFormat="1" applyFill="1" applyBorder="1"/>
    <xf numFmtId="3" fontId="0" fillId="5" borderId="1" xfId="0" applyNumberFormat="1" applyFill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3" fontId="1" fillId="5" borderId="1" xfId="0" applyNumberFormat="1" applyFont="1" applyFill="1" applyBorder="1"/>
    <xf numFmtId="3" fontId="0" fillId="6" borderId="1" xfId="0" applyNumberFormat="1" applyFill="1" applyBorder="1"/>
    <xf numFmtId="0" fontId="0" fillId="6" borderId="1" xfId="0" applyFill="1" applyBorder="1"/>
    <xf numFmtId="41" fontId="0" fillId="6" borderId="1" xfId="1" applyFont="1" applyFill="1" applyBorder="1"/>
    <xf numFmtId="3" fontId="1" fillId="6" borderId="1" xfId="0" applyNumberFormat="1" applyFont="1" applyFill="1" applyBorder="1"/>
    <xf numFmtId="0" fontId="1" fillId="6" borderId="1" xfId="0" applyFont="1" applyFill="1" applyBorder="1"/>
    <xf numFmtId="0" fontId="1" fillId="4" borderId="2" xfId="0" applyFont="1" applyFill="1" applyBorder="1"/>
    <xf numFmtId="3" fontId="0" fillId="4" borderId="1" xfId="0" applyNumberFormat="1" applyFill="1" applyBorder="1"/>
    <xf numFmtId="3" fontId="1" fillId="4" borderId="1" xfId="0" applyNumberFormat="1" applyFont="1" applyFill="1" applyBorder="1"/>
    <xf numFmtId="0" fontId="0" fillId="8" borderId="1" xfId="0" applyFill="1" applyBorder="1"/>
    <xf numFmtId="3" fontId="0" fillId="8" borderId="1" xfId="0" applyNumberFormat="1" applyFill="1" applyBorder="1"/>
    <xf numFmtId="0" fontId="0" fillId="5" borderId="1" xfId="0" applyFill="1" applyBorder="1"/>
    <xf numFmtId="3" fontId="0" fillId="3" borderId="1" xfId="0" applyNumberFormat="1" applyFont="1" applyFill="1" applyBorder="1"/>
    <xf numFmtId="41" fontId="1" fillId="0" borderId="0" xfId="0" applyNumberFormat="1" applyFont="1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/>
    </xf>
    <xf numFmtId="164" fontId="1" fillId="0" borderId="0" xfId="0" applyNumberFormat="1" applyFont="1" applyFill="1" applyBorder="1" applyAlignment="1"/>
    <xf numFmtId="164" fontId="0" fillId="0" borderId="0" xfId="0" applyNumberFormat="1" applyBorder="1" applyAlignment="1">
      <alignment horizontal="right"/>
    </xf>
    <xf numFmtId="164" fontId="1" fillId="0" borderId="0" xfId="0" applyNumberFormat="1" applyFont="1" applyFill="1" applyBorder="1" applyAlignment="1">
      <alignment horizontal="right" indent="3"/>
    </xf>
    <xf numFmtId="164" fontId="1" fillId="10" borderId="5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right"/>
    </xf>
    <xf numFmtId="164" fontId="1" fillId="5" borderId="3" xfId="0" applyNumberFormat="1" applyFont="1" applyFill="1" applyBorder="1" applyAlignment="1">
      <alignment horizontal="left"/>
    </xf>
    <xf numFmtId="3" fontId="0" fillId="5" borderId="3" xfId="0" applyNumberFormat="1" applyFont="1" applyFill="1" applyBorder="1" applyAlignment="1"/>
    <xf numFmtId="43" fontId="3" fillId="5" borderId="1" xfId="2" applyFont="1" applyFill="1" applyBorder="1" applyAlignment="1">
      <alignment horizontal="right"/>
    </xf>
    <xf numFmtId="3" fontId="3" fillId="5" borderId="1" xfId="2" applyNumberFormat="1" applyFont="1" applyFill="1" applyBorder="1" applyAlignment="1"/>
    <xf numFmtId="3" fontId="0" fillId="5" borderId="1" xfId="0" applyNumberFormat="1" applyFont="1" applyFill="1" applyBorder="1" applyAlignment="1"/>
    <xf numFmtId="0" fontId="1" fillId="5" borderId="1" xfId="0" applyFont="1" applyFill="1" applyBorder="1"/>
    <xf numFmtId="0" fontId="1" fillId="5" borderId="1" xfId="2" applyNumberFormat="1" applyFont="1" applyFill="1" applyBorder="1" applyAlignment="1"/>
    <xf numFmtId="3" fontId="1" fillId="5" borderId="6" xfId="2" applyNumberFormat="1" applyFont="1" applyFill="1" applyBorder="1" applyAlignment="1"/>
    <xf numFmtId="0" fontId="0" fillId="5" borderId="1" xfId="0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left"/>
    </xf>
    <xf numFmtId="0" fontId="0" fillId="5" borderId="1" xfId="0" applyFont="1" applyFill="1" applyBorder="1"/>
    <xf numFmtId="3" fontId="0" fillId="2" borderId="1" xfId="0" applyNumberFormat="1" applyFill="1" applyBorder="1" applyAlignment="1">
      <alignment horizontal="right"/>
    </xf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3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10" borderId="1" xfId="0" applyNumberFormat="1" applyFont="1" applyFill="1" applyBorder="1" applyAlignment="1">
      <alignment horizontal="right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Font="1" applyFill="1" applyBorder="1"/>
    <xf numFmtId="3" fontId="0" fillId="0" borderId="1" xfId="0" applyNumberFormat="1" applyFont="1" applyFill="1" applyBorder="1"/>
    <xf numFmtId="0" fontId="4" fillId="5" borderId="1" xfId="0" applyFont="1" applyFill="1" applyBorder="1"/>
    <xf numFmtId="3" fontId="4" fillId="5" borderId="1" xfId="0" applyNumberFormat="1" applyFont="1" applyFill="1" applyBorder="1" applyAlignment="1">
      <alignment horizontal="right"/>
    </xf>
    <xf numFmtId="0" fontId="4" fillId="0" borderId="0" xfId="0" applyFont="1"/>
    <xf numFmtId="3" fontId="0" fillId="5" borderId="4" xfId="0" applyNumberFormat="1" applyFill="1" applyBorder="1"/>
    <xf numFmtId="3" fontId="4" fillId="5" borderId="1" xfId="0" applyNumberFormat="1" applyFont="1" applyFill="1" applyBorder="1"/>
    <xf numFmtId="3" fontId="0" fillId="0" borderId="0" xfId="0" applyNumberFormat="1"/>
    <xf numFmtId="164" fontId="1" fillId="6" borderId="5" xfId="0" applyNumberFormat="1" applyFont="1" applyFill="1" applyBorder="1" applyAlignment="1"/>
    <xf numFmtId="3" fontId="0" fillId="6" borderId="1" xfId="0" applyNumberFormat="1" applyFill="1" applyBorder="1" applyAlignment="1">
      <alignment horizontal="right"/>
    </xf>
    <xf numFmtId="0" fontId="0" fillId="6" borderId="1" xfId="0" applyFont="1" applyFill="1" applyBorder="1"/>
    <xf numFmtId="3" fontId="0" fillId="6" borderId="4" xfId="0" applyNumberFormat="1" applyFill="1" applyBorder="1"/>
    <xf numFmtId="164" fontId="1" fillId="6" borderId="1" xfId="0" applyNumberFormat="1" applyFont="1" applyFill="1" applyBorder="1" applyAlignment="1">
      <alignment horizontal="left"/>
    </xf>
    <xf numFmtId="3" fontId="0" fillId="6" borderId="1" xfId="0" applyNumberFormat="1" applyFont="1" applyFill="1" applyBorder="1" applyAlignment="1">
      <alignment horizontal="right"/>
    </xf>
    <xf numFmtId="3" fontId="3" fillId="6" borderId="1" xfId="2" applyNumberFormat="1" applyFont="1" applyFill="1" applyBorder="1" applyAlignment="1">
      <alignment horizontal="right"/>
    </xf>
    <xf numFmtId="164" fontId="1" fillId="11" borderId="1" xfId="0" applyNumberFormat="1" applyFont="1" applyFill="1" applyBorder="1" applyAlignment="1">
      <alignment horizontal="center"/>
    </xf>
    <xf numFmtId="3" fontId="0" fillId="2" borderId="1" xfId="0" applyNumberFormat="1" applyFont="1" applyFill="1" applyBorder="1"/>
    <xf numFmtId="164" fontId="0" fillId="2" borderId="0" xfId="0" applyNumberFormat="1" applyFill="1" applyAlignment="1">
      <alignment horizontal="right"/>
    </xf>
    <xf numFmtId="164" fontId="0" fillId="5" borderId="1" xfId="0" applyNumberFormat="1" applyFill="1" applyBorder="1"/>
  </cellXfs>
  <cellStyles count="3">
    <cellStyle name="Millares" xfId="2" builtinId="3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167033</xdr:rowOff>
    </xdr:from>
    <xdr:to>
      <xdr:col>9</xdr:col>
      <xdr:colOff>514350</xdr:colOff>
      <xdr:row>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162" t="32426" r="23782" b="52653"/>
        <a:stretch/>
      </xdr:blipFill>
      <xdr:spPr>
        <a:xfrm>
          <a:off x="762000" y="357533"/>
          <a:ext cx="6762750" cy="1023592"/>
        </a:xfrm>
        <a:prstGeom prst="rect">
          <a:avLst/>
        </a:prstGeom>
        <a:solidFill>
          <a:schemeClr val="accent2"/>
        </a:solidFill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"/>
  <sheetViews>
    <sheetView tabSelected="1" topLeftCell="B172" zoomScale="80" zoomScaleNormal="80" workbookViewId="0">
      <selection activeCell="E179" sqref="E179:I182"/>
    </sheetView>
  </sheetViews>
  <sheetFormatPr baseColWidth="10" defaultRowHeight="15" x14ac:dyDescent="0.25"/>
  <cols>
    <col min="1" max="1" width="6.140625" customWidth="1"/>
    <col min="2" max="2" width="37.42578125" bestFit="1" customWidth="1"/>
    <col min="3" max="3" width="15.5703125" customWidth="1"/>
    <col min="4" max="4" width="15.140625" customWidth="1"/>
    <col min="5" max="5" width="18.140625" customWidth="1"/>
    <col min="6" max="6" width="49" bestFit="1" customWidth="1"/>
    <col min="7" max="7" width="17.5703125" customWidth="1"/>
    <col min="8" max="8" width="18.140625" customWidth="1"/>
    <col min="9" max="9" width="17.28515625" customWidth="1"/>
    <col min="11" max="11" width="15.7109375" customWidth="1"/>
    <col min="12" max="12" width="17.28515625" customWidth="1"/>
    <col min="13" max="13" width="14.140625" bestFit="1" customWidth="1"/>
    <col min="15" max="17" width="12.140625" customWidth="1"/>
  </cols>
  <sheetData>
    <row r="1" spans="1:20" ht="28.5" x14ac:dyDescent="0.45">
      <c r="A1" s="57" t="s">
        <v>45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20" ht="15" customHeight="1" x14ac:dyDescent="0.45">
      <c r="A2" s="1"/>
      <c r="B2" s="22" t="s">
        <v>53</v>
      </c>
      <c r="C2" s="62" t="s">
        <v>54</v>
      </c>
      <c r="D2" s="62"/>
      <c r="E2" s="62"/>
      <c r="F2" s="1"/>
      <c r="G2" s="1"/>
      <c r="H2" s="1"/>
      <c r="I2" s="1"/>
      <c r="J2" s="1"/>
      <c r="K2" s="1"/>
      <c r="L2" s="1"/>
      <c r="M2" s="1"/>
      <c r="N2" s="1"/>
      <c r="O2" s="1"/>
      <c r="P2" s="23"/>
      <c r="Q2" s="23"/>
      <c r="R2" s="1"/>
      <c r="S2" s="1"/>
    </row>
    <row r="3" spans="1:20" x14ac:dyDescent="0.25">
      <c r="B3" t="s">
        <v>0</v>
      </c>
      <c r="C3" s="2">
        <v>1000000</v>
      </c>
    </row>
    <row r="4" spans="1:20" x14ac:dyDescent="0.25">
      <c r="B4" t="s">
        <v>1</v>
      </c>
      <c r="C4" s="2">
        <v>117172</v>
      </c>
    </row>
    <row r="5" spans="1:20" x14ac:dyDescent="0.25">
      <c r="A5" s="58" t="s">
        <v>2</v>
      </c>
      <c r="B5" s="58" t="s">
        <v>3</v>
      </c>
      <c r="C5" s="58"/>
      <c r="D5" s="58"/>
      <c r="E5" s="55" t="s">
        <v>4</v>
      </c>
      <c r="F5" s="55"/>
      <c r="G5" s="55"/>
      <c r="H5" s="55"/>
      <c r="I5" s="55"/>
      <c r="J5" s="50" t="s">
        <v>5</v>
      </c>
      <c r="K5" s="50"/>
      <c r="L5" s="50"/>
      <c r="M5" s="50"/>
      <c r="N5" s="50"/>
      <c r="O5" s="50"/>
      <c r="P5" s="50"/>
      <c r="Q5" s="50"/>
      <c r="R5" s="50"/>
      <c r="S5" s="50"/>
      <c r="T5" s="39"/>
    </row>
    <row r="6" spans="1:20" x14ac:dyDescent="0.25">
      <c r="A6" s="58"/>
      <c r="B6" s="59" t="s">
        <v>6</v>
      </c>
      <c r="C6" s="61" t="s">
        <v>7</v>
      </c>
      <c r="D6" s="61" t="s">
        <v>8</v>
      </c>
      <c r="E6" s="54" t="s">
        <v>9</v>
      </c>
      <c r="F6" s="54" t="s">
        <v>10</v>
      </c>
      <c r="G6" s="54" t="s">
        <v>11</v>
      </c>
      <c r="H6" s="56" t="s">
        <v>12</v>
      </c>
      <c r="I6" s="54" t="s">
        <v>13</v>
      </c>
      <c r="J6" s="51" t="s">
        <v>14</v>
      </c>
      <c r="K6" s="51" t="s">
        <v>15</v>
      </c>
      <c r="L6" s="49" t="s">
        <v>16</v>
      </c>
      <c r="M6" s="49" t="s">
        <v>17</v>
      </c>
      <c r="N6" s="51" t="s">
        <v>18</v>
      </c>
      <c r="O6" s="51" t="s">
        <v>19</v>
      </c>
      <c r="P6" s="63" t="s">
        <v>72</v>
      </c>
      <c r="Q6" s="51" t="s">
        <v>73</v>
      </c>
      <c r="R6" s="51" t="s">
        <v>20</v>
      </c>
      <c r="S6" s="49" t="s">
        <v>21</v>
      </c>
      <c r="T6" s="52" t="s">
        <v>22</v>
      </c>
    </row>
    <row r="7" spans="1:20" x14ac:dyDescent="0.25">
      <c r="A7" s="58"/>
      <c r="B7" s="60"/>
      <c r="C7" s="58"/>
      <c r="D7" s="58"/>
      <c r="E7" s="55"/>
      <c r="F7" s="55"/>
      <c r="G7" s="55"/>
      <c r="H7" s="56"/>
      <c r="I7" s="55"/>
      <c r="J7" s="51"/>
      <c r="K7" s="51"/>
      <c r="L7" s="50"/>
      <c r="M7" s="50"/>
      <c r="N7" s="51"/>
      <c r="O7" s="51"/>
      <c r="P7" s="63"/>
      <c r="Q7" s="51"/>
      <c r="R7" s="51"/>
      <c r="S7" s="50"/>
      <c r="T7" s="53"/>
    </row>
    <row r="8" spans="1:20" x14ac:dyDescent="0.25">
      <c r="A8" s="3">
        <v>1</v>
      </c>
      <c r="B8" s="4" t="s">
        <v>23</v>
      </c>
      <c r="C8" s="4">
        <v>11200000</v>
      </c>
      <c r="D8" s="5">
        <v>29</v>
      </c>
      <c r="E8" s="30">
        <f>+(C8/30)*D8</f>
        <v>10826666.666666666</v>
      </c>
      <c r="F8" s="30"/>
      <c r="G8" s="31" t="str">
        <f>+IF(C8&lt;=($C$3*2),($C$4/30)*D8,"0")</f>
        <v>0</v>
      </c>
      <c r="H8" s="30"/>
      <c r="I8" s="30">
        <f>SUM(E8:H8)</f>
        <v>10826666.666666666</v>
      </c>
      <c r="J8" s="34">
        <f>+(I8-G8)*4%</f>
        <v>433066.66666666663</v>
      </c>
      <c r="K8" s="34">
        <f>+(I8-G8)*4%</f>
        <v>433066.66666666663</v>
      </c>
      <c r="L8" s="34">
        <f>+I8*1%</f>
        <v>108266.66666666666</v>
      </c>
      <c r="M8" s="34">
        <f>+I8*10%</f>
        <v>1082666.6666666667</v>
      </c>
      <c r="N8" s="35"/>
      <c r="O8" s="35"/>
      <c r="P8" s="36">
        <f>C8*1.5%</f>
        <v>168000</v>
      </c>
      <c r="Q8" s="35"/>
      <c r="R8" s="35"/>
      <c r="S8" s="34">
        <f>SUM(J8:R8)</f>
        <v>2225066.6666666665</v>
      </c>
      <c r="T8" s="40">
        <f t="shared" ref="T8:T22" si="0">+I8-S8</f>
        <v>8601600</v>
      </c>
    </row>
    <row r="9" spans="1:20" x14ac:dyDescent="0.25">
      <c r="A9" s="3">
        <v>2</v>
      </c>
      <c r="B9" s="4" t="s">
        <v>24</v>
      </c>
      <c r="C9" s="4">
        <v>6000000</v>
      </c>
      <c r="D9" s="5">
        <v>30</v>
      </c>
      <c r="E9" s="30">
        <f t="shared" ref="E9:E22" si="1">+(C9/30)*D9</f>
        <v>6000000</v>
      </c>
      <c r="F9" s="30"/>
      <c r="G9" s="32" t="str">
        <f t="shared" ref="G9:G22" si="2">+IF(C9&lt;=($C$3*2),($C$4/30)*D9,"0")</f>
        <v>0</v>
      </c>
      <c r="H9" s="30"/>
      <c r="I9" s="30">
        <f t="shared" ref="I9:I22" si="3">SUM(E9:H9)</f>
        <v>6000000</v>
      </c>
      <c r="J9" s="34">
        <f>+(I9-G9)*4%</f>
        <v>240000</v>
      </c>
      <c r="K9" s="34">
        <f t="shared" ref="K9:K22" si="4">+(I9-G9)*4%</f>
        <v>240000</v>
      </c>
      <c r="L9" s="34">
        <f>+I9*1%</f>
        <v>60000</v>
      </c>
      <c r="M9" s="34">
        <f>+I9*10%</f>
        <v>600000</v>
      </c>
      <c r="N9" s="35"/>
      <c r="O9" s="35"/>
      <c r="P9" s="36">
        <f t="shared" ref="P9:P22" si="5">C9*1.5%</f>
        <v>90000</v>
      </c>
      <c r="Q9" s="35"/>
      <c r="R9" s="35"/>
      <c r="S9" s="34">
        <f>SUM(J9:R9)</f>
        <v>1230000</v>
      </c>
      <c r="T9" s="40">
        <f t="shared" si="0"/>
        <v>4770000</v>
      </c>
    </row>
    <row r="10" spans="1:20" x14ac:dyDescent="0.25">
      <c r="A10" s="3">
        <v>3</v>
      </c>
      <c r="B10" s="4" t="s">
        <v>25</v>
      </c>
      <c r="C10" s="4">
        <v>10500000</v>
      </c>
      <c r="D10" s="5">
        <v>30</v>
      </c>
      <c r="E10" s="30">
        <f t="shared" si="1"/>
        <v>10500000</v>
      </c>
      <c r="F10" s="30"/>
      <c r="G10" s="31" t="str">
        <f t="shared" si="2"/>
        <v>0</v>
      </c>
      <c r="H10" s="30"/>
      <c r="I10" s="30">
        <f t="shared" si="3"/>
        <v>10500000</v>
      </c>
      <c r="J10" s="34">
        <f t="shared" ref="J10:J22" si="6">+(I10-G10)*4%</f>
        <v>420000</v>
      </c>
      <c r="K10" s="34">
        <f t="shared" si="4"/>
        <v>420000</v>
      </c>
      <c r="L10" s="34">
        <f>+I10*1%</f>
        <v>105000</v>
      </c>
      <c r="M10" s="34">
        <f>+I10*10%</f>
        <v>1050000</v>
      </c>
      <c r="N10" s="35"/>
      <c r="O10" s="35"/>
      <c r="P10" s="36">
        <f t="shared" si="5"/>
        <v>157500</v>
      </c>
      <c r="Q10" s="35"/>
      <c r="R10" s="35"/>
      <c r="S10" s="34">
        <f t="shared" ref="S10:S22" si="7">SUM(J10:R10)</f>
        <v>2152500</v>
      </c>
      <c r="T10" s="40">
        <f t="shared" si="0"/>
        <v>8347500</v>
      </c>
    </row>
    <row r="11" spans="1:20" x14ac:dyDescent="0.25">
      <c r="A11" s="3">
        <v>4</v>
      </c>
      <c r="B11" s="4" t="s">
        <v>26</v>
      </c>
      <c r="C11" s="4">
        <v>1400000</v>
      </c>
      <c r="D11" s="5">
        <v>30</v>
      </c>
      <c r="E11" s="30">
        <f t="shared" si="1"/>
        <v>1400000</v>
      </c>
      <c r="F11" s="30">
        <f>Hoja2!J14</f>
        <v>110833.33333333331</v>
      </c>
      <c r="G11" s="30">
        <f t="shared" si="2"/>
        <v>117172</v>
      </c>
      <c r="H11" s="30"/>
      <c r="I11" s="30">
        <f t="shared" si="3"/>
        <v>1628005.3333333333</v>
      </c>
      <c r="J11" s="34">
        <f t="shared" si="6"/>
        <v>60433.333333333328</v>
      </c>
      <c r="K11" s="34">
        <f t="shared" si="4"/>
        <v>60433.333333333328</v>
      </c>
      <c r="L11" s="34"/>
      <c r="M11" s="34"/>
      <c r="N11" s="35"/>
      <c r="O11" s="35"/>
      <c r="P11" s="36">
        <f t="shared" si="5"/>
        <v>21000</v>
      </c>
      <c r="Q11" s="35"/>
      <c r="R11" s="35"/>
      <c r="S11" s="34">
        <f t="shared" si="7"/>
        <v>141866.66666666666</v>
      </c>
      <c r="T11" s="40">
        <f t="shared" si="0"/>
        <v>1486138.6666666665</v>
      </c>
    </row>
    <row r="12" spans="1:20" x14ac:dyDescent="0.25">
      <c r="A12" s="3">
        <v>5</v>
      </c>
      <c r="B12" s="4" t="s">
        <v>27</v>
      </c>
      <c r="C12" s="4">
        <v>1280000</v>
      </c>
      <c r="D12" s="5">
        <v>30</v>
      </c>
      <c r="E12" s="30">
        <f t="shared" si="1"/>
        <v>1280000</v>
      </c>
      <c r="F12" s="30">
        <f>Hoja2!J17</f>
        <v>63999.999999999993</v>
      </c>
      <c r="G12" s="30">
        <f t="shared" si="2"/>
        <v>117172</v>
      </c>
      <c r="H12" s="30"/>
      <c r="I12" s="30">
        <f t="shared" si="3"/>
        <v>1461172</v>
      </c>
      <c r="J12" s="34">
        <f t="shared" si="6"/>
        <v>53760</v>
      </c>
      <c r="K12" s="34">
        <f t="shared" si="4"/>
        <v>53760</v>
      </c>
      <c r="L12" s="34"/>
      <c r="M12" s="34"/>
      <c r="N12" s="35"/>
      <c r="O12" s="35"/>
      <c r="P12" s="36">
        <f t="shared" si="5"/>
        <v>19200</v>
      </c>
      <c r="Q12" s="35"/>
      <c r="R12" s="35"/>
      <c r="S12" s="34">
        <f t="shared" si="7"/>
        <v>126720</v>
      </c>
      <c r="T12" s="40">
        <f t="shared" si="0"/>
        <v>1334452</v>
      </c>
    </row>
    <row r="13" spans="1:20" x14ac:dyDescent="0.25">
      <c r="A13" s="3">
        <v>6</v>
      </c>
      <c r="B13" s="4" t="s">
        <v>28</v>
      </c>
      <c r="C13" s="4">
        <v>1600000</v>
      </c>
      <c r="D13" s="5">
        <v>30</v>
      </c>
      <c r="E13" s="30">
        <f t="shared" si="1"/>
        <v>1600000</v>
      </c>
      <c r="F13" s="30"/>
      <c r="G13" s="30">
        <f t="shared" si="2"/>
        <v>117172</v>
      </c>
      <c r="H13" s="30"/>
      <c r="I13" s="30">
        <f t="shared" si="3"/>
        <v>1717172</v>
      </c>
      <c r="J13" s="34">
        <f t="shared" si="6"/>
        <v>64000</v>
      </c>
      <c r="K13" s="34">
        <f t="shared" si="4"/>
        <v>64000</v>
      </c>
      <c r="L13" s="34"/>
      <c r="M13" s="34"/>
      <c r="N13" s="35"/>
      <c r="O13" s="35"/>
      <c r="P13" s="36">
        <f t="shared" si="5"/>
        <v>24000</v>
      </c>
      <c r="Q13" s="35"/>
      <c r="R13" s="35"/>
      <c r="S13" s="34">
        <f t="shared" si="7"/>
        <v>152000</v>
      </c>
      <c r="T13" s="40">
        <f t="shared" si="0"/>
        <v>1565172</v>
      </c>
    </row>
    <row r="14" spans="1:20" x14ac:dyDescent="0.25">
      <c r="A14" s="3">
        <v>7</v>
      </c>
      <c r="B14" s="4" t="s">
        <v>29</v>
      </c>
      <c r="C14" s="4">
        <v>1000000</v>
      </c>
      <c r="D14" s="5">
        <v>30</v>
      </c>
      <c r="E14" s="30">
        <f t="shared" si="1"/>
        <v>1000000.0000000001</v>
      </c>
      <c r="F14" s="30"/>
      <c r="G14" s="30">
        <f t="shared" si="2"/>
        <v>117172</v>
      </c>
      <c r="H14" s="30">
        <v>500000</v>
      </c>
      <c r="I14" s="30">
        <f t="shared" si="3"/>
        <v>1617172</v>
      </c>
      <c r="J14" s="34">
        <f t="shared" si="6"/>
        <v>60000</v>
      </c>
      <c r="K14" s="34">
        <f t="shared" si="4"/>
        <v>60000</v>
      </c>
      <c r="L14" s="34"/>
      <c r="M14" s="34"/>
      <c r="N14" s="35"/>
      <c r="O14" s="35"/>
      <c r="P14" s="36">
        <f t="shared" si="5"/>
        <v>15000</v>
      </c>
      <c r="Q14" s="35"/>
      <c r="R14" s="35"/>
      <c r="S14" s="34">
        <f t="shared" si="7"/>
        <v>135000</v>
      </c>
      <c r="T14" s="40">
        <f t="shared" si="0"/>
        <v>1482172</v>
      </c>
    </row>
    <row r="15" spans="1:20" x14ac:dyDescent="0.25">
      <c r="A15" s="3">
        <v>8</v>
      </c>
      <c r="B15" s="4" t="s">
        <v>30</v>
      </c>
      <c r="C15" s="4">
        <v>1000000</v>
      </c>
      <c r="D15" s="5">
        <v>30</v>
      </c>
      <c r="E15" s="30">
        <f t="shared" si="1"/>
        <v>1000000.0000000001</v>
      </c>
      <c r="F15" s="30"/>
      <c r="G15" s="30">
        <f t="shared" si="2"/>
        <v>117172</v>
      </c>
      <c r="H15" s="30">
        <v>500000</v>
      </c>
      <c r="I15" s="30">
        <f t="shared" si="3"/>
        <v>1617172</v>
      </c>
      <c r="J15" s="34">
        <f t="shared" si="6"/>
        <v>60000</v>
      </c>
      <c r="K15" s="34">
        <f t="shared" si="4"/>
        <v>60000</v>
      </c>
      <c r="L15" s="34"/>
      <c r="M15" s="34"/>
      <c r="N15" s="35"/>
      <c r="O15" s="35"/>
      <c r="P15" s="36">
        <f t="shared" si="5"/>
        <v>15000</v>
      </c>
      <c r="Q15" s="35"/>
      <c r="R15" s="35"/>
      <c r="S15" s="34">
        <f t="shared" si="7"/>
        <v>135000</v>
      </c>
      <c r="T15" s="40">
        <f t="shared" si="0"/>
        <v>1482172</v>
      </c>
    </row>
    <row r="16" spans="1:20" x14ac:dyDescent="0.25">
      <c r="A16" s="3">
        <v>9</v>
      </c>
      <c r="B16" s="4" t="s">
        <v>31</v>
      </c>
      <c r="C16" s="4">
        <v>1000000</v>
      </c>
      <c r="D16" s="5">
        <v>30</v>
      </c>
      <c r="E16" s="30">
        <f t="shared" si="1"/>
        <v>1000000.0000000001</v>
      </c>
      <c r="F16" s="30"/>
      <c r="G16" s="30">
        <f t="shared" si="2"/>
        <v>117172</v>
      </c>
      <c r="H16" s="30">
        <v>500000</v>
      </c>
      <c r="I16" s="30">
        <f t="shared" si="3"/>
        <v>1617172</v>
      </c>
      <c r="J16" s="34">
        <f t="shared" si="6"/>
        <v>60000</v>
      </c>
      <c r="K16" s="34">
        <f t="shared" si="4"/>
        <v>60000</v>
      </c>
      <c r="L16" s="34"/>
      <c r="M16" s="34"/>
      <c r="N16" s="35"/>
      <c r="O16" s="35"/>
      <c r="P16" s="36">
        <f t="shared" si="5"/>
        <v>15000</v>
      </c>
      <c r="Q16" s="35"/>
      <c r="R16" s="35"/>
      <c r="S16" s="34">
        <f t="shared" si="7"/>
        <v>135000</v>
      </c>
      <c r="T16" s="40">
        <f t="shared" si="0"/>
        <v>1482172</v>
      </c>
    </row>
    <row r="17" spans="1:24" x14ac:dyDescent="0.25">
      <c r="A17" s="3">
        <v>10</v>
      </c>
      <c r="B17" s="4" t="s">
        <v>32</v>
      </c>
      <c r="C17" s="4">
        <v>1000000</v>
      </c>
      <c r="D17" s="5">
        <v>15</v>
      </c>
      <c r="E17" s="30">
        <f t="shared" si="1"/>
        <v>500000.00000000006</v>
      </c>
      <c r="F17" s="30"/>
      <c r="G17" s="30">
        <f t="shared" si="2"/>
        <v>58586</v>
      </c>
      <c r="H17" s="30">
        <v>500000</v>
      </c>
      <c r="I17" s="30">
        <f t="shared" si="3"/>
        <v>1058586</v>
      </c>
      <c r="J17" s="34">
        <f t="shared" si="6"/>
        <v>40000</v>
      </c>
      <c r="K17" s="34">
        <f t="shared" si="4"/>
        <v>40000</v>
      </c>
      <c r="L17" s="34"/>
      <c r="M17" s="34"/>
      <c r="N17" s="35"/>
      <c r="O17" s="35"/>
      <c r="P17" s="36">
        <f t="shared" si="5"/>
        <v>15000</v>
      </c>
      <c r="Q17" s="35"/>
      <c r="R17" s="35"/>
      <c r="S17" s="34">
        <f t="shared" si="7"/>
        <v>95000</v>
      </c>
      <c r="T17" s="40">
        <f t="shared" si="0"/>
        <v>963586</v>
      </c>
    </row>
    <row r="18" spans="1:24" x14ac:dyDescent="0.25">
      <c r="A18" s="3">
        <v>11</v>
      </c>
      <c r="B18" s="4" t="s">
        <v>33</v>
      </c>
      <c r="C18" s="4">
        <v>17000000</v>
      </c>
      <c r="D18" s="5">
        <v>30</v>
      </c>
      <c r="E18" s="30">
        <f t="shared" si="1"/>
        <v>17000000</v>
      </c>
      <c r="F18" s="30"/>
      <c r="G18" s="31" t="str">
        <f t="shared" si="2"/>
        <v>0</v>
      </c>
      <c r="H18" s="30"/>
      <c r="I18" s="30">
        <f t="shared" si="3"/>
        <v>17000000</v>
      </c>
      <c r="J18" s="34">
        <f t="shared" si="6"/>
        <v>680000</v>
      </c>
      <c r="K18" s="34">
        <f t="shared" si="4"/>
        <v>680000</v>
      </c>
      <c r="L18" s="34">
        <f>I18*1.2%</f>
        <v>204000</v>
      </c>
      <c r="M18" s="34">
        <f>+I18*10%</f>
        <v>1700000</v>
      </c>
      <c r="N18" s="35"/>
      <c r="O18" s="35"/>
      <c r="P18" s="36">
        <f t="shared" si="5"/>
        <v>255000</v>
      </c>
      <c r="Q18" s="36">
        <v>1300000</v>
      </c>
      <c r="R18" s="35"/>
      <c r="S18" s="34">
        <f t="shared" si="7"/>
        <v>4819000</v>
      </c>
      <c r="T18" s="40">
        <f t="shared" si="0"/>
        <v>12181000</v>
      </c>
    </row>
    <row r="19" spans="1:24" x14ac:dyDescent="0.25">
      <c r="A19" s="3">
        <v>12</v>
      </c>
      <c r="B19" s="4" t="s">
        <v>34</v>
      </c>
      <c r="C19" s="4">
        <v>1000000</v>
      </c>
      <c r="D19" s="5">
        <v>30</v>
      </c>
      <c r="E19" s="30">
        <f t="shared" si="1"/>
        <v>1000000.0000000001</v>
      </c>
      <c r="F19" s="30">
        <f>Hoja2!J15</f>
        <v>109375</v>
      </c>
      <c r="G19" s="30">
        <f t="shared" si="2"/>
        <v>117172</v>
      </c>
      <c r="H19" s="30"/>
      <c r="I19" s="30">
        <f t="shared" si="3"/>
        <v>1226547</v>
      </c>
      <c r="J19" s="34">
        <f t="shared" si="6"/>
        <v>44375</v>
      </c>
      <c r="K19" s="34">
        <f t="shared" si="4"/>
        <v>44375</v>
      </c>
      <c r="L19" s="34"/>
      <c r="M19" s="34"/>
      <c r="N19" s="35"/>
      <c r="O19" s="35"/>
      <c r="P19" s="36">
        <f t="shared" si="5"/>
        <v>15000</v>
      </c>
      <c r="Q19" s="35"/>
      <c r="R19" s="35"/>
      <c r="S19" s="34">
        <f t="shared" si="7"/>
        <v>103750</v>
      </c>
      <c r="T19" s="40">
        <f t="shared" si="0"/>
        <v>1122797</v>
      </c>
    </row>
    <row r="20" spans="1:24" x14ac:dyDescent="0.25">
      <c r="A20" s="3">
        <v>13</v>
      </c>
      <c r="B20" s="4" t="s">
        <v>35</v>
      </c>
      <c r="C20" s="4">
        <v>1000000</v>
      </c>
      <c r="D20" s="5">
        <v>30</v>
      </c>
      <c r="E20" s="30">
        <f t="shared" si="1"/>
        <v>1000000.0000000001</v>
      </c>
      <c r="F20" s="30"/>
      <c r="G20" s="30">
        <f t="shared" si="2"/>
        <v>117172</v>
      </c>
      <c r="H20" s="30"/>
      <c r="I20" s="30">
        <f t="shared" si="3"/>
        <v>1117172</v>
      </c>
      <c r="J20" s="34">
        <f t="shared" si="6"/>
        <v>40000</v>
      </c>
      <c r="K20" s="34">
        <f t="shared" si="4"/>
        <v>40000</v>
      </c>
      <c r="L20" s="34"/>
      <c r="M20" s="34"/>
      <c r="N20" s="35"/>
      <c r="O20" s="35"/>
      <c r="P20" s="36">
        <f t="shared" si="5"/>
        <v>15000</v>
      </c>
      <c r="Q20" s="35"/>
      <c r="R20" s="35"/>
      <c r="S20" s="34">
        <f t="shared" si="7"/>
        <v>95000</v>
      </c>
      <c r="T20" s="40">
        <f t="shared" si="0"/>
        <v>1022172</v>
      </c>
    </row>
    <row r="21" spans="1:24" x14ac:dyDescent="0.25">
      <c r="A21" s="3">
        <v>14</v>
      </c>
      <c r="B21" s="4" t="s">
        <v>36</v>
      </c>
      <c r="C21" s="4">
        <v>1000000</v>
      </c>
      <c r="D21" s="5">
        <v>30</v>
      </c>
      <c r="E21" s="30">
        <f t="shared" si="1"/>
        <v>1000000.0000000001</v>
      </c>
      <c r="F21" s="30">
        <f>Hoja2!J16</f>
        <v>79166.666666666672</v>
      </c>
      <c r="G21" s="30">
        <f t="shared" si="2"/>
        <v>117172</v>
      </c>
      <c r="H21" s="30"/>
      <c r="I21" s="30">
        <f t="shared" si="3"/>
        <v>1196338.6666666667</v>
      </c>
      <c r="J21" s="34">
        <f t="shared" si="6"/>
        <v>43166.666666666672</v>
      </c>
      <c r="K21" s="34">
        <f t="shared" si="4"/>
        <v>43166.666666666672</v>
      </c>
      <c r="L21" s="34"/>
      <c r="M21" s="34"/>
      <c r="N21" s="35"/>
      <c r="O21" s="35"/>
      <c r="P21" s="36">
        <f t="shared" si="5"/>
        <v>15000</v>
      </c>
      <c r="Q21" s="35"/>
      <c r="R21" s="35"/>
      <c r="S21" s="34">
        <f t="shared" si="7"/>
        <v>101333.33333333334</v>
      </c>
      <c r="T21" s="40">
        <f t="shared" si="0"/>
        <v>1095005.3333333335</v>
      </c>
    </row>
    <row r="22" spans="1:24" x14ac:dyDescent="0.25">
      <c r="A22" s="8">
        <v>15</v>
      </c>
      <c r="B22" s="9" t="s">
        <v>37</v>
      </c>
      <c r="C22" s="4">
        <v>1000000</v>
      </c>
      <c r="D22" s="5">
        <v>30</v>
      </c>
      <c r="E22" s="30">
        <f t="shared" si="1"/>
        <v>1000000.0000000001</v>
      </c>
      <c r="F22" s="30"/>
      <c r="G22" s="30">
        <f t="shared" si="2"/>
        <v>117172</v>
      </c>
      <c r="H22" s="30"/>
      <c r="I22" s="30">
        <f t="shared" si="3"/>
        <v>1117172</v>
      </c>
      <c r="J22" s="34">
        <f t="shared" si="6"/>
        <v>40000</v>
      </c>
      <c r="K22" s="34">
        <f t="shared" si="4"/>
        <v>40000</v>
      </c>
      <c r="L22" s="34"/>
      <c r="M22" s="34"/>
      <c r="N22" s="35"/>
      <c r="O22" s="35"/>
      <c r="P22" s="36">
        <f t="shared" si="5"/>
        <v>15000</v>
      </c>
      <c r="Q22" s="35"/>
      <c r="R22" s="35"/>
      <c r="S22" s="34">
        <f t="shared" si="7"/>
        <v>95000</v>
      </c>
      <c r="T22" s="40">
        <f t="shared" si="0"/>
        <v>1022172</v>
      </c>
    </row>
    <row r="23" spans="1:24" x14ac:dyDescent="0.25">
      <c r="A23" s="47" t="s">
        <v>38</v>
      </c>
      <c r="B23" s="48"/>
      <c r="C23" s="10">
        <f>SUM(C8:C22)</f>
        <v>56980000</v>
      </c>
      <c r="D23" s="13"/>
      <c r="E23" s="33">
        <f>SUM(E8:E22)</f>
        <v>56106666.666666664</v>
      </c>
      <c r="F23" s="33">
        <f>SUM(F8:F22)</f>
        <v>363375</v>
      </c>
      <c r="G23" s="33">
        <f>SUM(G8:G22)</f>
        <v>1230306</v>
      </c>
      <c r="H23" s="33"/>
      <c r="I23" s="33">
        <f>SUM(I8:I22)</f>
        <v>59700347.666666664</v>
      </c>
      <c r="J23" s="37">
        <f>SUM(J8:J22)</f>
        <v>2338801.6666666665</v>
      </c>
      <c r="K23" s="37">
        <f>SUM(K8:K22)</f>
        <v>2338801.6666666665</v>
      </c>
      <c r="L23" s="37">
        <f>SUM(L8:L22)</f>
        <v>477266.66666666663</v>
      </c>
      <c r="M23" s="37">
        <f t="shared" ref="M23:R23" si="8">SUM(M8:M22)</f>
        <v>4432666.666666667</v>
      </c>
      <c r="N23" s="37">
        <f t="shared" si="8"/>
        <v>0</v>
      </c>
      <c r="O23" s="37">
        <f t="shared" si="8"/>
        <v>0</v>
      </c>
      <c r="P23" s="37">
        <f t="shared" si="8"/>
        <v>854700</v>
      </c>
      <c r="Q23" s="37">
        <f t="shared" si="8"/>
        <v>1300000</v>
      </c>
      <c r="R23" s="37">
        <f t="shared" si="8"/>
        <v>0</v>
      </c>
      <c r="S23" s="37">
        <f>SUM(S8:S22)</f>
        <v>11742236.666666666</v>
      </c>
      <c r="T23" s="41">
        <f>SUM(T8:T22)</f>
        <v>47958111.000000007</v>
      </c>
    </row>
    <row r="24" spans="1:24" x14ac:dyDescent="0.25">
      <c r="A24" s="21"/>
      <c r="B24" s="21"/>
      <c r="C24" s="20"/>
      <c r="D24" s="20"/>
      <c r="E24" s="18"/>
      <c r="F24" s="18"/>
      <c r="G24" s="18"/>
      <c r="H24" s="18"/>
      <c r="I24" s="18"/>
      <c r="J24" s="18"/>
      <c r="K24" s="18"/>
      <c r="L24" s="18"/>
      <c r="M24" s="18"/>
      <c r="N24" s="17"/>
      <c r="O24" s="17"/>
      <c r="P24" s="46"/>
      <c r="Q24" s="17"/>
      <c r="R24" s="17"/>
      <c r="S24" s="18"/>
      <c r="T24" s="18"/>
      <c r="U24" s="16"/>
      <c r="V24" s="16"/>
      <c r="W24" s="16"/>
      <c r="X24" s="16"/>
    </row>
    <row r="25" spans="1:24" x14ac:dyDescent="0.25">
      <c r="A25" s="21"/>
      <c r="B25" s="21"/>
      <c r="C25" s="20"/>
      <c r="D25" s="20"/>
      <c r="E25" s="18"/>
      <c r="F25" s="18"/>
      <c r="G25" s="18"/>
      <c r="H25" s="18"/>
      <c r="I25" s="18"/>
      <c r="J25" s="18"/>
      <c r="K25" s="18"/>
      <c r="L25" s="18"/>
      <c r="M25" s="18"/>
      <c r="N25" s="17"/>
      <c r="O25" s="17"/>
      <c r="P25" s="17"/>
      <c r="Q25" s="17"/>
      <c r="R25" s="17"/>
      <c r="S25" s="18"/>
      <c r="T25" s="18"/>
      <c r="U25" s="16"/>
      <c r="V25" s="16"/>
      <c r="W25" s="16"/>
      <c r="X25" s="16"/>
    </row>
    <row r="27" spans="1:24" x14ac:dyDescent="0.25">
      <c r="A27" s="58" t="s">
        <v>2</v>
      </c>
      <c r="B27" s="68" t="s">
        <v>39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24" x14ac:dyDescent="0.25">
      <c r="A28" s="58"/>
      <c r="B28" s="59" t="s">
        <v>6</v>
      </c>
      <c r="C28" s="69" t="s">
        <v>40</v>
      </c>
      <c r="D28" s="70" t="s">
        <v>41</v>
      </c>
      <c r="E28" s="71" t="s">
        <v>48</v>
      </c>
      <c r="F28" s="69" t="s">
        <v>42</v>
      </c>
      <c r="G28" s="69" t="s">
        <v>43</v>
      </c>
      <c r="H28" s="66" t="s">
        <v>49</v>
      </c>
      <c r="I28" s="64" t="s">
        <v>44</v>
      </c>
      <c r="J28" s="64" t="s">
        <v>52</v>
      </c>
      <c r="K28" s="64" t="s">
        <v>51</v>
      </c>
      <c r="L28" s="64" t="s">
        <v>50</v>
      </c>
      <c r="M28" s="19"/>
    </row>
    <row r="29" spans="1:24" x14ac:dyDescent="0.25">
      <c r="A29" s="58"/>
      <c r="B29" s="60"/>
      <c r="C29" s="69"/>
      <c r="D29" s="70"/>
      <c r="E29" s="69"/>
      <c r="F29" s="69"/>
      <c r="G29" s="69"/>
      <c r="H29" s="67"/>
      <c r="I29" s="65"/>
      <c r="J29" s="65"/>
      <c r="K29" s="65"/>
      <c r="L29" s="65"/>
      <c r="M29" s="19"/>
    </row>
    <row r="30" spans="1:24" x14ac:dyDescent="0.25">
      <c r="A30" s="3">
        <v>1</v>
      </c>
      <c r="B30" s="4" t="s">
        <v>23</v>
      </c>
      <c r="C30" s="6">
        <f>+I8*8.5%</f>
        <v>920266.66666666663</v>
      </c>
      <c r="D30" s="6">
        <f>+I8*12%</f>
        <v>1299199.9999999998</v>
      </c>
      <c r="E30" s="6">
        <f>+(I8-G8)*0.522%</f>
        <v>56515.199999999997</v>
      </c>
      <c r="F30" s="6">
        <f>I8*2%</f>
        <v>216533.33333333331</v>
      </c>
      <c r="G30" s="6">
        <f>I8*3%</f>
        <v>324799.99999999994</v>
      </c>
      <c r="H30" s="6">
        <f>I8*4%</f>
        <v>433066.66666666663</v>
      </c>
      <c r="I30" s="7">
        <f>I8*8.33%</f>
        <v>901861.33333333326</v>
      </c>
      <c r="J30" s="7">
        <f>I8*8.33%</f>
        <v>901861.33333333326</v>
      </c>
      <c r="K30" s="45">
        <f>I8*1%</f>
        <v>108266.66666666666</v>
      </c>
      <c r="L30" s="7">
        <f>(I8-G8)*4.17%</f>
        <v>451472</v>
      </c>
      <c r="M30" s="19"/>
    </row>
    <row r="31" spans="1:24" x14ac:dyDescent="0.25">
      <c r="A31" s="3">
        <v>2</v>
      </c>
      <c r="B31" s="4" t="s">
        <v>24</v>
      </c>
      <c r="C31" s="6"/>
      <c r="D31" s="6">
        <f t="shared" ref="D31:D44" si="9">+I9*12%</f>
        <v>720000</v>
      </c>
      <c r="E31" s="6">
        <f t="shared" ref="E31:E43" si="10">+(I9-G9)*0.522%</f>
        <v>31320</v>
      </c>
      <c r="F31" s="6"/>
      <c r="G31" s="6"/>
      <c r="H31" s="6">
        <f t="shared" ref="H31:H44" si="11">I9*4%</f>
        <v>240000</v>
      </c>
      <c r="I31" s="7">
        <f t="shared" ref="I31:I45" si="12">I9*8.33%</f>
        <v>499800</v>
      </c>
      <c r="J31" s="7">
        <f t="shared" ref="J31:J45" si="13">I9*8.33%</f>
        <v>499800</v>
      </c>
      <c r="K31" s="45">
        <f t="shared" ref="K31:K45" si="14">I9*1%</f>
        <v>60000</v>
      </c>
      <c r="L31" s="7">
        <f t="shared" ref="L31:L44" si="15">(I9-G9)*4.17%</f>
        <v>250200</v>
      </c>
      <c r="M31" s="19"/>
    </row>
    <row r="32" spans="1:24" x14ac:dyDescent="0.25">
      <c r="A32" s="3">
        <v>3</v>
      </c>
      <c r="B32" s="4" t="s">
        <v>25</v>
      </c>
      <c r="C32" s="6">
        <f>I10*8.5%</f>
        <v>892500.00000000012</v>
      </c>
      <c r="D32" s="6">
        <f t="shared" si="9"/>
        <v>1260000</v>
      </c>
      <c r="E32" s="6">
        <f t="shared" si="10"/>
        <v>54810</v>
      </c>
      <c r="F32" s="6">
        <f t="shared" ref="F32" si="16">I10*2%</f>
        <v>210000</v>
      </c>
      <c r="G32" s="6">
        <f>I10*3%</f>
        <v>315000</v>
      </c>
      <c r="H32" s="6">
        <f t="shared" si="11"/>
        <v>420000</v>
      </c>
      <c r="I32" s="7">
        <f t="shared" si="12"/>
        <v>874650</v>
      </c>
      <c r="J32" s="7">
        <f t="shared" si="13"/>
        <v>874650</v>
      </c>
      <c r="K32" s="45">
        <f t="shared" si="14"/>
        <v>105000</v>
      </c>
      <c r="L32" s="7">
        <f t="shared" si="15"/>
        <v>437850</v>
      </c>
      <c r="M32" s="19"/>
    </row>
    <row r="33" spans="1:13" x14ac:dyDescent="0.25">
      <c r="A33" s="3">
        <v>4</v>
      </c>
      <c r="B33" s="4" t="s">
        <v>26</v>
      </c>
      <c r="C33" s="6"/>
      <c r="D33" s="6">
        <f t="shared" si="9"/>
        <v>195360.63999999998</v>
      </c>
      <c r="E33" s="6">
        <f t="shared" si="10"/>
        <v>7886.5499999999993</v>
      </c>
      <c r="F33" s="6"/>
      <c r="G33" s="6"/>
      <c r="H33" s="6">
        <f t="shared" si="11"/>
        <v>65120.213333333333</v>
      </c>
      <c r="I33" s="7">
        <f t="shared" si="12"/>
        <v>135612.84426666665</v>
      </c>
      <c r="J33" s="7">
        <f t="shared" si="13"/>
        <v>135612.84426666665</v>
      </c>
      <c r="K33" s="45">
        <f t="shared" si="14"/>
        <v>16280.053333333333</v>
      </c>
      <c r="L33" s="7">
        <f t="shared" si="15"/>
        <v>63001.75</v>
      </c>
      <c r="M33" s="19"/>
    </row>
    <row r="34" spans="1:13" x14ac:dyDescent="0.25">
      <c r="A34" s="3">
        <v>5</v>
      </c>
      <c r="B34" s="4" t="s">
        <v>27</v>
      </c>
      <c r="C34" s="6"/>
      <c r="D34" s="6">
        <f t="shared" si="9"/>
        <v>175340.63999999998</v>
      </c>
      <c r="E34" s="6">
        <f t="shared" si="10"/>
        <v>7015.6799999999994</v>
      </c>
      <c r="F34" s="6"/>
      <c r="G34" s="6"/>
      <c r="H34" s="6">
        <f t="shared" si="11"/>
        <v>58446.880000000005</v>
      </c>
      <c r="I34" s="7">
        <f t="shared" si="12"/>
        <v>121715.62759999999</v>
      </c>
      <c r="J34" s="7">
        <f t="shared" si="13"/>
        <v>121715.62759999999</v>
      </c>
      <c r="K34" s="45">
        <f t="shared" si="14"/>
        <v>14611.720000000001</v>
      </c>
      <c r="L34" s="7">
        <f t="shared" si="15"/>
        <v>56044.800000000003</v>
      </c>
      <c r="M34" s="19"/>
    </row>
    <row r="35" spans="1:13" x14ac:dyDescent="0.25">
      <c r="A35" s="3">
        <v>6</v>
      </c>
      <c r="B35" s="4" t="s">
        <v>28</v>
      </c>
      <c r="C35" s="6"/>
      <c r="D35" s="6">
        <f t="shared" si="9"/>
        <v>206060.63999999998</v>
      </c>
      <c r="E35" s="6">
        <f t="shared" si="10"/>
        <v>8352</v>
      </c>
      <c r="F35" s="6"/>
      <c r="G35" s="6"/>
      <c r="H35" s="6">
        <f t="shared" si="11"/>
        <v>68686.880000000005</v>
      </c>
      <c r="I35" s="7">
        <f t="shared" si="12"/>
        <v>143040.4276</v>
      </c>
      <c r="J35" s="7">
        <f t="shared" si="13"/>
        <v>143040.4276</v>
      </c>
      <c r="K35" s="45">
        <f t="shared" si="14"/>
        <v>17171.72</v>
      </c>
      <c r="L35" s="7">
        <f t="shared" si="15"/>
        <v>66720</v>
      </c>
    </row>
    <row r="36" spans="1:13" x14ac:dyDescent="0.25">
      <c r="A36" s="3">
        <v>7</v>
      </c>
      <c r="B36" s="4" t="s">
        <v>29</v>
      </c>
      <c r="C36" s="6"/>
      <c r="D36" s="6">
        <f t="shared" si="9"/>
        <v>194060.63999999998</v>
      </c>
      <c r="E36" s="6">
        <f t="shared" si="10"/>
        <v>7830</v>
      </c>
      <c r="F36" s="6"/>
      <c r="G36" s="6"/>
      <c r="H36" s="6">
        <f t="shared" si="11"/>
        <v>64686.880000000005</v>
      </c>
      <c r="I36" s="7">
        <f t="shared" si="12"/>
        <v>134710.4276</v>
      </c>
      <c r="J36" s="7">
        <f t="shared" si="13"/>
        <v>134710.4276</v>
      </c>
      <c r="K36" s="45">
        <f t="shared" si="14"/>
        <v>16171.720000000001</v>
      </c>
      <c r="L36" s="7">
        <f t="shared" si="15"/>
        <v>62550</v>
      </c>
    </row>
    <row r="37" spans="1:13" x14ac:dyDescent="0.25">
      <c r="A37" s="3">
        <v>8</v>
      </c>
      <c r="B37" s="4" t="s">
        <v>30</v>
      </c>
      <c r="C37" s="6"/>
      <c r="D37" s="6">
        <f t="shared" si="9"/>
        <v>194060.63999999998</v>
      </c>
      <c r="E37" s="6">
        <f t="shared" si="10"/>
        <v>7830</v>
      </c>
      <c r="F37" s="6"/>
      <c r="G37" s="6"/>
      <c r="H37" s="6">
        <f t="shared" si="11"/>
        <v>64686.880000000005</v>
      </c>
      <c r="I37" s="7">
        <f t="shared" si="12"/>
        <v>134710.4276</v>
      </c>
      <c r="J37" s="7">
        <f t="shared" si="13"/>
        <v>134710.4276</v>
      </c>
      <c r="K37" s="45">
        <f t="shared" si="14"/>
        <v>16171.720000000001</v>
      </c>
      <c r="L37" s="7">
        <f t="shared" si="15"/>
        <v>62550</v>
      </c>
    </row>
    <row r="38" spans="1:13" x14ac:dyDescent="0.25">
      <c r="A38" s="3">
        <v>9</v>
      </c>
      <c r="B38" s="4" t="s">
        <v>31</v>
      </c>
      <c r="C38" s="6"/>
      <c r="D38" s="6">
        <f t="shared" si="9"/>
        <v>194060.63999999998</v>
      </c>
      <c r="E38" s="6">
        <f t="shared" si="10"/>
        <v>7830</v>
      </c>
      <c r="F38" s="6"/>
      <c r="G38" s="6"/>
      <c r="H38" s="6">
        <f t="shared" si="11"/>
        <v>64686.880000000005</v>
      </c>
      <c r="I38" s="7">
        <f t="shared" si="12"/>
        <v>134710.4276</v>
      </c>
      <c r="J38" s="7">
        <f t="shared" si="13"/>
        <v>134710.4276</v>
      </c>
      <c r="K38" s="45">
        <f t="shared" si="14"/>
        <v>16171.720000000001</v>
      </c>
      <c r="L38" s="7">
        <f t="shared" si="15"/>
        <v>62550</v>
      </c>
    </row>
    <row r="39" spans="1:13" x14ac:dyDescent="0.25">
      <c r="A39" s="3">
        <v>10</v>
      </c>
      <c r="B39" s="4" t="s">
        <v>32</v>
      </c>
      <c r="C39" s="6"/>
      <c r="D39" s="6">
        <f t="shared" si="9"/>
        <v>127030.31999999999</v>
      </c>
      <c r="E39" s="6">
        <f t="shared" si="10"/>
        <v>5220</v>
      </c>
      <c r="F39" s="6"/>
      <c r="G39" s="6"/>
      <c r="H39" s="6">
        <f t="shared" si="11"/>
        <v>42343.44</v>
      </c>
      <c r="I39" s="7">
        <f t="shared" si="12"/>
        <v>88180.213799999998</v>
      </c>
      <c r="J39" s="7">
        <f t="shared" si="13"/>
        <v>88180.213799999998</v>
      </c>
      <c r="K39" s="45">
        <f t="shared" si="14"/>
        <v>10585.86</v>
      </c>
      <c r="L39" s="7">
        <f t="shared" si="15"/>
        <v>41700</v>
      </c>
    </row>
    <row r="40" spans="1:13" x14ac:dyDescent="0.25">
      <c r="A40" s="3">
        <v>11</v>
      </c>
      <c r="B40" s="4" t="s">
        <v>33</v>
      </c>
      <c r="C40" s="6">
        <f>I18*8.5%</f>
        <v>1445000</v>
      </c>
      <c r="D40" s="6">
        <f t="shared" si="9"/>
        <v>2040000</v>
      </c>
      <c r="E40" s="6">
        <f t="shared" si="10"/>
        <v>88740</v>
      </c>
      <c r="F40" s="6">
        <f>I18*2%</f>
        <v>340000</v>
      </c>
      <c r="G40" s="6">
        <f>I18*3%</f>
        <v>510000</v>
      </c>
      <c r="H40" s="6">
        <f t="shared" si="11"/>
        <v>680000</v>
      </c>
      <c r="I40" s="7">
        <f t="shared" si="12"/>
        <v>1416100</v>
      </c>
      <c r="J40" s="7">
        <f t="shared" si="13"/>
        <v>1416100</v>
      </c>
      <c r="K40" s="45">
        <f t="shared" si="14"/>
        <v>170000</v>
      </c>
      <c r="L40" s="7">
        <f t="shared" si="15"/>
        <v>708900</v>
      </c>
    </row>
    <row r="41" spans="1:13" x14ac:dyDescent="0.25">
      <c r="A41" s="3">
        <v>12</v>
      </c>
      <c r="B41" s="4" t="s">
        <v>34</v>
      </c>
      <c r="C41" s="6"/>
      <c r="D41" s="6">
        <f t="shared" si="9"/>
        <v>147185.63999999998</v>
      </c>
      <c r="E41" s="6">
        <f t="shared" si="10"/>
        <v>5790.9375</v>
      </c>
      <c r="F41" s="6"/>
      <c r="G41" s="6"/>
      <c r="H41" s="6">
        <f t="shared" si="11"/>
        <v>49061.880000000005</v>
      </c>
      <c r="I41" s="7">
        <f t="shared" si="12"/>
        <v>102171.3651</v>
      </c>
      <c r="J41" s="7">
        <f t="shared" si="13"/>
        <v>102171.3651</v>
      </c>
      <c r="K41" s="45">
        <f t="shared" si="14"/>
        <v>12265.470000000001</v>
      </c>
      <c r="L41" s="7">
        <f t="shared" si="15"/>
        <v>46260.9375</v>
      </c>
    </row>
    <row r="42" spans="1:13" x14ac:dyDescent="0.25">
      <c r="A42" s="3">
        <v>13</v>
      </c>
      <c r="B42" s="4" t="s">
        <v>35</v>
      </c>
      <c r="C42" s="6"/>
      <c r="D42" s="6">
        <f t="shared" si="9"/>
        <v>134060.63999999998</v>
      </c>
      <c r="E42" s="6">
        <f t="shared" si="10"/>
        <v>5220</v>
      </c>
      <c r="F42" s="6"/>
      <c r="G42" s="6"/>
      <c r="H42" s="6">
        <f t="shared" si="11"/>
        <v>44686.879999999997</v>
      </c>
      <c r="I42" s="7">
        <f t="shared" si="12"/>
        <v>93060.427599999995</v>
      </c>
      <c r="J42" s="7">
        <f t="shared" si="13"/>
        <v>93060.427599999995</v>
      </c>
      <c r="K42" s="45">
        <f t="shared" si="14"/>
        <v>11171.72</v>
      </c>
      <c r="L42" s="7">
        <f t="shared" si="15"/>
        <v>41700</v>
      </c>
    </row>
    <row r="43" spans="1:13" x14ac:dyDescent="0.25">
      <c r="A43" s="3">
        <v>14</v>
      </c>
      <c r="B43" s="4" t="s">
        <v>36</v>
      </c>
      <c r="C43" s="6"/>
      <c r="D43" s="6">
        <f t="shared" si="9"/>
        <v>143560.64000000001</v>
      </c>
      <c r="E43" s="6">
        <f t="shared" si="10"/>
        <v>5633.25</v>
      </c>
      <c r="F43" s="6"/>
      <c r="G43" s="6"/>
      <c r="H43" s="6">
        <f t="shared" si="11"/>
        <v>47853.546666666669</v>
      </c>
      <c r="I43" s="7">
        <f t="shared" si="12"/>
        <v>99655.010933333338</v>
      </c>
      <c r="J43" s="7">
        <f t="shared" si="13"/>
        <v>99655.010933333338</v>
      </c>
      <c r="K43" s="45">
        <f t="shared" si="14"/>
        <v>11963.386666666667</v>
      </c>
      <c r="L43" s="7">
        <f t="shared" si="15"/>
        <v>45001.250000000007</v>
      </c>
    </row>
    <row r="44" spans="1:13" x14ac:dyDescent="0.25">
      <c r="A44" s="3">
        <v>15</v>
      </c>
      <c r="B44" s="4" t="s">
        <v>37</v>
      </c>
      <c r="C44" s="6"/>
      <c r="D44" s="6">
        <f t="shared" si="9"/>
        <v>134060.63999999998</v>
      </c>
      <c r="E44" s="6">
        <f>+(I22-G22)*0.522%</f>
        <v>5220</v>
      </c>
      <c r="F44" s="6"/>
      <c r="G44" s="6"/>
      <c r="H44" s="6">
        <f t="shared" si="11"/>
        <v>44686.879999999997</v>
      </c>
      <c r="I44" s="7">
        <f t="shared" si="12"/>
        <v>93060.427599999995</v>
      </c>
      <c r="J44" s="7">
        <f t="shared" si="13"/>
        <v>93060.427599999995</v>
      </c>
      <c r="K44" s="45">
        <f t="shared" si="14"/>
        <v>11171.72</v>
      </c>
      <c r="L44" s="7">
        <f t="shared" si="15"/>
        <v>41700</v>
      </c>
    </row>
    <row r="45" spans="1:13" x14ac:dyDescent="0.25">
      <c r="A45" s="47" t="s">
        <v>38</v>
      </c>
      <c r="B45" s="48"/>
      <c r="C45" s="11">
        <f>SUM(C30:C44)</f>
        <v>3257766.666666667</v>
      </c>
      <c r="D45" s="11">
        <f>SUM(D30:D44)</f>
        <v>7164041.7199999988</v>
      </c>
      <c r="E45" s="11">
        <f>+(I23-G23)*0.522%</f>
        <v>305213.61749999999</v>
      </c>
      <c r="F45" s="11">
        <f>SUM(F30:F44)</f>
        <v>766533.33333333326</v>
      </c>
      <c r="G45" s="11">
        <f>SUM(G30:G44)</f>
        <v>1149800</v>
      </c>
      <c r="H45" s="11">
        <f>SUM(H30:H44)</f>
        <v>2388013.9066666658</v>
      </c>
      <c r="I45" s="12">
        <f t="shared" si="12"/>
        <v>4973038.9606333328</v>
      </c>
      <c r="J45" s="12">
        <f t="shared" si="13"/>
        <v>4973038.9606333328</v>
      </c>
      <c r="K45" s="12">
        <f t="shared" si="14"/>
        <v>597003.47666666668</v>
      </c>
      <c r="L45" s="12">
        <f>I23*4.17%</f>
        <v>2489504.4977000002</v>
      </c>
    </row>
    <row r="49" spans="5:9" x14ac:dyDescent="0.25">
      <c r="E49" s="117" t="s">
        <v>77</v>
      </c>
      <c r="F49" s="117"/>
      <c r="G49" s="75"/>
      <c r="H49" s="76"/>
      <c r="I49" s="77"/>
    </row>
    <row r="50" spans="5:9" x14ac:dyDescent="0.25">
      <c r="E50" s="78" t="s">
        <v>78</v>
      </c>
      <c r="F50" s="79" t="s">
        <v>79</v>
      </c>
      <c r="G50" s="79" t="s">
        <v>80</v>
      </c>
      <c r="H50" s="79" t="s">
        <v>81</v>
      </c>
      <c r="I50" s="79" t="s">
        <v>73</v>
      </c>
    </row>
    <row r="51" spans="5:9" x14ac:dyDescent="0.25">
      <c r="E51" s="80">
        <v>510506</v>
      </c>
      <c r="F51" s="81" t="s">
        <v>82</v>
      </c>
      <c r="G51" s="82"/>
      <c r="H51" s="82">
        <f>SUM(G52:G66)</f>
        <v>56106666.666666664</v>
      </c>
      <c r="I51" s="82"/>
    </row>
    <row r="52" spans="5:9" x14ac:dyDescent="0.25">
      <c r="E52" s="83" t="s">
        <v>83</v>
      </c>
      <c r="F52" s="30" t="s">
        <v>23</v>
      </c>
      <c r="G52" s="30">
        <v>10826666.666666666</v>
      </c>
      <c r="H52" s="84"/>
      <c r="I52" s="85"/>
    </row>
    <row r="53" spans="5:9" x14ac:dyDescent="0.25">
      <c r="E53" s="83" t="s">
        <v>84</v>
      </c>
      <c r="F53" s="30" t="s">
        <v>24</v>
      </c>
      <c r="G53" s="30">
        <v>6000000</v>
      </c>
      <c r="H53" s="85"/>
      <c r="I53" s="85"/>
    </row>
    <row r="54" spans="5:9" x14ac:dyDescent="0.25">
      <c r="E54" s="83" t="s">
        <v>85</v>
      </c>
      <c r="F54" s="30" t="s">
        <v>25</v>
      </c>
      <c r="G54" s="30">
        <v>10500000</v>
      </c>
      <c r="H54" s="85"/>
      <c r="I54" s="85"/>
    </row>
    <row r="55" spans="5:9" x14ac:dyDescent="0.25">
      <c r="E55" s="83" t="s">
        <v>86</v>
      </c>
      <c r="F55" s="30" t="s">
        <v>26</v>
      </c>
      <c r="G55" s="30">
        <v>1400000</v>
      </c>
      <c r="H55" s="85"/>
      <c r="I55" s="85"/>
    </row>
    <row r="56" spans="5:9" x14ac:dyDescent="0.25">
      <c r="E56" s="83" t="s">
        <v>87</v>
      </c>
      <c r="F56" s="30" t="s">
        <v>27</v>
      </c>
      <c r="G56" s="30">
        <v>1280000</v>
      </c>
      <c r="H56" s="85"/>
      <c r="I56" s="85"/>
    </row>
    <row r="57" spans="5:9" x14ac:dyDescent="0.25">
      <c r="E57" s="83" t="s">
        <v>88</v>
      </c>
      <c r="F57" s="30" t="s">
        <v>28</v>
      </c>
      <c r="G57" s="30">
        <v>1600000</v>
      </c>
      <c r="H57" s="85"/>
      <c r="I57" s="85"/>
    </row>
    <row r="58" spans="5:9" x14ac:dyDescent="0.25">
      <c r="E58" s="83" t="s">
        <v>89</v>
      </c>
      <c r="F58" s="30" t="s">
        <v>29</v>
      </c>
      <c r="G58" s="30">
        <v>1000000.0000000001</v>
      </c>
      <c r="H58" s="85"/>
      <c r="I58" s="85"/>
    </row>
    <row r="59" spans="5:9" x14ac:dyDescent="0.25">
      <c r="E59" s="83" t="s">
        <v>90</v>
      </c>
      <c r="F59" s="30" t="s">
        <v>30</v>
      </c>
      <c r="G59" s="30">
        <v>1000000.0000000001</v>
      </c>
      <c r="H59" s="85"/>
      <c r="I59" s="85"/>
    </row>
    <row r="60" spans="5:9" x14ac:dyDescent="0.25">
      <c r="E60" s="83" t="s">
        <v>91</v>
      </c>
      <c r="F60" s="30" t="s">
        <v>31</v>
      </c>
      <c r="G60" s="30">
        <v>1000000.0000000001</v>
      </c>
      <c r="H60" s="85"/>
      <c r="I60" s="85"/>
    </row>
    <row r="61" spans="5:9" x14ac:dyDescent="0.25">
      <c r="E61" s="83" t="s">
        <v>92</v>
      </c>
      <c r="F61" s="30" t="s">
        <v>32</v>
      </c>
      <c r="G61" s="30">
        <v>500000.00000000006</v>
      </c>
      <c r="H61" s="85"/>
      <c r="I61" s="85"/>
    </row>
    <row r="62" spans="5:9" x14ac:dyDescent="0.25">
      <c r="E62" s="83" t="s">
        <v>93</v>
      </c>
      <c r="F62" s="30" t="s">
        <v>33</v>
      </c>
      <c r="G62" s="30">
        <v>17000000</v>
      </c>
      <c r="H62" s="85"/>
      <c r="I62" s="85"/>
    </row>
    <row r="63" spans="5:9" x14ac:dyDescent="0.25">
      <c r="E63" s="83" t="s">
        <v>94</v>
      </c>
      <c r="F63" s="30" t="s">
        <v>34</v>
      </c>
      <c r="G63" s="30">
        <v>1000000.0000000001</v>
      </c>
      <c r="H63" s="85"/>
      <c r="I63" s="85"/>
    </row>
    <row r="64" spans="5:9" x14ac:dyDescent="0.25">
      <c r="E64" s="83" t="s">
        <v>95</v>
      </c>
      <c r="F64" s="30" t="s">
        <v>35</v>
      </c>
      <c r="G64" s="30">
        <v>1000000.0000000001</v>
      </c>
      <c r="H64" s="85"/>
      <c r="I64" s="85"/>
    </row>
    <row r="65" spans="5:9" x14ac:dyDescent="0.25">
      <c r="E65" s="83" t="s">
        <v>96</v>
      </c>
      <c r="F65" s="30" t="s">
        <v>36</v>
      </c>
      <c r="G65" s="30">
        <v>1000000.0000000001</v>
      </c>
      <c r="H65" s="85"/>
      <c r="I65" s="85"/>
    </row>
    <row r="66" spans="5:9" x14ac:dyDescent="0.25">
      <c r="E66" s="83" t="s">
        <v>97</v>
      </c>
      <c r="F66" s="107" t="s">
        <v>37</v>
      </c>
      <c r="G66" s="30">
        <v>1000000.0000000001</v>
      </c>
      <c r="H66" s="85"/>
      <c r="I66" s="85"/>
    </row>
    <row r="67" spans="5:9" x14ac:dyDescent="0.25">
      <c r="E67" s="86">
        <v>510515</v>
      </c>
      <c r="F67" s="87" t="s">
        <v>98</v>
      </c>
      <c r="G67" s="88"/>
      <c r="H67" s="31">
        <f>SUM(G68:G71)</f>
        <v>363375</v>
      </c>
      <c r="I67" s="31"/>
    </row>
    <row r="68" spans="5:9" x14ac:dyDescent="0.25">
      <c r="E68" s="89" t="s">
        <v>99</v>
      </c>
      <c r="F68" s="30" t="s">
        <v>26</v>
      </c>
      <c r="G68" s="30">
        <v>110833.33333333331</v>
      </c>
      <c r="H68" s="31"/>
      <c r="I68" s="31"/>
    </row>
    <row r="69" spans="5:9" x14ac:dyDescent="0.25">
      <c r="E69" s="89" t="s">
        <v>100</v>
      </c>
      <c r="F69" s="30" t="s">
        <v>27</v>
      </c>
      <c r="G69" s="30">
        <v>64000</v>
      </c>
      <c r="H69" s="31"/>
      <c r="I69" s="31"/>
    </row>
    <row r="70" spans="5:9" x14ac:dyDescent="0.25">
      <c r="E70" s="89" t="s">
        <v>101</v>
      </c>
      <c r="F70" s="30" t="s">
        <v>34</v>
      </c>
      <c r="G70" s="31">
        <v>109375</v>
      </c>
      <c r="H70" s="31"/>
      <c r="I70" s="31"/>
    </row>
    <row r="71" spans="5:9" x14ac:dyDescent="0.25">
      <c r="E71" s="89" t="s">
        <v>102</v>
      </c>
      <c r="F71" s="30" t="s">
        <v>36</v>
      </c>
      <c r="G71" s="31">
        <v>79166.666666666672</v>
      </c>
      <c r="H71" s="31"/>
      <c r="I71" s="31"/>
    </row>
    <row r="72" spans="5:9" x14ac:dyDescent="0.25">
      <c r="E72" s="86">
        <v>510527</v>
      </c>
      <c r="F72" s="90" t="s">
        <v>103</v>
      </c>
      <c r="G72" s="31"/>
      <c r="H72" s="31">
        <f>SUM(G73:G83)</f>
        <v>1230306</v>
      </c>
      <c r="I72" s="31"/>
    </row>
    <row r="73" spans="5:9" s="106" customFormat="1" x14ac:dyDescent="0.25">
      <c r="E73" s="104">
        <v>51052701</v>
      </c>
      <c r="F73" s="108" t="s">
        <v>26</v>
      </c>
      <c r="G73" s="105">
        <v>117172</v>
      </c>
      <c r="H73" s="105"/>
      <c r="I73" s="105"/>
    </row>
    <row r="74" spans="5:9" s="106" customFormat="1" x14ac:dyDescent="0.25">
      <c r="E74" s="104">
        <v>51052702</v>
      </c>
      <c r="F74" s="108" t="s">
        <v>27</v>
      </c>
      <c r="G74" s="105">
        <v>117172</v>
      </c>
      <c r="H74" s="105"/>
      <c r="I74" s="105"/>
    </row>
    <row r="75" spans="5:9" s="106" customFormat="1" x14ac:dyDescent="0.25">
      <c r="E75" s="104">
        <v>51052703</v>
      </c>
      <c r="F75" s="108" t="s">
        <v>28</v>
      </c>
      <c r="G75" s="105">
        <v>117172</v>
      </c>
      <c r="H75" s="105"/>
      <c r="I75" s="105"/>
    </row>
    <row r="76" spans="5:9" s="106" customFormat="1" x14ac:dyDescent="0.25">
      <c r="E76" s="104">
        <v>51052704</v>
      </c>
      <c r="F76" s="108" t="s">
        <v>29</v>
      </c>
      <c r="G76" s="105">
        <v>117172</v>
      </c>
      <c r="H76" s="105"/>
      <c r="I76" s="105"/>
    </row>
    <row r="77" spans="5:9" s="106" customFormat="1" x14ac:dyDescent="0.25">
      <c r="E77" s="104">
        <v>51052705</v>
      </c>
      <c r="F77" s="108" t="s">
        <v>30</v>
      </c>
      <c r="G77" s="105">
        <v>117172</v>
      </c>
      <c r="H77" s="105"/>
      <c r="I77" s="105"/>
    </row>
    <row r="78" spans="5:9" s="106" customFormat="1" x14ac:dyDescent="0.25">
      <c r="E78" s="104">
        <v>51052706</v>
      </c>
      <c r="F78" s="108" t="s">
        <v>31</v>
      </c>
      <c r="G78" s="105">
        <v>117172</v>
      </c>
      <c r="H78" s="105"/>
      <c r="I78" s="105"/>
    </row>
    <row r="79" spans="5:9" s="106" customFormat="1" x14ac:dyDescent="0.25">
      <c r="E79" s="104">
        <v>51052707</v>
      </c>
      <c r="F79" s="108" t="s">
        <v>32</v>
      </c>
      <c r="G79" s="105">
        <v>58586</v>
      </c>
      <c r="H79" s="105"/>
      <c r="I79" s="105"/>
    </row>
    <row r="80" spans="5:9" s="106" customFormat="1" x14ac:dyDescent="0.25">
      <c r="E80" s="104">
        <v>51052708</v>
      </c>
      <c r="F80" s="108" t="s">
        <v>33</v>
      </c>
      <c r="G80" s="105">
        <v>117172</v>
      </c>
      <c r="H80" s="105"/>
      <c r="I80" s="105"/>
    </row>
    <row r="81" spans="5:9" s="106" customFormat="1" x14ac:dyDescent="0.25">
      <c r="E81" s="104">
        <v>51052709</v>
      </c>
      <c r="F81" s="108" t="s">
        <v>34</v>
      </c>
      <c r="G81" s="105">
        <v>117172</v>
      </c>
      <c r="H81" s="105"/>
      <c r="I81" s="105"/>
    </row>
    <row r="82" spans="5:9" s="106" customFormat="1" x14ac:dyDescent="0.25">
      <c r="E82" s="104">
        <v>51052710</v>
      </c>
      <c r="F82" s="108" t="s">
        <v>35</v>
      </c>
      <c r="G82" s="105">
        <v>117172</v>
      </c>
      <c r="H82" s="105"/>
      <c r="I82" s="105"/>
    </row>
    <row r="83" spans="5:9" x14ac:dyDescent="0.25">
      <c r="E83" s="91">
        <v>51052711</v>
      </c>
      <c r="F83" s="30" t="s">
        <v>36</v>
      </c>
      <c r="G83" s="31">
        <v>117172</v>
      </c>
      <c r="H83" s="31"/>
      <c r="I83" s="31"/>
    </row>
    <row r="84" spans="5:9" x14ac:dyDescent="0.25">
      <c r="E84" s="86">
        <v>510518</v>
      </c>
      <c r="F84" s="90" t="s">
        <v>12</v>
      </c>
      <c r="G84" s="31"/>
      <c r="H84" s="31">
        <f>SUM(G85:G88)</f>
        <v>2000000</v>
      </c>
      <c r="I84" s="31"/>
    </row>
    <row r="85" spans="5:9" x14ac:dyDescent="0.25">
      <c r="E85" s="91">
        <v>51051801</v>
      </c>
      <c r="F85" s="30" t="s">
        <v>29</v>
      </c>
      <c r="G85" s="31">
        <v>500000</v>
      </c>
      <c r="H85" s="31"/>
      <c r="I85" s="31"/>
    </row>
    <row r="86" spans="5:9" x14ac:dyDescent="0.25">
      <c r="E86" s="91">
        <v>51051802</v>
      </c>
      <c r="F86" s="30" t="s">
        <v>30</v>
      </c>
      <c r="G86" s="31">
        <v>500000</v>
      </c>
      <c r="H86" s="31"/>
      <c r="I86" s="31"/>
    </row>
    <row r="87" spans="5:9" x14ac:dyDescent="0.25">
      <c r="E87" s="91">
        <v>51051803</v>
      </c>
      <c r="F87" s="30" t="s">
        <v>31</v>
      </c>
      <c r="G87" s="31">
        <v>500000</v>
      </c>
      <c r="H87" s="31"/>
      <c r="I87" s="31"/>
    </row>
    <row r="88" spans="5:9" x14ac:dyDescent="0.25">
      <c r="E88" s="91">
        <v>51051804</v>
      </c>
      <c r="F88" s="30" t="s">
        <v>32</v>
      </c>
      <c r="G88" s="31">
        <v>500000</v>
      </c>
      <c r="H88" s="31"/>
      <c r="I88" s="31"/>
    </row>
    <row r="89" spans="5:9" x14ac:dyDescent="0.25">
      <c r="E89" s="38">
        <v>237005</v>
      </c>
      <c r="F89" s="110" t="s">
        <v>104</v>
      </c>
      <c r="G89" s="111"/>
      <c r="H89" s="111"/>
      <c r="I89" s="111">
        <f>SUM(G90:G104)</f>
        <v>2338801.6666666665</v>
      </c>
    </row>
    <row r="90" spans="5:9" x14ac:dyDescent="0.25">
      <c r="E90" s="112">
        <v>23700501</v>
      </c>
      <c r="F90" s="34" t="s">
        <v>23</v>
      </c>
      <c r="G90" s="111">
        <v>433066.66666666663</v>
      </c>
      <c r="H90" s="111"/>
      <c r="I90" s="111"/>
    </row>
    <row r="91" spans="5:9" x14ac:dyDescent="0.25">
      <c r="E91" s="112">
        <v>23700502</v>
      </c>
      <c r="F91" s="34" t="s">
        <v>24</v>
      </c>
      <c r="G91" s="111">
        <v>240000</v>
      </c>
      <c r="H91" s="111"/>
      <c r="I91" s="111"/>
    </row>
    <row r="92" spans="5:9" x14ac:dyDescent="0.25">
      <c r="E92" s="112">
        <v>23700503</v>
      </c>
      <c r="F92" s="34" t="s">
        <v>25</v>
      </c>
      <c r="G92" s="111">
        <v>420000</v>
      </c>
      <c r="H92" s="111"/>
      <c r="I92" s="111"/>
    </row>
    <row r="93" spans="5:9" x14ac:dyDescent="0.25">
      <c r="E93" s="112">
        <v>23700504</v>
      </c>
      <c r="F93" s="34" t="s">
        <v>26</v>
      </c>
      <c r="G93" s="111">
        <v>60433.333333333328</v>
      </c>
      <c r="H93" s="111"/>
      <c r="I93" s="111"/>
    </row>
    <row r="94" spans="5:9" x14ac:dyDescent="0.25">
      <c r="E94" s="112">
        <v>23700505</v>
      </c>
      <c r="F94" s="34" t="s">
        <v>27</v>
      </c>
      <c r="G94" s="111">
        <v>53760</v>
      </c>
      <c r="H94" s="111"/>
      <c r="I94" s="111"/>
    </row>
    <row r="95" spans="5:9" x14ac:dyDescent="0.25">
      <c r="E95" s="112">
        <v>23700506</v>
      </c>
      <c r="F95" s="34" t="s">
        <v>28</v>
      </c>
      <c r="G95" s="111">
        <v>64000</v>
      </c>
      <c r="H95" s="111"/>
      <c r="I95" s="111"/>
    </row>
    <row r="96" spans="5:9" x14ac:dyDescent="0.25">
      <c r="E96" s="112">
        <v>23700507</v>
      </c>
      <c r="F96" s="34" t="s">
        <v>29</v>
      </c>
      <c r="G96" s="111">
        <v>60000</v>
      </c>
      <c r="H96" s="111"/>
      <c r="I96" s="111"/>
    </row>
    <row r="97" spans="5:9" x14ac:dyDescent="0.25">
      <c r="E97" s="112">
        <v>23700508</v>
      </c>
      <c r="F97" s="34" t="s">
        <v>30</v>
      </c>
      <c r="G97" s="111">
        <v>60000</v>
      </c>
      <c r="H97" s="111"/>
      <c r="I97" s="111"/>
    </row>
    <row r="98" spans="5:9" x14ac:dyDescent="0.25">
      <c r="E98" s="112">
        <v>23700509</v>
      </c>
      <c r="F98" s="34" t="s">
        <v>31</v>
      </c>
      <c r="G98" s="111">
        <v>60000</v>
      </c>
      <c r="H98" s="111"/>
      <c r="I98" s="111"/>
    </row>
    <row r="99" spans="5:9" x14ac:dyDescent="0.25">
      <c r="E99" s="112">
        <v>23700510</v>
      </c>
      <c r="F99" s="34" t="s">
        <v>32</v>
      </c>
      <c r="G99" s="111">
        <v>40000</v>
      </c>
      <c r="H99" s="111"/>
      <c r="I99" s="111"/>
    </row>
    <row r="100" spans="5:9" x14ac:dyDescent="0.25">
      <c r="E100" s="112">
        <v>23700511</v>
      </c>
      <c r="F100" s="34" t="s">
        <v>33</v>
      </c>
      <c r="G100" s="111">
        <v>680000</v>
      </c>
      <c r="H100" s="111"/>
      <c r="I100" s="111"/>
    </row>
    <row r="101" spans="5:9" x14ac:dyDescent="0.25">
      <c r="E101" s="112">
        <v>23700512</v>
      </c>
      <c r="F101" s="34" t="s">
        <v>34</v>
      </c>
      <c r="G101" s="111">
        <v>44375</v>
      </c>
      <c r="H101" s="111"/>
      <c r="I101" s="111"/>
    </row>
    <row r="102" spans="5:9" x14ac:dyDescent="0.25">
      <c r="E102" s="112">
        <v>23700513</v>
      </c>
      <c r="F102" s="34" t="s">
        <v>35</v>
      </c>
      <c r="G102" s="111">
        <v>40000</v>
      </c>
      <c r="H102" s="111"/>
      <c r="I102" s="111"/>
    </row>
    <row r="103" spans="5:9" x14ac:dyDescent="0.25">
      <c r="E103" s="112">
        <v>23700514</v>
      </c>
      <c r="F103" s="34" t="s">
        <v>36</v>
      </c>
      <c r="G103" s="111">
        <v>43166.666666666672</v>
      </c>
      <c r="H103" s="111"/>
      <c r="I103" s="111"/>
    </row>
    <row r="104" spans="5:9" x14ac:dyDescent="0.25">
      <c r="E104" s="112">
        <v>23700515</v>
      </c>
      <c r="F104" s="113" t="s">
        <v>37</v>
      </c>
      <c r="G104" s="111">
        <v>40000</v>
      </c>
      <c r="H104" s="111"/>
      <c r="I104" s="111"/>
    </row>
    <row r="105" spans="5:9" x14ac:dyDescent="0.25">
      <c r="E105" s="38">
        <v>238030</v>
      </c>
      <c r="F105" s="114" t="s">
        <v>105</v>
      </c>
      <c r="G105" s="111"/>
      <c r="H105" s="111"/>
      <c r="I105" s="111">
        <f>SUM(G106:G120)</f>
        <v>2338801.6666666665</v>
      </c>
    </row>
    <row r="106" spans="5:9" x14ac:dyDescent="0.25">
      <c r="E106" s="35">
        <v>23803001</v>
      </c>
      <c r="F106" s="34" t="s">
        <v>23</v>
      </c>
      <c r="G106" s="115">
        <v>433066.66666666663</v>
      </c>
      <c r="H106" s="111"/>
      <c r="I106" s="111"/>
    </row>
    <row r="107" spans="5:9" x14ac:dyDescent="0.25">
      <c r="E107" s="35">
        <v>23803002</v>
      </c>
      <c r="F107" s="34" t="s">
        <v>24</v>
      </c>
      <c r="G107" s="115">
        <v>240000</v>
      </c>
      <c r="H107" s="111"/>
      <c r="I107" s="111"/>
    </row>
    <row r="108" spans="5:9" x14ac:dyDescent="0.25">
      <c r="E108" s="35">
        <v>23803003</v>
      </c>
      <c r="F108" s="34" t="s">
        <v>25</v>
      </c>
      <c r="G108" s="115">
        <v>420000</v>
      </c>
      <c r="H108" s="111"/>
      <c r="I108" s="111"/>
    </row>
    <row r="109" spans="5:9" x14ac:dyDescent="0.25">
      <c r="E109" s="35">
        <v>23803004</v>
      </c>
      <c r="F109" s="34" t="s">
        <v>26</v>
      </c>
      <c r="G109" s="115">
        <v>60433.333333333328</v>
      </c>
      <c r="H109" s="111"/>
      <c r="I109" s="111"/>
    </row>
    <row r="110" spans="5:9" x14ac:dyDescent="0.25">
      <c r="E110" s="35">
        <v>23803005</v>
      </c>
      <c r="F110" s="34" t="s">
        <v>27</v>
      </c>
      <c r="G110" s="115">
        <v>53760</v>
      </c>
      <c r="H110" s="111"/>
      <c r="I110" s="111"/>
    </row>
    <row r="111" spans="5:9" x14ac:dyDescent="0.25">
      <c r="E111" s="35">
        <v>23803006</v>
      </c>
      <c r="F111" s="34" t="s">
        <v>28</v>
      </c>
      <c r="G111" s="115">
        <v>64000</v>
      </c>
      <c r="H111" s="111"/>
      <c r="I111" s="111"/>
    </row>
    <row r="112" spans="5:9" x14ac:dyDescent="0.25">
      <c r="E112" s="35">
        <v>23803007</v>
      </c>
      <c r="F112" s="34" t="s">
        <v>29</v>
      </c>
      <c r="G112" s="115">
        <v>60000</v>
      </c>
      <c r="H112" s="111"/>
      <c r="I112" s="111"/>
    </row>
    <row r="113" spans="5:9" x14ac:dyDescent="0.25">
      <c r="E113" s="35">
        <v>23803008</v>
      </c>
      <c r="F113" s="34" t="s">
        <v>30</v>
      </c>
      <c r="G113" s="115">
        <v>60000</v>
      </c>
      <c r="H113" s="111"/>
      <c r="I113" s="111"/>
    </row>
    <row r="114" spans="5:9" x14ac:dyDescent="0.25">
      <c r="E114" s="35">
        <v>23803009</v>
      </c>
      <c r="F114" s="34" t="s">
        <v>31</v>
      </c>
      <c r="G114" s="115">
        <v>60000</v>
      </c>
      <c r="H114" s="111"/>
      <c r="I114" s="111"/>
    </row>
    <row r="115" spans="5:9" x14ac:dyDescent="0.25">
      <c r="E115" s="35">
        <v>23803010</v>
      </c>
      <c r="F115" s="34" t="s">
        <v>32</v>
      </c>
      <c r="G115" s="115">
        <v>40000</v>
      </c>
      <c r="H115" s="111"/>
      <c r="I115" s="111"/>
    </row>
    <row r="116" spans="5:9" x14ac:dyDescent="0.25">
      <c r="E116" s="35">
        <v>23803011</v>
      </c>
      <c r="F116" s="34" t="s">
        <v>33</v>
      </c>
      <c r="G116" s="115">
        <v>680000</v>
      </c>
      <c r="H116" s="111"/>
      <c r="I116" s="111"/>
    </row>
    <row r="117" spans="5:9" x14ac:dyDescent="0.25">
      <c r="E117" s="35">
        <v>23803012</v>
      </c>
      <c r="F117" s="34" t="s">
        <v>34</v>
      </c>
      <c r="G117" s="115">
        <v>44375</v>
      </c>
      <c r="H117" s="111"/>
      <c r="I117" s="111"/>
    </row>
    <row r="118" spans="5:9" x14ac:dyDescent="0.25">
      <c r="E118" s="35">
        <v>23803013</v>
      </c>
      <c r="F118" s="34" t="s">
        <v>35</v>
      </c>
      <c r="G118" s="115">
        <v>40000</v>
      </c>
      <c r="H118" s="111"/>
      <c r="I118" s="111"/>
    </row>
    <row r="119" spans="5:9" x14ac:dyDescent="0.25">
      <c r="E119" s="35">
        <v>23803014</v>
      </c>
      <c r="F119" s="34" t="s">
        <v>36</v>
      </c>
      <c r="G119" s="115">
        <v>43166.666666666672</v>
      </c>
      <c r="H119" s="111"/>
      <c r="I119" s="111"/>
    </row>
    <row r="120" spans="5:9" x14ac:dyDescent="0.25">
      <c r="E120" s="35">
        <v>23803015</v>
      </c>
      <c r="F120" s="113" t="s">
        <v>37</v>
      </c>
      <c r="G120" s="116">
        <v>40000</v>
      </c>
      <c r="H120" s="111"/>
      <c r="I120" s="111"/>
    </row>
    <row r="121" spans="5:9" x14ac:dyDescent="0.25">
      <c r="E121" s="38">
        <v>238035</v>
      </c>
      <c r="F121" s="114" t="s">
        <v>106</v>
      </c>
      <c r="G121" s="111"/>
      <c r="H121" s="111"/>
      <c r="I121" s="111">
        <f>SUM(G122:G125)</f>
        <v>477266.66666666663</v>
      </c>
    </row>
    <row r="122" spans="5:9" x14ac:dyDescent="0.25">
      <c r="E122" s="35">
        <v>23803501</v>
      </c>
      <c r="F122" s="34" t="s">
        <v>23</v>
      </c>
      <c r="G122" s="111">
        <v>108266.66666666666</v>
      </c>
      <c r="H122" s="111"/>
      <c r="I122" s="111"/>
    </row>
    <row r="123" spans="5:9" x14ac:dyDescent="0.25">
      <c r="E123" s="35">
        <v>23803502</v>
      </c>
      <c r="F123" s="34" t="s">
        <v>24</v>
      </c>
      <c r="G123" s="111">
        <v>60000</v>
      </c>
      <c r="H123" s="111"/>
      <c r="I123" s="111"/>
    </row>
    <row r="124" spans="5:9" x14ac:dyDescent="0.25">
      <c r="E124" s="35">
        <v>23803503</v>
      </c>
      <c r="F124" s="34" t="s">
        <v>25</v>
      </c>
      <c r="G124" s="111">
        <v>105000</v>
      </c>
      <c r="H124" s="111"/>
      <c r="I124" s="111"/>
    </row>
    <row r="125" spans="5:9" x14ac:dyDescent="0.25">
      <c r="E125" s="35">
        <v>23803504</v>
      </c>
      <c r="F125" s="34" t="s">
        <v>33</v>
      </c>
      <c r="G125" s="111">
        <v>204000</v>
      </c>
      <c r="H125" s="111"/>
      <c r="I125" s="111"/>
    </row>
    <row r="126" spans="5:9" x14ac:dyDescent="0.25">
      <c r="E126" s="38">
        <v>236505</v>
      </c>
      <c r="F126" s="114" t="s">
        <v>126</v>
      </c>
      <c r="G126" s="111"/>
      <c r="H126" s="111"/>
      <c r="I126" s="111">
        <f>SUM(G127:G130)</f>
        <v>4432666.666666667</v>
      </c>
    </row>
    <row r="127" spans="5:9" x14ac:dyDescent="0.25">
      <c r="E127" s="35">
        <v>23650501</v>
      </c>
      <c r="F127" s="34" t="s">
        <v>23</v>
      </c>
      <c r="G127" s="111">
        <v>1082666.6666666667</v>
      </c>
      <c r="H127" s="111"/>
      <c r="I127" s="111"/>
    </row>
    <row r="128" spans="5:9" x14ac:dyDescent="0.25">
      <c r="E128" s="35">
        <v>23650502</v>
      </c>
      <c r="F128" s="34" t="s">
        <v>24</v>
      </c>
      <c r="G128" s="111">
        <v>600000</v>
      </c>
      <c r="H128" s="111"/>
      <c r="I128" s="111"/>
    </row>
    <row r="129" spans="5:9" x14ac:dyDescent="0.25">
      <c r="E129" s="35">
        <v>23650503</v>
      </c>
      <c r="F129" s="34" t="s">
        <v>25</v>
      </c>
      <c r="G129" s="111">
        <v>1050000</v>
      </c>
      <c r="H129" s="111"/>
      <c r="I129" s="111"/>
    </row>
    <row r="130" spans="5:9" x14ac:dyDescent="0.25">
      <c r="E130" s="35">
        <v>23650504</v>
      </c>
      <c r="F130" s="34" t="s">
        <v>33</v>
      </c>
      <c r="G130" s="111">
        <v>1700000</v>
      </c>
      <c r="H130" s="111"/>
      <c r="I130" s="111"/>
    </row>
    <row r="131" spans="5:9" x14ac:dyDescent="0.25">
      <c r="E131" s="38">
        <v>237030</v>
      </c>
      <c r="F131" s="37" t="s">
        <v>127</v>
      </c>
      <c r="G131" s="111"/>
      <c r="H131" s="111"/>
      <c r="I131" s="111">
        <f>SUM(G132)</f>
        <v>1300000</v>
      </c>
    </row>
    <row r="132" spans="5:9" x14ac:dyDescent="0.25">
      <c r="E132" s="35">
        <v>23703001</v>
      </c>
      <c r="F132" s="34" t="s">
        <v>33</v>
      </c>
      <c r="G132" s="111">
        <v>1300000</v>
      </c>
      <c r="H132" s="111"/>
      <c r="I132" s="111"/>
    </row>
    <row r="133" spans="5:9" x14ac:dyDescent="0.25">
      <c r="E133" s="38">
        <v>237045</v>
      </c>
      <c r="F133" s="37" t="s">
        <v>128</v>
      </c>
      <c r="G133" s="111"/>
      <c r="H133" s="111"/>
      <c r="I133" s="111">
        <f>SUM(G134:G148)</f>
        <v>854700</v>
      </c>
    </row>
    <row r="134" spans="5:9" x14ac:dyDescent="0.25">
      <c r="E134" s="35">
        <v>23704501</v>
      </c>
      <c r="F134" s="34" t="s">
        <v>23</v>
      </c>
      <c r="G134" s="111">
        <v>168000</v>
      </c>
      <c r="H134" s="111"/>
      <c r="I134" s="111"/>
    </row>
    <row r="135" spans="5:9" x14ac:dyDescent="0.25">
      <c r="E135" s="35">
        <v>23704502</v>
      </c>
      <c r="F135" s="34" t="s">
        <v>24</v>
      </c>
      <c r="G135" s="111">
        <v>90000</v>
      </c>
      <c r="H135" s="111"/>
      <c r="I135" s="111"/>
    </row>
    <row r="136" spans="5:9" x14ac:dyDescent="0.25">
      <c r="E136" s="35">
        <v>23704503</v>
      </c>
      <c r="F136" s="34" t="s">
        <v>25</v>
      </c>
      <c r="G136" s="111">
        <v>157500</v>
      </c>
      <c r="H136" s="111"/>
      <c r="I136" s="111"/>
    </row>
    <row r="137" spans="5:9" x14ac:dyDescent="0.25">
      <c r="E137" s="35">
        <v>23704504</v>
      </c>
      <c r="F137" s="34" t="s">
        <v>26</v>
      </c>
      <c r="G137" s="111">
        <v>21000</v>
      </c>
      <c r="H137" s="111"/>
      <c r="I137" s="111"/>
    </row>
    <row r="138" spans="5:9" x14ac:dyDescent="0.25">
      <c r="E138" s="35">
        <v>23704505</v>
      </c>
      <c r="F138" s="34" t="s">
        <v>27</v>
      </c>
      <c r="G138" s="111">
        <v>19200</v>
      </c>
      <c r="H138" s="111"/>
      <c r="I138" s="111"/>
    </row>
    <row r="139" spans="5:9" x14ac:dyDescent="0.25">
      <c r="E139" s="35">
        <v>23704506</v>
      </c>
      <c r="F139" s="34" t="s">
        <v>28</v>
      </c>
      <c r="G139" s="111">
        <v>24000</v>
      </c>
      <c r="H139" s="111"/>
      <c r="I139" s="111"/>
    </row>
    <row r="140" spans="5:9" x14ac:dyDescent="0.25">
      <c r="E140" s="35">
        <v>23704507</v>
      </c>
      <c r="F140" s="34" t="s">
        <v>29</v>
      </c>
      <c r="G140" s="111">
        <v>15000</v>
      </c>
      <c r="H140" s="111"/>
      <c r="I140" s="111"/>
    </row>
    <row r="141" spans="5:9" x14ac:dyDescent="0.25">
      <c r="E141" s="35">
        <v>23704508</v>
      </c>
      <c r="F141" s="34" t="s">
        <v>30</v>
      </c>
      <c r="G141" s="111">
        <v>15000</v>
      </c>
      <c r="H141" s="111"/>
      <c r="I141" s="111"/>
    </row>
    <row r="142" spans="5:9" x14ac:dyDescent="0.25">
      <c r="E142" s="35">
        <v>23704509</v>
      </c>
      <c r="F142" s="34" t="s">
        <v>31</v>
      </c>
      <c r="G142" s="111">
        <v>15000</v>
      </c>
      <c r="H142" s="111"/>
      <c r="I142" s="111"/>
    </row>
    <row r="143" spans="5:9" x14ac:dyDescent="0.25">
      <c r="E143" s="35">
        <v>23704510</v>
      </c>
      <c r="F143" s="34" t="s">
        <v>32</v>
      </c>
      <c r="G143" s="111">
        <v>15000</v>
      </c>
      <c r="H143" s="111"/>
      <c r="I143" s="111"/>
    </row>
    <row r="144" spans="5:9" x14ac:dyDescent="0.25">
      <c r="E144" s="35">
        <v>23704511</v>
      </c>
      <c r="F144" s="34" t="s">
        <v>33</v>
      </c>
      <c r="G144" s="111">
        <v>255000</v>
      </c>
      <c r="H144" s="111"/>
      <c r="I144" s="111"/>
    </row>
    <row r="145" spans="5:9" x14ac:dyDescent="0.25">
      <c r="E145" s="35">
        <v>23704512</v>
      </c>
      <c r="F145" s="34" t="s">
        <v>34</v>
      </c>
      <c r="G145" s="111">
        <v>15000</v>
      </c>
      <c r="H145" s="111"/>
      <c r="I145" s="111"/>
    </row>
    <row r="146" spans="5:9" x14ac:dyDescent="0.25">
      <c r="E146" s="35">
        <v>23704513</v>
      </c>
      <c r="F146" s="34" t="s">
        <v>35</v>
      </c>
      <c r="G146" s="111">
        <v>15000</v>
      </c>
      <c r="H146" s="111"/>
      <c r="I146" s="111"/>
    </row>
    <row r="147" spans="5:9" x14ac:dyDescent="0.25">
      <c r="E147" s="35">
        <v>23704514</v>
      </c>
      <c r="F147" s="34" t="s">
        <v>36</v>
      </c>
      <c r="G147" s="111">
        <v>15000</v>
      </c>
      <c r="H147" s="111"/>
      <c r="I147" s="111"/>
    </row>
    <row r="148" spans="5:9" x14ac:dyDescent="0.25">
      <c r="E148" s="35">
        <v>23704515</v>
      </c>
      <c r="F148" s="113" t="s">
        <v>37</v>
      </c>
      <c r="G148" s="111">
        <v>15000</v>
      </c>
      <c r="H148" s="111"/>
      <c r="I148" s="111"/>
    </row>
    <row r="149" spans="5:9" x14ac:dyDescent="0.25">
      <c r="E149" s="38">
        <v>250505</v>
      </c>
      <c r="F149" s="37" t="s">
        <v>107</v>
      </c>
      <c r="G149" s="111"/>
      <c r="H149" s="111"/>
      <c r="I149" s="111">
        <f>SUM(G150:G164)</f>
        <v>47958111.000000007</v>
      </c>
    </row>
    <row r="150" spans="5:9" x14ac:dyDescent="0.25">
      <c r="E150" s="35">
        <v>25050501</v>
      </c>
      <c r="F150" s="34" t="s">
        <v>23</v>
      </c>
      <c r="G150" s="111">
        <f>+T8</f>
        <v>8601600</v>
      </c>
      <c r="H150" s="111"/>
      <c r="I150" s="111"/>
    </row>
    <row r="151" spans="5:9" x14ac:dyDescent="0.25">
      <c r="E151" s="35">
        <v>25050502</v>
      </c>
      <c r="F151" s="34" t="s">
        <v>24</v>
      </c>
      <c r="G151" s="111">
        <f t="shared" ref="G151:G164" si="17">+T9</f>
        <v>4770000</v>
      </c>
      <c r="H151" s="111"/>
      <c r="I151" s="111"/>
    </row>
    <row r="152" spans="5:9" x14ac:dyDescent="0.25">
      <c r="E152" s="35">
        <v>25050503</v>
      </c>
      <c r="F152" s="34" t="s">
        <v>25</v>
      </c>
      <c r="G152" s="111">
        <f t="shared" si="17"/>
        <v>8347500</v>
      </c>
      <c r="H152" s="111"/>
      <c r="I152" s="111"/>
    </row>
    <row r="153" spans="5:9" x14ac:dyDescent="0.25">
      <c r="E153" s="35">
        <v>25050504</v>
      </c>
      <c r="F153" s="34" t="s">
        <v>26</v>
      </c>
      <c r="G153" s="111">
        <f t="shared" si="17"/>
        <v>1486138.6666666665</v>
      </c>
      <c r="H153" s="111"/>
      <c r="I153" s="111"/>
    </row>
    <row r="154" spans="5:9" x14ac:dyDescent="0.25">
      <c r="E154" s="35">
        <v>25050505</v>
      </c>
      <c r="F154" s="34" t="s">
        <v>27</v>
      </c>
      <c r="G154" s="111">
        <f t="shared" si="17"/>
        <v>1334452</v>
      </c>
      <c r="H154" s="111"/>
      <c r="I154" s="111"/>
    </row>
    <row r="155" spans="5:9" x14ac:dyDescent="0.25">
      <c r="E155" s="35">
        <v>25050506</v>
      </c>
      <c r="F155" s="34" t="s">
        <v>28</v>
      </c>
      <c r="G155" s="111">
        <f t="shared" si="17"/>
        <v>1565172</v>
      </c>
      <c r="H155" s="111"/>
      <c r="I155" s="111"/>
    </row>
    <row r="156" spans="5:9" x14ac:dyDescent="0.25">
      <c r="E156" s="35">
        <v>25050507</v>
      </c>
      <c r="F156" s="34" t="s">
        <v>29</v>
      </c>
      <c r="G156" s="111">
        <f t="shared" si="17"/>
        <v>1482172</v>
      </c>
      <c r="H156" s="111"/>
      <c r="I156" s="111"/>
    </row>
    <row r="157" spans="5:9" x14ac:dyDescent="0.25">
      <c r="E157" s="35">
        <v>25050508</v>
      </c>
      <c r="F157" s="34" t="s">
        <v>30</v>
      </c>
      <c r="G157" s="111">
        <f t="shared" si="17"/>
        <v>1482172</v>
      </c>
      <c r="H157" s="111"/>
      <c r="I157" s="111"/>
    </row>
    <row r="158" spans="5:9" x14ac:dyDescent="0.25">
      <c r="E158" s="35">
        <v>25050509</v>
      </c>
      <c r="F158" s="34" t="s">
        <v>31</v>
      </c>
      <c r="G158" s="111">
        <f t="shared" si="17"/>
        <v>1482172</v>
      </c>
      <c r="H158" s="111"/>
      <c r="I158" s="111"/>
    </row>
    <row r="159" spans="5:9" x14ac:dyDescent="0.25">
      <c r="E159" s="35">
        <v>25050510</v>
      </c>
      <c r="F159" s="34" t="s">
        <v>32</v>
      </c>
      <c r="G159" s="111">
        <f t="shared" si="17"/>
        <v>963586</v>
      </c>
      <c r="H159" s="111"/>
      <c r="I159" s="111"/>
    </row>
    <row r="160" spans="5:9" x14ac:dyDescent="0.25">
      <c r="E160" s="35">
        <v>25050511</v>
      </c>
      <c r="F160" s="34" t="s">
        <v>33</v>
      </c>
      <c r="G160" s="111">
        <f t="shared" si="17"/>
        <v>12181000</v>
      </c>
      <c r="H160" s="111"/>
      <c r="I160" s="111"/>
    </row>
    <row r="161" spans="5:9" x14ac:dyDescent="0.25">
      <c r="E161" s="35">
        <v>25050512</v>
      </c>
      <c r="F161" s="34" t="s">
        <v>34</v>
      </c>
      <c r="G161" s="111">
        <f t="shared" si="17"/>
        <v>1122797</v>
      </c>
      <c r="H161" s="111"/>
      <c r="I161" s="111"/>
    </row>
    <row r="162" spans="5:9" x14ac:dyDescent="0.25">
      <c r="E162" s="35">
        <v>25050513</v>
      </c>
      <c r="F162" s="34" t="s">
        <v>35</v>
      </c>
      <c r="G162" s="111">
        <f t="shared" si="17"/>
        <v>1022172</v>
      </c>
      <c r="H162" s="111"/>
      <c r="I162" s="111"/>
    </row>
    <row r="163" spans="5:9" x14ac:dyDescent="0.25">
      <c r="E163" s="35">
        <v>25050514</v>
      </c>
      <c r="F163" s="34" t="s">
        <v>36</v>
      </c>
      <c r="G163" s="111">
        <f t="shared" si="17"/>
        <v>1095005.3333333335</v>
      </c>
      <c r="H163" s="111"/>
      <c r="I163" s="111"/>
    </row>
    <row r="164" spans="5:9" x14ac:dyDescent="0.25">
      <c r="E164" s="35">
        <v>25050515</v>
      </c>
      <c r="F164" s="34" t="s">
        <v>37</v>
      </c>
      <c r="G164" s="111">
        <f t="shared" si="17"/>
        <v>1022172</v>
      </c>
      <c r="H164" s="111"/>
      <c r="I164" s="111"/>
    </row>
    <row r="165" spans="5:9" x14ac:dyDescent="0.25">
      <c r="E165" s="93">
        <v>510530</v>
      </c>
      <c r="F165" s="118" t="s">
        <v>108</v>
      </c>
      <c r="G165" s="92"/>
      <c r="H165" s="92">
        <f>+J45</f>
        <v>4973038.9606333328</v>
      </c>
      <c r="I165" s="92"/>
    </row>
    <row r="166" spans="5:9" x14ac:dyDescent="0.25">
      <c r="E166" s="93">
        <v>510533</v>
      </c>
      <c r="F166" s="118" t="s">
        <v>109</v>
      </c>
      <c r="G166" s="119"/>
      <c r="H166" s="92">
        <f>+K45</f>
        <v>597003.47666666668</v>
      </c>
      <c r="I166" s="92"/>
    </row>
    <row r="167" spans="5:9" x14ac:dyDescent="0.25">
      <c r="E167" s="93">
        <v>510536</v>
      </c>
      <c r="F167" s="118" t="s">
        <v>110</v>
      </c>
      <c r="G167" s="92"/>
      <c r="H167" s="92">
        <f>+I45</f>
        <v>4973038.9606333328</v>
      </c>
      <c r="I167" s="92"/>
    </row>
    <row r="168" spans="5:9" x14ac:dyDescent="0.25">
      <c r="E168" s="93">
        <v>510539</v>
      </c>
      <c r="F168" s="118" t="s">
        <v>111</v>
      </c>
      <c r="G168" s="92"/>
      <c r="H168" s="92">
        <f>+L45</f>
        <v>2489504.4977000002</v>
      </c>
      <c r="I168" s="92"/>
    </row>
    <row r="169" spans="5:9" x14ac:dyDescent="0.25">
      <c r="E169" s="44">
        <v>510568</v>
      </c>
      <c r="F169" s="44" t="s">
        <v>112</v>
      </c>
      <c r="G169" s="30"/>
      <c r="H169" s="31">
        <f>+E45</f>
        <v>305213.61749999999</v>
      </c>
      <c r="I169" s="44"/>
    </row>
    <row r="170" spans="5:9" x14ac:dyDescent="0.25">
      <c r="E170" s="44">
        <v>510570</v>
      </c>
      <c r="F170" s="44" t="s">
        <v>113</v>
      </c>
      <c r="G170" s="30"/>
      <c r="H170" s="31">
        <f>+D45</f>
        <v>7164041.7199999988</v>
      </c>
      <c r="I170" s="44"/>
    </row>
    <row r="171" spans="5:9" x14ac:dyDescent="0.25">
      <c r="E171" s="44">
        <v>510569</v>
      </c>
      <c r="F171" s="44" t="s">
        <v>114</v>
      </c>
      <c r="G171" s="120"/>
      <c r="H171" s="31">
        <f>+C45</f>
        <v>3257766.666666667</v>
      </c>
      <c r="I171" s="44"/>
    </row>
    <row r="172" spans="5:9" x14ac:dyDescent="0.25">
      <c r="E172" s="44">
        <v>510572</v>
      </c>
      <c r="F172" s="44" t="s">
        <v>115</v>
      </c>
      <c r="G172" s="30"/>
      <c r="H172" s="31">
        <f>+H45</f>
        <v>2388013.9066666658</v>
      </c>
      <c r="I172" s="44"/>
    </row>
    <row r="173" spans="5:9" x14ac:dyDescent="0.25">
      <c r="E173" s="44">
        <v>510575</v>
      </c>
      <c r="F173" s="44" t="s">
        <v>116</v>
      </c>
      <c r="G173" s="30"/>
      <c r="H173" s="31">
        <f>+G45</f>
        <v>1149800</v>
      </c>
      <c r="I173" s="44"/>
    </row>
    <row r="174" spans="5:9" x14ac:dyDescent="0.25">
      <c r="E174" s="44">
        <v>510578</v>
      </c>
      <c r="F174" s="44" t="s">
        <v>117</v>
      </c>
      <c r="G174" s="30"/>
      <c r="H174" s="31">
        <f>+F45</f>
        <v>766533.33333333326</v>
      </c>
      <c r="I174" s="44"/>
    </row>
    <row r="175" spans="5:9" x14ac:dyDescent="0.25">
      <c r="E175" s="95">
        <v>237005</v>
      </c>
      <c r="F175" s="95" t="s">
        <v>114</v>
      </c>
      <c r="G175" s="96"/>
      <c r="H175" s="96"/>
      <c r="I175" s="96">
        <f>+H171</f>
        <v>3257766.666666667</v>
      </c>
    </row>
    <row r="176" spans="5:9" x14ac:dyDescent="0.25">
      <c r="E176" s="95">
        <v>237006</v>
      </c>
      <c r="F176" s="95" t="s">
        <v>112</v>
      </c>
      <c r="G176" s="96"/>
      <c r="H176" s="96"/>
      <c r="I176" s="96">
        <f>+H169</f>
        <v>305213.61749999999</v>
      </c>
    </row>
    <row r="177" spans="5:9" x14ac:dyDescent="0.25">
      <c r="E177" s="95">
        <v>237010</v>
      </c>
      <c r="F177" s="95" t="s">
        <v>118</v>
      </c>
      <c r="G177" s="96"/>
      <c r="H177" s="96"/>
      <c r="I177" s="96">
        <f>+H173+H174+H172</f>
        <v>4304347.2399999993</v>
      </c>
    </row>
    <row r="178" spans="5:9" x14ac:dyDescent="0.25">
      <c r="E178" s="95">
        <v>238030</v>
      </c>
      <c r="F178" s="95" t="s">
        <v>119</v>
      </c>
      <c r="G178" s="96"/>
      <c r="H178" s="96"/>
      <c r="I178" s="96">
        <f>+H170</f>
        <v>7164041.7199999988</v>
      </c>
    </row>
    <row r="179" spans="5:9" x14ac:dyDescent="0.25">
      <c r="E179" s="94">
        <v>261005</v>
      </c>
      <c r="F179" s="94" t="s">
        <v>120</v>
      </c>
      <c r="G179" s="92"/>
      <c r="H179" s="92"/>
      <c r="I179" s="92">
        <f>+H165</f>
        <v>4973038.9606333328</v>
      </c>
    </row>
    <row r="180" spans="5:9" x14ac:dyDescent="0.25">
      <c r="E180" s="94">
        <v>261010</v>
      </c>
      <c r="F180" s="94" t="s">
        <v>121</v>
      </c>
      <c r="G180" s="92"/>
      <c r="H180" s="92"/>
      <c r="I180" s="92">
        <f>+H166</f>
        <v>597003.47666666668</v>
      </c>
    </row>
    <row r="181" spans="5:9" x14ac:dyDescent="0.25">
      <c r="E181" s="94">
        <v>261015</v>
      </c>
      <c r="F181" s="94" t="s">
        <v>111</v>
      </c>
      <c r="G181" s="92"/>
      <c r="H181" s="92"/>
      <c r="I181" s="92">
        <f>+H168</f>
        <v>2489504.4977000002</v>
      </c>
    </row>
    <row r="182" spans="5:9" x14ac:dyDescent="0.25">
      <c r="E182" s="94">
        <v>261020</v>
      </c>
      <c r="F182" s="94" t="s">
        <v>110</v>
      </c>
      <c r="G182" s="92"/>
      <c r="H182" s="92"/>
      <c r="I182" s="92">
        <f>+H167</f>
        <v>4973038.9606333328</v>
      </c>
    </row>
    <row r="183" spans="5:9" x14ac:dyDescent="0.25">
      <c r="E183" s="97"/>
      <c r="F183" s="97"/>
      <c r="G183" s="98"/>
      <c r="H183" s="99">
        <f>SUM(H51:H182)</f>
        <v>87764302.806466669</v>
      </c>
      <c r="I183" s="99">
        <f>SUM(I51:I182)</f>
        <v>87764302.806466684</v>
      </c>
    </row>
    <row r="184" spans="5:9" x14ac:dyDescent="0.25">
      <c r="E184" s="97"/>
      <c r="F184" s="97"/>
      <c r="G184" s="98"/>
      <c r="H184" s="98"/>
      <c r="I184" s="98"/>
    </row>
    <row r="185" spans="5:9" x14ac:dyDescent="0.25">
      <c r="E185" s="28" t="s">
        <v>122</v>
      </c>
    </row>
    <row r="186" spans="5:9" x14ac:dyDescent="0.25">
      <c r="E186" s="100" t="s">
        <v>78</v>
      </c>
      <c r="F186" s="100" t="s">
        <v>123</v>
      </c>
      <c r="G186" s="100" t="s">
        <v>81</v>
      </c>
      <c r="H186" s="100" t="s">
        <v>73</v>
      </c>
      <c r="I186" s="101"/>
    </row>
    <row r="187" spans="5:9" x14ac:dyDescent="0.25">
      <c r="E187" s="102">
        <v>250505</v>
      </c>
      <c r="F187" s="103" t="s">
        <v>107</v>
      </c>
      <c r="G187" s="4">
        <f>+I149</f>
        <v>47958111.000000007</v>
      </c>
      <c r="H187" s="4"/>
      <c r="I187" s="24"/>
    </row>
    <row r="188" spans="5:9" x14ac:dyDescent="0.25">
      <c r="E188" s="95">
        <v>237005</v>
      </c>
      <c r="F188" s="95" t="s">
        <v>114</v>
      </c>
      <c r="G188" s="4">
        <f>+I89+I175</f>
        <v>5596568.333333334</v>
      </c>
      <c r="H188" s="4"/>
      <c r="I188" s="15"/>
    </row>
    <row r="189" spans="5:9" x14ac:dyDescent="0.25">
      <c r="E189" s="95">
        <v>237006</v>
      </c>
      <c r="F189" s="95" t="s">
        <v>112</v>
      </c>
      <c r="G189" s="4">
        <f>+I176</f>
        <v>305213.61749999999</v>
      </c>
      <c r="H189" s="4"/>
      <c r="I189" s="15"/>
    </row>
    <row r="190" spans="5:9" x14ac:dyDescent="0.25">
      <c r="E190" s="95">
        <v>237010</v>
      </c>
      <c r="F190" s="95" t="s">
        <v>118</v>
      </c>
      <c r="G190" s="4">
        <f>+I177</f>
        <v>4304347.2399999993</v>
      </c>
      <c r="H190" s="4"/>
      <c r="I190" s="15"/>
    </row>
    <row r="191" spans="5:9" x14ac:dyDescent="0.25">
      <c r="E191" s="95">
        <v>238030</v>
      </c>
      <c r="F191" s="95" t="s">
        <v>119</v>
      </c>
      <c r="G191" s="4">
        <f>+I105+I178</f>
        <v>9502843.3866666649</v>
      </c>
      <c r="H191" s="4"/>
      <c r="I191" s="15"/>
    </row>
    <row r="192" spans="5:9" x14ac:dyDescent="0.25">
      <c r="E192" s="3">
        <v>238035</v>
      </c>
      <c r="F192" s="95" t="s">
        <v>124</v>
      </c>
      <c r="G192" s="4">
        <f>+I121</f>
        <v>477266.66666666663</v>
      </c>
      <c r="H192" s="4"/>
      <c r="I192" s="15"/>
    </row>
    <row r="193" spans="5:9" x14ac:dyDescent="0.25">
      <c r="E193" s="3">
        <v>111005</v>
      </c>
      <c r="F193" s="95" t="s">
        <v>125</v>
      </c>
      <c r="G193" s="3"/>
      <c r="H193" s="4">
        <f>SUM(G187:G192)</f>
        <v>68144350.244166687</v>
      </c>
      <c r="I193" s="24"/>
    </row>
  </sheetData>
  <mergeCells count="41">
    <mergeCell ref="E49:F49"/>
    <mergeCell ref="L28:L29"/>
    <mergeCell ref="H28:H29"/>
    <mergeCell ref="B27:L27"/>
    <mergeCell ref="A27:A29"/>
    <mergeCell ref="A45:B45"/>
    <mergeCell ref="G28:G29"/>
    <mergeCell ref="I28:I29"/>
    <mergeCell ref="J28:J29"/>
    <mergeCell ref="K28:K29"/>
    <mergeCell ref="B28:B29"/>
    <mergeCell ref="C28:C29"/>
    <mergeCell ref="D28:D29"/>
    <mergeCell ref="E28:E29"/>
    <mergeCell ref="F28:F29"/>
    <mergeCell ref="A1:S1"/>
    <mergeCell ref="A5:A7"/>
    <mergeCell ref="B5:D5"/>
    <mergeCell ref="E5:I5"/>
    <mergeCell ref="J5:S5"/>
    <mergeCell ref="B6:B7"/>
    <mergeCell ref="C6:C7"/>
    <mergeCell ref="D6:D7"/>
    <mergeCell ref="E6:E7"/>
    <mergeCell ref="F6:F7"/>
    <mergeCell ref="C2:E2"/>
    <mergeCell ref="S6:S7"/>
    <mergeCell ref="P6:P7"/>
    <mergeCell ref="Q6:Q7"/>
    <mergeCell ref="T6:T7"/>
    <mergeCell ref="G6:G7"/>
    <mergeCell ref="H6:H7"/>
    <mergeCell ref="I6:I7"/>
    <mergeCell ref="J6:J7"/>
    <mergeCell ref="K6:K7"/>
    <mergeCell ref="L6:L7"/>
    <mergeCell ref="A23:B23"/>
    <mergeCell ref="M6:M7"/>
    <mergeCell ref="N6:N7"/>
    <mergeCell ref="O6:O7"/>
    <mergeCell ref="R6:R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topLeftCell="A18" workbookViewId="0">
      <selection activeCell="J18" sqref="J18"/>
    </sheetView>
  </sheetViews>
  <sheetFormatPr baseColWidth="10" defaultRowHeight="15" x14ac:dyDescent="0.25"/>
  <cols>
    <col min="2" max="2" width="12.5703125" customWidth="1"/>
    <col min="3" max="3" width="9.7109375" customWidth="1"/>
    <col min="5" max="5" width="8.140625" bestFit="1" customWidth="1"/>
    <col min="6" max="6" width="13.5703125" bestFit="1" customWidth="1"/>
    <col min="9" max="9" width="15.42578125" customWidth="1"/>
    <col min="10" max="10" width="12.7109375" bestFit="1" customWidth="1"/>
  </cols>
  <sheetData>
    <row r="1" spans="2:11" x14ac:dyDescent="0.25">
      <c r="B1" s="72" t="s">
        <v>55</v>
      </c>
      <c r="C1" s="72"/>
      <c r="D1" s="72"/>
      <c r="E1" s="72"/>
      <c r="F1" s="72"/>
      <c r="G1" s="72"/>
      <c r="H1" s="72"/>
      <c r="I1" s="72"/>
      <c r="J1" s="72"/>
    </row>
    <row r="9" spans="2:11" x14ac:dyDescent="0.25">
      <c r="B9" s="28" t="s">
        <v>71</v>
      </c>
    </row>
    <row r="10" spans="2:11" x14ac:dyDescent="0.25">
      <c r="B10" s="44" t="s">
        <v>26</v>
      </c>
    </row>
    <row r="11" spans="2:11" x14ac:dyDescent="0.25">
      <c r="B11" s="3" t="s">
        <v>47</v>
      </c>
      <c r="C11" s="14">
        <v>1400000</v>
      </c>
    </row>
    <row r="12" spans="2:11" x14ac:dyDescent="0.25">
      <c r="B12" s="3" t="s">
        <v>46</v>
      </c>
      <c r="C12" s="4">
        <f>+C11/240</f>
        <v>5833.333333333333</v>
      </c>
    </row>
    <row r="13" spans="2:11" x14ac:dyDescent="0.25">
      <c r="I13" s="74" t="s">
        <v>75</v>
      </c>
      <c r="J13" s="74"/>
      <c r="K13" s="74"/>
    </row>
    <row r="14" spans="2:11" x14ac:dyDescent="0.25">
      <c r="B14" s="3" t="s">
        <v>56</v>
      </c>
      <c r="C14" s="3">
        <v>8</v>
      </c>
      <c r="D14" s="3" t="s">
        <v>57</v>
      </c>
      <c r="E14" s="3">
        <v>1.75</v>
      </c>
      <c r="F14" s="4">
        <f>C12*E14*C14</f>
        <v>81666.666666666657</v>
      </c>
      <c r="I14" s="42" t="s">
        <v>26</v>
      </c>
      <c r="J14" s="43">
        <f>F16</f>
        <v>110833.33333333331</v>
      </c>
    </row>
    <row r="15" spans="2:11" x14ac:dyDescent="0.25">
      <c r="B15" s="3" t="s">
        <v>58</v>
      </c>
      <c r="C15" s="3">
        <v>2</v>
      </c>
      <c r="D15" s="3" t="s">
        <v>59</v>
      </c>
      <c r="E15" s="25">
        <v>2.5</v>
      </c>
      <c r="F15" s="4">
        <f>C12*E15*C15</f>
        <v>29166.666666666664</v>
      </c>
      <c r="I15" s="42" t="s">
        <v>76</v>
      </c>
      <c r="J15" s="43">
        <f>F24+F42</f>
        <v>109375</v>
      </c>
    </row>
    <row r="16" spans="2:11" x14ac:dyDescent="0.25">
      <c r="C16" s="15"/>
      <c r="D16" s="15"/>
      <c r="F16" s="12">
        <f>F14+F15</f>
        <v>110833.33333333331</v>
      </c>
      <c r="I16" s="42" t="s">
        <v>61</v>
      </c>
      <c r="J16" s="43">
        <f>F32</f>
        <v>79166.666666666672</v>
      </c>
    </row>
    <row r="17" spans="2:13" x14ac:dyDescent="0.25">
      <c r="C17" s="15"/>
      <c r="D17" s="24"/>
      <c r="I17" s="42" t="s">
        <v>74</v>
      </c>
      <c r="J17" s="43">
        <f>F51</f>
        <v>63999.999999999993</v>
      </c>
      <c r="K17" s="29"/>
    </row>
    <row r="18" spans="2:13" x14ac:dyDescent="0.25">
      <c r="B18" s="44" t="s">
        <v>60</v>
      </c>
      <c r="D18" s="24"/>
    </row>
    <row r="19" spans="2:13" x14ac:dyDescent="0.25">
      <c r="B19" s="3" t="s">
        <v>47</v>
      </c>
      <c r="C19" s="14">
        <v>1000000</v>
      </c>
    </row>
    <row r="20" spans="2:13" x14ac:dyDescent="0.25">
      <c r="B20" s="3" t="s">
        <v>46</v>
      </c>
      <c r="C20" s="4">
        <f>+C19/240</f>
        <v>4166.666666666667</v>
      </c>
    </row>
    <row r="22" spans="2:13" x14ac:dyDescent="0.25">
      <c r="B22" s="3" t="s">
        <v>56</v>
      </c>
      <c r="C22" s="3">
        <v>8</v>
      </c>
      <c r="D22" s="3" t="s">
        <v>57</v>
      </c>
      <c r="E22" s="3">
        <v>1.75</v>
      </c>
      <c r="F22" s="4">
        <f>C20*E22*C22</f>
        <v>58333.333333333336</v>
      </c>
    </row>
    <row r="23" spans="2:13" x14ac:dyDescent="0.25">
      <c r="B23" s="3" t="s">
        <v>58</v>
      </c>
      <c r="C23" s="3">
        <v>2</v>
      </c>
      <c r="D23" s="3" t="s">
        <v>59</v>
      </c>
      <c r="E23" s="25">
        <v>2.5</v>
      </c>
      <c r="F23" s="4">
        <f>C20*E23*C23</f>
        <v>20833.333333333336</v>
      </c>
      <c r="I23" s="15"/>
      <c r="J23" s="15"/>
      <c r="K23" s="15"/>
      <c r="L23" s="15"/>
      <c r="M23" s="24"/>
    </row>
    <row r="24" spans="2:13" x14ac:dyDescent="0.25">
      <c r="F24" s="12">
        <f>F22+F23</f>
        <v>79166.666666666672</v>
      </c>
      <c r="I24" s="15"/>
      <c r="J24" s="15"/>
      <c r="K24" s="15"/>
      <c r="L24" s="27"/>
      <c r="M24" s="24"/>
    </row>
    <row r="25" spans="2:13" x14ac:dyDescent="0.25">
      <c r="I25" s="15"/>
      <c r="J25" s="15"/>
      <c r="K25" s="15"/>
      <c r="L25" s="15"/>
      <c r="M25" s="24"/>
    </row>
    <row r="26" spans="2:13" x14ac:dyDescent="0.25">
      <c r="B26" s="44" t="s">
        <v>61</v>
      </c>
      <c r="C26" s="44"/>
    </row>
    <row r="27" spans="2:13" x14ac:dyDescent="0.25">
      <c r="B27" s="3" t="s">
        <v>47</v>
      </c>
      <c r="C27" s="14">
        <v>1000000</v>
      </c>
    </row>
    <row r="28" spans="2:13" x14ac:dyDescent="0.25">
      <c r="B28" s="3" t="s">
        <v>46</v>
      </c>
      <c r="C28" s="4">
        <f>+C27/240</f>
        <v>4166.666666666667</v>
      </c>
    </row>
    <row r="30" spans="2:13" x14ac:dyDescent="0.25">
      <c r="B30" s="3" t="s">
        <v>56</v>
      </c>
      <c r="C30" s="3">
        <v>8</v>
      </c>
      <c r="D30" s="3" t="s">
        <v>57</v>
      </c>
      <c r="E30" s="3">
        <v>1.75</v>
      </c>
      <c r="F30" s="4">
        <f>C28*E30*C30</f>
        <v>58333.333333333336</v>
      </c>
    </row>
    <row r="31" spans="2:13" x14ac:dyDescent="0.25">
      <c r="B31" s="3" t="s">
        <v>58</v>
      </c>
      <c r="C31" s="3">
        <v>2</v>
      </c>
      <c r="D31" s="3" t="s">
        <v>59</v>
      </c>
      <c r="E31" s="25">
        <v>2.5</v>
      </c>
      <c r="F31" s="4">
        <f>C28*E31*C31</f>
        <v>20833.333333333336</v>
      </c>
    </row>
    <row r="32" spans="2:13" x14ac:dyDescent="0.25">
      <c r="F32" s="12">
        <f>F30+F31</f>
        <v>79166.666666666672</v>
      </c>
    </row>
    <row r="34" spans="2:7" x14ac:dyDescent="0.25">
      <c r="B34" s="28" t="s">
        <v>70</v>
      </c>
    </row>
    <row r="35" spans="2:7" x14ac:dyDescent="0.25">
      <c r="B35" s="44" t="s">
        <v>60</v>
      </c>
      <c r="C35" s="15"/>
    </row>
    <row r="36" spans="2:7" x14ac:dyDescent="0.25">
      <c r="B36" s="3" t="s">
        <v>47</v>
      </c>
      <c r="C36" s="4">
        <v>1000000</v>
      </c>
    </row>
    <row r="37" spans="2:7" x14ac:dyDescent="0.25">
      <c r="B37" s="3" t="s">
        <v>46</v>
      </c>
      <c r="C37" s="4">
        <f>+C36/240</f>
        <v>4166.666666666667</v>
      </c>
    </row>
    <row r="39" spans="2:7" x14ac:dyDescent="0.25">
      <c r="B39" s="3" t="s">
        <v>62</v>
      </c>
      <c r="C39" s="3"/>
      <c r="D39" s="73" t="s">
        <v>63</v>
      </c>
      <c r="E39" s="73"/>
      <c r="F39" s="24"/>
    </row>
    <row r="40" spans="2:7" x14ac:dyDescent="0.25">
      <c r="B40" s="3" t="s">
        <v>64</v>
      </c>
      <c r="C40" s="3">
        <v>3</v>
      </c>
      <c r="D40" s="3" t="s">
        <v>65</v>
      </c>
      <c r="E40" s="26">
        <v>1.25</v>
      </c>
      <c r="F40" s="4">
        <f>C37*E40*C40</f>
        <v>15625.000000000002</v>
      </c>
    </row>
    <row r="41" spans="2:7" x14ac:dyDescent="0.25">
      <c r="B41" s="3" t="s">
        <v>66</v>
      </c>
      <c r="C41" s="3">
        <v>2</v>
      </c>
      <c r="D41" s="3" t="s">
        <v>67</v>
      </c>
      <c r="E41" s="26">
        <v>1.75</v>
      </c>
      <c r="F41" s="4">
        <f>C37*E41*C41</f>
        <v>14583.333333333334</v>
      </c>
    </row>
    <row r="42" spans="2:7" x14ac:dyDescent="0.25">
      <c r="F42" s="12">
        <f>F40+F41</f>
        <v>30208.333333333336</v>
      </c>
    </row>
    <row r="43" spans="2:7" x14ac:dyDescent="0.25">
      <c r="G43" s="109"/>
    </row>
    <row r="44" spans="2:7" x14ac:dyDescent="0.25">
      <c r="B44" s="28" t="s">
        <v>69</v>
      </c>
    </row>
    <row r="45" spans="2:7" x14ac:dyDescent="0.25">
      <c r="B45" s="44" t="s">
        <v>74</v>
      </c>
      <c r="C45" s="15"/>
    </row>
    <row r="46" spans="2:7" x14ac:dyDescent="0.25">
      <c r="B46" s="3" t="s">
        <v>47</v>
      </c>
      <c r="C46" s="4">
        <v>1280000</v>
      </c>
    </row>
    <row r="47" spans="2:7" x14ac:dyDescent="0.25">
      <c r="B47" s="3" t="s">
        <v>46</v>
      </c>
      <c r="C47" s="4">
        <f>+C46/240</f>
        <v>5333.333333333333</v>
      </c>
    </row>
    <row r="49" spans="2:6" x14ac:dyDescent="0.25">
      <c r="B49" s="3" t="s">
        <v>68</v>
      </c>
      <c r="C49" s="3">
        <v>4</v>
      </c>
      <c r="D49" s="3" t="s">
        <v>59</v>
      </c>
      <c r="E49" s="25">
        <v>2.5</v>
      </c>
      <c r="F49" s="4">
        <f>C47*E49*C49</f>
        <v>53333.333333333328</v>
      </c>
    </row>
    <row r="50" spans="2:6" x14ac:dyDescent="0.25">
      <c r="B50" s="3" t="s">
        <v>58</v>
      </c>
      <c r="C50" s="3">
        <v>1</v>
      </c>
      <c r="D50" s="3" t="s">
        <v>57</v>
      </c>
      <c r="E50" s="26">
        <v>2</v>
      </c>
      <c r="F50" s="4">
        <f>C47*E50*C50</f>
        <v>10666.666666666666</v>
      </c>
    </row>
    <row r="51" spans="2:6" x14ac:dyDescent="0.25">
      <c r="F51" s="12">
        <f>F49+F50</f>
        <v>63999.999999999993</v>
      </c>
    </row>
  </sheetData>
  <mergeCells count="3">
    <mergeCell ref="B1:J1"/>
    <mergeCell ref="D39:E39"/>
    <mergeCell ref="I13:K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Usuario</cp:lastModifiedBy>
  <dcterms:created xsi:type="dcterms:W3CDTF">2022-08-03T21:26:03Z</dcterms:created>
  <dcterms:modified xsi:type="dcterms:W3CDTF">2022-08-05T17:57:36Z</dcterms:modified>
</cp:coreProperties>
</file>