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2ca9c781bb56aabf/Documents/Springboard Data Analytics Class/Southern Water Corps Data Analyst Project_FINAL/"/>
    </mc:Choice>
  </mc:AlternateContent>
  <xr:revisionPtr revIDLastSave="0" documentId="8_{89F73D60-2DB9-4F15-B628-B9E5B30F0AFF}" xr6:coauthVersionLast="47" xr6:coauthVersionMax="47" xr10:uidLastSave="{00000000-0000-0000-0000-000000000000}"/>
  <bookViews>
    <workbookView xWindow="-120" yWindow="-120" windowWidth="21840" windowHeight="13290" firstSheet="3" activeTab="3" xr2:uid="{00000000-000D-0000-FFFF-FFFF00000000}"/>
  </bookViews>
  <sheets>
    <sheet name="Read Me" sheetId="1" r:id="rId1"/>
    <sheet name="Data Repository Table" sheetId="2" r:id="rId2"/>
    <sheet name="Water Trading Repository Table" sheetId="3" r:id="rId3"/>
    <sheet name="Economic Market Analysis" sheetId="4" r:id="rId4"/>
    <sheet name="What-If Analysis" sheetId="6" r:id="rId5"/>
    <sheet name="Economic Cost Analysis" sheetId="5" r:id="rId6"/>
    <sheet name="Variance Analysis" sheetId="7" state="hidden" r:id="rId7"/>
    <sheet name="Cost to Produce" sheetId="8" state="hidden" r:id="rId8"/>
    <sheet name="EBIT" sheetId="9" state="hidden" r:id="rId9"/>
  </sheets>
  <definedNames>
    <definedName name="_xlnm._FilterDatabase" localSheetId="1" hidden="1">'Data Repository Table'!$A$1:$L$505</definedName>
    <definedName name="_xlnm._FilterDatabase" localSheetId="2" hidden="1">'Water Trading Repository Table'!$A$1:$E$1461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8CndQoPrsX4QR6SgxX27PIp1ZnpURdb741WtuXYqBOo="/>
    </ext>
  </extLst>
</workbook>
</file>

<file path=xl/calcChain.xml><?xml version="1.0" encoding="utf-8"?>
<calcChain xmlns="http://schemas.openxmlformats.org/spreadsheetml/2006/main">
  <c r="R68" i="6" l="1"/>
  <c r="R67" i="6"/>
  <c r="R66" i="6"/>
  <c r="R65" i="6"/>
  <c r="Q69" i="6"/>
  <c r="F69" i="6"/>
  <c r="G69" i="6"/>
  <c r="H69" i="6"/>
  <c r="I69" i="6"/>
  <c r="J69" i="6"/>
  <c r="K69" i="6"/>
  <c r="L69" i="6"/>
  <c r="M69" i="6"/>
  <c r="N69" i="6"/>
  <c r="O69" i="6"/>
  <c r="P69" i="6"/>
  <c r="E69" i="6"/>
  <c r="E65" i="6"/>
  <c r="Q58" i="6"/>
  <c r="Q57" i="6"/>
  <c r="Q56" i="6"/>
  <c r="H20" i="5"/>
  <c r="N16" i="6"/>
  <c r="M16" i="6"/>
  <c r="L16" i="6"/>
  <c r="K16" i="6"/>
  <c r="P16" i="6"/>
  <c r="O16" i="6"/>
  <c r="P15" i="6"/>
  <c r="O15" i="6"/>
  <c r="N15" i="6"/>
  <c r="M15" i="6"/>
  <c r="L15" i="6"/>
  <c r="Q68" i="6"/>
  <c r="Q67" i="6"/>
  <c r="Q66" i="6"/>
  <c r="F56" i="6"/>
  <c r="G56" i="6"/>
  <c r="H56" i="6"/>
  <c r="I56" i="6"/>
  <c r="J56" i="6"/>
  <c r="K56" i="6"/>
  <c r="L56" i="6"/>
  <c r="M56" i="6"/>
  <c r="N56" i="6"/>
  <c r="O56" i="6"/>
  <c r="P56" i="6"/>
  <c r="E56" i="6"/>
  <c r="E57" i="6"/>
  <c r="O57" i="6"/>
  <c r="P57" i="6"/>
  <c r="N57" i="6"/>
  <c r="J57" i="6"/>
  <c r="L68" i="6"/>
  <c r="M68" i="6"/>
  <c r="N68" i="6"/>
  <c r="O68" i="6"/>
  <c r="P68" i="6"/>
  <c r="K68" i="6"/>
  <c r="K67" i="6"/>
  <c r="F68" i="6"/>
  <c r="G68" i="6"/>
  <c r="E68" i="6"/>
  <c r="E66" i="6"/>
  <c r="I67" i="6"/>
  <c r="J67" i="6"/>
  <c r="L67" i="6"/>
  <c r="M67" i="6"/>
  <c r="N67" i="6"/>
  <c r="O67" i="6"/>
  <c r="P67" i="6"/>
  <c r="H67" i="6"/>
  <c r="H66" i="6"/>
  <c r="F66" i="6"/>
  <c r="G66" i="6"/>
  <c r="I66" i="6"/>
  <c r="J66" i="6"/>
  <c r="K66" i="6"/>
  <c r="L66" i="6"/>
  <c r="M66" i="6"/>
  <c r="Q65" i="6"/>
  <c r="F57" i="6"/>
  <c r="G57" i="6"/>
  <c r="H57" i="6"/>
  <c r="I57" i="6"/>
  <c r="I58" i="6"/>
  <c r="J58" i="6"/>
  <c r="K58" i="6"/>
  <c r="L58" i="6"/>
  <c r="M58" i="6"/>
  <c r="N58" i="6"/>
  <c r="O58" i="6"/>
  <c r="P58" i="6"/>
  <c r="H58" i="6"/>
  <c r="E58" i="6"/>
  <c r="K15" i="6"/>
  <c r="F16" i="6"/>
  <c r="G16" i="6"/>
  <c r="H16" i="6"/>
  <c r="I16" i="6"/>
  <c r="J16" i="6"/>
  <c r="E16" i="6"/>
  <c r="E15" i="6"/>
  <c r="I65" i="6"/>
  <c r="J65" i="6"/>
  <c r="N65" i="6"/>
  <c r="O65" i="6"/>
  <c r="P65" i="6"/>
  <c r="H65" i="6"/>
  <c r="F65" i="6"/>
  <c r="G65" i="6"/>
  <c r="D47" i="6"/>
  <c r="C47" i="6"/>
  <c r="D46" i="6"/>
  <c r="C46" i="6"/>
  <c r="D45" i="6"/>
  <c r="C45" i="6"/>
  <c r="D44" i="6"/>
  <c r="C44" i="6"/>
  <c r="G16" i="5"/>
  <c r="F58" i="6"/>
  <c r="G58" i="6"/>
  <c r="H15" i="6"/>
  <c r="I15" i="6"/>
  <c r="J15" i="6"/>
  <c r="F15" i="6"/>
  <c r="G15" i="6"/>
  <c r="C111" i="5"/>
  <c r="C110" i="5"/>
  <c r="C109" i="5"/>
  <c r="G22" i="5"/>
  <c r="B111" i="5"/>
  <c r="B110" i="5"/>
  <c r="Q25" i="5"/>
  <c r="R25" i="5"/>
  <c r="G56" i="5" a="1"/>
  <c r="G56" i="5" s="1"/>
  <c r="G65" i="5" s="1"/>
  <c r="H65" i="5"/>
  <c r="I65" i="5"/>
  <c r="J65" i="5"/>
  <c r="K65" i="5"/>
  <c r="L65" i="5"/>
  <c r="M65" i="5"/>
  <c r="N65" i="5"/>
  <c r="O65" i="5"/>
  <c r="P65" i="5"/>
  <c r="Q65" i="5"/>
  <c r="R65" i="5"/>
  <c r="H64" i="5" a="1"/>
  <c r="H64" i="5"/>
  <c r="I64" i="5" a="1"/>
  <c r="I64" i="5"/>
  <c r="J64" i="5" a="1"/>
  <c r="J64" i="5"/>
  <c r="K64" i="5" a="1"/>
  <c r="K64" i="5"/>
  <c r="L64" i="5" a="1"/>
  <c r="L64" i="5"/>
  <c r="M64" i="5" a="1"/>
  <c r="M64" i="5"/>
  <c r="N64" i="5" a="1"/>
  <c r="N64" i="5"/>
  <c r="O64" i="5" a="1"/>
  <c r="O64" i="5"/>
  <c r="P64" i="5" a="1"/>
  <c r="P64" i="5"/>
  <c r="Q64" i="5" a="1"/>
  <c r="Q64" i="5"/>
  <c r="R64" i="5" a="1"/>
  <c r="R64" i="5"/>
  <c r="G64" i="5" a="1"/>
  <c r="G64" i="5" s="1"/>
  <c r="H63" i="5" a="1"/>
  <c r="H63" i="5" s="1"/>
  <c r="I63" i="5" a="1"/>
  <c r="I63" i="5"/>
  <c r="J63" i="5" a="1"/>
  <c r="J63" i="5" s="1"/>
  <c r="K63" i="5" a="1"/>
  <c r="K63" i="5"/>
  <c r="L63" i="5" a="1"/>
  <c r="L63" i="5" s="1"/>
  <c r="M63" i="5" a="1"/>
  <c r="M63" i="5"/>
  <c r="N63" i="5" a="1"/>
  <c r="N63" i="5" s="1"/>
  <c r="O63" i="5" a="1"/>
  <c r="O63" i="5"/>
  <c r="P63" i="5" a="1"/>
  <c r="P63" i="5" s="1"/>
  <c r="Q63" i="5" a="1"/>
  <c r="Q63" i="5" s="1"/>
  <c r="R63" i="5" a="1"/>
  <c r="R63" i="5" s="1"/>
  <c r="G63" i="5" a="1"/>
  <c r="G63" i="5"/>
  <c r="R62" i="5" a="1"/>
  <c r="R62" i="5"/>
  <c r="H62" i="5" a="1"/>
  <c r="H62" i="5" s="1"/>
  <c r="I62" i="5" a="1"/>
  <c r="I62" i="5"/>
  <c r="J62" i="5" a="1"/>
  <c r="J62" i="5" s="1"/>
  <c r="K62" i="5" a="1"/>
  <c r="K62" i="5"/>
  <c r="L62" i="5" a="1"/>
  <c r="L62" i="5" s="1"/>
  <c r="M62" i="5" a="1"/>
  <c r="M62" i="5"/>
  <c r="N62" i="5" a="1"/>
  <c r="N62" i="5" s="1"/>
  <c r="O62" i="5" a="1"/>
  <c r="O62" i="5"/>
  <c r="P62" i="5" a="1"/>
  <c r="P62" i="5" s="1"/>
  <c r="Q62" i="5" a="1"/>
  <c r="Q62" i="5" s="1"/>
  <c r="G62" i="5" a="1"/>
  <c r="G62" i="5"/>
  <c r="H61" i="5" a="1"/>
  <c r="H61" i="5"/>
  <c r="I61" i="5" a="1"/>
  <c r="I61" i="5"/>
  <c r="J61" i="5" a="1"/>
  <c r="J61" i="5"/>
  <c r="K61" i="5" a="1"/>
  <c r="K61" i="5"/>
  <c r="L61" i="5" a="1"/>
  <c r="L61" i="5"/>
  <c r="M61" i="5" a="1"/>
  <c r="M61" i="5"/>
  <c r="N61" i="5" a="1"/>
  <c r="N61" i="5"/>
  <c r="O61" i="5" a="1"/>
  <c r="O61" i="5"/>
  <c r="P61" i="5" a="1"/>
  <c r="P61" i="5"/>
  <c r="Q61" i="5" a="1"/>
  <c r="Q61" i="5"/>
  <c r="R61" i="5" a="1"/>
  <c r="R61" i="5"/>
  <c r="G61" i="5" a="1"/>
  <c r="G61" i="5" s="1"/>
  <c r="H60" i="5" a="1"/>
  <c r="H60" i="5"/>
  <c r="I60" i="5" a="1"/>
  <c r="I60" i="5"/>
  <c r="J60" i="5" a="1"/>
  <c r="J60" i="5"/>
  <c r="K60" i="5" a="1"/>
  <c r="K60" i="5"/>
  <c r="L60" i="5" a="1"/>
  <c r="L60" i="5"/>
  <c r="M60" i="5" a="1"/>
  <c r="M60" i="5"/>
  <c r="N60" i="5" a="1"/>
  <c r="N60" i="5"/>
  <c r="O60" i="5" a="1"/>
  <c r="O60" i="5"/>
  <c r="P60" i="5" a="1"/>
  <c r="P60" i="5"/>
  <c r="Q60" i="5" a="1"/>
  <c r="Q60" i="5"/>
  <c r="R60" i="5" a="1"/>
  <c r="R60" i="5"/>
  <c r="G60" i="5" a="1"/>
  <c r="G60" i="5"/>
  <c r="G59" i="5" a="1"/>
  <c r="G59" i="5" s="1"/>
  <c r="H59" i="5" a="1"/>
  <c r="H59" i="5" s="1"/>
  <c r="I59" i="5" a="1"/>
  <c r="I59" i="5"/>
  <c r="J59" i="5" a="1"/>
  <c r="J59" i="5" s="1"/>
  <c r="K59" i="5" a="1"/>
  <c r="K59" i="5"/>
  <c r="L59" i="5" a="1"/>
  <c r="L59" i="5" s="1"/>
  <c r="M59" i="5" a="1"/>
  <c r="M59" i="5"/>
  <c r="N59" i="5" a="1"/>
  <c r="N59" i="5" s="1"/>
  <c r="O59" i="5" a="1"/>
  <c r="O59" i="5"/>
  <c r="P59" i="5" a="1"/>
  <c r="P59" i="5" s="1"/>
  <c r="Q59" i="5" a="1"/>
  <c r="Q59" i="5"/>
  <c r="R59" i="5" a="1"/>
  <c r="R59" i="5" s="1"/>
  <c r="H58" i="5" a="1"/>
  <c r="H58" i="5" s="1"/>
  <c r="I58" i="5" a="1"/>
  <c r="I58" i="5"/>
  <c r="J58" i="5" a="1"/>
  <c r="J58" i="5" s="1"/>
  <c r="K58" i="5" a="1"/>
  <c r="K58" i="5"/>
  <c r="L58" i="5" a="1"/>
  <c r="L58" i="5" s="1"/>
  <c r="M58" i="5" a="1"/>
  <c r="M58" i="5"/>
  <c r="N58" i="5" a="1"/>
  <c r="N58" i="5" s="1"/>
  <c r="O58" i="5" a="1"/>
  <c r="O58" i="5"/>
  <c r="P58" i="5" a="1"/>
  <c r="P58" i="5" s="1"/>
  <c r="Q58" i="5" a="1"/>
  <c r="Q58" i="5"/>
  <c r="R58" i="5" a="1"/>
  <c r="R58" i="5" s="1"/>
  <c r="G58" i="5" a="1"/>
  <c r="G58" i="5"/>
  <c r="H57" i="5" a="1"/>
  <c r="H57" i="5" s="1"/>
  <c r="I57" i="5" a="1"/>
  <c r="I57" i="5"/>
  <c r="J57" i="5" a="1"/>
  <c r="J57" i="5" s="1"/>
  <c r="K57" i="5" a="1"/>
  <c r="K57" i="5"/>
  <c r="L57" i="5" a="1"/>
  <c r="L57" i="5" s="1"/>
  <c r="M57" i="5" a="1"/>
  <c r="M57" i="5"/>
  <c r="N57" i="5" a="1"/>
  <c r="N57" i="5" s="1"/>
  <c r="O57" i="5" a="1"/>
  <c r="O57" i="5"/>
  <c r="P57" i="5" a="1"/>
  <c r="P57" i="5" s="1"/>
  <c r="Q57" i="5" a="1"/>
  <c r="Q57" i="5" s="1"/>
  <c r="R57" i="5" a="1"/>
  <c r="R57" i="5" s="1"/>
  <c r="G57" i="5" a="1"/>
  <c r="G57" i="5" s="1"/>
  <c r="H56" i="5" a="1"/>
  <c r="H56" i="5"/>
  <c r="I56" i="5" a="1"/>
  <c r="I56" i="5"/>
  <c r="J56" i="5" a="1"/>
  <c r="J56" i="5"/>
  <c r="K56" i="5" a="1"/>
  <c r="K56" i="5"/>
  <c r="L56" i="5" a="1"/>
  <c r="L56" i="5"/>
  <c r="M56" i="5" a="1"/>
  <c r="M56" i="5"/>
  <c r="N56" i="5" a="1"/>
  <c r="N56" i="5"/>
  <c r="O56" i="5" a="1"/>
  <c r="O56" i="5"/>
  <c r="P56" i="5" a="1"/>
  <c r="P56" i="5" s="1"/>
  <c r="Q56" i="5" a="1"/>
  <c r="Q56" i="5" s="1"/>
  <c r="R56" i="5" a="1"/>
  <c r="R56" i="5" s="1"/>
  <c r="H47" i="5"/>
  <c r="I47" i="5"/>
  <c r="J47" i="5"/>
  <c r="K47" i="5"/>
  <c r="L47" i="5"/>
  <c r="M47" i="5"/>
  <c r="N47" i="5"/>
  <c r="O47" i="5"/>
  <c r="P47" i="5"/>
  <c r="Q47" i="5"/>
  <c r="R47" i="5"/>
  <c r="G47" i="5"/>
  <c r="H46" i="5"/>
  <c r="I46" i="5"/>
  <c r="J46" i="5"/>
  <c r="K46" i="5"/>
  <c r="L46" i="5"/>
  <c r="M46" i="5"/>
  <c r="N46" i="5"/>
  <c r="O46" i="5"/>
  <c r="P46" i="5"/>
  <c r="Q46" i="5"/>
  <c r="R46" i="5"/>
  <c r="G46" i="5"/>
  <c r="H45" i="5"/>
  <c r="I45" i="5"/>
  <c r="J45" i="5"/>
  <c r="K45" i="5"/>
  <c r="L45" i="5"/>
  <c r="M45" i="5"/>
  <c r="N45" i="5"/>
  <c r="O45" i="5"/>
  <c r="P45" i="5"/>
  <c r="Q45" i="5"/>
  <c r="R45" i="5"/>
  <c r="G45" i="5"/>
  <c r="H44" i="5"/>
  <c r="I44" i="5"/>
  <c r="J44" i="5"/>
  <c r="K44" i="5"/>
  <c r="L44" i="5"/>
  <c r="M44" i="5"/>
  <c r="N44" i="5"/>
  <c r="O44" i="5"/>
  <c r="P44" i="5"/>
  <c r="Q44" i="5"/>
  <c r="R44" i="5"/>
  <c r="G44" i="5"/>
  <c r="G43" i="5"/>
  <c r="H43" i="5"/>
  <c r="I43" i="5"/>
  <c r="J43" i="5"/>
  <c r="K43" i="5"/>
  <c r="L43" i="5"/>
  <c r="M43" i="5"/>
  <c r="N43" i="5"/>
  <c r="O43" i="5"/>
  <c r="P43" i="5"/>
  <c r="Q43" i="5"/>
  <c r="R43" i="5"/>
  <c r="H42" i="5"/>
  <c r="I42" i="5"/>
  <c r="J42" i="5"/>
  <c r="K42" i="5"/>
  <c r="L42" i="5"/>
  <c r="M42" i="5"/>
  <c r="N42" i="5"/>
  <c r="O42" i="5"/>
  <c r="P42" i="5"/>
  <c r="Q42" i="5"/>
  <c r="R42" i="5"/>
  <c r="G42" i="5"/>
  <c r="G41" i="5"/>
  <c r="H41" i="5"/>
  <c r="I41" i="5"/>
  <c r="J41" i="5"/>
  <c r="K41" i="5"/>
  <c r="L41" i="5"/>
  <c r="M41" i="5"/>
  <c r="N41" i="5"/>
  <c r="O41" i="5"/>
  <c r="P41" i="5"/>
  <c r="Q41" i="5"/>
  <c r="R41" i="5"/>
  <c r="H40" i="5"/>
  <c r="I40" i="5"/>
  <c r="J40" i="5"/>
  <c r="K40" i="5"/>
  <c r="L40" i="5"/>
  <c r="M40" i="5"/>
  <c r="N40" i="5"/>
  <c r="O40" i="5"/>
  <c r="P40" i="5"/>
  <c r="Q40" i="5"/>
  <c r="R40" i="5"/>
  <c r="G40" i="5"/>
  <c r="G39" i="5"/>
  <c r="H39" i="5"/>
  <c r="I39" i="5"/>
  <c r="J39" i="5"/>
  <c r="K39" i="5"/>
  <c r="L39" i="5"/>
  <c r="M39" i="5"/>
  <c r="N39" i="5"/>
  <c r="O39" i="5"/>
  <c r="P39" i="5"/>
  <c r="Q39" i="5"/>
  <c r="R39" i="5"/>
  <c r="G38" i="5"/>
  <c r="H38" i="5"/>
  <c r="I38" i="5"/>
  <c r="J38" i="5"/>
  <c r="K38" i="5"/>
  <c r="L38" i="5"/>
  <c r="M38" i="5"/>
  <c r="N38" i="5"/>
  <c r="O38" i="5"/>
  <c r="P38" i="5"/>
  <c r="Q38" i="5"/>
  <c r="R38" i="5"/>
  <c r="G33" i="5"/>
  <c r="H35" i="5"/>
  <c r="I35" i="5"/>
  <c r="J35" i="5"/>
  <c r="K35" i="5"/>
  <c r="L35" i="5"/>
  <c r="M35" i="5"/>
  <c r="N35" i="5"/>
  <c r="O35" i="5"/>
  <c r="P35" i="5"/>
  <c r="Q35" i="5"/>
  <c r="R35" i="5"/>
  <c r="G35" i="5"/>
  <c r="H34" i="5"/>
  <c r="I34" i="5"/>
  <c r="J34" i="5"/>
  <c r="K34" i="5"/>
  <c r="L34" i="5"/>
  <c r="M34" i="5"/>
  <c r="N34" i="5"/>
  <c r="O34" i="5"/>
  <c r="P34" i="5"/>
  <c r="Q34" i="5"/>
  <c r="R34" i="5"/>
  <c r="G34" i="5"/>
  <c r="H33" i="5"/>
  <c r="I33" i="5"/>
  <c r="J33" i="5"/>
  <c r="K33" i="5"/>
  <c r="L33" i="5"/>
  <c r="M33" i="5"/>
  <c r="N33" i="5"/>
  <c r="O33" i="5"/>
  <c r="P33" i="5"/>
  <c r="Q33" i="5"/>
  <c r="R33" i="5"/>
  <c r="H32" i="5"/>
  <c r="I32" i="5"/>
  <c r="J32" i="5"/>
  <c r="K32" i="5"/>
  <c r="L32" i="5"/>
  <c r="M32" i="5"/>
  <c r="N32" i="5"/>
  <c r="O32" i="5"/>
  <c r="P32" i="5"/>
  <c r="Q32" i="5"/>
  <c r="R32" i="5"/>
  <c r="G32" i="5"/>
  <c r="G31" i="5"/>
  <c r="H31" i="5"/>
  <c r="I31" i="5"/>
  <c r="J31" i="5"/>
  <c r="K31" i="5"/>
  <c r="L31" i="5"/>
  <c r="M31" i="5"/>
  <c r="N31" i="5"/>
  <c r="O31" i="5"/>
  <c r="P31" i="5"/>
  <c r="Q31" i="5"/>
  <c r="R31" i="5"/>
  <c r="H30" i="5"/>
  <c r="I30" i="5"/>
  <c r="J30" i="5"/>
  <c r="K30" i="5"/>
  <c r="L30" i="5"/>
  <c r="M30" i="5"/>
  <c r="N30" i="5"/>
  <c r="O30" i="5"/>
  <c r="P30" i="5"/>
  <c r="Q30" i="5"/>
  <c r="R30" i="5"/>
  <c r="G30" i="5"/>
  <c r="G29" i="5"/>
  <c r="H29" i="5"/>
  <c r="I29" i="5"/>
  <c r="J29" i="5"/>
  <c r="K29" i="5"/>
  <c r="L29" i="5"/>
  <c r="M29" i="5"/>
  <c r="N29" i="5"/>
  <c r="O29" i="5"/>
  <c r="P29" i="5"/>
  <c r="Q29" i="5"/>
  <c r="R29" i="5"/>
  <c r="H28" i="5"/>
  <c r="I28" i="5"/>
  <c r="J28" i="5"/>
  <c r="K28" i="5"/>
  <c r="L28" i="5"/>
  <c r="M28" i="5"/>
  <c r="N28" i="5"/>
  <c r="O28" i="5"/>
  <c r="P28" i="5"/>
  <c r="Q28" i="5"/>
  <c r="R28" i="5"/>
  <c r="G28" i="5"/>
  <c r="H27" i="5"/>
  <c r="H36" i="5" s="1"/>
  <c r="I27" i="5"/>
  <c r="I36" i="5" s="1"/>
  <c r="J27" i="5"/>
  <c r="J36" i="5" s="1"/>
  <c r="K27" i="5"/>
  <c r="K36" i="5" s="1"/>
  <c r="L27" i="5"/>
  <c r="L36" i="5" s="1"/>
  <c r="M27" i="5"/>
  <c r="M36" i="5" s="1"/>
  <c r="N27" i="5"/>
  <c r="N36" i="5" s="1"/>
  <c r="O27" i="5"/>
  <c r="O36" i="5" s="1"/>
  <c r="P27" i="5"/>
  <c r="P36" i="5" s="1"/>
  <c r="Q27" i="5"/>
  <c r="Q36" i="5" s="1"/>
  <c r="R27" i="5"/>
  <c r="R36" i="5" s="1"/>
  <c r="G27" i="5"/>
  <c r="G36" i="5" s="1"/>
  <c r="G20" i="5"/>
  <c r="H24" i="5"/>
  <c r="I24" i="5"/>
  <c r="J24" i="5"/>
  <c r="K24" i="5"/>
  <c r="L24" i="5"/>
  <c r="M24" i="5"/>
  <c r="N24" i="5"/>
  <c r="O24" i="5"/>
  <c r="P24" i="5"/>
  <c r="Q24" i="5"/>
  <c r="R24" i="5"/>
  <c r="G24" i="5"/>
  <c r="H23" i="5"/>
  <c r="I23" i="5"/>
  <c r="J23" i="5"/>
  <c r="K23" i="5"/>
  <c r="L23" i="5"/>
  <c r="M23" i="5"/>
  <c r="N23" i="5"/>
  <c r="O23" i="5"/>
  <c r="P23" i="5"/>
  <c r="Q23" i="5"/>
  <c r="R23" i="5"/>
  <c r="G23" i="5"/>
  <c r="H22" i="5"/>
  <c r="I22" i="5"/>
  <c r="J22" i="5"/>
  <c r="K22" i="5"/>
  <c r="L22" i="5"/>
  <c r="M22" i="5"/>
  <c r="N22" i="5"/>
  <c r="O22" i="5"/>
  <c r="P22" i="5"/>
  <c r="Q22" i="5"/>
  <c r="R22" i="5"/>
  <c r="H21" i="5"/>
  <c r="I21" i="5"/>
  <c r="J21" i="5"/>
  <c r="K21" i="5"/>
  <c r="L21" i="5"/>
  <c r="M21" i="5"/>
  <c r="N21" i="5"/>
  <c r="O21" i="5"/>
  <c r="P21" i="5"/>
  <c r="Q21" i="5"/>
  <c r="R21" i="5"/>
  <c r="G21" i="5"/>
  <c r="I20" i="5"/>
  <c r="J20" i="5"/>
  <c r="K20" i="5"/>
  <c r="L20" i="5"/>
  <c r="M20" i="5"/>
  <c r="N20" i="5"/>
  <c r="O20" i="5"/>
  <c r="P20" i="5"/>
  <c r="Q20" i="5"/>
  <c r="R20" i="5"/>
  <c r="G19" i="5"/>
  <c r="H19" i="5"/>
  <c r="I19" i="5"/>
  <c r="J19" i="5"/>
  <c r="K19" i="5"/>
  <c r="L19" i="5"/>
  <c r="M19" i="5"/>
  <c r="N19" i="5"/>
  <c r="O19" i="5"/>
  <c r="P19" i="5"/>
  <c r="Q19" i="5"/>
  <c r="R19" i="5"/>
  <c r="H18" i="5"/>
  <c r="I18" i="5"/>
  <c r="J18" i="5"/>
  <c r="K18" i="5"/>
  <c r="L18" i="5"/>
  <c r="M18" i="5"/>
  <c r="N18" i="5"/>
  <c r="O18" i="5"/>
  <c r="P18" i="5"/>
  <c r="Q18" i="5"/>
  <c r="R18" i="5"/>
  <c r="G18" i="5"/>
  <c r="G17" i="5"/>
  <c r="H17" i="5"/>
  <c r="I17" i="5"/>
  <c r="J17" i="5"/>
  <c r="K17" i="5"/>
  <c r="L17" i="5"/>
  <c r="M17" i="5"/>
  <c r="N17" i="5"/>
  <c r="O17" i="5"/>
  <c r="P17" i="5"/>
  <c r="Q17" i="5"/>
  <c r="R17" i="5"/>
  <c r="H16" i="5"/>
  <c r="I16" i="5"/>
  <c r="I25" i="5" s="1"/>
  <c r="J16" i="5"/>
  <c r="J25" i="5" s="1"/>
  <c r="K16" i="5"/>
  <c r="K25" i="5" s="1"/>
  <c r="L16" i="5"/>
  <c r="L25" i="5" s="1"/>
  <c r="M16" i="5"/>
  <c r="M25" i="5" s="1"/>
  <c r="N16" i="5"/>
  <c r="N25" i="5" s="1"/>
  <c r="O16" i="5"/>
  <c r="O25" i="5" s="1"/>
  <c r="P16" i="5"/>
  <c r="P25" i="5" s="1"/>
  <c r="Q16" i="5"/>
  <c r="R16" i="5"/>
  <c r="E71" i="4"/>
  <c r="F71" i="4"/>
  <c r="G71" i="4"/>
  <c r="H71" i="4"/>
  <c r="I71" i="4"/>
  <c r="J71" i="4"/>
  <c r="K71" i="4"/>
  <c r="L71" i="4"/>
  <c r="M71" i="4"/>
  <c r="N71" i="4"/>
  <c r="D71" i="4"/>
  <c r="C19" i="4"/>
  <c r="C72" i="4" s="1"/>
  <c r="D19" i="4"/>
  <c r="E19" i="4"/>
  <c r="F19" i="4"/>
  <c r="F72" i="4" s="1"/>
  <c r="F73" i="4" s="1"/>
  <c r="G19" i="4"/>
  <c r="G72" i="4" s="1"/>
  <c r="G73" i="4" s="1"/>
  <c r="H19" i="4"/>
  <c r="H72" i="4" s="1"/>
  <c r="H73" i="4" s="1"/>
  <c r="I19" i="4"/>
  <c r="J19" i="4"/>
  <c r="J72" i="4" s="1"/>
  <c r="J73" i="4" s="1"/>
  <c r="K19" i="4"/>
  <c r="K72" i="4" s="1"/>
  <c r="K73" i="4" s="1"/>
  <c r="L19" i="4"/>
  <c r="L72" i="4" s="1"/>
  <c r="L73" i="4" s="1"/>
  <c r="M19" i="4"/>
  <c r="D22" i="4"/>
  <c r="E22" i="4"/>
  <c r="E65" i="4" s="1"/>
  <c r="E66" i="4" s="1"/>
  <c r="F22" i="4"/>
  <c r="G22" i="4"/>
  <c r="H22" i="4"/>
  <c r="H65" i="4" s="1"/>
  <c r="H66" i="4" s="1"/>
  <c r="I22" i="4"/>
  <c r="I65" i="4" s="1"/>
  <c r="I66" i="4" s="1"/>
  <c r="J22" i="4"/>
  <c r="K22" i="4"/>
  <c r="L22" i="4"/>
  <c r="L65" i="4" s="1"/>
  <c r="L66" i="4" s="1"/>
  <c r="M22" i="4"/>
  <c r="M65" i="4" s="1"/>
  <c r="M66" i="4" s="1"/>
  <c r="N22" i="4"/>
  <c r="N19" i="4"/>
  <c r="N72" i="4" s="1"/>
  <c r="N73" i="4" s="1"/>
  <c r="C22" i="4"/>
  <c r="C65" i="4" s="1"/>
  <c r="C16" i="4"/>
  <c r="D21" i="4"/>
  <c r="D64" i="4" s="1"/>
  <c r="E21" i="4"/>
  <c r="E64" i="4" s="1"/>
  <c r="F21" i="4"/>
  <c r="F64" i="4" s="1"/>
  <c r="G21" i="4"/>
  <c r="G64" i="4" s="1"/>
  <c r="H21" i="4"/>
  <c r="H64" i="4" s="1"/>
  <c r="I21" i="4"/>
  <c r="I64" i="4" s="1"/>
  <c r="J21" i="4"/>
  <c r="J64" i="4" s="1"/>
  <c r="K21" i="4"/>
  <c r="K64" i="4" s="1"/>
  <c r="L21" i="4"/>
  <c r="L64" i="4" s="1"/>
  <c r="M21" i="4"/>
  <c r="M64" i="4" s="1"/>
  <c r="N21" i="4"/>
  <c r="N64" i="4" s="1"/>
  <c r="F18" i="4"/>
  <c r="G18" i="4"/>
  <c r="H18" i="4"/>
  <c r="I18" i="4"/>
  <c r="J18" i="4"/>
  <c r="K18" i="4"/>
  <c r="L18" i="4"/>
  <c r="M18" i="4"/>
  <c r="N18" i="4"/>
  <c r="D18" i="4"/>
  <c r="E18" i="4"/>
  <c r="C18" i="4"/>
  <c r="C71" i="4" s="1"/>
  <c r="C21" i="4"/>
  <c r="C64" i="4" s="1"/>
  <c r="C15" i="4"/>
  <c r="D16" i="4"/>
  <c r="E16" i="4"/>
  <c r="F16" i="4"/>
  <c r="G16" i="4"/>
  <c r="H16" i="4"/>
  <c r="I16" i="4"/>
  <c r="J16" i="4"/>
  <c r="K16" i="4"/>
  <c r="L16" i="4"/>
  <c r="M16" i="4"/>
  <c r="N16" i="4"/>
  <c r="F15" i="4"/>
  <c r="G15" i="4"/>
  <c r="H15" i="4"/>
  <c r="I15" i="4"/>
  <c r="J15" i="4"/>
  <c r="K15" i="4"/>
  <c r="L15" i="4"/>
  <c r="M15" i="4"/>
  <c r="N15" i="4"/>
  <c r="D15" i="4"/>
  <c r="E15" i="4"/>
  <c r="Q16" i="6" l="1"/>
  <c r="H25" i="5"/>
  <c r="Q15" i="6"/>
  <c r="K65" i="4"/>
  <c r="K66" i="4" s="1"/>
  <c r="G65" i="4"/>
  <c r="G66" i="4" s="1"/>
  <c r="M72" i="4"/>
  <c r="M73" i="4" s="1"/>
  <c r="M74" i="4" s="1"/>
  <c r="I72" i="4"/>
  <c r="I73" i="4" s="1"/>
  <c r="I74" i="4" s="1"/>
  <c r="E72" i="4"/>
  <c r="E73" i="4" s="1"/>
  <c r="D72" i="4"/>
  <c r="D73" i="4" s="1"/>
  <c r="D74" i="4" s="1"/>
  <c r="D65" i="4"/>
  <c r="D66" i="4" s="1"/>
  <c r="D67" i="4" s="1"/>
  <c r="N65" i="4"/>
  <c r="N66" i="4" s="1"/>
  <c r="N67" i="4" s="1"/>
  <c r="J65" i="4"/>
  <c r="J66" i="4" s="1"/>
  <c r="F65" i="4"/>
  <c r="F66" i="4" s="1"/>
  <c r="G25" i="5"/>
  <c r="N71" i="8"/>
  <c r="M71" i="8"/>
  <c r="L71" i="8"/>
  <c r="K71" i="8"/>
  <c r="J71" i="8"/>
  <c r="I71" i="8"/>
  <c r="H71" i="8"/>
  <c r="G71" i="8"/>
  <c r="F71" i="8"/>
  <c r="E71" i="8"/>
  <c r="D71" i="8"/>
  <c r="C71" i="8"/>
  <c r="N70" i="8"/>
  <c r="M70" i="8"/>
  <c r="L70" i="8"/>
  <c r="K70" i="8"/>
  <c r="J70" i="8"/>
  <c r="I70" i="8"/>
  <c r="H70" i="8"/>
  <c r="G70" i="8"/>
  <c r="F70" i="8"/>
  <c r="E70" i="8"/>
  <c r="D70" i="8"/>
  <c r="C70" i="8"/>
  <c r="N69" i="8"/>
  <c r="M69" i="8"/>
  <c r="L69" i="8"/>
  <c r="K69" i="8"/>
  <c r="J69" i="8"/>
  <c r="I69" i="8"/>
  <c r="H69" i="8"/>
  <c r="G69" i="8"/>
  <c r="F69" i="8"/>
  <c r="E69" i="8"/>
  <c r="D69" i="8"/>
  <c r="C69" i="8"/>
  <c r="N61" i="8"/>
  <c r="M61" i="8"/>
  <c r="L61" i="8"/>
  <c r="K61" i="8"/>
  <c r="J61" i="8"/>
  <c r="I61" i="8"/>
  <c r="H61" i="8"/>
  <c r="G61" i="8"/>
  <c r="F61" i="8"/>
  <c r="E61" i="8"/>
  <c r="D61" i="8"/>
  <c r="C61" i="8"/>
  <c r="N53" i="8"/>
  <c r="M53" i="8"/>
  <c r="L53" i="8"/>
  <c r="K53" i="8"/>
  <c r="J53" i="8"/>
  <c r="I53" i="8"/>
  <c r="H53" i="8"/>
  <c r="G53" i="8"/>
  <c r="F53" i="8"/>
  <c r="E53" i="8"/>
  <c r="D53" i="8"/>
  <c r="C53" i="8"/>
  <c r="N45" i="8"/>
  <c r="M45" i="8"/>
  <c r="L45" i="8"/>
  <c r="K45" i="8"/>
  <c r="J45" i="8"/>
  <c r="I45" i="8"/>
  <c r="H45" i="8"/>
  <c r="G45" i="8"/>
  <c r="F45" i="8"/>
  <c r="E45" i="8"/>
  <c r="D45" i="8"/>
  <c r="C45" i="8"/>
  <c r="N37" i="8"/>
  <c r="M37" i="8"/>
  <c r="L37" i="8"/>
  <c r="K37" i="8"/>
  <c r="J37" i="8"/>
  <c r="I37" i="8"/>
  <c r="H37" i="8"/>
  <c r="G37" i="8"/>
  <c r="F37" i="8"/>
  <c r="E37" i="8"/>
  <c r="D37" i="8"/>
  <c r="C37" i="8"/>
  <c r="N36" i="8"/>
  <c r="M36" i="8"/>
  <c r="L36" i="8"/>
  <c r="K36" i="8"/>
  <c r="J36" i="8"/>
  <c r="I36" i="8"/>
  <c r="H36" i="8"/>
  <c r="G36" i="8"/>
  <c r="F36" i="8"/>
  <c r="E36" i="8"/>
  <c r="D36" i="8"/>
  <c r="C36" i="8"/>
  <c r="N35" i="8"/>
  <c r="M35" i="8"/>
  <c r="L35" i="8"/>
  <c r="K35" i="8"/>
  <c r="J35" i="8"/>
  <c r="I35" i="8"/>
  <c r="H35" i="8"/>
  <c r="G35" i="8"/>
  <c r="F35" i="8"/>
  <c r="E35" i="8"/>
  <c r="D35" i="8"/>
  <c r="C35" i="8"/>
  <c r="N27" i="8"/>
  <c r="M27" i="8"/>
  <c r="L27" i="8"/>
  <c r="K27" i="8"/>
  <c r="J27" i="8"/>
  <c r="I27" i="8"/>
  <c r="H27" i="8"/>
  <c r="G27" i="8"/>
  <c r="F27" i="8"/>
  <c r="E27" i="8"/>
  <c r="D27" i="8"/>
  <c r="C27" i="8"/>
  <c r="N19" i="8"/>
  <c r="M19" i="8"/>
  <c r="L19" i="8"/>
  <c r="K19" i="8"/>
  <c r="J19" i="8"/>
  <c r="I19" i="8"/>
  <c r="H19" i="8"/>
  <c r="G19" i="8"/>
  <c r="F19" i="8"/>
  <c r="E19" i="8"/>
  <c r="D19" i="8"/>
  <c r="C19" i="8"/>
  <c r="N11" i="8"/>
  <c r="M11" i="8"/>
  <c r="L11" i="8"/>
  <c r="K11" i="8"/>
  <c r="J11" i="8"/>
  <c r="I11" i="8"/>
  <c r="H11" i="8"/>
  <c r="G11" i="8"/>
  <c r="F11" i="8"/>
  <c r="E11" i="8"/>
  <c r="D11" i="8"/>
  <c r="C11" i="8"/>
  <c r="N41" i="7"/>
  <c r="M41" i="7"/>
  <c r="L41" i="7"/>
  <c r="K41" i="7"/>
  <c r="J41" i="7"/>
  <c r="I41" i="7"/>
  <c r="H41" i="7"/>
  <c r="G41" i="7"/>
  <c r="F41" i="7"/>
  <c r="E41" i="7"/>
  <c r="D41" i="7"/>
  <c r="C41" i="7"/>
  <c r="N40" i="7"/>
  <c r="M40" i="7"/>
  <c r="L40" i="7"/>
  <c r="K40" i="7"/>
  <c r="J40" i="7"/>
  <c r="I40" i="7"/>
  <c r="H40" i="7"/>
  <c r="G40" i="7"/>
  <c r="F40" i="7"/>
  <c r="E40" i="7"/>
  <c r="D40" i="7"/>
  <c r="C40" i="7"/>
  <c r="N39" i="7"/>
  <c r="M39" i="7"/>
  <c r="L39" i="7"/>
  <c r="K39" i="7"/>
  <c r="J39" i="7"/>
  <c r="I39" i="7"/>
  <c r="H39" i="7"/>
  <c r="G39" i="7"/>
  <c r="F39" i="7"/>
  <c r="E39" i="7"/>
  <c r="D39" i="7"/>
  <c r="C39" i="7"/>
  <c r="N38" i="7"/>
  <c r="M38" i="7"/>
  <c r="L38" i="7"/>
  <c r="K38" i="7"/>
  <c r="J38" i="7"/>
  <c r="I38" i="7"/>
  <c r="H38" i="7"/>
  <c r="G38" i="7"/>
  <c r="F38" i="7"/>
  <c r="E38" i="7"/>
  <c r="D38" i="7"/>
  <c r="C38" i="7"/>
  <c r="N37" i="7"/>
  <c r="M37" i="7"/>
  <c r="L37" i="7"/>
  <c r="K37" i="7"/>
  <c r="J37" i="7"/>
  <c r="I37" i="7"/>
  <c r="H37" i="7"/>
  <c r="G37" i="7"/>
  <c r="F37" i="7"/>
  <c r="E37" i="7"/>
  <c r="D37" i="7"/>
  <c r="C37" i="7"/>
  <c r="N36" i="7"/>
  <c r="M36" i="7"/>
  <c r="L36" i="7"/>
  <c r="K36" i="7"/>
  <c r="J36" i="7"/>
  <c r="I36" i="7"/>
  <c r="H36" i="7"/>
  <c r="G36" i="7"/>
  <c r="F36" i="7"/>
  <c r="E36" i="7"/>
  <c r="D36" i="7"/>
  <c r="C36" i="7"/>
  <c r="N35" i="7"/>
  <c r="M35" i="7"/>
  <c r="L35" i="7"/>
  <c r="K35" i="7"/>
  <c r="J35" i="7"/>
  <c r="I35" i="7"/>
  <c r="H35" i="7"/>
  <c r="G35" i="7"/>
  <c r="F35" i="7"/>
  <c r="E35" i="7"/>
  <c r="D35" i="7"/>
  <c r="C35" i="7"/>
  <c r="N34" i="7"/>
  <c r="M34" i="7"/>
  <c r="L34" i="7"/>
  <c r="K34" i="7"/>
  <c r="J34" i="7"/>
  <c r="I34" i="7"/>
  <c r="H34" i="7"/>
  <c r="G34" i="7"/>
  <c r="F34" i="7"/>
  <c r="E34" i="7"/>
  <c r="D34" i="7"/>
  <c r="C34" i="7"/>
  <c r="N33" i="7"/>
  <c r="M33" i="7"/>
  <c r="L33" i="7"/>
  <c r="K33" i="7"/>
  <c r="J33" i="7"/>
  <c r="I33" i="7"/>
  <c r="H33" i="7"/>
  <c r="G33" i="7"/>
  <c r="F33" i="7"/>
  <c r="E33" i="7"/>
  <c r="D33" i="7"/>
  <c r="C33" i="7"/>
  <c r="N32" i="7"/>
  <c r="M32" i="7"/>
  <c r="L32" i="7"/>
  <c r="K32" i="7"/>
  <c r="J32" i="7"/>
  <c r="I32" i="7"/>
  <c r="H32" i="7"/>
  <c r="G32" i="7"/>
  <c r="F32" i="7"/>
  <c r="E32" i="7"/>
  <c r="D32" i="7"/>
  <c r="C32" i="7"/>
  <c r="N31" i="7"/>
  <c r="M31" i="7"/>
  <c r="L31" i="7"/>
  <c r="K31" i="7"/>
  <c r="J31" i="7"/>
  <c r="I31" i="7"/>
  <c r="H31" i="7"/>
  <c r="G31" i="7"/>
  <c r="F31" i="7"/>
  <c r="E31" i="7"/>
  <c r="D31" i="7"/>
  <c r="C31" i="7"/>
  <c r="N30" i="7"/>
  <c r="M30" i="7"/>
  <c r="L30" i="7"/>
  <c r="K30" i="7"/>
  <c r="J30" i="7"/>
  <c r="I30" i="7"/>
  <c r="H30" i="7"/>
  <c r="G30" i="7"/>
  <c r="F30" i="7"/>
  <c r="E30" i="7"/>
  <c r="D30" i="7"/>
  <c r="C30" i="7"/>
  <c r="N20" i="7"/>
  <c r="M20" i="7"/>
  <c r="L20" i="7"/>
  <c r="K20" i="7"/>
  <c r="J20" i="7"/>
  <c r="I20" i="7"/>
  <c r="H20" i="7"/>
  <c r="G20" i="7"/>
  <c r="F20" i="7"/>
  <c r="E20" i="7"/>
  <c r="D20" i="7"/>
  <c r="C20" i="7"/>
  <c r="N19" i="7"/>
  <c r="M19" i="7"/>
  <c r="L19" i="7"/>
  <c r="K19" i="7"/>
  <c r="J19" i="7"/>
  <c r="I19" i="7"/>
  <c r="H19" i="7"/>
  <c r="G19" i="7"/>
  <c r="F19" i="7"/>
  <c r="E19" i="7"/>
  <c r="D19" i="7"/>
  <c r="C19" i="7"/>
  <c r="N18" i="7"/>
  <c r="M18" i="7"/>
  <c r="L18" i="7"/>
  <c r="K18" i="7"/>
  <c r="J18" i="7"/>
  <c r="I18" i="7"/>
  <c r="H18" i="7"/>
  <c r="G18" i="7"/>
  <c r="F18" i="7"/>
  <c r="E18" i="7"/>
  <c r="D18" i="7"/>
  <c r="C18" i="7"/>
  <c r="N17" i="7"/>
  <c r="N55" i="9" s="1"/>
  <c r="M17" i="7"/>
  <c r="M55" i="9" s="1"/>
  <c r="L17" i="7"/>
  <c r="L55" i="9" s="1"/>
  <c r="K17" i="7"/>
  <c r="K55" i="9" s="1"/>
  <c r="J17" i="7"/>
  <c r="J55" i="9" s="1"/>
  <c r="I17" i="7"/>
  <c r="I55" i="9" s="1"/>
  <c r="H17" i="7"/>
  <c r="H55" i="9" s="1"/>
  <c r="G17" i="7"/>
  <c r="G55" i="9" s="1"/>
  <c r="F17" i="7"/>
  <c r="F55" i="9" s="1"/>
  <c r="E17" i="7"/>
  <c r="E55" i="9" s="1"/>
  <c r="D17" i="7"/>
  <c r="D55" i="9" s="1"/>
  <c r="C17" i="7"/>
  <c r="C55" i="9" s="1"/>
  <c r="N16" i="7"/>
  <c r="M16" i="7"/>
  <c r="L16" i="7"/>
  <c r="K16" i="7"/>
  <c r="J16" i="7"/>
  <c r="I16" i="7"/>
  <c r="H16" i="7"/>
  <c r="G16" i="7"/>
  <c r="F16" i="7"/>
  <c r="E16" i="7"/>
  <c r="D16" i="7"/>
  <c r="C16" i="7"/>
  <c r="N15" i="7"/>
  <c r="M15" i="7"/>
  <c r="L15" i="7"/>
  <c r="K15" i="7"/>
  <c r="J15" i="7"/>
  <c r="I15" i="7"/>
  <c r="H15" i="7"/>
  <c r="G15" i="7"/>
  <c r="F15" i="7"/>
  <c r="E15" i="7"/>
  <c r="D15" i="7"/>
  <c r="C15" i="7"/>
  <c r="N14" i="7"/>
  <c r="M14" i="7"/>
  <c r="L14" i="7"/>
  <c r="K14" i="7"/>
  <c r="J14" i="7"/>
  <c r="I14" i="7"/>
  <c r="H14" i="7"/>
  <c r="G14" i="7"/>
  <c r="F14" i="7"/>
  <c r="E14" i="7"/>
  <c r="D14" i="7"/>
  <c r="C14" i="7"/>
  <c r="N13" i="7"/>
  <c r="N47" i="9" s="1"/>
  <c r="M13" i="7"/>
  <c r="M47" i="9" s="1"/>
  <c r="L13" i="7"/>
  <c r="L47" i="9" s="1"/>
  <c r="K13" i="7"/>
  <c r="K47" i="9" s="1"/>
  <c r="J13" i="7"/>
  <c r="J47" i="9" s="1"/>
  <c r="I13" i="7"/>
  <c r="I47" i="9" s="1"/>
  <c r="H13" i="7"/>
  <c r="H47" i="9" s="1"/>
  <c r="G13" i="7"/>
  <c r="G47" i="9" s="1"/>
  <c r="F13" i="7"/>
  <c r="F47" i="9" s="1"/>
  <c r="E13" i="7"/>
  <c r="E47" i="9" s="1"/>
  <c r="D13" i="7"/>
  <c r="D47" i="9" s="1"/>
  <c r="C13" i="7"/>
  <c r="C47" i="9" s="1"/>
  <c r="N12" i="7"/>
  <c r="M12" i="7"/>
  <c r="L12" i="7"/>
  <c r="K12" i="7"/>
  <c r="J12" i="7"/>
  <c r="I12" i="7"/>
  <c r="H12" i="7"/>
  <c r="G12" i="7"/>
  <c r="F12" i="7"/>
  <c r="E12" i="7"/>
  <c r="D12" i="7"/>
  <c r="C12" i="7"/>
  <c r="N11" i="7"/>
  <c r="M11" i="7"/>
  <c r="L11" i="7"/>
  <c r="K11" i="7"/>
  <c r="J11" i="7"/>
  <c r="I11" i="7"/>
  <c r="H11" i="7"/>
  <c r="G11" i="7"/>
  <c r="F11" i="7"/>
  <c r="E11" i="7"/>
  <c r="D11" i="7"/>
  <c r="C11" i="7"/>
  <c r="N10" i="7"/>
  <c r="M10" i="7"/>
  <c r="L10" i="7"/>
  <c r="K10" i="7"/>
  <c r="J10" i="7"/>
  <c r="I10" i="7"/>
  <c r="H10" i="7"/>
  <c r="G10" i="7"/>
  <c r="F10" i="7"/>
  <c r="E10" i="7"/>
  <c r="D10" i="7"/>
  <c r="C10" i="7"/>
  <c r="N9" i="7"/>
  <c r="M9" i="7"/>
  <c r="L9" i="7"/>
  <c r="K9" i="7"/>
  <c r="J9" i="7"/>
  <c r="I9" i="7"/>
  <c r="H9" i="7"/>
  <c r="G9" i="7"/>
  <c r="F9" i="7"/>
  <c r="E9" i="7"/>
  <c r="D9" i="7"/>
  <c r="C9" i="7"/>
  <c r="P14" i="6"/>
  <c r="O14" i="6"/>
  <c r="N14" i="6"/>
  <c r="M14" i="6"/>
  <c r="L14" i="6"/>
  <c r="K14" i="6"/>
  <c r="J14" i="6"/>
  <c r="I14" i="6"/>
  <c r="H14" i="6"/>
  <c r="G14" i="6"/>
  <c r="F14" i="6"/>
  <c r="E14" i="6"/>
  <c r="S64" i="5"/>
  <c r="S63" i="5"/>
  <c r="S62" i="5"/>
  <c r="S61" i="5"/>
  <c r="S60" i="5"/>
  <c r="S59" i="5"/>
  <c r="S58" i="5"/>
  <c r="S57" i="5"/>
  <c r="S56" i="5"/>
  <c r="S46" i="5"/>
  <c r="S45" i="5"/>
  <c r="S44" i="5"/>
  <c r="S43" i="5"/>
  <c r="S42" i="5"/>
  <c r="S41" i="5"/>
  <c r="S40" i="5"/>
  <c r="S39" i="5"/>
  <c r="S38" i="5"/>
  <c r="S35" i="5"/>
  <c r="S34" i="5"/>
  <c r="S33" i="5"/>
  <c r="S32" i="5"/>
  <c r="S31" i="5"/>
  <c r="S30" i="5"/>
  <c r="S29" i="5"/>
  <c r="S28" i="5"/>
  <c r="S27" i="5"/>
  <c r="S24" i="5"/>
  <c r="S23" i="5"/>
  <c r="S22" i="5"/>
  <c r="S21" i="5"/>
  <c r="S20" i="5"/>
  <c r="S19" i="5"/>
  <c r="S18" i="5"/>
  <c r="S17" i="5"/>
  <c r="S16" i="5"/>
  <c r="N74" i="4"/>
  <c r="L74" i="4"/>
  <c r="K74" i="4"/>
  <c r="J74" i="4"/>
  <c r="H74" i="4"/>
  <c r="G74" i="4"/>
  <c r="F74" i="4"/>
  <c r="E74" i="4"/>
  <c r="M67" i="4"/>
  <c r="L67" i="4"/>
  <c r="K67" i="4"/>
  <c r="J67" i="4"/>
  <c r="I67" i="4"/>
  <c r="H67" i="4"/>
  <c r="E67" i="4"/>
  <c r="I52" i="4"/>
  <c r="I51" i="4"/>
  <c r="D731" i="3"/>
  <c r="D730" i="3"/>
  <c r="D729" i="3"/>
  <c r="D728" i="3"/>
  <c r="D727" i="3"/>
  <c r="D726" i="3"/>
  <c r="D725" i="3"/>
  <c r="D724" i="3"/>
  <c r="D723" i="3"/>
  <c r="D722" i="3"/>
  <c r="D721" i="3"/>
  <c r="D720" i="3"/>
  <c r="D719" i="3"/>
  <c r="D718" i="3"/>
  <c r="D717" i="3"/>
  <c r="D716" i="3"/>
  <c r="D715" i="3"/>
  <c r="D714" i="3"/>
  <c r="D713" i="3"/>
  <c r="D712" i="3"/>
  <c r="D711" i="3"/>
  <c r="D710" i="3"/>
  <c r="D709" i="3"/>
  <c r="D708" i="3"/>
  <c r="D707" i="3"/>
  <c r="D706" i="3"/>
  <c r="D705" i="3"/>
  <c r="D704" i="3"/>
  <c r="D703" i="3"/>
  <c r="D702" i="3"/>
  <c r="D701" i="3"/>
  <c r="D700" i="3"/>
  <c r="D699" i="3"/>
  <c r="D698" i="3"/>
  <c r="D697" i="3"/>
  <c r="D696" i="3"/>
  <c r="D695" i="3"/>
  <c r="D694" i="3"/>
  <c r="D693" i="3"/>
  <c r="D692" i="3"/>
  <c r="D691" i="3"/>
  <c r="D690" i="3"/>
  <c r="D689" i="3"/>
  <c r="D688" i="3"/>
  <c r="D687" i="3"/>
  <c r="D686" i="3"/>
  <c r="D685" i="3"/>
  <c r="D684" i="3"/>
  <c r="D683" i="3"/>
  <c r="D682" i="3"/>
  <c r="D681" i="3"/>
  <c r="D680" i="3"/>
  <c r="D679" i="3"/>
  <c r="D678" i="3"/>
  <c r="D677" i="3"/>
  <c r="D676" i="3"/>
  <c r="D675" i="3"/>
  <c r="D674" i="3"/>
  <c r="D673" i="3"/>
  <c r="D672" i="3"/>
  <c r="D671" i="3"/>
  <c r="D670" i="3"/>
  <c r="D669" i="3"/>
  <c r="D668" i="3"/>
  <c r="D667" i="3"/>
  <c r="D666" i="3"/>
  <c r="D665" i="3"/>
  <c r="D664" i="3"/>
  <c r="D663" i="3"/>
  <c r="D662" i="3"/>
  <c r="D661" i="3"/>
  <c r="D660" i="3"/>
  <c r="D659" i="3"/>
  <c r="D658" i="3"/>
  <c r="D657" i="3"/>
  <c r="D656" i="3"/>
  <c r="D655" i="3"/>
  <c r="D654" i="3"/>
  <c r="D653" i="3"/>
  <c r="D652" i="3"/>
  <c r="D651" i="3"/>
  <c r="D650" i="3"/>
  <c r="D649" i="3"/>
  <c r="D648" i="3"/>
  <c r="D647" i="3"/>
  <c r="D646" i="3"/>
  <c r="D645" i="3"/>
  <c r="D644" i="3"/>
  <c r="D643" i="3"/>
  <c r="D642" i="3"/>
  <c r="D641" i="3"/>
  <c r="D640" i="3"/>
  <c r="D639" i="3"/>
  <c r="D638" i="3"/>
  <c r="D637" i="3"/>
  <c r="D636" i="3"/>
  <c r="D635" i="3"/>
  <c r="D634" i="3"/>
  <c r="D633" i="3"/>
  <c r="D632" i="3"/>
  <c r="D631" i="3"/>
  <c r="D630" i="3"/>
  <c r="D629" i="3"/>
  <c r="D628" i="3"/>
  <c r="D627" i="3"/>
  <c r="D626" i="3"/>
  <c r="D625" i="3"/>
  <c r="D624" i="3"/>
  <c r="D623" i="3"/>
  <c r="D622" i="3"/>
  <c r="D621" i="3"/>
  <c r="D620" i="3"/>
  <c r="D619" i="3"/>
  <c r="D618" i="3"/>
  <c r="D617" i="3"/>
  <c r="D616" i="3"/>
  <c r="D615" i="3"/>
  <c r="D614" i="3"/>
  <c r="D613" i="3"/>
  <c r="D612" i="3"/>
  <c r="D611" i="3"/>
  <c r="D610" i="3"/>
  <c r="D609" i="3"/>
  <c r="D608" i="3"/>
  <c r="D607" i="3"/>
  <c r="D606" i="3"/>
  <c r="D605" i="3"/>
  <c r="D604" i="3"/>
  <c r="D603" i="3"/>
  <c r="D602" i="3"/>
  <c r="D601" i="3"/>
  <c r="D600" i="3"/>
  <c r="D599" i="3"/>
  <c r="D598" i="3"/>
  <c r="D597" i="3"/>
  <c r="D596" i="3"/>
  <c r="D595" i="3"/>
  <c r="D594" i="3"/>
  <c r="D593" i="3"/>
  <c r="D592" i="3"/>
  <c r="D591" i="3"/>
  <c r="D590" i="3"/>
  <c r="D589" i="3"/>
  <c r="D588" i="3"/>
  <c r="D587" i="3"/>
  <c r="D586" i="3"/>
  <c r="D585" i="3"/>
  <c r="D584" i="3"/>
  <c r="D583" i="3"/>
  <c r="D582" i="3"/>
  <c r="D581" i="3"/>
  <c r="D580" i="3"/>
  <c r="D579" i="3"/>
  <c r="D578" i="3"/>
  <c r="D577" i="3"/>
  <c r="D576" i="3"/>
  <c r="D575" i="3"/>
  <c r="D574" i="3"/>
  <c r="D573" i="3"/>
  <c r="D572" i="3"/>
  <c r="D571" i="3"/>
  <c r="D570" i="3"/>
  <c r="D569" i="3"/>
  <c r="D568" i="3"/>
  <c r="D567" i="3"/>
  <c r="D566" i="3"/>
  <c r="D565" i="3"/>
  <c r="D564" i="3"/>
  <c r="D563" i="3"/>
  <c r="D562" i="3"/>
  <c r="D561" i="3"/>
  <c r="D560" i="3"/>
  <c r="D559" i="3"/>
  <c r="D558" i="3"/>
  <c r="D557" i="3"/>
  <c r="D556" i="3"/>
  <c r="D555" i="3"/>
  <c r="D554" i="3"/>
  <c r="D553" i="3"/>
  <c r="D552" i="3"/>
  <c r="D551" i="3"/>
  <c r="D550" i="3"/>
  <c r="D549" i="3"/>
  <c r="D548" i="3"/>
  <c r="D547" i="3"/>
  <c r="D546" i="3"/>
  <c r="D545" i="3"/>
  <c r="D544" i="3"/>
  <c r="D543" i="3"/>
  <c r="D542" i="3"/>
  <c r="D541" i="3"/>
  <c r="D540" i="3"/>
  <c r="D539" i="3"/>
  <c r="D538" i="3"/>
  <c r="D537" i="3"/>
  <c r="D536" i="3"/>
  <c r="D535" i="3"/>
  <c r="D534" i="3"/>
  <c r="D533" i="3"/>
  <c r="D532" i="3"/>
  <c r="D531" i="3"/>
  <c r="D530" i="3"/>
  <c r="D529" i="3"/>
  <c r="D528" i="3"/>
  <c r="D527" i="3"/>
  <c r="D526" i="3"/>
  <c r="D525" i="3"/>
  <c r="D524" i="3"/>
  <c r="D523" i="3"/>
  <c r="D522" i="3"/>
  <c r="D521" i="3"/>
  <c r="D520" i="3"/>
  <c r="D519" i="3"/>
  <c r="D518" i="3"/>
  <c r="D517" i="3"/>
  <c r="D516" i="3"/>
  <c r="D515" i="3"/>
  <c r="D514" i="3"/>
  <c r="D513" i="3"/>
  <c r="D512" i="3"/>
  <c r="D511" i="3"/>
  <c r="D510" i="3"/>
  <c r="D509" i="3"/>
  <c r="D508" i="3"/>
  <c r="D507" i="3"/>
  <c r="D506" i="3"/>
  <c r="D505" i="3"/>
  <c r="D504" i="3"/>
  <c r="D503" i="3"/>
  <c r="D502" i="3"/>
  <c r="D501" i="3"/>
  <c r="D500" i="3"/>
  <c r="D499" i="3"/>
  <c r="D498" i="3"/>
  <c r="D497" i="3"/>
  <c r="D496" i="3"/>
  <c r="D495" i="3"/>
  <c r="D494" i="3"/>
  <c r="D493" i="3"/>
  <c r="D492" i="3"/>
  <c r="D491" i="3"/>
  <c r="D490" i="3"/>
  <c r="D489" i="3"/>
  <c r="D488" i="3"/>
  <c r="D487" i="3"/>
  <c r="D486" i="3"/>
  <c r="D485" i="3"/>
  <c r="D484" i="3"/>
  <c r="D483" i="3"/>
  <c r="D482" i="3"/>
  <c r="D481" i="3"/>
  <c r="D480" i="3"/>
  <c r="D479" i="3"/>
  <c r="D478" i="3"/>
  <c r="D477" i="3"/>
  <c r="D476" i="3"/>
  <c r="D475" i="3"/>
  <c r="D474" i="3"/>
  <c r="D473" i="3"/>
  <c r="D472" i="3"/>
  <c r="D471" i="3"/>
  <c r="D470" i="3"/>
  <c r="D469" i="3"/>
  <c r="D468" i="3"/>
  <c r="D467" i="3"/>
  <c r="D466" i="3"/>
  <c r="D465" i="3"/>
  <c r="D464" i="3"/>
  <c r="D463" i="3"/>
  <c r="D462" i="3"/>
  <c r="D461" i="3"/>
  <c r="D460" i="3"/>
  <c r="D459" i="3"/>
  <c r="D458" i="3"/>
  <c r="D457" i="3"/>
  <c r="D456" i="3"/>
  <c r="D455" i="3"/>
  <c r="D454" i="3"/>
  <c r="D453" i="3"/>
  <c r="D452" i="3"/>
  <c r="D451" i="3"/>
  <c r="D450" i="3"/>
  <c r="D449" i="3"/>
  <c r="D448" i="3"/>
  <c r="D447" i="3"/>
  <c r="D446" i="3"/>
  <c r="D445" i="3"/>
  <c r="D444" i="3"/>
  <c r="D443" i="3"/>
  <c r="D442" i="3"/>
  <c r="D441" i="3"/>
  <c r="D440" i="3"/>
  <c r="D439" i="3"/>
  <c r="D438" i="3"/>
  <c r="D437" i="3"/>
  <c r="D436" i="3"/>
  <c r="D435" i="3"/>
  <c r="D434" i="3"/>
  <c r="D433" i="3"/>
  <c r="D432" i="3"/>
  <c r="D431" i="3"/>
  <c r="D430" i="3"/>
  <c r="D429" i="3"/>
  <c r="D428" i="3"/>
  <c r="D427" i="3"/>
  <c r="D426" i="3"/>
  <c r="D425" i="3"/>
  <c r="D424" i="3"/>
  <c r="D423" i="3"/>
  <c r="D422" i="3"/>
  <c r="D421" i="3"/>
  <c r="D420" i="3"/>
  <c r="D419" i="3"/>
  <c r="D418" i="3"/>
  <c r="D417" i="3"/>
  <c r="D416" i="3"/>
  <c r="D415" i="3"/>
  <c r="D414" i="3"/>
  <c r="D413" i="3"/>
  <c r="D412" i="3"/>
  <c r="D411" i="3"/>
  <c r="D410" i="3"/>
  <c r="D409" i="3"/>
  <c r="D408" i="3"/>
  <c r="D407" i="3"/>
  <c r="D406" i="3"/>
  <c r="D405" i="3"/>
  <c r="D404" i="3"/>
  <c r="D403" i="3"/>
  <c r="D402" i="3"/>
  <c r="D401" i="3"/>
  <c r="D400" i="3"/>
  <c r="D399" i="3"/>
  <c r="D398" i="3"/>
  <c r="D397" i="3"/>
  <c r="D396" i="3"/>
  <c r="D395" i="3"/>
  <c r="D394" i="3"/>
  <c r="D393" i="3"/>
  <c r="D392" i="3"/>
  <c r="D391" i="3"/>
  <c r="D390" i="3"/>
  <c r="D389" i="3"/>
  <c r="D388" i="3"/>
  <c r="D387" i="3"/>
  <c r="D386" i="3"/>
  <c r="D385" i="3"/>
  <c r="D384" i="3"/>
  <c r="D383" i="3"/>
  <c r="D382" i="3"/>
  <c r="D381" i="3"/>
  <c r="D380" i="3"/>
  <c r="D379" i="3"/>
  <c r="D378" i="3"/>
  <c r="D377" i="3"/>
  <c r="D376" i="3"/>
  <c r="D375" i="3"/>
  <c r="D374" i="3"/>
  <c r="D373" i="3"/>
  <c r="D372" i="3"/>
  <c r="D371" i="3"/>
  <c r="D370" i="3"/>
  <c r="D369" i="3"/>
  <c r="D368" i="3"/>
  <c r="D367" i="3"/>
  <c r="D366" i="3"/>
  <c r="D365" i="3"/>
  <c r="D364" i="3"/>
  <c r="D363" i="3"/>
  <c r="D362" i="3"/>
  <c r="D361" i="3"/>
  <c r="D360" i="3"/>
  <c r="D359" i="3"/>
  <c r="D358" i="3"/>
  <c r="D357" i="3"/>
  <c r="D356" i="3"/>
  <c r="D355" i="3"/>
  <c r="D354" i="3"/>
  <c r="D353" i="3"/>
  <c r="D352" i="3"/>
  <c r="D351" i="3"/>
  <c r="D350" i="3"/>
  <c r="D349" i="3"/>
  <c r="D348" i="3"/>
  <c r="D347" i="3"/>
  <c r="D346" i="3"/>
  <c r="D345" i="3"/>
  <c r="D344" i="3"/>
  <c r="D343" i="3"/>
  <c r="D342" i="3"/>
  <c r="D341" i="3"/>
  <c r="D340" i="3"/>
  <c r="D339" i="3"/>
  <c r="D338" i="3"/>
  <c r="D337" i="3"/>
  <c r="D336" i="3"/>
  <c r="D335" i="3"/>
  <c r="D334" i="3"/>
  <c r="D333" i="3"/>
  <c r="D332" i="3"/>
  <c r="D331" i="3"/>
  <c r="D330" i="3"/>
  <c r="D329" i="3"/>
  <c r="D328" i="3"/>
  <c r="D327" i="3"/>
  <c r="D326" i="3"/>
  <c r="D325" i="3"/>
  <c r="D324" i="3"/>
  <c r="D323" i="3"/>
  <c r="D322" i="3"/>
  <c r="D321" i="3"/>
  <c r="D320" i="3"/>
  <c r="D319" i="3"/>
  <c r="D318" i="3"/>
  <c r="D317" i="3"/>
  <c r="D316" i="3"/>
  <c r="D315" i="3"/>
  <c r="D314" i="3"/>
  <c r="D313" i="3"/>
  <c r="D312" i="3"/>
  <c r="D311" i="3"/>
  <c r="D310" i="3"/>
  <c r="D309" i="3"/>
  <c r="D308" i="3"/>
  <c r="D307" i="3"/>
  <c r="D306" i="3"/>
  <c r="D305" i="3"/>
  <c r="D304" i="3"/>
  <c r="D303" i="3"/>
  <c r="D302" i="3"/>
  <c r="D301" i="3"/>
  <c r="D300" i="3"/>
  <c r="D299" i="3"/>
  <c r="D298" i="3"/>
  <c r="D297" i="3"/>
  <c r="D296" i="3"/>
  <c r="D295" i="3"/>
  <c r="D294" i="3"/>
  <c r="D293" i="3"/>
  <c r="D292" i="3"/>
  <c r="D291" i="3"/>
  <c r="D290" i="3"/>
  <c r="D289" i="3"/>
  <c r="D288" i="3"/>
  <c r="D287" i="3"/>
  <c r="D286" i="3"/>
  <c r="D285" i="3"/>
  <c r="D284" i="3"/>
  <c r="D283" i="3"/>
  <c r="D282" i="3"/>
  <c r="D281" i="3"/>
  <c r="D280" i="3"/>
  <c r="D279" i="3"/>
  <c r="D278" i="3"/>
  <c r="D277" i="3"/>
  <c r="D276" i="3"/>
  <c r="D275" i="3"/>
  <c r="D274" i="3"/>
  <c r="D273" i="3"/>
  <c r="D272" i="3"/>
  <c r="D271" i="3"/>
  <c r="D270" i="3"/>
  <c r="D269" i="3"/>
  <c r="D268" i="3"/>
  <c r="D267" i="3"/>
  <c r="D266" i="3"/>
  <c r="D265" i="3"/>
  <c r="D264" i="3"/>
  <c r="D263" i="3"/>
  <c r="D262" i="3"/>
  <c r="D261" i="3"/>
  <c r="D260" i="3"/>
  <c r="D259" i="3"/>
  <c r="D258" i="3"/>
  <c r="D257" i="3"/>
  <c r="D256" i="3"/>
  <c r="D255" i="3"/>
  <c r="D254" i="3"/>
  <c r="D253" i="3"/>
  <c r="D252" i="3"/>
  <c r="D251" i="3"/>
  <c r="D250" i="3"/>
  <c r="D249" i="3"/>
  <c r="D248" i="3"/>
  <c r="D247" i="3"/>
  <c r="D246" i="3"/>
  <c r="D245" i="3"/>
  <c r="D244" i="3"/>
  <c r="D243" i="3"/>
  <c r="D242" i="3"/>
  <c r="D241" i="3"/>
  <c r="D240" i="3"/>
  <c r="D239" i="3"/>
  <c r="D238" i="3"/>
  <c r="D237" i="3"/>
  <c r="D236" i="3"/>
  <c r="D235" i="3"/>
  <c r="D234" i="3"/>
  <c r="D233" i="3"/>
  <c r="D232" i="3"/>
  <c r="D231" i="3"/>
  <c r="D230" i="3"/>
  <c r="D229" i="3"/>
  <c r="D228" i="3"/>
  <c r="D227" i="3"/>
  <c r="D226" i="3"/>
  <c r="D225" i="3"/>
  <c r="D224" i="3"/>
  <c r="D223" i="3"/>
  <c r="D222" i="3"/>
  <c r="D221" i="3"/>
  <c r="D220" i="3"/>
  <c r="D219" i="3"/>
  <c r="D218" i="3"/>
  <c r="D217" i="3"/>
  <c r="D216" i="3"/>
  <c r="D215" i="3"/>
  <c r="D214" i="3"/>
  <c r="D213" i="3"/>
  <c r="D212" i="3"/>
  <c r="D211" i="3"/>
  <c r="D210" i="3"/>
  <c r="D209" i="3"/>
  <c r="D208" i="3"/>
  <c r="D207" i="3"/>
  <c r="D206" i="3"/>
  <c r="D205" i="3"/>
  <c r="D204" i="3"/>
  <c r="D203" i="3"/>
  <c r="D202" i="3"/>
  <c r="D201" i="3"/>
  <c r="D200" i="3"/>
  <c r="D199" i="3"/>
  <c r="D198" i="3"/>
  <c r="D197" i="3"/>
  <c r="D196" i="3"/>
  <c r="D195" i="3"/>
  <c r="D194" i="3"/>
  <c r="D193" i="3"/>
  <c r="D192" i="3"/>
  <c r="D191" i="3"/>
  <c r="D190" i="3"/>
  <c r="D189" i="3"/>
  <c r="D188" i="3"/>
  <c r="D187" i="3"/>
  <c r="D186" i="3"/>
  <c r="D185" i="3"/>
  <c r="D184" i="3"/>
  <c r="D183" i="3"/>
  <c r="D182" i="3"/>
  <c r="D181" i="3"/>
  <c r="D180" i="3"/>
  <c r="D179" i="3"/>
  <c r="D178" i="3"/>
  <c r="D177" i="3"/>
  <c r="D176" i="3"/>
  <c r="D175" i="3"/>
  <c r="D174" i="3"/>
  <c r="D173" i="3"/>
  <c r="D172" i="3"/>
  <c r="D171" i="3"/>
  <c r="D170" i="3"/>
  <c r="D169" i="3"/>
  <c r="D168" i="3"/>
  <c r="D167" i="3"/>
  <c r="D166" i="3"/>
  <c r="D165" i="3"/>
  <c r="D164" i="3"/>
  <c r="D163" i="3"/>
  <c r="D162" i="3"/>
  <c r="D161" i="3"/>
  <c r="D160" i="3"/>
  <c r="D159" i="3"/>
  <c r="D158" i="3"/>
  <c r="D157" i="3"/>
  <c r="D156" i="3"/>
  <c r="D155" i="3"/>
  <c r="D154" i="3"/>
  <c r="D153" i="3"/>
  <c r="D152" i="3"/>
  <c r="D151" i="3"/>
  <c r="D150" i="3"/>
  <c r="D149" i="3"/>
  <c r="D148" i="3"/>
  <c r="D147" i="3"/>
  <c r="D146" i="3"/>
  <c r="D145" i="3"/>
  <c r="D144" i="3"/>
  <c r="D143" i="3"/>
  <c r="D142" i="3"/>
  <c r="D141" i="3"/>
  <c r="D140" i="3"/>
  <c r="D139" i="3"/>
  <c r="D138" i="3"/>
  <c r="D137" i="3"/>
  <c r="D136" i="3"/>
  <c r="D135" i="3"/>
  <c r="D134" i="3"/>
  <c r="D133" i="3"/>
  <c r="D132" i="3"/>
  <c r="D131" i="3"/>
  <c r="D130" i="3"/>
  <c r="D129" i="3"/>
  <c r="D128" i="3"/>
  <c r="D127" i="3"/>
  <c r="D126" i="3"/>
  <c r="D125" i="3"/>
  <c r="D124" i="3"/>
  <c r="D123" i="3"/>
  <c r="D122" i="3"/>
  <c r="D121" i="3"/>
  <c r="D120" i="3"/>
  <c r="D119" i="3"/>
  <c r="D118" i="3"/>
  <c r="D117" i="3"/>
  <c r="D116" i="3"/>
  <c r="D115" i="3"/>
  <c r="D114" i="3"/>
  <c r="D113" i="3"/>
  <c r="D112" i="3"/>
  <c r="D111" i="3"/>
  <c r="D110" i="3"/>
  <c r="D109" i="3"/>
  <c r="D108" i="3"/>
  <c r="D107" i="3"/>
  <c r="D106" i="3"/>
  <c r="D105" i="3"/>
  <c r="D104" i="3"/>
  <c r="D103" i="3"/>
  <c r="D102" i="3"/>
  <c r="D101" i="3"/>
  <c r="D100" i="3"/>
  <c r="D99" i="3"/>
  <c r="D98" i="3"/>
  <c r="D97" i="3"/>
  <c r="D96" i="3"/>
  <c r="D95" i="3"/>
  <c r="D94" i="3"/>
  <c r="D93" i="3"/>
  <c r="D92" i="3"/>
  <c r="D91" i="3"/>
  <c r="D90" i="3"/>
  <c r="D89" i="3"/>
  <c r="D88" i="3"/>
  <c r="D87" i="3"/>
  <c r="D86" i="3"/>
  <c r="D85" i="3"/>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3" i="3"/>
  <c r="D2" i="3"/>
  <c r="E373" i="2"/>
  <c r="E372" i="2"/>
  <c r="E371" i="2"/>
  <c r="E370" i="2"/>
  <c r="E369" i="2"/>
  <c r="E368" i="2"/>
  <c r="E367" i="2"/>
  <c r="E366" i="2"/>
  <c r="E365" i="2"/>
  <c r="E364" i="2"/>
  <c r="E363" i="2"/>
  <c r="E362" i="2"/>
  <c r="E361" i="2"/>
  <c r="E360" i="2"/>
  <c r="E359" i="2"/>
  <c r="E358" i="2"/>
  <c r="E357" i="2"/>
  <c r="E356" i="2"/>
  <c r="E355" i="2"/>
  <c r="E354" i="2"/>
  <c r="E353" i="2"/>
  <c r="E352" i="2"/>
  <c r="E351" i="2"/>
  <c r="E350" i="2"/>
  <c r="E349" i="2"/>
  <c r="E348" i="2"/>
  <c r="E347" i="2"/>
  <c r="E346" i="2"/>
  <c r="E345" i="2"/>
  <c r="E344" i="2"/>
  <c r="E343" i="2"/>
  <c r="E342" i="2"/>
  <c r="E341" i="2"/>
  <c r="E340" i="2"/>
  <c r="E339" i="2"/>
  <c r="E338" i="2"/>
  <c r="E337" i="2"/>
  <c r="E336" i="2"/>
  <c r="E335" i="2"/>
  <c r="E334" i="2"/>
  <c r="E333" i="2"/>
  <c r="E332" i="2"/>
  <c r="E331" i="2"/>
  <c r="E330" i="2"/>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 r="C68" i="4" l="1"/>
  <c r="C75" i="4"/>
  <c r="F67" i="4"/>
  <c r="B109" i="5"/>
  <c r="S47" i="5"/>
  <c r="S65" i="5"/>
  <c r="S36" i="5"/>
  <c r="S25" i="5"/>
  <c r="G67" i="4"/>
  <c r="I56" i="4"/>
  <c r="C39" i="9"/>
  <c r="C21" i="7"/>
  <c r="C62" i="9" s="1"/>
  <c r="D39" i="9"/>
  <c r="D21" i="7"/>
  <c r="D62" i="9" s="1"/>
  <c r="E39" i="9"/>
  <c r="E21" i="7"/>
  <c r="E62" i="9" s="1"/>
  <c r="F39" i="9"/>
  <c r="F21" i="7"/>
  <c r="F62" i="9" s="1"/>
  <c r="G39" i="9"/>
  <c r="G21" i="7"/>
  <c r="G62" i="9" s="1"/>
  <c r="H39" i="9"/>
  <c r="H21" i="7"/>
  <c r="H62" i="9" s="1"/>
  <c r="I39" i="9"/>
  <c r="I21" i="7"/>
  <c r="I62" i="9" s="1"/>
  <c r="J39" i="9"/>
  <c r="J21" i="7"/>
  <c r="J62" i="9" s="1"/>
  <c r="K39" i="9"/>
  <c r="K21" i="7"/>
  <c r="K62" i="9" s="1"/>
  <c r="L39" i="9"/>
  <c r="L21" i="7"/>
  <c r="L62" i="9" s="1"/>
  <c r="M39" i="9"/>
  <c r="M21" i="7"/>
  <c r="M62" i="9" s="1"/>
  <c r="N39" i="9"/>
  <c r="N21" i="7"/>
  <c r="N62" i="9" s="1"/>
  <c r="C37" i="9"/>
  <c r="C43" i="8"/>
  <c r="C22" i="7"/>
  <c r="D37" i="9"/>
  <c r="D43" i="8"/>
  <c r="D22" i="7"/>
  <c r="E37" i="9"/>
  <c r="E43" i="8"/>
  <c r="E22" i="7"/>
  <c r="F37" i="9"/>
  <c r="F43" i="8"/>
  <c r="F22" i="7"/>
  <c r="G37" i="9"/>
  <c r="G43" i="8"/>
  <c r="G22" i="7"/>
  <c r="H37" i="9"/>
  <c r="H43" i="8"/>
  <c r="H22" i="7"/>
  <c r="I37" i="9"/>
  <c r="I43" i="8"/>
  <c r="I22" i="7"/>
  <c r="J37" i="9"/>
  <c r="J43" i="8"/>
  <c r="J22" i="7"/>
  <c r="K37" i="9"/>
  <c r="K43" i="8"/>
  <c r="K22" i="7"/>
  <c r="L37" i="9"/>
  <c r="L43" i="8"/>
  <c r="L22" i="7"/>
  <c r="M37" i="9"/>
  <c r="M43" i="8"/>
  <c r="M22" i="7"/>
  <c r="N37" i="9"/>
  <c r="N43" i="8"/>
  <c r="N22" i="7"/>
  <c r="C38" i="9"/>
  <c r="C44" i="8"/>
  <c r="C23" i="7"/>
  <c r="D38" i="9"/>
  <c r="D44" i="8"/>
  <c r="D23" i="7"/>
  <c r="E38" i="9"/>
  <c r="E44" i="8"/>
  <c r="E23" i="7"/>
  <c r="F38" i="9"/>
  <c r="F44" i="8"/>
  <c r="F23" i="7"/>
  <c r="G38" i="9"/>
  <c r="G44" i="8"/>
  <c r="G23" i="7"/>
  <c r="H38" i="9"/>
  <c r="H44" i="8"/>
  <c r="H23" i="7"/>
  <c r="I38" i="9"/>
  <c r="I44" i="8"/>
  <c r="I23" i="7"/>
  <c r="J38" i="9"/>
  <c r="J44" i="8"/>
  <c r="J23" i="7"/>
  <c r="K38" i="9"/>
  <c r="K44" i="8"/>
  <c r="K23" i="7"/>
  <c r="L38" i="9"/>
  <c r="L44" i="8"/>
  <c r="L23" i="7"/>
  <c r="M38" i="9"/>
  <c r="M44" i="8"/>
  <c r="M23" i="7"/>
  <c r="N38" i="9"/>
  <c r="N44" i="8"/>
  <c r="N23" i="7"/>
  <c r="C36" i="9"/>
  <c r="C42" i="8"/>
  <c r="C24" i="7"/>
  <c r="D36" i="9"/>
  <c r="D42" i="8"/>
  <c r="D24" i="7"/>
  <c r="E36" i="9"/>
  <c r="E42" i="8"/>
  <c r="E24" i="7"/>
  <c r="F36" i="9"/>
  <c r="F42" i="8"/>
  <c r="F24" i="7"/>
  <c r="G36" i="9"/>
  <c r="G42" i="8"/>
  <c r="G24" i="7"/>
  <c r="H36" i="9"/>
  <c r="H42" i="8"/>
  <c r="H24" i="7"/>
  <c r="I36" i="9"/>
  <c r="I42" i="8"/>
  <c r="I24" i="7"/>
  <c r="J36" i="9"/>
  <c r="J42" i="8"/>
  <c r="J24" i="7"/>
  <c r="K36" i="9"/>
  <c r="K42" i="8"/>
  <c r="K24" i="7"/>
  <c r="L36" i="9"/>
  <c r="L42" i="8"/>
  <c r="L24" i="7"/>
  <c r="M36" i="9"/>
  <c r="M42" i="8"/>
  <c r="M24" i="7"/>
  <c r="N36" i="9"/>
  <c r="N42" i="8"/>
  <c r="N24" i="7"/>
  <c r="C45" i="9"/>
  <c r="C51" i="8"/>
  <c r="D45" i="9"/>
  <c r="D51" i="8"/>
  <c r="E45" i="9"/>
  <c r="E51" i="8"/>
  <c r="F45" i="9"/>
  <c r="F51" i="8"/>
  <c r="G45" i="9"/>
  <c r="G51" i="8"/>
  <c r="H45" i="9"/>
  <c r="H51" i="8"/>
  <c r="I45" i="9"/>
  <c r="I51" i="8"/>
  <c r="J45" i="9"/>
  <c r="J51" i="8"/>
  <c r="K45" i="9"/>
  <c r="K51" i="8"/>
  <c r="L45" i="9"/>
  <c r="L51" i="8"/>
  <c r="M45" i="9"/>
  <c r="M51" i="8"/>
  <c r="N45" i="9"/>
  <c r="N51" i="8"/>
  <c r="C46" i="9"/>
  <c r="C52" i="8"/>
  <c r="D46" i="9"/>
  <c r="D52" i="8"/>
  <c r="E46" i="9"/>
  <c r="E52" i="8"/>
  <c r="F46" i="9"/>
  <c r="F52" i="8"/>
  <c r="G46" i="9"/>
  <c r="G52" i="8"/>
  <c r="H46" i="9"/>
  <c r="H52" i="8"/>
  <c r="I46" i="9"/>
  <c r="I52" i="8"/>
  <c r="J46" i="9"/>
  <c r="J52" i="8"/>
  <c r="K46" i="9"/>
  <c r="K52" i="8"/>
  <c r="L46" i="9"/>
  <c r="L52" i="8"/>
  <c r="M46" i="9"/>
  <c r="M52" i="8"/>
  <c r="N46" i="9"/>
  <c r="N52" i="8"/>
  <c r="C44" i="9"/>
  <c r="C48" i="9" s="1"/>
  <c r="C50" i="8"/>
  <c r="D44" i="9"/>
  <c r="D48" i="9" s="1"/>
  <c r="D50" i="8"/>
  <c r="E44" i="9"/>
  <c r="E48" i="9" s="1"/>
  <c r="E50" i="8"/>
  <c r="F44" i="9"/>
  <c r="F48" i="9" s="1"/>
  <c r="F50" i="8"/>
  <c r="G44" i="9"/>
  <c r="G48" i="9" s="1"/>
  <c r="G50" i="8"/>
  <c r="H44" i="9"/>
  <c r="H48" i="9" s="1"/>
  <c r="H50" i="8"/>
  <c r="I44" i="9"/>
  <c r="I48" i="9" s="1"/>
  <c r="I50" i="8"/>
  <c r="J44" i="9"/>
  <c r="J48" i="9" s="1"/>
  <c r="J50" i="8"/>
  <c r="K44" i="9"/>
  <c r="K48" i="9" s="1"/>
  <c r="K50" i="8"/>
  <c r="L44" i="9"/>
  <c r="L48" i="9" s="1"/>
  <c r="L50" i="8"/>
  <c r="M44" i="9"/>
  <c r="M48" i="9" s="1"/>
  <c r="M50" i="8"/>
  <c r="N44" i="9"/>
  <c r="N48" i="9" s="1"/>
  <c r="N50" i="8"/>
  <c r="C53" i="9"/>
  <c r="C59" i="8"/>
  <c r="D53" i="9"/>
  <c r="D59" i="8"/>
  <c r="E53" i="9"/>
  <c r="E59" i="8"/>
  <c r="F53" i="9"/>
  <c r="F59" i="8"/>
  <c r="G53" i="9"/>
  <c r="G59" i="8"/>
  <c r="H53" i="9"/>
  <c r="H59" i="8"/>
  <c r="I53" i="9"/>
  <c r="I59" i="8"/>
  <c r="J53" i="9"/>
  <c r="J59" i="8"/>
  <c r="K53" i="9"/>
  <c r="K59" i="8"/>
  <c r="L53" i="9"/>
  <c r="L59" i="8"/>
  <c r="M53" i="9"/>
  <c r="M59" i="8"/>
  <c r="N53" i="9"/>
  <c r="N59" i="8"/>
  <c r="C54" i="9"/>
  <c r="C60" i="8"/>
  <c r="D54" i="9"/>
  <c r="D60" i="8"/>
  <c r="E54" i="9"/>
  <c r="E60" i="8"/>
  <c r="F54" i="9"/>
  <c r="F60" i="8"/>
  <c r="G54" i="9"/>
  <c r="G60" i="8"/>
  <c r="H54" i="9"/>
  <c r="H60" i="8"/>
  <c r="I54" i="9"/>
  <c r="I60" i="8"/>
  <c r="J54" i="9"/>
  <c r="J60" i="8"/>
  <c r="K54" i="9"/>
  <c r="K60" i="8"/>
  <c r="L54" i="9"/>
  <c r="L60" i="8"/>
  <c r="M54" i="9"/>
  <c r="M60" i="8"/>
  <c r="N54" i="9"/>
  <c r="N60" i="8"/>
  <c r="C52" i="9"/>
  <c r="C56" i="9" s="1"/>
  <c r="C58" i="8"/>
  <c r="D52" i="9"/>
  <c r="D56" i="9" s="1"/>
  <c r="D58" i="8"/>
  <c r="E52" i="9"/>
  <c r="E56" i="9" s="1"/>
  <c r="E58" i="8"/>
  <c r="F52" i="9"/>
  <c r="F56" i="9" s="1"/>
  <c r="F58" i="8"/>
  <c r="G52" i="9"/>
  <c r="G56" i="9" s="1"/>
  <c r="G58" i="8"/>
  <c r="H52" i="9"/>
  <c r="H56" i="9" s="1"/>
  <c r="H58" i="8"/>
  <c r="I52" i="9"/>
  <c r="I56" i="9" s="1"/>
  <c r="I58" i="8"/>
  <c r="J52" i="9"/>
  <c r="J56" i="9" s="1"/>
  <c r="J58" i="8"/>
  <c r="K52" i="9"/>
  <c r="K56" i="9" s="1"/>
  <c r="K58" i="8"/>
  <c r="L52" i="9"/>
  <c r="L56" i="9" s="1"/>
  <c r="L58" i="8"/>
  <c r="M52" i="9"/>
  <c r="M56" i="9" s="1"/>
  <c r="M58" i="8"/>
  <c r="N52" i="9"/>
  <c r="N56" i="9" s="1"/>
  <c r="N58" i="8"/>
  <c r="C10" i="9"/>
  <c r="C51" i="7"/>
  <c r="C72" i="7" s="1"/>
  <c r="C42" i="7"/>
  <c r="D10" i="9"/>
  <c r="D51" i="7"/>
  <c r="D72" i="7" s="1"/>
  <c r="D42" i="7"/>
  <c r="E10" i="9"/>
  <c r="E51" i="7"/>
  <c r="E72" i="7" s="1"/>
  <c r="E42" i="7"/>
  <c r="F10" i="9"/>
  <c r="F51" i="7"/>
  <c r="F72" i="7" s="1"/>
  <c r="F42" i="7"/>
  <c r="G10" i="9"/>
  <c r="G51" i="7"/>
  <c r="G72" i="7" s="1"/>
  <c r="G42" i="7"/>
  <c r="H10" i="9"/>
  <c r="H51" i="7"/>
  <c r="H72" i="7" s="1"/>
  <c r="H42" i="7"/>
  <c r="I10" i="9"/>
  <c r="I51" i="7"/>
  <c r="I72" i="7" s="1"/>
  <c r="I42" i="7"/>
  <c r="J10" i="9"/>
  <c r="J51" i="7"/>
  <c r="J72" i="7" s="1"/>
  <c r="J42" i="7"/>
  <c r="K10" i="9"/>
  <c r="K51" i="7"/>
  <c r="K72" i="7" s="1"/>
  <c r="K42" i="7"/>
  <c r="L10" i="9"/>
  <c r="L51" i="7"/>
  <c r="L72" i="7" s="1"/>
  <c r="L42" i="7"/>
  <c r="M10" i="9"/>
  <c r="M51" i="7"/>
  <c r="M72" i="7" s="1"/>
  <c r="M42" i="7"/>
  <c r="N10" i="9"/>
  <c r="N51" i="7"/>
  <c r="N72" i="7" s="1"/>
  <c r="N42" i="7"/>
  <c r="C8" i="9"/>
  <c r="B122" i="7" s="1"/>
  <c r="C9" i="8"/>
  <c r="C52" i="7"/>
  <c r="C73" i="7" s="1"/>
  <c r="C43" i="7"/>
  <c r="D8" i="9"/>
  <c r="C122" i="7" s="1"/>
  <c r="D9" i="8"/>
  <c r="D52" i="7"/>
  <c r="D73" i="7" s="1"/>
  <c r="D43" i="7"/>
  <c r="E8" i="9"/>
  <c r="D122" i="7" s="1"/>
  <c r="E9" i="8"/>
  <c r="E52" i="7"/>
  <c r="E73" i="7" s="1"/>
  <c r="E43" i="7"/>
  <c r="F8" i="9"/>
  <c r="E122" i="7" s="1"/>
  <c r="F9" i="8"/>
  <c r="F52" i="7"/>
  <c r="F73" i="7" s="1"/>
  <c r="F43" i="7"/>
  <c r="G8" i="9"/>
  <c r="F122" i="7" s="1"/>
  <c r="G9" i="8"/>
  <c r="G52" i="7"/>
  <c r="G73" i="7" s="1"/>
  <c r="G43" i="7"/>
  <c r="H8" i="9"/>
  <c r="G122" i="7" s="1"/>
  <c r="H9" i="8"/>
  <c r="H52" i="7"/>
  <c r="H73" i="7" s="1"/>
  <c r="H43" i="7"/>
  <c r="I8" i="9"/>
  <c r="H122" i="7" s="1"/>
  <c r="I9" i="8"/>
  <c r="I52" i="7"/>
  <c r="I73" i="7" s="1"/>
  <c r="I43" i="7"/>
  <c r="J8" i="9"/>
  <c r="I122" i="7" s="1"/>
  <c r="J9" i="8"/>
  <c r="J52" i="7"/>
  <c r="J73" i="7" s="1"/>
  <c r="J43" i="7"/>
  <c r="K8" i="9"/>
  <c r="J122" i="7" s="1"/>
  <c r="K9" i="8"/>
  <c r="K52" i="7"/>
  <c r="K73" i="7" s="1"/>
  <c r="K43" i="7"/>
  <c r="L8" i="9"/>
  <c r="K122" i="7" s="1"/>
  <c r="L9" i="8"/>
  <c r="L52" i="7"/>
  <c r="L73" i="7" s="1"/>
  <c r="L43" i="7"/>
  <c r="M8" i="9"/>
  <c r="L122" i="7" s="1"/>
  <c r="M9" i="8"/>
  <c r="M52" i="7"/>
  <c r="M73" i="7" s="1"/>
  <c r="M43" i="7"/>
  <c r="N8" i="9"/>
  <c r="M122" i="7" s="1"/>
  <c r="N9" i="8"/>
  <c r="N52" i="7"/>
  <c r="N73" i="7" s="1"/>
  <c r="N43" i="7"/>
  <c r="C9" i="9"/>
  <c r="B123" i="7" s="1"/>
  <c r="C10" i="8"/>
  <c r="C53" i="7"/>
  <c r="C74" i="7" s="1"/>
  <c r="C44" i="7"/>
  <c r="D9" i="9"/>
  <c r="C123" i="7" s="1"/>
  <c r="D10" i="8"/>
  <c r="D53" i="7"/>
  <c r="D74" i="7" s="1"/>
  <c r="D44" i="7"/>
  <c r="E9" i="9"/>
  <c r="D123" i="7" s="1"/>
  <c r="E10" i="8"/>
  <c r="E53" i="7"/>
  <c r="E74" i="7" s="1"/>
  <c r="E44" i="7"/>
  <c r="F9" i="9"/>
  <c r="E123" i="7" s="1"/>
  <c r="F10" i="8"/>
  <c r="F53" i="7"/>
  <c r="F74" i="7" s="1"/>
  <c r="F44" i="7"/>
  <c r="G9" i="9"/>
  <c r="F123" i="7" s="1"/>
  <c r="G10" i="8"/>
  <c r="G53" i="7"/>
  <c r="G74" i="7" s="1"/>
  <c r="G44" i="7"/>
  <c r="H9" i="9"/>
  <c r="G123" i="7" s="1"/>
  <c r="H10" i="8"/>
  <c r="H53" i="7"/>
  <c r="H74" i="7" s="1"/>
  <c r="H44" i="7"/>
  <c r="I9" i="9"/>
  <c r="H123" i="7" s="1"/>
  <c r="I10" i="8"/>
  <c r="I53" i="7"/>
  <c r="I74" i="7" s="1"/>
  <c r="I44" i="7"/>
  <c r="J9" i="9"/>
  <c r="I123" i="7" s="1"/>
  <c r="J10" i="8"/>
  <c r="J53" i="7"/>
  <c r="J74" i="7" s="1"/>
  <c r="J44" i="7"/>
  <c r="K9" i="9"/>
  <c r="J123" i="7" s="1"/>
  <c r="K10" i="8"/>
  <c r="K53" i="7"/>
  <c r="K74" i="7" s="1"/>
  <c r="K44" i="7"/>
  <c r="L9" i="9"/>
  <c r="K123" i="7" s="1"/>
  <c r="L10" i="8"/>
  <c r="L53" i="7"/>
  <c r="L74" i="7" s="1"/>
  <c r="L44" i="7"/>
  <c r="M9" i="9"/>
  <c r="L123" i="7" s="1"/>
  <c r="M10" i="8"/>
  <c r="M53" i="7"/>
  <c r="M74" i="7" s="1"/>
  <c r="M44" i="7"/>
  <c r="N9" i="9"/>
  <c r="M123" i="7" s="1"/>
  <c r="N10" i="8"/>
  <c r="N53" i="7"/>
  <c r="N74" i="7" s="1"/>
  <c r="N44" i="7"/>
  <c r="C7" i="9"/>
  <c r="B121" i="7" s="1"/>
  <c r="C8" i="8"/>
  <c r="C54" i="7"/>
  <c r="C75" i="7" s="1"/>
  <c r="C45" i="7"/>
  <c r="D7" i="9"/>
  <c r="C121" i="7" s="1"/>
  <c r="D8" i="8"/>
  <c r="D54" i="7"/>
  <c r="D75" i="7" s="1"/>
  <c r="D45" i="7"/>
  <c r="E7" i="9"/>
  <c r="D121" i="7" s="1"/>
  <c r="E8" i="8"/>
  <c r="E54" i="7"/>
  <c r="E75" i="7" s="1"/>
  <c r="E45" i="7"/>
  <c r="F7" i="9"/>
  <c r="E121" i="7" s="1"/>
  <c r="F8" i="8"/>
  <c r="F54" i="7"/>
  <c r="F75" i="7" s="1"/>
  <c r="F45" i="7"/>
  <c r="G7" i="9"/>
  <c r="F121" i="7" s="1"/>
  <c r="G8" i="8"/>
  <c r="G54" i="7"/>
  <c r="G75" i="7" s="1"/>
  <c r="G45" i="7"/>
  <c r="H7" i="9"/>
  <c r="G121" i="7" s="1"/>
  <c r="H8" i="8"/>
  <c r="H54" i="7"/>
  <c r="H75" i="7" s="1"/>
  <c r="H45" i="7"/>
  <c r="I7" i="9"/>
  <c r="H121" i="7" s="1"/>
  <c r="I8" i="8"/>
  <c r="I54" i="7"/>
  <c r="I75" i="7" s="1"/>
  <c r="I45" i="7"/>
  <c r="J7" i="9"/>
  <c r="I121" i="7" s="1"/>
  <c r="J8" i="8"/>
  <c r="J54" i="7"/>
  <c r="J75" i="7" s="1"/>
  <c r="J45" i="7"/>
  <c r="K7" i="9"/>
  <c r="J121" i="7" s="1"/>
  <c r="K8" i="8"/>
  <c r="K54" i="7"/>
  <c r="K75" i="7" s="1"/>
  <c r="K45" i="7"/>
  <c r="L7" i="9"/>
  <c r="K121" i="7" s="1"/>
  <c r="L8" i="8"/>
  <c r="L54" i="7"/>
  <c r="L75" i="7" s="1"/>
  <c r="L45" i="7"/>
  <c r="M7" i="9"/>
  <c r="L121" i="7" s="1"/>
  <c r="M8" i="8"/>
  <c r="M54" i="7"/>
  <c r="M75" i="7" s="1"/>
  <c r="M45" i="7"/>
  <c r="N7" i="9"/>
  <c r="M121" i="7" s="1"/>
  <c r="N8" i="8"/>
  <c r="N54" i="7"/>
  <c r="N75" i="7" s="1"/>
  <c r="N45" i="7"/>
  <c r="C17" i="9"/>
  <c r="C55" i="7"/>
  <c r="C76" i="7" s="1"/>
  <c r="D17" i="9"/>
  <c r="D55" i="7"/>
  <c r="D76" i="7" s="1"/>
  <c r="E17" i="9"/>
  <c r="E55" i="7"/>
  <c r="E76" i="7" s="1"/>
  <c r="F17" i="9"/>
  <c r="F55" i="7"/>
  <c r="F76" i="7" s="1"/>
  <c r="G17" i="9"/>
  <c r="G55" i="7"/>
  <c r="G76" i="7" s="1"/>
  <c r="H17" i="9"/>
  <c r="H55" i="7"/>
  <c r="H76" i="7" s="1"/>
  <c r="I17" i="9"/>
  <c r="I55" i="7"/>
  <c r="I76" i="7" s="1"/>
  <c r="J17" i="9"/>
  <c r="J55" i="7"/>
  <c r="J76" i="7" s="1"/>
  <c r="K17" i="9"/>
  <c r="K55" i="7"/>
  <c r="K76" i="7" s="1"/>
  <c r="L17" i="9"/>
  <c r="L55" i="7"/>
  <c r="L76" i="7" s="1"/>
  <c r="M17" i="9"/>
  <c r="M55" i="7"/>
  <c r="M76" i="7" s="1"/>
  <c r="N17" i="9"/>
  <c r="N55" i="7"/>
  <c r="N76" i="7" s="1"/>
  <c r="C15" i="9"/>
  <c r="C17" i="8"/>
  <c r="C56" i="7"/>
  <c r="C77" i="7" s="1"/>
  <c r="D15" i="9"/>
  <c r="D17" i="8"/>
  <c r="D56" i="7"/>
  <c r="D77" i="7" s="1"/>
  <c r="E15" i="9"/>
  <c r="E17" i="8"/>
  <c r="E56" i="7"/>
  <c r="E77" i="7" s="1"/>
  <c r="F15" i="9"/>
  <c r="F17" i="8"/>
  <c r="F56" i="7"/>
  <c r="F77" i="7" s="1"/>
  <c r="G15" i="9"/>
  <c r="G17" i="8"/>
  <c r="G56" i="7"/>
  <c r="G77" i="7" s="1"/>
  <c r="H15" i="9"/>
  <c r="H17" i="8"/>
  <c r="H56" i="7"/>
  <c r="H77" i="7" s="1"/>
  <c r="I15" i="9"/>
  <c r="I17" i="8"/>
  <c r="I56" i="7"/>
  <c r="I77" i="7" s="1"/>
  <c r="J15" i="9"/>
  <c r="J17" i="8"/>
  <c r="J56" i="7"/>
  <c r="J77" i="7" s="1"/>
  <c r="K15" i="9"/>
  <c r="K17" i="8"/>
  <c r="K56" i="7"/>
  <c r="K77" i="7" s="1"/>
  <c r="L15" i="9"/>
  <c r="L17" i="8"/>
  <c r="L56" i="7"/>
  <c r="L77" i="7" s="1"/>
  <c r="M15" i="9"/>
  <c r="M17" i="8"/>
  <c r="M56" i="7"/>
  <c r="M77" i="7" s="1"/>
  <c r="N15" i="9"/>
  <c r="N17" i="8"/>
  <c r="N56" i="7"/>
  <c r="N77" i="7" s="1"/>
  <c r="C16" i="9"/>
  <c r="C18" i="8"/>
  <c r="C57" i="7"/>
  <c r="C78" i="7" s="1"/>
  <c r="D16" i="9"/>
  <c r="D18" i="8"/>
  <c r="D57" i="7"/>
  <c r="D78" i="7" s="1"/>
  <c r="E16" i="9"/>
  <c r="E18" i="8"/>
  <c r="E57" i="7"/>
  <c r="E78" i="7" s="1"/>
  <c r="F16" i="9"/>
  <c r="F18" i="8"/>
  <c r="F57" i="7"/>
  <c r="F78" i="7" s="1"/>
  <c r="G16" i="9"/>
  <c r="G18" i="8"/>
  <c r="G57" i="7"/>
  <c r="G78" i="7" s="1"/>
  <c r="H16" i="9"/>
  <c r="H18" i="8"/>
  <c r="H57" i="7"/>
  <c r="H78" i="7" s="1"/>
  <c r="I16" i="9"/>
  <c r="I18" i="8"/>
  <c r="I57" i="7"/>
  <c r="I78" i="7" s="1"/>
  <c r="J16" i="9"/>
  <c r="J18" i="8"/>
  <c r="J57" i="7"/>
  <c r="J78" i="7" s="1"/>
  <c r="K16" i="9"/>
  <c r="K18" i="8"/>
  <c r="K57" i="7"/>
  <c r="K78" i="7" s="1"/>
  <c r="L16" i="9"/>
  <c r="L18" i="8"/>
  <c r="L57" i="7"/>
  <c r="L78" i="7" s="1"/>
  <c r="M16" i="9"/>
  <c r="M18" i="8"/>
  <c r="M57" i="7"/>
  <c r="M78" i="7" s="1"/>
  <c r="N16" i="9"/>
  <c r="N18" i="8"/>
  <c r="N57" i="7"/>
  <c r="N78" i="7" s="1"/>
  <c r="C14" i="9"/>
  <c r="C16" i="8"/>
  <c r="C58" i="7"/>
  <c r="C79" i="7" s="1"/>
  <c r="D14" i="9"/>
  <c r="D16" i="8"/>
  <c r="D58" i="7"/>
  <c r="D79" i="7" s="1"/>
  <c r="E14" i="9"/>
  <c r="E16" i="8"/>
  <c r="E58" i="7"/>
  <c r="E79" i="7" s="1"/>
  <c r="F14" i="9"/>
  <c r="F16" i="8"/>
  <c r="F58" i="7"/>
  <c r="F79" i="7" s="1"/>
  <c r="G14" i="9"/>
  <c r="G16" i="8"/>
  <c r="G58" i="7"/>
  <c r="G79" i="7" s="1"/>
  <c r="H14" i="9"/>
  <c r="H16" i="8"/>
  <c r="H58" i="7"/>
  <c r="H79" i="7" s="1"/>
  <c r="I14" i="9"/>
  <c r="I16" i="8"/>
  <c r="I58" i="7"/>
  <c r="I79" i="7" s="1"/>
  <c r="J14" i="9"/>
  <c r="J16" i="8"/>
  <c r="J58" i="7"/>
  <c r="J79" i="7" s="1"/>
  <c r="K14" i="9"/>
  <c r="K16" i="8"/>
  <c r="K58" i="7"/>
  <c r="K79" i="7" s="1"/>
  <c r="L14" i="9"/>
  <c r="L16" i="8"/>
  <c r="L58" i="7"/>
  <c r="L79" i="7" s="1"/>
  <c r="M14" i="9"/>
  <c r="M16" i="8"/>
  <c r="M58" i="7"/>
  <c r="M79" i="7" s="1"/>
  <c r="N14" i="9"/>
  <c r="N16" i="8"/>
  <c r="N58" i="7"/>
  <c r="N79" i="7" s="1"/>
  <c r="C24" i="9"/>
  <c r="C59" i="7"/>
  <c r="C80" i="7" s="1"/>
  <c r="D24" i="9"/>
  <c r="D59" i="7"/>
  <c r="D80" i="7" s="1"/>
  <c r="E24" i="9"/>
  <c r="E59" i="7"/>
  <c r="E80" i="7" s="1"/>
  <c r="F24" i="9"/>
  <c r="F59" i="7"/>
  <c r="F80" i="7" s="1"/>
  <c r="G24" i="9"/>
  <c r="G59" i="7"/>
  <c r="G80" i="7" s="1"/>
  <c r="H24" i="9"/>
  <c r="H59" i="7"/>
  <c r="H80" i="7" s="1"/>
  <c r="I24" i="9"/>
  <c r="I59" i="7"/>
  <c r="I80" i="7" s="1"/>
  <c r="J24" i="9"/>
  <c r="J59" i="7"/>
  <c r="J80" i="7" s="1"/>
  <c r="K24" i="9"/>
  <c r="K59" i="7"/>
  <c r="K80" i="7" s="1"/>
  <c r="L24" i="9"/>
  <c r="L59" i="7"/>
  <c r="L80" i="7" s="1"/>
  <c r="M24" i="9"/>
  <c r="M59" i="7"/>
  <c r="M80" i="7" s="1"/>
  <c r="N24" i="9"/>
  <c r="N59" i="7"/>
  <c r="N80" i="7" s="1"/>
  <c r="C22" i="9"/>
  <c r="C25" i="8"/>
  <c r="C60" i="7"/>
  <c r="C81" i="7" s="1"/>
  <c r="D22" i="9"/>
  <c r="D25" i="8"/>
  <c r="D60" i="7"/>
  <c r="D81" i="7" s="1"/>
  <c r="E22" i="9"/>
  <c r="E25" i="8"/>
  <c r="E60" i="7"/>
  <c r="E81" i="7" s="1"/>
  <c r="F22" i="9"/>
  <c r="F25" i="8"/>
  <c r="F60" i="7"/>
  <c r="F81" i="7" s="1"/>
  <c r="G22" i="9"/>
  <c r="G25" i="8"/>
  <c r="G60" i="7"/>
  <c r="G81" i="7" s="1"/>
  <c r="H22" i="9"/>
  <c r="H25" i="8"/>
  <c r="H60" i="7"/>
  <c r="H81" i="7" s="1"/>
  <c r="I22" i="9"/>
  <c r="I25" i="8"/>
  <c r="I60" i="7"/>
  <c r="I81" i="7" s="1"/>
  <c r="J22" i="9"/>
  <c r="J25" i="8"/>
  <c r="J60" i="7"/>
  <c r="J81" i="7" s="1"/>
  <c r="K22" i="9"/>
  <c r="K25" i="8"/>
  <c r="K60" i="7"/>
  <c r="K81" i="7" s="1"/>
  <c r="L22" i="9"/>
  <c r="L25" i="8"/>
  <c r="L60" i="7"/>
  <c r="L81" i="7" s="1"/>
  <c r="M22" i="9"/>
  <c r="M25" i="8"/>
  <c r="M60" i="7"/>
  <c r="M81" i="7" s="1"/>
  <c r="N22" i="9"/>
  <c r="N25" i="8"/>
  <c r="N60" i="7"/>
  <c r="N81" i="7" s="1"/>
  <c r="C23" i="9"/>
  <c r="C26" i="8"/>
  <c r="C61" i="7"/>
  <c r="C82" i="7" s="1"/>
  <c r="D23" i="9"/>
  <c r="D26" i="8"/>
  <c r="D61" i="7"/>
  <c r="D82" i="7" s="1"/>
  <c r="E23" i="9"/>
  <c r="E26" i="8"/>
  <c r="E61" i="7"/>
  <c r="E82" i="7" s="1"/>
  <c r="F23" i="9"/>
  <c r="F26" i="8"/>
  <c r="F61" i="7"/>
  <c r="F82" i="7" s="1"/>
  <c r="G23" i="9"/>
  <c r="G26" i="8"/>
  <c r="G61" i="7"/>
  <c r="G82" i="7" s="1"/>
  <c r="H23" i="9"/>
  <c r="H26" i="8"/>
  <c r="H61" i="7"/>
  <c r="H82" i="7" s="1"/>
  <c r="I23" i="9"/>
  <c r="I26" i="8"/>
  <c r="I61" i="7"/>
  <c r="I82" i="7" s="1"/>
  <c r="J23" i="9"/>
  <c r="J26" i="8"/>
  <c r="J61" i="7"/>
  <c r="J82" i="7" s="1"/>
  <c r="K23" i="9"/>
  <c r="K26" i="8"/>
  <c r="K61" i="7"/>
  <c r="K82" i="7" s="1"/>
  <c r="L23" i="9"/>
  <c r="L26" i="8"/>
  <c r="L61" i="7"/>
  <c r="L82" i="7" s="1"/>
  <c r="M23" i="9"/>
  <c r="M26" i="8"/>
  <c r="M61" i="7"/>
  <c r="M82" i="7" s="1"/>
  <c r="N23" i="9"/>
  <c r="N26" i="8"/>
  <c r="N61" i="7"/>
  <c r="N82" i="7" s="1"/>
  <c r="C21" i="9"/>
  <c r="C24" i="8"/>
  <c r="C62" i="7"/>
  <c r="C83" i="7" s="1"/>
  <c r="D21" i="9"/>
  <c r="D24" i="8"/>
  <c r="D62" i="7"/>
  <c r="D83" i="7" s="1"/>
  <c r="E21" i="9"/>
  <c r="E24" i="8"/>
  <c r="E62" i="7"/>
  <c r="E83" i="7" s="1"/>
  <c r="F21" i="9"/>
  <c r="F24" i="8"/>
  <c r="F62" i="7"/>
  <c r="F83" i="7" s="1"/>
  <c r="G21" i="9"/>
  <c r="G24" i="8"/>
  <c r="G62" i="7"/>
  <c r="G83" i="7" s="1"/>
  <c r="H21" i="9"/>
  <c r="H24" i="8"/>
  <c r="H62" i="7"/>
  <c r="H83" i="7" s="1"/>
  <c r="I21" i="9"/>
  <c r="I24" i="8"/>
  <c r="I62" i="7"/>
  <c r="I83" i="7" s="1"/>
  <c r="J21" i="9"/>
  <c r="J24" i="8"/>
  <c r="J62" i="7"/>
  <c r="J83" i="7" s="1"/>
  <c r="K21" i="9"/>
  <c r="K24" i="8"/>
  <c r="K62" i="7"/>
  <c r="K83" i="7" s="1"/>
  <c r="L21" i="9"/>
  <c r="L24" i="8"/>
  <c r="L62" i="7"/>
  <c r="L83" i="7" s="1"/>
  <c r="M21" i="9"/>
  <c r="M24" i="8"/>
  <c r="M62" i="7"/>
  <c r="M83" i="7" s="1"/>
  <c r="N21" i="9"/>
  <c r="N24" i="8"/>
  <c r="N62" i="7"/>
  <c r="N83" i="7" s="1"/>
  <c r="N28" i="8" l="1"/>
  <c r="M28" i="8"/>
  <c r="L28" i="8"/>
  <c r="K28" i="8"/>
  <c r="J28" i="8"/>
  <c r="I28" i="8"/>
  <c r="H28" i="8"/>
  <c r="G28" i="8"/>
  <c r="F28" i="8"/>
  <c r="E28" i="8"/>
  <c r="D28" i="8"/>
  <c r="C28" i="8"/>
  <c r="N25" i="9"/>
  <c r="M25" i="9"/>
  <c r="L25" i="9"/>
  <c r="K25" i="9"/>
  <c r="J25" i="9"/>
  <c r="I25" i="9"/>
  <c r="H25" i="9"/>
  <c r="G25" i="9"/>
  <c r="F25" i="9"/>
  <c r="E25" i="9"/>
  <c r="D25" i="9"/>
  <c r="C25" i="9"/>
  <c r="N20" i="8"/>
  <c r="M20" i="8"/>
  <c r="L20" i="8"/>
  <c r="K20" i="8"/>
  <c r="J20" i="8"/>
  <c r="I20" i="8"/>
  <c r="H20" i="8"/>
  <c r="G20" i="8"/>
  <c r="F20" i="8"/>
  <c r="E20" i="8"/>
  <c r="D20" i="8"/>
  <c r="C20" i="8"/>
  <c r="N18" i="9"/>
  <c r="M18" i="9"/>
  <c r="L18" i="9"/>
  <c r="K18" i="9"/>
  <c r="J18" i="9"/>
  <c r="I18" i="9"/>
  <c r="H18" i="9"/>
  <c r="G18" i="9"/>
  <c r="F18" i="9"/>
  <c r="E18" i="9"/>
  <c r="D18" i="9"/>
  <c r="C18" i="9"/>
  <c r="N28" i="9"/>
  <c r="N32" i="8"/>
  <c r="N66" i="7"/>
  <c r="N87" i="7" s="1"/>
  <c r="M28" i="9"/>
  <c r="M32" i="8"/>
  <c r="M66" i="7"/>
  <c r="M87" i="7" s="1"/>
  <c r="L28" i="9"/>
  <c r="L32" i="8"/>
  <c r="L66" i="7"/>
  <c r="L87" i="7" s="1"/>
  <c r="K28" i="9"/>
  <c r="K32" i="8"/>
  <c r="K66" i="7"/>
  <c r="K87" i="7" s="1"/>
  <c r="J28" i="9"/>
  <c r="J32" i="8"/>
  <c r="J66" i="7"/>
  <c r="J87" i="7" s="1"/>
  <c r="I28" i="9"/>
  <c r="I32" i="8"/>
  <c r="I66" i="7"/>
  <c r="I87" i="7" s="1"/>
  <c r="H28" i="9"/>
  <c r="H32" i="8"/>
  <c r="H66" i="7"/>
  <c r="H87" i="7" s="1"/>
  <c r="G28" i="9"/>
  <c r="G32" i="8"/>
  <c r="G66" i="7"/>
  <c r="G87" i="7" s="1"/>
  <c r="F28" i="9"/>
  <c r="F32" i="8"/>
  <c r="F66" i="7"/>
  <c r="F87" i="7" s="1"/>
  <c r="E28" i="9"/>
  <c r="E32" i="8"/>
  <c r="E66" i="7"/>
  <c r="E87" i="7" s="1"/>
  <c r="D28" i="9"/>
  <c r="D32" i="8"/>
  <c r="D66" i="7"/>
  <c r="D87" i="7" s="1"/>
  <c r="C28" i="9"/>
  <c r="C32" i="8"/>
  <c r="C66" i="7"/>
  <c r="C87" i="7" s="1"/>
  <c r="N12" i="8"/>
  <c r="M12" i="8"/>
  <c r="L12" i="8"/>
  <c r="K12" i="8"/>
  <c r="J12" i="8"/>
  <c r="I12" i="8"/>
  <c r="H12" i="8"/>
  <c r="G12" i="8"/>
  <c r="F12" i="8"/>
  <c r="E12" i="8"/>
  <c r="D12" i="8"/>
  <c r="C12" i="8"/>
  <c r="N30" i="9"/>
  <c r="N34" i="8"/>
  <c r="N65" i="7"/>
  <c r="N86" i="7" s="1"/>
  <c r="M30" i="9"/>
  <c r="M34" i="8"/>
  <c r="M65" i="7"/>
  <c r="M86" i="7" s="1"/>
  <c r="L30" i="9"/>
  <c r="L34" i="8"/>
  <c r="L65" i="7"/>
  <c r="L86" i="7" s="1"/>
  <c r="K30" i="9"/>
  <c r="K34" i="8"/>
  <c r="K65" i="7"/>
  <c r="K86" i="7" s="1"/>
  <c r="J30" i="9"/>
  <c r="J34" i="8"/>
  <c r="J65" i="7"/>
  <c r="J86" i="7" s="1"/>
  <c r="I30" i="9"/>
  <c r="I34" i="8"/>
  <c r="I65" i="7"/>
  <c r="I86" i="7" s="1"/>
  <c r="H30" i="9"/>
  <c r="H34" i="8"/>
  <c r="H65" i="7"/>
  <c r="H86" i="7" s="1"/>
  <c r="G30" i="9"/>
  <c r="G34" i="8"/>
  <c r="G65" i="7"/>
  <c r="G86" i="7" s="1"/>
  <c r="F30" i="9"/>
  <c r="F34" i="8"/>
  <c r="F65" i="7"/>
  <c r="F86" i="7" s="1"/>
  <c r="E30" i="9"/>
  <c r="E34" i="8"/>
  <c r="E65" i="7"/>
  <c r="E86" i="7" s="1"/>
  <c r="D30" i="9"/>
  <c r="D34" i="8"/>
  <c r="D65" i="7"/>
  <c r="D86" i="7" s="1"/>
  <c r="C30" i="9"/>
  <c r="C34" i="8"/>
  <c r="C65" i="7"/>
  <c r="C86" i="7" s="1"/>
  <c r="N29" i="9"/>
  <c r="N33" i="8"/>
  <c r="N64" i="7"/>
  <c r="N85" i="7" s="1"/>
  <c r="M29" i="9"/>
  <c r="M33" i="8"/>
  <c r="M64" i="7"/>
  <c r="M85" i="7" s="1"/>
  <c r="L29" i="9"/>
  <c r="L33" i="8"/>
  <c r="L64" i="7"/>
  <c r="L85" i="7" s="1"/>
  <c r="K29" i="9"/>
  <c r="K33" i="8"/>
  <c r="K64" i="7"/>
  <c r="K85" i="7" s="1"/>
  <c r="J29" i="9"/>
  <c r="J33" i="8"/>
  <c r="J64" i="7"/>
  <c r="J85" i="7" s="1"/>
  <c r="I29" i="9"/>
  <c r="I33" i="8"/>
  <c r="I64" i="7"/>
  <c r="I85" i="7" s="1"/>
  <c r="H29" i="9"/>
  <c r="H33" i="8"/>
  <c r="H64" i="7"/>
  <c r="H85" i="7" s="1"/>
  <c r="G29" i="9"/>
  <c r="G33" i="8"/>
  <c r="G64" i="7"/>
  <c r="G85" i="7" s="1"/>
  <c r="F29" i="9"/>
  <c r="F33" i="8"/>
  <c r="F64" i="7"/>
  <c r="F85" i="7" s="1"/>
  <c r="E29" i="9"/>
  <c r="E33" i="8"/>
  <c r="E64" i="7"/>
  <c r="E85" i="7" s="1"/>
  <c r="D29" i="9"/>
  <c r="D33" i="8"/>
  <c r="D64" i="7"/>
  <c r="D85" i="7" s="1"/>
  <c r="C29" i="9"/>
  <c r="C33" i="8"/>
  <c r="C64" i="7"/>
  <c r="C85" i="7" s="1"/>
  <c r="N31" i="9"/>
  <c r="N32" i="9" s="1"/>
  <c r="N63" i="7"/>
  <c r="N84" i="7" s="1"/>
  <c r="N11" i="9"/>
  <c r="M31" i="9"/>
  <c r="M32" i="9" s="1"/>
  <c r="M63" i="7"/>
  <c r="M84" i="7" s="1"/>
  <c r="M11" i="9"/>
  <c r="L31" i="9"/>
  <c r="L32" i="9" s="1"/>
  <c r="L63" i="7"/>
  <c r="L84" i="7" s="1"/>
  <c r="L11" i="9"/>
  <c r="K31" i="9"/>
  <c r="K32" i="9" s="1"/>
  <c r="K63" i="7"/>
  <c r="K84" i="7" s="1"/>
  <c r="K11" i="9"/>
  <c r="J31" i="9"/>
  <c r="J32" i="9" s="1"/>
  <c r="J63" i="7"/>
  <c r="J84" i="7" s="1"/>
  <c r="J11" i="9"/>
  <c r="I31" i="9"/>
  <c r="I32" i="9" s="1"/>
  <c r="I63" i="7"/>
  <c r="I84" i="7" s="1"/>
  <c r="I11" i="9"/>
  <c r="H31" i="9"/>
  <c r="H32" i="9" s="1"/>
  <c r="H63" i="7"/>
  <c r="H84" i="7" s="1"/>
  <c r="H11" i="9"/>
  <c r="G31" i="9"/>
  <c r="G32" i="9" s="1"/>
  <c r="G63" i="7"/>
  <c r="G84" i="7" s="1"/>
  <c r="G11" i="9"/>
  <c r="F31" i="9"/>
  <c r="F32" i="9" s="1"/>
  <c r="F63" i="7"/>
  <c r="F84" i="7" s="1"/>
  <c r="F11" i="9"/>
  <c r="E31" i="9"/>
  <c r="E32" i="9" s="1"/>
  <c r="E63" i="7"/>
  <c r="E84" i="7" s="1"/>
  <c r="E11" i="9"/>
  <c r="D31" i="9"/>
  <c r="D32" i="9" s="1"/>
  <c r="D63" i="7"/>
  <c r="D84" i="7" s="1"/>
  <c r="D11" i="9"/>
  <c r="C31" i="9"/>
  <c r="C32" i="9" s="1"/>
  <c r="C63" i="7"/>
  <c r="C84" i="7" s="1"/>
  <c r="C11" i="9"/>
  <c r="N62" i="8"/>
  <c r="M62" i="8"/>
  <c r="L62" i="8"/>
  <c r="K62" i="8"/>
  <c r="J62" i="8"/>
  <c r="I62" i="8"/>
  <c r="H62" i="8"/>
  <c r="G62" i="8"/>
  <c r="F62" i="8"/>
  <c r="E62" i="8"/>
  <c r="D62" i="8"/>
  <c r="C62" i="8"/>
  <c r="N54" i="8"/>
  <c r="M54" i="8"/>
  <c r="L54" i="8"/>
  <c r="K54" i="8"/>
  <c r="J54" i="8"/>
  <c r="I54" i="8"/>
  <c r="H54" i="8"/>
  <c r="G54" i="8"/>
  <c r="F54" i="8"/>
  <c r="E54" i="8"/>
  <c r="D54" i="8"/>
  <c r="C54" i="8"/>
  <c r="N59" i="9"/>
  <c r="N66" i="8"/>
  <c r="M59" i="9"/>
  <c r="M66" i="8"/>
  <c r="L59" i="9"/>
  <c r="L66" i="8"/>
  <c r="K59" i="9"/>
  <c r="K66" i="8"/>
  <c r="J59" i="9"/>
  <c r="J66" i="8"/>
  <c r="I59" i="9"/>
  <c r="I66" i="8"/>
  <c r="H59" i="9"/>
  <c r="H66" i="8"/>
  <c r="G59" i="9"/>
  <c r="G66" i="8"/>
  <c r="F59" i="9"/>
  <c r="F66" i="8"/>
  <c r="E59" i="9"/>
  <c r="E66" i="8"/>
  <c r="D59" i="9"/>
  <c r="D66" i="8"/>
  <c r="C59" i="9"/>
  <c r="C66" i="8"/>
  <c r="N46" i="8"/>
  <c r="M46" i="8"/>
  <c r="L46" i="8"/>
  <c r="K46" i="8"/>
  <c r="J46" i="8"/>
  <c r="I46" i="8"/>
  <c r="H46" i="8"/>
  <c r="G46" i="8"/>
  <c r="F46" i="8"/>
  <c r="E46" i="8"/>
  <c r="D46" i="8"/>
  <c r="C46" i="8"/>
  <c r="N61" i="9"/>
  <c r="N68" i="8"/>
  <c r="M61" i="9"/>
  <c r="M68" i="8"/>
  <c r="L61" i="9"/>
  <c r="L68" i="8"/>
  <c r="K61" i="9"/>
  <c r="K68" i="8"/>
  <c r="J61" i="9"/>
  <c r="J68" i="8"/>
  <c r="I61" i="9"/>
  <c r="I68" i="8"/>
  <c r="H61" i="9"/>
  <c r="H68" i="8"/>
  <c r="G61" i="9"/>
  <c r="G68" i="8"/>
  <c r="F61" i="9"/>
  <c r="F68" i="8"/>
  <c r="E61" i="9"/>
  <c r="E68" i="8"/>
  <c r="D61" i="9"/>
  <c r="D68" i="8"/>
  <c r="C61" i="9"/>
  <c r="C68" i="8"/>
  <c r="N60" i="9"/>
  <c r="N67" i="8"/>
  <c r="M60" i="9"/>
  <c r="M67" i="8"/>
  <c r="L60" i="9"/>
  <c r="L67" i="8"/>
  <c r="K60" i="9"/>
  <c r="K67" i="8"/>
  <c r="J60" i="9"/>
  <c r="J67" i="8"/>
  <c r="I60" i="9"/>
  <c r="I67" i="8"/>
  <c r="H60" i="9"/>
  <c r="H67" i="8"/>
  <c r="G60" i="9"/>
  <c r="G67" i="8"/>
  <c r="F60" i="9"/>
  <c r="F67" i="8"/>
  <c r="E60" i="9"/>
  <c r="E67" i="8"/>
  <c r="D60" i="9"/>
  <c r="D67" i="8"/>
  <c r="C60" i="9"/>
  <c r="C67" i="8"/>
  <c r="N63" i="9"/>
  <c r="N40" i="9"/>
  <c r="M124" i="7"/>
  <c r="M63" i="9"/>
  <c r="M40" i="9"/>
  <c r="L124" i="7"/>
  <c r="L63" i="9"/>
  <c r="L40" i="9"/>
  <c r="K124" i="7"/>
  <c r="K63" i="9"/>
  <c r="K40" i="9"/>
  <c r="J124" i="7"/>
  <c r="J63" i="9"/>
  <c r="J40" i="9"/>
  <c r="I124" i="7"/>
  <c r="I63" i="9"/>
  <c r="I40" i="9"/>
  <c r="H124" i="7"/>
  <c r="H63" i="9"/>
  <c r="H40" i="9"/>
  <c r="G124" i="7"/>
  <c r="G63" i="9"/>
  <c r="G40" i="9"/>
  <c r="F124" i="7"/>
  <c r="F63" i="9"/>
  <c r="F40" i="9"/>
  <c r="E124" i="7"/>
  <c r="E63" i="9"/>
  <c r="E40" i="9"/>
  <c r="D124" i="7"/>
  <c r="D63" i="9"/>
  <c r="D40" i="9"/>
  <c r="C124" i="7"/>
  <c r="C63" i="9"/>
  <c r="C40" i="9"/>
  <c r="B124" i="7"/>
  <c r="N72" i="8" l="1"/>
  <c r="M72" i="8"/>
  <c r="L72" i="8"/>
  <c r="K72" i="8"/>
  <c r="J72" i="8"/>
  <c r="I72" i="8"/>
  <c r="H72" i="8"/>
  <c r="G72" i="8"/>
  <c r="F72" i="8"/>
  <c r="E72" i="8"/>
  <c r="D72" i="8"/>
  <c r="C72" i="8"/>
  <c r="B125" i="7"/>
  <c r="C125" i="7"/>
  <c r="D125" i="7"/>
  <c r="E125" i="7"/>
  <c r="F125" i="7"/>
  <c r="G125" i="7"/>
  <c r="H125" i="7"/>
  <c r="I125" i="7"/>
  <c r="J125" i="7"/>
  <c r="K125" i="7"/>
  <c r="L125" i="7"/>
  <c r="M125" i="7"/>
  <c r="N38" i="8"/>
  <c r="M38" i="8"/>
  <c r="L38" i="8"/>
  <c r="K38" i="8"/>
  <c r="J38" i="8"/>
  <c r="I38" i="8"/>
  <c r="H38" i="8"/>
  <c r="G38" i="8"/>
  <c r="F38" i="8"/>
  <c r="E38" i="8"/>
  <c r="D38" i="8"/>
  <c r="C38"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<sst xmlns="http://schemas.openxmlformats.org/spreadsheetml/2006/main" count="6018" uniqueCount="271">
  <si>
    <t>Southern Water Corp. Economic Analysis</t>
  </si>
  <si>
    <t>In this unit, you've learned about the fundamentals of economics where you've covered supply, demand, and the principles of elasticity.</t>
  </si>
  <si>
    <r>
      <rPr>
        <sz val="16"/>
        <color rgb="FF00705B"/>
        <rFont val="Arial"/>
        <family val="2"/>
      </rPr>
      <t xml:space="preserve">In this case study, we'll seek to unpack these concepts, </t>
    </r>
    <r>
      <rPr>
        <b/>
        <sz val="16"/>
        <color rgb="FFEE226E"/>
        <rFont val="Arial"/>
        <family val="2"/>
      </rPr>
      <t>combining the economic analysis skills</t>
    </r>
    <r>
      <rPr>
        <sz val="16"/>
        <color rgb="FF00705B"/>
        <rFont val="Arial"/>
        <family val="2"/>
      </rPr>
      <t xml:space="preserve"> you've learned and have you apply this </t>
    </r>
    <r>
      <rPr>
        <b/>
        <sz val="16"/>
        <color rgb="FFEE226E"/>
        <rFont val="Arial"/>
        <family val="2"/>
      </rPr>
      <t>through your budding Excel capabilities</t>
    </r>
    <r>
      <rPr>
        <sz val="16"/>
        <color rgb="FF00705B"/>
        <rFont val="Arial"/>
        <family val="2"/>
      </rPr>
      <t>!</t>
    </r>
  </si>
  <si>
    <r>
      <rPr>
        <sz val="16"/>
        <color rgb="FF00705B"/>
        <rFont val="Arial"/>
        <family val="2"/>
      </rPr>
      <t xml:space="preserve">This case study will emphasize the use of </t>
    </r>
    <r>
      <rPr>
        <b/>
        <sz val="16"/>
        <color rgb="FFEE226E"/>
        <rFont val="Arial"/>
        <family val="2"/>
      </rPr>
      <t>AVERAGEIFS Formula and  your charting capabilities</t>
    </r>
    <r>
      <rPr>
        <sz val="16"/>
        <color rgb="FF00705B"/>
        <rFont val="Arial"/>
        <family val="2"/>
      </rPr>
      <t>, where you'll use these charts for a PowerPoint presentation you'll create at the end of this analysis!</t>
    </r>
  </si>
  <si>
    <t>Good luck and let's get started!</t>
  </si>
  <si>
    <t>What do the tab colors in this workbook mean?</t>
  </si>
  <si>
    <r>
      <rPr>
        <sz val="16"/>
        <color rgb="FF00705B"/>
        <rFont val="Arial"/>
        <family val="2"/>
      </rPr>
      <t xml:space="preserve">Throughout the Case Study, we've split this into three sections. As you cover the relevant Economics concepts, you'll apply what you've learned in the exercise tabs.
</t>
    </r>
    <r>
      <rPr>
        <b/>
        <sz val="16"/>
        <color rgb="FF00705B"/>
        <rFont val="Arial"/>
        <family val="2"/>
      </rPr>
      <t>The order of completion is below:</t>
    </r>
    <r>
      <rPr>
        <sz val="16"/>
        <color rgb="FF00705B"/>
        <rFont val="Arial"/>
        <family val="2"/>
      </rPr>
      <t xml:space="preserve">
1) Market Elasticity
2) Economic Cost Analysis
3) What-If Analysis</t>
    </r>
  </si>
  <si>
    <t>Unpacking the Data Repository Table</t>
  </si>
  <si>
    <r>
      <rPr>
        <sz val="16"/>
        <color rgb="FF00705B"/>
        <rFont val="Arial"/>
        <family val="2"/>
      </rPr>
      <t xml:space="preserve">The data repository table might look scary at first, but all the data is logically grouped in a manner where the </t>
    </r>
    <r>
      <rPr>
        <b/>
        <sz val="16"/>
        <color rgb="FF00705B"/>
        <rFont val="Arial"/>
        <family val="2"/>
      </rPr>
      <t>table can be read from left to right.</t>
    </r>
  </si>
  <si>
    <t>Note that we've added in another table, the Water Trading Repository Table that shows the date and price at which either Soft or Hard water has been traded.</t>
  </si>
  <si>
    <t>Definitions</t>
  </si>
  <si>
    <t>We've included a high-level breakdown that explains the different columns you will deal with in the data repository and water trading repository table. Please read through this and familiarize yourself with what these columns mean.</t>
  </si>
  <si>
    <t>Account Type</t>
  </si>
  <si>
    <r>
      <rPr>
        <sz val="15"/>
        <color theme="1"/>
        <rFont val="Arial"/>
        <family val="2"/>
      </rPr>
      <t xml:space="preserve">This column provides information on whether the dataset is referencing </t>
    </r>
    <r>
      <rPr>
        <sz val="15"/>
        <color rgb="FFEE226E"/>
        <rFont val="Arial"/>
        <family val="2"/>
      </rPr>
      <t>Financial Actuals (Money Spent)</t>
    </r>
    <r>
      <rPr>
        <sz val="15"/>
        <color theme="1"/>
        <rFont val="Arial"/>
        <family val="2"/>
      </rPr>
      <t xml:space="preserve"> or </t>
    </r>
    <r>
      <rPr>
        <sz val="15"/>
        <color rgb="FFEE226E"/>
        <rFont val="Arial"/>
        <family val="2"/>
      </rPr>
      <t>Water Actuals (Volume of Water Produced)</t>
    </r>
    <r>
      <rPr>
        <sz val="15"/>
        <color theme="1"/>
        <rFont val="Arial"/>
        <family val="2"/>
      </rPr>
      <t>.</t>
    </r>
  </si>
  <si>
    <t>Value Drivers</t>
  </si>
  <si>
    <r>
      <rPr>
        <sz val="15"/>
        <color theme="1"/>
        <rFont val="Arial"/>
        <family val="2"/>
      </rPr>
      <t xml:space="preserve">This is a pre-filled column mapping each </t>
    </r>
    <r>
      <rPr>
        <sz val="15"/>
        <color rgb="FFEE226E"/>
        <rFont val="Arial"/>
        <family val="2"/>
      </rPr>
      <t>Accounting Centre Code</t>
    </r>
    <r>
      <rPr>
        <sz val="15"/>
        <color theme="1"/>
        <rFont val="Arial"/>
        <family val="2"/>
      </rPr>
      <t xml:space="preserve"> and </t>
    </r>
    <r>
      <rPr>
        <sz val="15"/>
        <color rgb="FFEE226E"/>
        <rFont val="Arial"/>
        <family val="2"/>
      </rPr>
      <t xml:space="preserve">Accounting Centre Code Element </t>
    </r>
    <r>
      <rPr>
        <sz val="15"/>
        <color theme="1"/>
        <rFont val="Arial"/>
        <family val="2"/>
      </rPr>
      <t xml:space="preserve">to either a </t>
    </r>
    <r>
      <rPr>
        <sz val="15"/>
        <color rgb="FFEE226E"/>
        <rFont val="Arial"/>
        <family val="2"/>
      </rPr>
      <t>Revenue Generating Activity (Revenues)</t>
    </r>
    <r>
      <rPr>
        <sz val="15"/>
        <color theme="1"/>
        <rFont val="Arial"/>
        <family val="2"/>
      </rPr>
      <t xml:space="preserve"> or </t>
    </r>
    <r>
      <rPr>
        <sz val="15"/>
        <color rgb="FFEE226E"/>
        <rFont val="Arial"/>
        <family val="2"/>
      </rPr>
      <t>Cost Generating Activity (Expenses)</t>
    </r>
    <r>
      <rPr>
        <sz val="15"/>
        <color theme="1"/>
        <rFont val="Arial"/>
        <family val="2"/>
      </rPr>
      <t>.</t>
    </r>
  </si>
  <si>
    <t>Unit</t>
  </si>
  <si>
    <t>There are three desalination units or plants (facilities) owned by Southern Water Corp. These are the Kootha, Surjek and Jutik desalination units. The Unit column indicates, for that row of data, which Unit it applies towards.</t>
  </si>
  <si>
    <t>Month</t>
  </si>
  <si>
    <t>This represents the month that data was calculated for.</t>
  </si>
  <si>
    <t>Month (Number)</t>
  </si>
  <si>
    <t>This represents the month in numerical form.</t>
  </si>
  <si>
    <t>Accounting Code Centre</t>
  </si>
  <si>
    <r>
      <rPr>
        <sz val="15"/>
        <color theme="1"/>
        <rFont val="Arial"/>
        <family val="2"/>
      </rPr>
      <t xml:space="preserve">Every row is mapped to an Accounting Code Centre. Based on the </t>
    </r>
    <r>
      <rPr>
        <sz val="15"/>
        <color rgb="FFEE226E"/>
        <rFont val="Arial"/>
        <family val="2"/>
      </rPr>
      <t>Accounting Code Centre (ACC)</t>
    </r>
    <r>
      <rPr>
        <sz val="15"/>
        <color theme="1"/>
        <rFont val="Arial"/>
        <family val="2"/>
      </rPr>
      <t xml:space="preserve"> and the textual description, we know that </t>
    </r>
    <r>
      <rPr>
        <sz val="15"/>
        <color rgb="FFEE226E"/>
        <rFont val="Arial"/>
        <family val="2"/>
      </rPr>
      <t>all ACCs that mention Sales, are Profit Centres, and all ACCs that mention Costs, are Cost Centres.</t>
    </r>
    <r>
      <rPr>
        <sz val="15"/>
        <color theme="1"/>
        <rFont val="Arial"/>
        <family val="2"/>
      </rPr>
      <t xml:space="preserve"> 
In Financial Accounting, </t>
    </r>
    <r>
      <rPr>
        <sz val="15"/>
        <color rgb="FFEE226E"/>
        <rFont val="Arial"/>
        <family val="2"/>
      </rPr>
      <t>Revenue-Generating Activities are mapped to Profit Centres</t>
    </r>
    <r>
      <rPr>
        <sz val="15"/>
        <color theme="1"/>
        <rFont val="Arial"/>
        <family val="2"/>
      </rPr>
      <t xml:space="preserve"> (i.e. They generate profit), whilst </t>
    </r>
    <r>
      <rPr>
        <sz val="15"/>
        <color rgb="FFEE226E"/>
        <rFont val="Arial"/>
        <family val="2"/>
      </rPr>
      <t>Cost-Generating Activities are mapped to Cost Centres</t>
    </r>
    <r>
      <rPr>
        <sz val="15"/>
        <color theme="1"/>
        <rFont val="Arial"/>
        <family val="2"/>
      </rPr>
      <t xml:space="preserve"> (i.e. They generate costs).</t>
    </r>
  </si>
  <si>
    <t>Accounting Code Centre Element</t>
  </si>
  <si>
    <t xml:space="preserve">An Accounting Code Centre Element (ACCE) is made up of 'elements' which tie into the Accounting Code Centre. </t>
  </si>
  <si>
    <t>Unit of Measure</t>
  </si>
  <si>
    <t>Every Row of Data has a Unit of Measure (UoM) associated with this. E.g. Financial data is measured in dollars, whilst Water Production data is measure in Giga-Litres.</t>
  </si>
  <si>
    <t>Row Data</t>
  </si>
  <si>
    <t>This is the unique value that is stored for every row entry.</t>
  </si>
  <si>
    <t>Trading Interval</t>
  </si>
  <si>
    <t>The time-stamp where Water has been traded on the Open Water Market exchange database.</t>
  </si>
  <si>
    <t>Market Water Demand (Giga-Litres)</t>
  </si>
  <si>
    <t>The amount of water demanded by the Market for that respective time-stamp period.</t>
  </si>
  <si>
    <t>Water Balancing Price ($/ML)</t>
  </si>
  <si>
    <r>
      <rPr>
        <sz val="15"/>
        <color theme="1"/>
        <rFont val="Arial"/>
        <family val="2"/>
      </rPr>
      <t xml:space="preserve">The Water Market Balancing Price that is </t>
    </r>
    <r>
      <rPr>
        <b/>
        <sz val="15"/>
        <color rgb="FF000000"/>
        <rFont val="Arial"/>
        <family val="2"/>
      </rPr>
      <t xml:space="preserve">settled </t>
    </r>
    <r>
      <rPr>
        <sz val="15"/>
        <color rgb="FF000000"/>
        <rFont val="Arial"/>
        <family val="2"/>
      </rPr>
      <t>by the Open Water Market exchange.</t>
    </r>
  </si>
  <si>
    <t>The month that the Water Transaction belongs to.</t>
  </si>
  <si>
    <t>Water Type</t>
  </si>
  <si>
    <t>What type of Water Product is being traded (i.e. Hard Water or Soft Water)?</t>
  </si>
  <si>
    <t>Value Driver Trees</t>
  </si>
  <si>
    <t>Below we've included the Value Driver Trees for the Elasticity of Demand Coefficient; a critical calculation used to determine the elasticity (price sensitivity) of a product.</t>
  </si>
  <si>
    <t>Centre Type</t>
  </si>
  <si>
    <t>Cost Centre / Profit Centre</t>
  </si>
  <si>
    <t>Cost Centre / Profit Centre Elements</t>
  </si>
  <si>
    <t>Financial Actual</t>
  </si>
  <si>
    <t>Revenues</t>
  </si>
  <si>
    <t>Kootha</t>
  </si>
  <si>
    <t>Profit Centre</t>
  </si>
  <si>
    <t>001 Private Water Hedge Sales</t>
  </si>
  <si>
    <t>W-Transact (0211) - Soft</t>
  </si>
  <si>
    <t>$</t>
  </si>
  <si>
    <t>W-Transact (0212) - Hard</t>
  </si>
  <si>
    <t>002 Public Sales</t>
  </si>
  <si>
    <t>003 Residential Sales</t>
  </si>
  <si>
    <t>Surjek</t>
  </si>
  <si>
    <t>Jutik</t>
  </si>
  <si>
    <t>Expenses</t>
  </si>
  <si>
    <t>Cost Centre</t>
  </si>
  <si>
    <t>Chemical Costs</t>
  </si>
  <si>
    <t>Chem-Exp (001)</t>
  </si>
  <si>
    <t>Facility Costs</t>
  </si>
  <si>
    <t>Utility-Exp (002) - Heating</t>
  </si>
  <si>
    <t>Utility-Exp (002) - Electricity</t>
  </si>
  <si>
    <t>Operational Maintenance Costs</t>
  </si>
  <si>
    <t>Plant Maintenance (001)</t>
  </si>
  <si>
    <t>Plant Outages (002)</t>
  </si>
  <si>
    <t>Plant Op. Costs (003)</t>
  </si>
  <si>
    <t>Plant Admin Costs (004)</t>
  </si>
  <si>
    <t>Labour Costs</t>
  </si>
  <si>
    <t>Labour-Costs (001)</t>
  </si>
  <si>
    <t>Water Production Actuals</t>
  </si>
  <si>
    <t>None</t>
  </si>
  <si>
    <t>Giga-Litre</t>
  </si>
  <si>
    <t>Soft</t>
  </si>
  <si>
    <t>Hard</t>
  </si>
  <si>
    <t>Economic Analysis - Part I</t>
  </si>
  <si>
    <t>In this economics unit we've introduced you to the concept of Elasticity and Inelasticity and the relation this has to pricing patterns for products.</t>
  </si>
  <si>
    <t>While you might not immediately understand the relationship between elasticity and pricing, it's important we take a moment to understand how this is linked.</t>
  </si>
  <si>
    <t>Say for example, if we suddenly had our Netflix account fees raise to $100 per month - a number of us might reconsider whether we still want this subscription. The insight here is that the product is elastic (i.e. If we increase the price too sharply, people will leave and go to other streaming platforms.)</t>
  </si>
  <si>
    <t xml:space="preserve">This is tied to the concept of Elasticity (i.e. When the price is low enough, demand is high. Inversely, when the price is high - demand reduces). </t>
  </si>
  <si>
    <r>
      <rPr>
        <sz val="12"/>
        <color rgb="FF000000"/>
        <rFont val="Arial"/>
        <family val="2"/>
      </rPr>
      <t>Now, there are situations that</t>
    </r>
    <r>
      <rPr>
        <u/>
        <sz val="12"/>
        <color rgb="FF000000"/>
        <rFont val="Arial"/>
        <family val="2"/>
      </rPr>
      <t xml:space="preserve"> </t>
    </r>
    <r>
      <rPr>
        <b/>
        <u/>
        <sz val="12"/>
        <color rgb="FFEE226E"/>
        <rFont val="Arial"/>
        <family val="2"/>
      </rPr>
      <t>even IF the price rises, we will still purchase the same quantity of goods</t>
    </r>
    <r>
      <rPr>
        <sz val="12"/>
        <color rgb="FFEE226E"/>
        <rFont val="Arial"/>
        <family val="2"/>
      </rPr>
      <t xml:space="preserve">. </t>
    </r>
    <r>
      <rPr>
        <sz val="12"/>
        <color rgb="FF000000"/>
        <rFont val="Arial"/>
        <family val="2"/>
      </rPr>
      <t xml:space="preserve">
</t>
    </r>
  </si>
  <si>
    <t>Take for example, a particular drug for a pre-existing medical condition. If the price were to rise from its current amount to 10% higher than usual - the amount demanded wouldn't decrease as the product is still required.</t>
  </si>
  <si>
    <r>
      <rPr>
        <b/>
        <sz val="12"/>
        <color rgb="FFEE226E"/>
        <rFont val="Arial"/>
        <family val="2"/>
      </rPr>
      <t>When this occurs, the product is known as an INELASTIC PRODUCT.</t>
    </r>
    <r>
      <rPr>
        <b/>
        <sz val="12"/>
        <color rgb="FF000000"/>
        <rFont val="Arial"/>
        <family val="2"/>
      </rPr>
      <t xml:space="preserve"> (i.e. Regardless of whether the demand increases or decreases, the price will not change in any substantial manner).</t>
    </r>
  </si>
  <si>
    <t>With what you've learned, let's take a look at Southern Water Corps Economic Data and see what trends we can identify from an Elasticity and Inelasticity Perspective. Let's be objective and ask ourselves - what does the data tell us?</t>
  </si>
  <si>
    <t>Let's get started!</t>
  </si>
  <si>
    <t>Q1. Please calculate the Average Water Balancing Market Price (WBMP) and Average Quantities of Water Demanded for 1) Hard and Soft Water Combined, 2) Hard Water Only and 3) Soft Water Only across the Jan-14 to Dec-14 Period.</t>
  </si>
  <si>
    <t>Do you notice any trends when comparing the Price and Quantity Per Product? (Pay particular attention to the Pricing and the Quantities and put this in the yellow box we've highlighted below)</t>
  </si>
  <si>
    <t>Hard + Soft Water Table</t>
  </si>
  <si>
    <t>Month #</t>
  </si>
  <si>
    <t>Avg. Quantity of Soft + Hard Water</t>
  </si>
  <si>
    <t>Avg. Water Market Balancing Price (WMBP)</t>
  </si>
  <si>
    <t>Hard Water Table</t>
  </si>
  <si>
    <t>Avg. Quantity of Hard Water</t>
  </si>
  <si>
    <t>Soft Water Table</t>
  </si>
  <si>
    <t>Avg. Quantity of Soft Water</t>
  </si>
  <si>
    <t>Place your answer here</t>
  </si>
  <si>
    <t>🧩 1. Hard + Soft Water Combined
Higher quantity months (e.g., Jan: 4596.38) tend to have higher prices (Jan: $172.78).
As quantity decreases (Mar: 4255.63), prices also drop (Mar: $163.00).
Suggests a positive relationship: when demand is high, price is high.
💧 2. Hard Water
Quantity remains relatively stable (range: ~2200–2500), but price decreases steadily:
Jan: $110.48 → Jul: $92.81
Even when quantity slightly increases (e.g., Jul), price does not increase.
Implies a weak or no clear link between hard water quantity and price — price seems to be trending downward regardless.
💦 3. Soft Water
Quantity increases from Mar (2051.88) to Jul (2122.84).
Prices remain very low and relatively flat: ~$49–63 range.
The price drop in Mar ($52.44) and May ($49.11) appears even when quantity is low, suggesting price is not tightly correlated with quantity for soft water.
🔍 Key Observations:</t>
  </si>
  <si>
    <t>Previously we covered how we could make use of scatter plots to help us visually compare the changes between price and quantity to determine whether a relationship is elastic or inelastic.</t>
  </si>
  <si>
    <t>Let's create a scatter plot to compare the price / quantity columns for the 3 different permutations of: 1) Hard + Soft Water, 2) Hard Water and 3) Soft Water.</t>
  </si>
  <si>
    <t>Q2. Using the data you've calculated above in Q1, with the Y-axis set to Avg. WMBP and X-axis set to Avg. Qty of Water Demanded, create three (3) separate charts showing the Overall (Hard Water + Soft Water) Scatter Plot, Hard Water Scatter Plot and Soft Water Scatter Plot.</t>
  </si>
  <si>
    <r>
      <rPr>
        <sz val="12"/>
        <color theme="0"/>
        <rFont val="Arial"/>
        <family val="2"/>
      </rPr>
      <t xml:space="preserve">However, simply eyeing the data isn't sufficient. It's important we also take into account a </t>
    </r>
    <r>
      <rPr>
        <b/>
        <sz val="12"/>
        <color theme="0"/>
        <rFont val="Arial"/>
        <family val="2"/>
      </rPr>
      <t xml:space="preserve">quantitative lens. </t>
    </r>
    <r>
      <rPr>
        <sz val="12"/>
        <color theme="0"/>
        <rFont val="Arial"/>
        <family val="2"/>
      </rPr>
      <t xml:space="preserve">Whenever we see a visual trend, we can try and ascertain this by asking ourselves; </t>
    </r>
    <r>
      <rPr>
        <b/>
        <sz val="12"/>
        <color theme="0"/>
        <rFont val="Arial"/>
        <family val="2"/>
      </rPr>
      <t xml:space="preserve">what theorems would help disprove this? </t>
    </r>
  </si>
  <si>
    <r>
      <rPr>
        <sz val="12"/>
        <color theme="0"/>
        <rFont val="Arial"/>
        <family val="2"/>
      </rPr>
      <t xml:space="preserve">In this case, we're aware of a particular economic construct known as the </t>
    </r>
    <r>
      <rPr>
        <b/>
        <sz val="12"/>
        <color theme="0"/>
        <rFont val="Arial"/>
        <family val="2"/>
      </rPr>
      <t>Elasticity of Demand Coefficient (EoD).</t>
    </r>
  </si>
  <si>
    <r>
      <rPr>
        <sz val="12"/>
        <color theme="0"/>
        <rFont val="Arial"/>
        <family val="2"/>
      </rPr>
      <t xml:space="preserve">Now the EoD enables us to calculate elasticity and determine that if it is </t>
    </r>
    <r>
      <rPr>
        <b/>
        <sz val="12"/>
        <color theme="0"/>
        <rFont val="Arial"/>
        <family val="2"/>
      </rPr>
      <t xml:space="preserve">greater </t>
    </r>
    <r>
      <rPr>
        <sz val="12"/>
        <color theme="0"/>
        <rFont val="Arial"/>
        <family val="2"/>
      </rPr>
      <t xml:space="preserve">than 1, </t>
    </r>
    <r>
      <rPr>
        <b/>
        <sz val="12"/>
        <color theme="0"/>
        <rFont val="Arial"/>
        <family val="2"/>
      </rPr>
      <t>it is elastic</t>
    </r>
    <r>
      <rPr>
        <sz val="12"/>
        <color theme="0"/>
        <rFont val="Arial"/>
        <family val="2"/>
      </rPr>
      <t xml:space="preserve">, and if it is, </t>
    </r>
    <r>
      <rPr>
        <b/>
        <sz val="12"/>
        <color theme="0"/>
        <rFont val="Arial"/>
        <family val="2"/>
      </rPr>
      <t xml:space="preserve">less than 1, </t>
    </r>
    <r>
      <rPr>
        <sz val="12"/>
        <color theme="0"/>
        <rFont val="Arial"/>
        <family val="2"/>
      </rPr>
      <t xml:space="preserve">it is </t>
    </r>
    <r>
      <rPr>
        <b/>
        <sz val="12"/>
        <color theme="0"/>
        <rFont val="Arial"/>
        <family val="2"/>
      </rPr>
      <t xml:space="preserve">inelastic. </t>
    </r>
    <r>
      <rPr>
        <sz val="12"/>
        <color theme="0"/>
        <rFont val="Arial"/>
        <family val="2"/>
      </rPr>
      <t>This is much more absolute than simply eyeballing the data.</t>
    </r>
  </si>
  <si>
    <t>Let's close out our Economic Market Analysis by calculating the EoD coefficient for each water product and determining the overall elasticity for each month, before averaging for the year.</t>
  </si>
  <si>
    <t>Let's review the example we've demonstrated on the left.</t>
  </si>
  <si>
    <t>We'll demonstrate with an example here.</t>
  </si>
  <si>
    <t>We have two months worth of pricing and quantity data we need to analyze to determine February's Elasticity Of Demand Coefficient.</t>
  </si>
  <si>
    <t>January</t>
  </si>
  <si>
    <t>February</t>
  </si>
  <si>
    <t>Price</t>
  </si>
  <si>
    <t>Quantity</t>
  </si>
  <si>
    <t>Let's now calculate the respective changes.</t>
  </si>
  <si>
    <t>Price % Change</t>
  </si>
  <si>
    <t>(86 - 74) / 74</t>
  </si>
  <si>
    <t>Quantity % Change</t>
  </si>
  <si>
    <t>(100 - 80 ) / 80</t>
  </si>
  <si>
    <r>
      <rPr>
        <sz val="11"/>
        <color rgb="FF000000"/>
        <rFont val="Arial"/>
        <family val="2"/>
      </rPr>
      <t>Now let's perform the</t>
    </r>
    <r>
      <rPr>
        <b/>
        <u/>
        <sz val="11"/>
        <color rgb="FF000000"/>
        <rFont val="Arial"/>
        <family val="2"/>
      </rPr>
      <t xml:space="preserve"> last</t>
    </r>
    <r>
      <rPr>
        <sz val="11"/>
        <color rgb="FF000000"/>
        <rFont val="Arial"/>
        <family val="2"/>
      </rPr>
      <t xml:space="preserve"> part of our calculation: ABS ( Pct Change in Quantity / Pct Change in Price )</t>
    </r>
  </si>
  <si>
    <t>We have to use ABS, as we can't have negative elasticities.</t>
  </si>
  <si>
    <t>EoD Coefficient</t>
  </si>
  <si>
    <r>
      <rPr>
        <sz val="11"/>
        <color rgb="FF000000"/>
        <rFont val="Arial"/>
        <family val="2"/>
      </rPr>
      <t xml:space="preserve">As 1.54 is </t>
    </r>
    <r>
      <rPr>
        <b/>
        <sz val="11"/>
        <color rgb="FF000000"/>
        <rFont val="Arial"/>
        <family val="2"/>
      </rPr>
      <t>greater than one</t>
    </r>
    <r>
      <rPr>
        <sz val="11"/>
        <color rgb="FF000000"/>
        <rFont val="Arial"/>
        <family val="2"/>
      </rPr>
      <t xml:space="preserve">, we would say, between January and February, the elasticity for this product is </t>
    </r>
    <r>
      <rPr>
        <b/>
        <sz val="11"/>
        <color rgb="FF000000"/>
        <rFont val="Arial"/>
        <family val="2"/>
      </rPr>
      <t xml:space="preserve">elastic. </t>
    </r>
  </si>
  <si>
    <t>It's that simple! Now it's your turn!</t>
  </si>
  <si>
    <r>
      <rPr>
        <b/>
        <sz val="12"/>
        <color rgb="FFFFFFFF"/>
        <rFont val="Arial"/>
        <family val="2"/>
      </rPr>
      <t xml:space="preserve">Q3) Using the calculation methodology shown above, calculate the Elasticity of Demand Coefficient for each month. Upon completion of this, average out the monthly Elasticity of Demand Coefficient from </t>
    </r>
    <r>
      <rPr>
        <b/>
        <u/>
        <sz val="12"/>
        <color rgb="FFFFFFFF"/>
        <rFont val="Arial"/>
        <family val="2"/>
      </rPr>
      <t>February to December</t>
    </r>
    <r>
      <rPr>
        <b/>
        <sz val="12"/>
        <color rgb="FFFFFFFF"/>
        <rFont val="Arial"/>
        <family val="2"/>
      </rPr>
      <t xml:space="preserve"> and identify whether the product is elastic or inelastic.</t>
    </r>
  </si>
  <si>
    <r>
      <rPr>
        <b/>
        <sz val="12"/>
        <color theme="0"/>
        <rFont val="Arial"/>
        <family val="2"/>
      </rPr>
      <t xml:space="preserve">Note: Use the Monthly Values you've calculated in Q1 to help you out with the % Calculations! You might notice one product has </t>
    </r>
    <r>
      <rPr>
        <b/>
        <i/>
        <sz val="12"/>
        <color theme="0"/>
        <rFont val="Arial"/>
        <family val="2"/>
      </rPr>
      <t xml:space="preserve">very </t>
    </r>
    <r>
      <rPr>
        <b/>
        <sz val="12"/>
        <color theme="0"/>
        <rFont val="Arial"/>
        <family val="2"/>
      </rPr>
      <t>high elasticity values!</t>
    </r>
  </si>
  <si>
    <t>We've included an IF Statement for you that evaluates the Monthly Elasticity and helps classify this as "Elastic" or "Inelastic" based on the value returned.</t>
  </si>
  <si>
    <t>Soft Water</t>
  </si>
  <si>
    <t>% Change in Qty</t>
  </si>
  <si>
    <t>% Change in Price</t>
  </si>
  <si>
    <t>EoD</t>
  </si>
  <si>
    <t>Elasticity Classification</t>
  </si>
  <si>
    <t>Average EoD (Year)</t>
  </si>
  <si>
    <t>Hard Water</t>
  </si>
  <si>
    <t>What IF Analysis - Part III.</t>
  </si>
  <si>
    <t xml:space="preserve">In the previous sections, we've examined the Elasticies and Inelasticies of Products. We've also gone ahead with calculating our first economic metric, Cost to Produce per Desalination Unit. </t>
  </si>
  <si>
    <r>
      <rPr>
        <sz val="12"/>
        <color rgb="FF000000"/>
        <rFont val="Arial"/>
        <family val="2"/>
      </rPr>
      <t>We're now at the</t>
    </r>
    <r>
      <rPr>
        <b/>
        <sz val="12"/>
        <color rgb="FF000000"/>
        <rFont val="Arial"/>
        <family val="2"/>
      </rPr>
      <t xml:space="preserve"> final stage</t>
    </r>
    <r>
      <rPr>
        <sz val="12"/>
        <color rgb="FF000000"/>
        <rFont val="Arial"/>
        <family val="2"/>
      </rPr>
      <t xml:space="preserve"> of this economic case study!</t>
    </r>
  </si>
  <si>
    <t xml:space="preserve">Economic Data Analysis, as you know by now, is focused on understanding the drivers which impact supply and demand and translating these into actionable business insights.
It is also used for better understanding when certain decisions should be made (e.g. Should we look at selling this product now or in a few months time for improved earnings?)
</t>
  </si>
  <si>
    <t xml:space="preserve">Now we're aware that Southern Water Corp. has been considering to perform a major maintenance activity for one of its major desalination plants, Surjek.
The business hypothesis is that it is best for us to perform the maintenance for Surjek in the first quarter of the year going forward (January-15 to March-15).
</t>
  </si>
  <si>
    <r>
      <rPr>
        <b/>
        <sz val="12"/>
        <color rgb="FF000000"/>
        <rFont val="Arial"/>
        <family val="2"/>
      </rPr>
      <t xml:space="preserve">However, we don't have data going all the way to January-15 to March-15. 
What we do have however, is data from </t>
    </r>
    <r>
      <rPr>
        <b/>
        <u/>
        <sz val="12"/>
        <color rgb="FF000000"/>
        <rFont val="Arial"/>
        <family val="2"/>
      </rPr>
      <t>July 2013 - June 2014.</t>
    </r>
    <r>
      <rPr>
        <b/>
        <sz val="12"/>
        <color rgb="FF000000"/>
        <rFont val="Arial"/>
        <family val="2"/>
      </rPr>
      <t xml:space="preserve">
We also have pricing data from </t>
    </r>
    <r>
      <rPr>
        <b/>
        <u/>
        <sz val="12"/>
        <color rgb="FF000000"/>
        <rFont val="Arial"/>
        <family val="2"/>
      </rPr>
      <t>January 2014 - December 2014.</t>
    </r>
  </si>
  <si>
    <t>We can't use what we don't have - so let's use what we do have. In other words, we'll be making use of the data in the Water Trading Repository Tables to forecast what the demand profile may look like for the future.</t>
  </si>
  <si>
    <t>This means when we reference Jan-15, we'll instead use Jan-14's data as a placeholder. For Feb-15, we do the same and use Feb-14 etc.</t>
  </si>
  <si>
    <t>Q8. Complete the table below with the Average Monthly Water Balancing Market Price (WBMP)  and Average Market Water Demand using data from the Water Trading Repository Table. 
Create one LINE chart trending the Average Water Balancing Price from Jul-14 to Jun-15.
Create one COLUMN chart showing the Average Water Market Demand from Jul-14 to Jun-15.
Compare these side-by-side. What do you observe?
Note: Consider using the AVERAGEIFS function to help you address this question if you're stuck! https://support.microsoft.com/en-us/office/averageifs-function-48910c45-1fc0-4389-a028-f7c5c3001690</t>
  </si>
  <si>
    <t>Hint: Use the Water Trading Repository Table Data as your data source. Even though the date/time doesn't align, we can use the information as a proxy for the 2014/2015 data. It may also help to graph out the data and see if any trends become particularly obvious...!</t>
  </si>
  <si>
    <t>Source</t>
  </si>
  <si>
    <t>Total</t>
  </si>
  <si>
    <t>Water Trading Repository Table</t>
  </si>
  <si>
    <t>Average Water Balancing Market Price</t>
  </si>
  <si>
    <t>Market Water Demand (Mega-Litres)</t>
  </si>
  <si>
    <t xml:space="preserve">This image contains two related charts that give insights into water market pricing and demand trends from July 2014 to June 2015:
Left Chart: Average Water Balancing Price
Trend: The line chart shows the monthly average price of water balancing.
Key Observations:
Prices hovered around $75-$80 from July 2014 to December 2014.
There was a sharp increase in January and February 2015, peaking close to $88.
Prices dropped significantly after February, reaching the lowest point in May 2015 (around $70), before a slight uptick in June.
Right Chart: Average Water Market Demand
Trend: The bar chart displays monthly average water demand in Megaliters (MegaL).
Key Observations:
Demand fluctuated around 2,100–2,300 MegaL in most months.
The highest spike in demand occurred in February 2015, reaching about 2,430 MegaL.
Demand dropped sharply in March, followed by relatively lower and stable levels until June 2015.
Interpretation / Insights:
February 2015 stands out: It shows the highest price and highest demand. This suggests a positive relationship between market demand and pricing—when demand surged, so did the price.
After February, both demand and price declined, possibly indicating seasonal effects or policy changes.
This could reflect a strain on water supply in early 2015, leading to a market spike.
</t>
  </si>
  <si>
    <t xml:space="preserve">We've identified a particular trend in our earlier analysis; It seems that one of the quarters tends to have the highest prices.
As we perform our what-if analysis it's important we can clearly identify the quarter we should recommend to perform our major maintenance.
Let's calculate this below and land on a quarter we can propose to focus our analysis on.
Q9. Complete the table below identifying which quarter has the highest/lowest prices with the respective Average Quarterly Water Volumes. What do you notice?
Note: Reference the Water Trading Repository Table for your calculations. </t>
  </si>
  <si>
    <t>As you'll be calculating the Quarterly Averages, this will require you to use an AVERAGEIFS statement combined with logical and numerical operators.</t>
  </si>
  <si>
    <t>For example = AVERAGEIFS(Monthly_Price, Month_Range, "&gt;="&amp;1, Month_Range, "&lt;="&amp;3). This says, give me the Average Price for the periods between January (1) and March (3).</t>
  </si>
  <si>
    <t>Quarter</t>
  </si>
  <si>
    <t>Average Quarterly Price Per Trading Period</t>
  </si>
  <si>
    <t>Average Quarterly Water Demand Per Trading Period</t>
  </si>
  <si>
    <t>Quarter 1 (January - March)</t>
  </si>
  <si>
    <t>Quarter 2 (April to June)</t>
  </si>
  <si>
    <t>Quarter 3 (July to September)</t>
  </si>
  <si>
    <t>Quarter 4 (October to December)</t>
  </si>
  <si>
    <t>Q1 (Jan–Mar) is the strongest quarter, showing both the highest prices and demand — likely due to high consumption or limited supply in that period.
Q2 (Apr–Jun) is the weakest quarter, with the lowest price and demand, suggesting it may be an ideal time for a maintenance outage since it would have the least market impact.
Q3 and Q4 show stable, mid-range performance.</t>
  </si>
  <si>
    <t xml:space="preserve">We've now completed the first part of our What-If Analysis. We've identified that the best period for us to perform a maintenance event is during a specific quarter. 
We now need to finalize our recommendation by showing the What-If Impact of our analysis.
In Other words, if we were to perform this Maintenance Outage for Quarter 1, Quarter 2, Quarter Three and Quarter Four - what impact would this have on our revenues? </t>
  </si>
  <si>
    <t>Q10. Fill out the table(s) below explaining why the Quarter you are proposing is the best option for Southern Water Corp. when considering the impact on Revenues.
We recommend accompanying the table with an appropriate visual to help highlight the point you are trying to make.
Note: Recall that for the Quarter you are recommending for a maintenance outage, the revenues for that entire quarter for Surjek will be 0. Remember, if we are producing no water - we can't earn revenues.</t>
  </si>
  <si>
    <t>Q3</t>
  </si>
  <si>
    <t>Q4</t>
  </si>
  <si>
    <t>Q1</t>
  </si>
  <si>
    <t>Q2</t>
  </si>
  <si>
    <t>Value Driver</t>
  </si>
  <si>
    <t>Fill this table out with Surjek's Sales Revenue from Jul-13 to Jun-14. However, when evaluating Q1, Q2, Q3 or Q4 is best, note that if you choose Q1, you'll need to put down a 0 in the values from January to March.
This is because we're saying the unit will be offline then and not producing any water. This means at any point in our simulation for Q1 to Q4, we will only have 9 Month's worth of revenue-producing months,
as the other 3 are offline due to outages. Please repeat this from Q2 to Q4.</t>
  </si>
  <si>
    <t>Now If we perform the Maintenance Outage for Surjek in Q1, Q2, Q3 or Q4 our Revenues will be…</t>
  </si>
  <si>
    <t>% Revenue Reduction</t>
  </si>
  <si>
    <t>TOTAL with no outages</t>
  </si>
  <si>
    <t>Note: We've included an additional hint below which shows what your graphic might look like upon completion (With the exception being we have removed the axes for you).
It might also be helpful for you to calculate the 'Revenue % Reduction' to see how much less revenue you might receive if you perform the outage in a particular quarter.</t>
  </si>
  <si>
    <t>The % Revenue Reduction shows how much money is lost in each scenario compared to the best-case scenario where all months generate revenue.
It’s calculated by comparing the actual revenue (with outages or $0 months) to the maximum possible revenue ($202,255,349.17).
A higher percentage means greater revenue loss.
A lower percentage means the scenario has less financial impact and is more favorable.</t>
  </si>
  <si>
    <t>Well done! You've now completed the Economics Case Study Analysis! Let's top this off now by creating an insightful story we can present back to Southern Water Corps. Management using the templates provided.</t>
  </si>
  <si>
    <t>Economic Cost Analysis - Part II</t>
  </si>
  <si>
    <t>In Economic Data Analysis, we seek to make use of as much data as possible to help us better understand and extract key business insights.</t>
  </si>
  <si>
    <t>In the previous section, we've tackled the concepts of elastic and inelastic products. This helps us understand which products are more susceptible to price swings, and which ones are less susceptible.</t>
  </si>
  <si>
    <r>
      <rPr>
        <b/>
        <sz val="10"/>
        <color rgb="FF000000"/>
        <rFont val="Arial"/>
        <family val="2"/>
      </rPr>
      <t>Now a common phrase in economic data analysis is, "</t>
    </r>
    <r>
      <rPr>
        <b/>
        <i/>
        <sz val="10"/>
        <color rgb="FFEE226E"/>
        <rFont val="Arial"/>
        <family val="2"/>
      </rPr>
      <t>We need to compare things in an apples to apples like methodology"</t>
    </r>
    <r>
      <rPr>
        <b/>
        <sz val="10"/>
        <color rgb="FF000000"/>
        <rFont val="Arial"/>
        <family val="2"/>
      </rPr>
      <t>. With Southern Water Corp, we have a bunch of economic and financial data. We're going to use the tools of Economic Data Analysis to create insights from this and identify which of our three desalination plants are most cost-effective.</t>
    </r>
  </si>
  <si>
    <r>
      <rPr>
        <sz val="10"/>
        <color rgb="FF000000"/>
        <rFont val="Arial"/>
        <family val="2"/>
      </rPr>
      <t xml:space="preserve">Previously we've calculated the proportion of revenues that are generated, the expenses and the associated amount of water production.
Using economics - we are now going to </t>
    </r>
    <r>
      <rPr>
        <b/>
        <sz val="10"/>
        <color rgb="FF000000"/>
        <rFont val="Arial"/>
        <family val="2"/>
      </rPr>
      <t>combine all this information together and create an economic metric to evaluate each plants performance to create our own 'apples-to-apples' comparison.</t>
    </r>
  </si>
  <si>
    <t>For each of the three Southern Water Corp. Desalination Plants, we have an econometric measure called the Desalinated Plant Cost to Produce, or Cost to Produce for short.</t>
  </si>
  <si>
    <t>The Cost to Produce ties together the different costs for each Plant and enables us to create a metric to evaluate how cost-effective the plant is.</t>
  </si>
  <si>
    <r>
      <t xml:space="preserve">Q4. Please calculate the Cost to Produce for each of the three (3) desalination plants below using the following formula per plant:
</t>
    </r>
    <r>
      <rPr>
        <b/>
        <u/>
        <sz val="12"/>
        <color theme="0"/>
        <rFont val="Arial"/>
        <family val="2"/>
      </rPr>
      <t>Plant Cost to Produce = ( Chemical Costs + Facility Costs + Operational Maintenance Costs + Labour Costs ) / (Total Volume of Water Produced for the Month (GL) * 1,000)  (To Convert to Mega-Litres from Giga Litres)</t>
    </r>
  </si>
  <si>
    <t>Note: If you have difficulty understanding how to calculate the Cost to Produce, it may be helpful to create a Value Driver Tree to showcase how all the drivers are connected.</t>
  </si>
  <si>
    <t>Cost Centre Element</t>
  </si>
  <si>
    <t>Financial Actuals</t>
  </si>
  <si>
    <t>Desalination Cost to Produce ($/ML)</t>
  </si>
  <si>
    <t>You've now calculated the Desalinated Cost to Produce for each of the three desalination plants (Kootha, Surjek and Jutik).
This has given you a micro view of the trends, but let's take a look at the macro view of the situation and look at how the aggregated cost to produce (Kootha + Surjek + Jutik) look.</t>
  </si>
  <si>
    <r>
      <rPr>
        <b/>
        <sz val="12"/>
        <color theme="0"/>
        <rFont val="Arial"/>
        <family val="2"/>
      </rPr>
      <t>Q5. Aggregate the Cost Centre(s) for each Plant (i.e.Chemical Costs, Facility Costs, Operational Maintenance Costs, Labour Costs) in the table below.
Subsequently,</t>
    </r>
    <r>
      <rPr>
        <b/>
        <u/>
        <sz val="12"/>
        <color theme="0"/>
        <rFont val="Arial"/>
        <family val="2"/>
      </rPr>
      <t xml:space="preserve"> in one chart</t>
    </r>
    <r>
      <rPr>
        <b/>
        <sz val="12"/>
        <color theme="0"/>
        <rFont val="Arial"/>
        <family val="2"/>
      </rPr>
      <t>, plot out the Overall Cost to Produce, as well as the Cost to Produce for Kootha, Surjek and Jutik for comparison.</t>
    </r>
    <r>
      <rPr>
        <b/>
        <u/>
        <sz val="12"/>
        <color theme="0"/>
        <rFont val="Arial"/>
        <family val="2"/>
      </rPr>
      <t xml:space="preserve">
What trends do you note when looking at the data in this way? </t>
    </r>
  </si>
  <si>
    <t>All</t>
  </si>
  <si>
    <r>
      <rPr>
        <b/>
        <sz val="11"/>
        <color rgb="FFFFFFFF"/>
        <rFont val="Arial"/>
        <family val="2"/>
      </rPr>
      <t xml:space="preserve">In Economics, we care about our overall Cost to Produce Desalinated Water as it gives us an indication of how cost-effective our plants are.
It's important in our Economic Data Analysis to also interpret this price point with respect to the volume of water that is produced.
This touches upon a concept known as </t>
    </r>
    <r>
      <rPr>
        <b/>
        <u/>
        <sz val="11"/>
        <color rgb="FFFFFFFF"/>
        <rFont val="Arial"/>
        <family val="2"/>
      </rPr>
      <t>economies of scale</t>
    </r>
    <r>
      <rPr>
        <u/>
        <sz val="11"/>
        <color rgb="FFFFFFFF"/>
        <rFont val="Arial"/>
        <family val="2"/>
      </rPr>
      <t xml:space="preserve">. 
</t>
    </r>
    <r>
      <rPr>
        <b/>
        <u/>
        <sz val="11"/>
        <color rgb="FFFFFFFF"/>
        <rFont val="Arial"/>
        <family val="2"/>
      </rPr>
      <t xml:space="preserve">Essentially, the more water we produce - the cheaper we should see our production costs.
On the other hand, the less water we produce, the more our Cost to Produce will increase on scaled basis. </t>
    </r>
  </si>
  <si>
    <r>
      <rPr>
        <b/>
        <sz val="11"/>
        <color theme="0"/>
        <rFont val="Arial"/>
        <family val="2"/>
      </rPr>
      <t>Q6. Using the Monthly Cost to Produce you've calculated for each Plant (Kootha, Surjek and Jutik), create a scatter-plot which shows the</t>
    </r>
    <r>
      <rPr>
        <b/>
        <u/>
        <sz val="11"/>
        <color theme="0"/>
        <rFont val="Arial"/>
        <family val="2"/>
      </rPr>
      <t xml:space="preserve"> Cost to Produce (Y-Axis) </t>
    </r>
    <r>
      <rPr>
        <b/>
        <sz val="11"/>
        <color theme="0"/>
        <rFont val="Arial"/>
        <family val="2"/>
      </rPr>
      <t xml:space="preserve">against the </t>
    </r>
    <r>
      <rPr>
        <b/>
        <u/>
        <sz val="11"/>
        <color theme="0"/>
        <rFont val="Arial"/>
        <family val="2"/>
      </rPr>
      <t>Total Volume of Water produced(X-Axis)</t>
    </r>
    <r>
      <rPr>
        <b/>
        <sz val="11"/>
        <color theme="0"/>
        <rFont val="Arial"/>
        <family val="2"/>
      </rPr>
      <t>. 
You will end up with three Scatter Plots that will let you see whether a relationship exists between Cost to Produce and the Volume of Water produced. 
Does there appear to be a relationship between Cost to Produce and Volume of Water Produced? If yes, why do you believe this is the case? If no, why do you believe this is the case?</t>
    </r>
  </si>
  <si>
    <t>We've now analysed our Cost to Produce and we can clearly see the following trends emerge:
A) There are differences in cost effectiveness between desalination units which are largely influenced by the costs and the volume of water produced
B) We can pick up a relationship between the Cost to Produce and Quantity of Water being produced.
This brings us to our last questions for the Economic Cost Analysis.
How does our Cost of Production compare to the Market Price at which water is being sold?
In other words, if our production costs are HIGHER than the price at which we can sell our water - we won't be making any real profit...!</t>
  </si>
  <si>
    <t>Now we'll close off the Economic Cost Analysis with an understanding of comparing the Market Price against the Cost to Produce ($/ML) of our desalination units.
Q7. Completing the table below, create a clustered column chart showing the Overall Desalination Cost to Produce $/ML versus Overall Average WBMP Market Price.</t>
  </si>
  <si>
    <r>
      <t xml:space="preserve">Note: We've included an example of how the chart </t>
    </r>
    <r>
      <rPr>
        <b/>
        <i/>
        <sz val="12"/>
        <color theme="0"/>
        <rFont val="Arial"/>
        <family val="2"/>
      </rPr>
      <t>might</t>
    </r>
    <r>
      <rPr>
        <b/>
        <sz val="12"/>
        <color theme="0"/>
        <rFont val="Arial"/>
        <family val="2"/>
      </rPr>
      <t xml:space="preserve"> look once you've completed this!</t>
    </r>
  </si>
  <si>
    <t>Overall Desalination Cost to Produce ($/ML)</t>
  </si>
  <si>
    <t>Overall Average WBMP Market Price</t>
  </si>
  <si>
    <t xml:space="preserve">Budget - Actual Analysis (Variance).
</t>
  </si>
  <si>
    <r>
      <rPr>
        <b/>
        <sz val="12"/>
        <color theme="0"/>
        <rFont val="Arial"/>
        <family val="2"/>
      </rPr>
      <t xml:space="preserve">Why do we care about Budget Variance? </t>
    </r>
    <r>
      <rPr>
        <sz val="12"/>
        <color theme="0"/>
        <rFont val="Arial"/>
        <family val="2"/>
      </rPr>
      <t xml:space="preserve">
In the earlier exercise, you have calculated the summarised actual costs that Southern Water Corp has incurred over the 2013 to 2014 Period.  In every business, when there is an actual, a budget also exists as a counter-weight to see how accurately the business has stuck to it's budget. If the business has exceeded its budget on Revenues - that is good news. We made more than expected. However, if the business has SPENT more than it has earned or budgeted for - this is not an ideal outcome. 
In this Tab, we are going to ask you to calculate the Variance (Difference between Budget subtract Actuals) for Revenues, Production Costs and Other Production Costs. This is not to be confused with Statistical Variance which is a measure of dispersion. 
Now that we know </t>
    </r>
    <r>
      <rPr>
        <b/>
        <sz val="12"/>
        <color theme="0"/>
        <rFont val="Arial"/>
        <family val="2"/>
      </rPr>
      <t>why</t>
    </r>
    <r>
      <rPr>
        <sz val="12"/>
        <color theme="0"/>
        <rFont val="Arial"/>
        <family val="2"/>
      </rPr>
      <t xml:space="preserve"> variance is important - let's proceed with calculating this!</t>
    </r>
  </si>
  <si>
    <t>Q1a. Populate the Revenues Section of the Table below with the Budgeted Values from the Financial BUDGET Tab
Do NOT paste the values in the Financial Budget but use Formulas to reference the Financial BUDGET Values for Kootha, Surjek And Jutik.
This is because IF you simply paste - it is very easy to make mistakes which are inconsistent with the rest of the Spreadsheet.</t>
  </si>
  <si>
    <t>Q2a. Popuate the Production, Production Other and Overheads Section of the Table below with the Budgeted Values from the Financial Budget Tab.</t>
  </si>
  <si>
    <t>Budget</t>
  </si>
  <si>
    <t>Desalination Plants [All]</t>
  </si>
  <si>
    <t>2013/Jul</t>
  </si>
  <si>
    <t>2013/Aug</t>
  </si>
  <si>
    <t>2013/Sep</t>
  </si>
  <si>
    <t>2013/Oct</t>
  </si>
  <si>
    <t>2013/Nov</t>
  </si>
  <si>
    <t>2013/Dec</t>
  </si>
  <si>
    <t>2014/Jan</t>
  </si>
  <si>
    <t>2014/Feb</t>
  </si>
  <si>
    <t>2014/Mar</t>
  </si>
  <si>
    <t>2014/Apr</t>
  </si>
  <si>
    <t>2014/May</t>
  </si>
  <si>
    <t>2014/Jun</t>
  </si>
  <si>
    <t>Kootha (1 Major Desal Unit)</t>
  </si>
  <si>
    <t>Revenue</t>
  </si>
  <si>
    <t>Production</t>
  </si>
  <si>
    <t>Production Other</t>
  </si>
  <si>
    <t>Overheads</t>
  </si>
  <si>
    <t>Surjek (4 Major Desal. Plants)</t>
  </si>
  <si>
    <t>Jutik Desalination Plant [Newest Desalination Plant]</t>
  </si>
  <si>
    <t>Actuals</t>
  </si>
  <si>
    <t>Q1b. Populate the Revenues Section of the Table below with the Actual Values from the Financial ACTUALS Tab
Do NOT paste the values from the Financial ACTUALS Tab but use Formulas to reference the Financial ACTUALS Values for Kootha, Surjek And Jutik.
This is because IF you simply paste - it is very easy to make mistakes which are inconsistent with the rest of the Spreadsheet.</t>
  </si>
  <si>
    <t>Q2a. Popuate the Production, Production Other and Overheads Section of the Table below with the Actual Values from the Financial Actuals Tab.</t>
  </si>
  <si>
    <t>Production Costs</t>
  </si>
  <si>
    <t>Other Production Costs</t>
  </si>
  <si>
    <t>Jutik (New Desalination Plant)</t>
  </si>
  <si>
    <t xml:space="preserve">Variance
</t>
  </si>
  <si>
    <t>Q1c. Calculate the Variance for the Revenues (Actuals - Budget) for Kootha, Surjek and Jutik and populate this in the below table referencing the Budget and Actual Tables you have populated above.</t>
  </si>
  <si>
    <t>Q2c. Calculate the Variance for the Production Costs, Production Other Costs and Overheads for Kootha, Surjek and Jutik and populate this in the below table referencing the Budget and Actual Tables you have populated above.</t>
  </si>
  <si>
    <t xml:space="preserve">Note for Mentors: </t>
  </si>
  <si>
    <t>If the variance is negative, this is not a bad indicator. Check the numbers. i.e. If Revenue Actuals was -8.4M but Budget was -8.2M, then we have earned an additional -0.2M. Similarly, positive numbers are not necessarily a good sign.</t>
  </si>
  <si>
    <t xml:space="preserve">Variance %
In the Case Study, SW Corp's Management had requested you to inform them of any costs that varied &gt; 5% than the Budget. 
This is known as the Variance Percentage Difference.
We calculate this as Management care more about a cost varying by a percentage, than say, a specific dollar value.
For example, what is easier to note down? 
"Production Costs varied by 5.1% for June, and July." OR "Production Costs varied by $107,299.54 for June and $202921.19 for July".
This is why Variance Reporting is generally in % as opposed to dollars.
</t>
  </si>
  <si>
    <t>Q1d) Calculate the Variance % for Revenue using the following formula: ( Variance Result (Calculated Above) / Budget ) * 100. Don't forget to highlight the periods where variance is &gt; 5%.</t>
  </si>
  <si>
    <t>Q2d) Calculate the Variance % for Production, Production Other and Overheads using the following formula: ( Variance Result (Calculated Above) / Budget ) * 100. Don't forget to highlight the periods where variance is &gt; 5%.</t>
  </si>
  <si>
    <t>EBIT VARIANCE ANALYSIS</t>
  </si>
  <si>
    <t>Overheads [ ALL ]</t>
  </si>
  <si>
    <t>Production Costs [ALL]</t>
  </si>
  <si>
    <t>Other Production Costs [ALL]</t>
  </si>
  <si>
    <t>EBIT Variance</t>
  </si>
  <si>
    <t>So why do we care about Cost to Produce? Cost to Produce is used as an financial indicator to identify how Cost Effective Southern Water Corp. is with producing Desalinated Water. Financial Analysts will use this data to indicate if Southern Water Corp is more or less cost effective than its immediate peers. If we didn't have this measure, we wouldn't be able to effectively gauge how cost effective Southern Water Corp is with respect to its water production.</t>
  </si>
  <si>
    <t>Cost to Produce Calculation</t>
  </si>
  <si>
    <t>(Overheads + Production Cost + Other Production Costs) / Gross Water Production</t>
  </si>
  <si>
    <r>
      <rPr>
        <b/>
        <sz val="10"/>
        <color theme="0"/>
        <rFont val="Arial"/>
        <family val="2"/>
      </rPr>
      <t xml:space="preserve">Q1. Calculate the Actual Cost to Produce for each Desalination Unit (Kootha, Surjek, Jutik, Overall). Don't forget to reference the Variance Analysis Tab whilst using the SUMIFS Formula to extract the necessary Overheads, Production Costs and Other Production Cost Data! The first formula (row 12) has been done for you. Follow this approach for the rest of the Units.
Note: The Water Production Data can be taken from the respective Water Production Actuals and Budget Tabs. </t>
    </r>
    <r>
      <rPr>
        <b/>
        <u/>
        <sz val="10"/>
        <color rgb="FFFF0000"/>
        <rFont val="Arial"/>
        <family val="2"/>
      </rPr>
      <t>Don't forget to do the CONVERSION into MEGA LITRES from GIGA LITRES.</t>
    </r>
  </si>
  <si>
    <t>Kootha ACTUALS</t>
  </si>
  <si>
    <t>Desalinated Water Production Per Litre ($/ML)</t>
  </si>
  <si>
    <t>Units</t>
  </si>
  <si>
    <t>Mega-Litres (Needs to be converted from Giga-Litres)</t>
  </si>
  <si>
    <t>Actual Cost to Produce (Rolling)</t>
  </si>
  <si>
    <t>$/Mega-Litres</t>
  </si>
  <si>
    <t>Surjek ACTUALS</t>
  </si>
  <si>
    <t>Jutik ACTUALS</t>
  </si>
  <si>
    <t>Overall ACTUALS</t>
  </si>
  <si>
    <t>Kootha BUDGET</t>
  </si>
  <si>
    <t>Budget Cost to Produce (Rolling)</t>
  </si>
  <si>
    <t>Surjek BUDGET</t>
  </si>
  <si>
    <t>Jutik BUDGET</t>
  </si>
  <si>
    <t>Overall BUDGET</t>
  </si>
  <si>
    <t>Q2. Create Line Charts Plotting out the Cost to Produce for each individual Unit (Kootha, Surjek, Jutik and Overall) and copy these graphs into a PowerPoint Slide Pack. What do the Cost to Produce Trends tell you?</t>
  </si>
  <si>
    <t>So why do we care about EBIT?
EBIT stands for Earnings Before Interest and Tax. In this case, Southern Water Corp's Management wants to be aware of the financial status of the
company once the Production Costs and Other Production Costs have been removed. 
Wall Street commonly uses EBIT as a measure of financial health to see if a company is doing well or doign poorly.
If the EBIT is positive, it's a good sign. If the EBIT Is negative, it indicates the costs are greater than the revenues and the company is likely heading for bankruptcy. 
Now that we know why EBIT is important - let's calculate this and see what the results look like for Southern Water Corp's Management Team!</t>
  </si>
  <si>
    <t>Hint: Don't forget to calculate EBIT you need to subtract the costs (Overheads, Production Costs and Other Production Costs). Note that we show that Revenues are currently being 'Debited' with a -ve. Don't forget to convert the Revenues to a +ve figure!</t>
  </si>
  <si>
    <t>Q1. Calculate Actual EBIT for Kootha, Surjek, Juitk and Overall (Kootha + Surjek + Jutik). Don't forget to populate the Overheads, Production Costs and Other Production Costs using the SUMIFS Formula, referencing the Variance Analysis Tab.</t>
  </si>
  <si>
    <t>EBIT ACTUALS</t>
  </si>
  <si>
    <t xml:space="preserve">Overheads </t>
  </si>
  <si>
    <t xml:space="preserve">Production Costs </t>
  </si>
  <si>
    <t xml:space="preserve">Other Production Costs </t>
  </si>
  <si>
    <t>EBIT</t>
  </si>
  <si>
    <t>OVERALL</t>
  </si>
  <si>
    <t>BUDGET</t>
  </si>
  <si>
    <t>Q2. Create Line Charts Plotting out the EBIT for each individual Unit (Kootha, Surjek, Jutik and Overall) and copy these graphs into a PowerPoint Slide Pack. What do the EBIT Trends tell you?</t>
  </si>
  <si>
    <t>Overall, the EBIT Trend for 2013-2014 on an Overall basis, remains favorable with an overall EBIT of 273M Actuals vs 262M Budgeted.</t>
  </si>
  <si>
    <t>This is driven by strong EBIT Performance from Kootha and Surjek, whilst Jutik fell short of the respective EBIT Targets by ~$28.5M.</t>
  </si>
  <si>
    <t>This isn't to say that Jutik performed poorly, rather, it could point to an overtly aggressive Budget Target that needs to be addressed.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</si>
</sst>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mm/yyyy\ h:mm:ss"/>
    <numFmt numFmtId="165" formatCode="&quot;$&quot;#,##0.00"/>
    <numFmt numFmtId="166" formatCode="&quot;$&quot;#,##0.00;[Red]\-&quot;$&quot;#,##0.00"/>
    <numFmt numFmtId="167" formatCode="&quot;$&quot;#,##0;[Red]\-&quot;$&quot;#,##0"/>
    <numFmt numFmtId="168" formatCode="0.0%"/>
    <numFmt numFmtId="169" formatCode="&quot;$&quot;#,##0.00;[Red]\-&quot;$&quot;#,##0.00\ &quot;$/ML&quot;"/>
    <numFmt numFmtId="170" formatCode="[$$-C09]#,##0.00"/>
  </numFmts>
  <fonts count="79" x14ac:knownFonts="1">
    <font>
      <sz val="11"/>
      <color rgb="FF000000"/>
      <name val="Calibri"/>
      <scheme val="minor"/>
    </font>
    <font>
      <b/>
      <sz val="28"/>
      <color theme="0"/>
      <name val="Arial"/>
      <family val="2"/>
    </font>
    <font>
      <sz val="10"/>
      <color theme="0"/>
      <name val="Arial"/>
      <family val="2"/>
    </font>
    <font>
      <sz val="28"/>
      <color theme="0"/>
      <name val="Arial"/>
      <family val="2"/>
    </font>
    <font>
      <sz val="11"/>
      <color rgb="FF000000"/>
      <name val="Arial"/>
      <family val="2"/>
    </font>
    <font>
      <sz val="16"/>
      <color rgb="FF00705B"/>
      <name val="Arial"/>
      <family val="2"/>
    </font>
    <font>
      <b/>
      <sz val="10"/>
      <color rgb="FF000000"/>
      <name val="Arial"/>
      <family val="2"/>
    </font>
    <font>
      <sz val="10"/>
      <color rgb="FF000000"/>
      <name val="Arial"/>
      <family val="2"/>
    </font>
    <font>
      <b/>
      <sz val="18"/>
      <color rgb="FFFFFFFF"/>
      <name val="Arial"/>
      <family val="2"/>
    </font>
    <font>
      <sz val="12"/>
      <color theme="0"/>
      <name val="Arial"/>
      <family val="2"/>
    </font>
    <font>
      <sz val="16"/>
      <color rgb="FF00705B"/>
      <name val="Calibri"/>
      <family val="2"/>
    </font>
    <font>
      <b/>
      <sz val="18"/>
      <color theme="0"/>
      <name val="Arial"/>
      <family val="2"/>
    </font>
    <font>
      <b/>
      <sz val="10"/>
      <color theme="0"/>
      <name val="Arial"/>
      <family val="2"/>
    </font>
    <font>
      <sz val="16"/>
      <color rgb="FF000000"/>
      <name val="Arial"/>
      <family val="2"/>
    </font>
    <font>
      <sz val="16"/>
      <color rgb="FF000000"/>
      <name val="Calibri"/>
      <family val="2"/>
    </font>
    <font>
      <b/>
      <sz val="14"/>
      <color rgb="FFFFFFFF"/>
      <name val="Arial"/>
      <family val="2"/>
    </font>
    <font>
      <b/>
      <sz val="15"/>
      <color theme="1"/>
      <name val="Arial"/>
      <family val="2"/>
    </font>
    <font>
      <sz val="15"/>
      <color theme="1"/>
      <name val="Arial"/>
      <family val="2"/>
    </font>
    <font>
      <sz val="11"/>
      <name val="Calibri"/>
      <family val="2"/>
    </font>
    <font>
      <sz val="11"/>
      <color rgb="FF000000"/>
      <name val="Calibri"/>
      <family val="2"/>
    </font>
    <font>
      <sz val="14"/>
      <color theme="1"/>
      <name val="Arial"/>
      <family val="2"/>
    </font>
    <font>
      <b/>
      <sz val="14"/>
      <color theme="0"/>
      <name val="Arial"/>
      <family val="2"/>
    </font>
    <font>
      <sz val="11"/>
      <color rgb="FF00705B"/>
      <name val="Calibri"/>
      <family val="2"/>
    </font>
    <font>
      <sz val="12"/>
      <color theme="1"/>
      <name val="Arial"/>
      <family val="2"/>
    </font>
    <font>
      <b/>
      <sz val="12"/>
      <color rgb="FFEE226E"/>
      <name val="Arial"/>
      <family val="2"/>
    </font>
    <font>
      <b/>
      <sz val="11"/>
      <color rgb="FF00705B"/>
      <name val="Arial"/>
      <family val="2"/>
    </font>
    <font>
      <sz val="9"/>
      <color theme="0"/>
      <name val="Arial"/>
      <family val="2"/>
    </font>
    <font>
      <sz val="11"/>
      <color theme="0"/>
      <name val="Calibri"/>
      <family val="2"/>
    </font>
    <font>
      <sz val="9"/>
      <color rgb="FF000000"/>
      <name val="Arial"/>
      <family val="2"/>
    </font>
    <font>
      <b/>
      <sz val="9"/>
      <color theme="0"/>
      <name val="Arial"/>
      <family val="2"/>
    </font>
    <font>
      <sz val="14"/>
      <color theme="0"/>
      <name val="Arial"/>
      <family val="2"/>
    </font>
    <font>
      <sz val="12"/>
      <color rgb="FF000000"/>
      <name val="Arial"/>
      <family val="2"/>
    </font>
    <font>
      <b/>
      <sz val="12"/>
      <color rgb="FF000000"/>
      <name val="Arial"/>
      <family val="2"/>
    </font>
    <font>
      <b/>
      <sz val="12"/>
      <color theme="0"/>
      <name val="Arial"/>
      <family val="2"/>
    </font>
    <font>
      <b/>
      <sz val="11"/>
      <color rgb="FF000000"/>
      <name val="Arial"/>
      <family val="2"/>
    </font>
    <font>
      <b/>
      <sz val="9"/>
      <color rgb="FF000000"/>
      <name val="Arial"/>
      <family val="2"/>
    </font>
    <font>
      <b/>
      <sz val="8"/>
      <color rgb="FF000000"/>
      <name val="Arial"/>
      <family val="2"/>
    </font>
    <font>
      <b/>
      <sz val="8"/>
      <color theme="0"/>
      <name val="Arial"/>
      <family val="2"/>
    </font>
    <font>
      <b/>
      <sz val="12"/>
      <color rgb="FFFFFFFF"/>
      <name val="Arial"/>
      <family val="2"/>
    </font>
    <font>
      <sz val="12"/>
      <color rgb="FFFFFFFF"/>
      <name val="Arial"/>
      <family val="2"/>
    </font>
    <font>
      <sz val="11"/>
      <color theme="0"/>
      <name val="Arial"/>
      <family val="2"/>
    </font>
    <font>
      <b/>
      <sz val="11"/>
      <color theme="0"/>
      <name val="Arial"/>
      <family val="2"/>
    </font>
    <font>
      <b/>
      <sz val="20"/>
      <color theme="0"/>
      <name val="Arial"/>
      <family val="2"/>
    </font>
    <font>
      <sz val="20"/>
      <color theme="0"/>
      <name val="Arial"/>
      <family val="2"/>
    </font>
    <font>
      <sz val="20"/>
      <color theme="0"/>
      <name val="Calibri"/>
      <family val="2"/>
    </font>
    <font>
      <sz val="12"/>
      <color theme="0"/>
      <name val="Calibri"/>
      <family val="2"/>
    </font>
    <font>
      <sz val="10"/>
      <color theme="1"/>
      <name val="Arial"/>
      <family val="2"/>
    </font>
    <font>
      <b/>
      <sz val="11"/>
      <color theme="0"/>
      <name val="Calibri"/>
      <family val="2"/>
    </font>
    <font>
      <b/>
      <sz val="12"/>
      <color theme="0"/>
      <name val="Calibri"/>
      <family val="2"/>
    </font>
    <font>
      <b/>
      <sz val="11"/>
      <color rgb="FF000000"/>
      <name val="Calibri"/>
      <family val="2"/>
    </font>
    <font>
      <b/>
      <sz val="12"/>
      <color rgb="FFFF0066"/>
      <name val="Arial"/>
      <family val="2"/>
    </font>
    <font>
      <sz val="12"/>
      <color rgb="FF000000"/>
      <name val="Calibri"/>
      <family val="2"/>
    </font>
    <font>
      <sz val="8"/>
      <color rgb="FF000000"/>
      <name val="Arial"/>
      <family val="2"/>
    </font>
    <font>
      <b/>
      <sz val="11"/>
      <color rgb="FFFFFFFF"/>
      <name val="Arial"/>
      <family val="2"/>
    </font>
    <font>
      <b/>
      <sz val="11"/>
      <color rgb="FFEE226E"/>
      <name val="Arial"/>
      <family val="2"/>
    </font>
    <font>
      <sz val="11"/>
      <color rgb="FFEE226E"/>
      <name val="Arial"/>
      <family val="2"/>
    </font>
    <font>
      <i/>
      <sz val="12"/>
      <color rgb="FF000000"/>
      <name val="Arial"/>
      <family val="2"/>
    </font>
    <font>
      <b/>
      <sz val="16"/>
      <color theme="0"/>
      <name val="Arial"/>
      <family val="2"/>
    </font>
    <font>
      <sz val="10"/>
      <color rgb="FF000000"/>
      <name val="Calibri"/>
      <family val="2"/>
    </font>
    <font>
      <sz val="16"/>
      <color theme="0"/>
      <name val="Arial"/>
      <family val="2"/>
    </font>
    <font>
      <sz val="16"/>
      <color theme="0"/>
      <name val="Calibri"/>
      <family val="2"/>
    </font>
    <font>
      <b/>
      <sz val="16"/>
      <color rgb="FFEE226E"/>
      <name val="Arial"/>
      <family val="2"/>
    </font>
    <font>
      <b/>
      <sz val="16"/>
      <color rgb="FF00705B"/>
      <name val="Arial"/>
      <family val="2"/>
    </font>
    <font>
      <sz val="15"/>
      <color rgb="FFEE226E"/>
      <name val="Arial"/>
      <family val="2"/>
    </font>
    <font>
      <b/>
      <sz val="15"/>
      <color rgb="FF000000"/>
      <name val="Arial"/>
      <family val="2"/>
    </font>
    <font>
      <sz val="15"/>
      <color rgb="FF000000"/>
      <name val="Arial"/>
      <family val="2"/>
    </font>
    <font>
      <u/>
      <sz val="12"/>
      <color rgb="FF000000"/>
      <name val="Arial"/>
      <family val="2"/>
    </font>
    <font>
      <b/>
      <u/>
      <sz val="12"/>
      <color rgb="FFEE226E"/>
      <name val="Arial"/>
      <family val="2"/>
    </font>
    <font>
      <sz val="12"/>
      <color rgb="FFEE226E"/>
      <name val="Arial"/>
      <family val="2"/>
    </font>
    <font>
      <b/>
      <u/>
      <sz val="11"/>
      <color rgb="FF000000"/>
      <name val="Arial"/>
      <family val="2"/>
    </font>
    <font>
      <b/>
      <u/>
      <sz val="12"/>
      <color rgb="FFFFFFFF"/>
      <name val="Arial"/>
      <family val="2"/>
    </font>
    <font>
      <b/>
      <i/>
      <sz val="12"/>
      <color theme="0"/>
      <name val="Arial"/>
      <family val="2"/>
    </font>
    <font>
      <b/>
      <i/>
      <sz val="10"/>
      <color rgb="FFEE226E"/>
      <name val="Arial"/>
      <family val="2"/>
    </font>
    <font>
      <b/>
      <u/>
      <sz val="12"/>
      <color theme="0"/>
      <name val="Arial"/>
      <family val="2"/>
    </font>
    <font>
      <b/>
      <u/>
      <sz val="11"/>
      <color rgb="FFFFFFFF"/>
      <name val="Arial"/>
      <family val="2"/>
    </font>
    <font>
      <u/>
      <sz val="11"/>
      <color rgb="FFFFFFFF"/>
      <name val="Arial"/>
      <family val="2"/>
    </font>
    <font>
      <b/>
      <u/>
      <sz val="11"/>
      <color theme="0"/>
      <name val="Arial"/>
      <family val="2"/>
    </font>
    <font>
      <b/>
      <u/>
      <sz val="12"/>
      <color rgb="FF000000"/>
      <name val="Arial"/>
      <family val="2"/>
    </font>
    <font>
      <b/>
      <u/>
      <sz val="10"/>
      <color rgb="FFFF0000"/>
      <name val="Arial"/>
      <family val="2"/>
    </font>
  </fonts>
  <fills count="12">
    <fill>
      <patternFill patternType="none"/>
    </fill>
    <fill>
      <patternFill patternType="gray125"/>
    </fill>
    <fill>
      <patternFill patternType="solid">
        <fgColor rgb="FF00705B"/>
        <bgColor rgb="FF00705B"/>
      </patternFill>
    </fill>
    <fill>
      <patternFill patternType="solid">
        <fgColor rgb="FFFFFFFF"/>
        <bgColor rgb="FFFFFFFF"/>
      </patternFill>
    </fill>
    <fill>
      <patternFill patternType="solid">
        <fgColor rgb="FFF2F2F2"/>
        <bgColor rgb="FFF2F2F2"/>
      </patternFill>
    </fill>
    <fill>
      <patternFill patternType="solid">
        <fgColor rgb="FFFEF2CB"/>
        <bgColor rgb="FFFEF2CB"/>
      </patternFill>
    </fill>
    <fill>
      <patternFill patternType="solid">
        <fgColor theme="7"/>
        <bgColor theme="7"/>
      </patternFill>
    </fill>
    <fill>
      <patternFill patternType="solid">
        <fgColor rgb="FFD9E2F3"/>
        <bgColor rgb="FFD9E2F3"/>
      </patternFill>
    </fill>
    <fill>
      <patternFill patternType="solid">
        <fgColor rgb="FFD6DCE4"/>
        <bgColor rgb="FFD6DCE4"/>
      </patternFill>
    </fill>
    <fill>
      <patternFill patternType="solid">
        <fgColor theme="1"/>
        <bgColor theme="1"/>
      </patternFill>
    </fill>
    <fill>
      <patternFill patternType="solid">
        <fgColor rgb="FFBDD6EE"/>
        <bgColor rgb="FFBDD6EE"/>
      </patternFill>
    </fill>
    <fill>
      <patternFill patternType="solid">
        <fgColor rgb="FFBFD2E2"/>
        <bgColor rgb="FFBFD2E2"/>
      </patternFill>
    </fill>
  </fills>
  <borders count="26">
    <border>
      <left/>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thin">
        <color rgb="FF93B1CD"/>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93B1CD"/>
      </left>
      <right style="thin">
        <color rgb="FFCCCCCC"/>
      </right>
      <top style="thin">
        <color rgb="FFCCCCCC"/>
      </top>
      <bottom/>
      <diagonal/>
    </border>
    <border>
      <left style="thin">
        <color rgb="FFCCCCCC"/>
      </left>
      <right style="thin">
        <color rgb="FFCCCCCC"/>
      </right>
      <top style="thin">
        <color rgb="FFCCCCCC"/>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diagonal/>
    </border>
    <border>
      <left/>
      <right/>
      <top/>
      <bottom style="thin">
        <color rgb="FF000000"/>
      </bottom>
      <diagonal/>
    </border>
    <border>
      <left/>
      <right/>
      <top style="thin">
        <color rgb="FF000000"/>
      </top>
      <bottom style="thin">
        <color rgb="FF000000"/>
      </bottom>
      <diagonal/>
    </border>
    <border>
      <left style="medium">
        <color rgb="FF000000"/>
      </left>
      <right/>
      <top style="thin">
        <color rgb="FF000000"/>
      </top>
      <bottom/>
      <diagonal/>
    </border>
    <border>
      <left/>
      <right/>
      <top style="double">
        <color rgb="FF000000"/>
      </top>
      <bottom style="double">
        <color rgb="FF000000"/>
      </bottom>
      <diagonal/>
    </border>
    <border>
      <left style="thin">
        <color rgb="FF93B1CD"/>
      </left>
      <right/>
      <top/>
      <bottom/>
      <diagonal/>
    </border>
    <border>
      <left/>
      <right/>
      <top style="double">
        <color rgb="FF000000"/>
      </top>
      <bottom style="medium">
        <color rgb="FF000000"/>
      </bottom>
      <diagonal/>
    </border>
    <border>
      <left/>
      <right/>
      <top style="medium">
        <color rgb="FF000000"/>
      </top>
      <bottom style="double">
        <color rgb="FF000000"/>
      </bottom>
      <diagonal/>
    </border>
  </borders>
  <cellStyleXfs count="1">
    <xf numFmtId="0" fontId="0" fillId="0" borderId="0"/>
  </cellStyleXfs>
  <cellXfs count="228">
    <xf numFmtId="0" fontId="0" fillId="0" borderId="0" xfId="0"/>
    <xf numFmtId="0" fontId="3" fillId="0" borderId="0" xfId="0" applyFont="1"/>
    <xf numFmtId="0" fontId="2" fillId="0" borderId="0" xfId="0" applyFont="1"/>
    <xf numFmtId="0" fontId="1" fillId="0" borderId="0" xfId="0" applyFont="1"/>
    <xf numFmtId="0" fontId="4" fillId="0" borderId="0" xfId="0" applyFont="1"/>
    <xf numFmtId="0" fontId="5" fillId="0" borderId="0" xfId="0" applyFont="1"/>
    <xf numFmtId="0" fontId="6" fillId="0" borderId="0" xfId="0" applyFont="1"/>
    <xf numFmtId="0" fontId="7" fillId="0" borderId="0" xfId="0" applyFont="1"/>
    <xf numFmtId="0" fontId="10" fillId="0" borderId="0" xfId="0" applyFont="1"/>
    <xf numFmtId="0" fontId="14" fillId="0" borderId="0" xfId="0" applyFont="1"/>
    <xf numFmtId="0" fontId="16" fillId="0" borderId="1" xfId="0" applyFont="1" applyBorder="1"/>
    <xf numFmtId="0" fontId="19" fillId="0" borderId="2" xfId="0" applyFont="1" applyBorder="1"/>
    <xf numFmtId="0" fontId="16" fillId="0" borderId="3" xfId="0" applyFont="1" applyBorder="1"/>
    <xf numFmtId="0" fontId="19" fillId="0" borderId="0" xfId="0" applyFont="1"/>
    <xf numFmtId="0" fontId="20" fillId="0" borderId="0" xfId="0" applyFont="1"/>
    <xf numFmtId="0" fontId="16" fillId="0" borderId="3" xfId="0" applyFont="1" applyBorder="1" applyAlignment="1">
      <alignment horizontal="left"/>
    </xf>
    <xf numFmtId="0" fontId="16" fillId="0" borderId="4" xfId="0" applyFont="1" applyBorder="1" applyAlignment="1">
      <alignment horizontal="left"/>
    </xf>
    <xf numFmtId="0" fontId="17" fillId="0" borderId="5" xfId="0" applyFont="1" applyBorder="1"/>
    <xf numFmtId="0" fontId="7" fillId="0" borderId="5" xfId="0" applyFont="1" applyBorder="1"/>
    <xf numFmtId="0" fontId="20" fillId="0" borderId="5" xfId="0" applyFont="1" applyBorder="1"/>
    <xf numFmtId="0" fontId="16" fillId="0" borderId="0" xfId="0" applyFont="1" applyAlignment="1">
      <alignment horizontal="left"/>
    </xf>
    <xf numFmtId="0" fontId="22" fillId="0" borderId="0" xfId="0" applyFont="1"/>
    <xf numFmtId="0" fontId="25" fillId="0" borderId="0" xfId="0" applyFont="1"/>
    <xf numFmtId="17" fontId="7" fillId="0" borderId="0" xfId="0" applyNumberFormat="1" applyFont="1"/>
    <xf numFmtId="3" fontId="7" fillId="0" borderId="0" xfId="0" applyNumberFormat="1" applyFont="1"/>
    <xf numFmtId="4" fontId="7" fillId="0" borderId="0" xfId="0" applyNumberFormat="1" applyFont="1"/>
    <xf numFmtId="0" fontId="28" fillId="0" borderId="0" xfId="0" applyFont="1"/>
    <xf numFmtId="4" fontId="7" fillId="3" borderId="6" xfId="0" applyNumberFormat="1" applyFont="1" applyFill="1" applyBorder="1" applyAlignment="1">
      <alignment horizontal="right" vertical="top"/>
    </xf>
    <xf numFmtId="4" fontId="7" fillId="3" borderId="7" xfId="0" applyNumberFormat="1" applyFont="1" applyFill="1" applyBorder="1" applyAlignment="1">
      <alignment horizontal="right" vertical="top"/>
    </xf>
    <xf numFmtId="4" fontId="7" fillId="3" borderId="8" xfId="0" applyNumberFormat="1" applyFont="1" applyFill="1" applyBorder="1" applyAlignment="1">
      <alignment horizontal="right" vertical="top"/>
    </xf>
    <xf numFmtId="4" fontId="7" fillId="3" borderId="9" xfId="0" applyNumberFormat="1" applyFont="1" applyFill="1" applyBorder="1" applyAlignment="1">
      <alignment horizontal="right" vertical="top"/>
    </xf>
    <xf numFmtId="164" fontId="4" fillId="0" borderId="0" xfId="0" applyNumberFormat="1" applyFont="1"/>
    <xf numFmtId="2" fontId="4" fillId="0" borderId="0" xfId="0" applyNumberFormat="1" applyFont="1"/>
    <xf numFmtId="165" fontId="4" fillId="0" borderId="0" xfId="0" applyNumberFormat="1" applyFont="1"/>
    <xf numFmtId="165" fontId="19" fillId="0" borderId="0" xfId="0" applyNumberFormat="1" applyFont="1"/>
    <xf numFmtId="0" fontId="31" fillId="0" borderId="0" xfId="0" applyFont="1"/>
    <xf numFmtId="0" fontId="32" fillId="0" borderId="0" xfId="0" applyFont="1"/>
    <xf numFmtId="0" fontId="36" fillId="0" borderId="0" xfId="0" applyFont="1"/>
    <xf numFmtId="0" fontId="35" fillId="0" borderId="0" xfId="0" applyFont="1"/>
    <xf numFmtId="165" fontId="28" fillId="0" borderId="0" xfId="0" applyNumberFormat="1" applyFont="1"/>
    <xf numFmtId="166" fontId="4" fillId="0" borderId="0" xfId="0" applyNumberFormat="1" applyFont="1"/>
    <xf numFmtId="4" fontId="28" fillId="0" borderId="0" xfId="0" applyNumberFormat="1" applyFont="1"/>
    <xf numFmtId="0" fontId="37" fillId="0" borderId="0" xfId="0" applyFont="1"/>
    <xf numFmtId="0" fontId="40" fillId="2" borderId="10" xfId="0" applyFont="1" applyFill="1" applyBorder="1"/>
    <xf numFmtId="0" fontId="41" fillId="2" borderId="10" xfId="0" applyFont="1" applyFill="1" applyBorder="1"/>
    <xf numFmtId="167" fontId="40" fillId="2" borderId="10" xfId="0" applyNumberFormat="1" applyFont="1" applyFill="1" applyBorder="1"/>
    <xf numFmtId="0" fontId="34" fillId="0" borderId="0" xfId="0" applyFont="1"/>
    <xf numFmtId="4" fontId="40" fillId="2" borderId="10" xfId="0" applyNumberFormat="1" applyFont="1" applyFill="1" applyBorder="1"/>
    <xf numFmtId="0" fontId="41" fillId="2" borderId="11" xfId="0" applyFont="1" applyFill="1" applyBorder="1"/>
    <xf numFmtId="0" fontId="41" fillId="2" borderId="12" xfId="0" applyFont="1" applyFill="1" applyBorder="1"/>
    <xf numFmtId="9" fontId="41" fillId="2" borderId="13" xfId="0" applyNumberFormat="1" applyFont="1" applyFill="1" applyBorder="1"/>
    <xf numFmtId="0" fontId="40" fillId="2" borderId="12" xfId="0" applyFont="1" applyFill="1" applyBorder="1"/>
    <xf numFmtId="4" fontId="41" fillId="2" borderId="13" xfId="0" applyNumberFormat="1" applyFont="1" applyFill="1" applyBorder="1"/>
    <xf numFmtId="168" fontId="28" fillId="0" borderId="0" xfId="0" applyNumberFormat="1" applyFont="1"/>
    <xf numFmtId="166" fontId="7" fillId="0" borderId="0" xfId="0" applyNumberFormat="1" applyFont="1"/>
    <xf numFmtId="10" fontId="28" fillId="0" borderId="0" xfId="0" applyNumberFormat="1" applyFont="1"/>
    <xf numFmtId="168" fontId="4" fillId="0" borderId="0" xfId="0" applyNumberFormat="1" applyFont="1"/>
    <xf numFmtId="0" fontId="34" fillId="0" borderId="0" xfId="0" applyFont="1" applyAlignment="1">
      <alignment wrapText="1"/>
    </xf>
    <xf numFmtId="0" fontId="35" fillId="0" borderId="0" xfId="0" applyFont="1" applyAlignment="1">
      <alignment wrapText="1"/>
    </xf>
    <xf numFmtId="0" fontId="49" fillId="0" borderId="0" xfId="0" applyFont="1"/>
    <xf numFmtId="169" fontId="28" fillId="0" borderId="0" xfId="0" applyNumberFormat="1" applyFont="1"/>
    <xf numFmtId="166" fontId="28" fillId="0" borderId="0" xfId="0" applyNumberFormat="1" applyFont="1"/>
    <xf numFmtId="0" fontId="51" fillId="0" borderId="0" xfId="0" applyFont="1"/>
    <xf numFmtId="166" fontId="52" fillId="0" borderId="0" xfId="0" applyNumberFormat="1" applyFont="1"/>
    <xf numFmtId="4" fontId="52" fillId="0" borderId="0" xfId="0" applyNumberFormat="1" applyFont="1"/>
    <xf numFmtId="0" fontId="28" fillId="0" borderId="0" xfId="0" applyFont="1" applyAlignment="1">
      <alignment wrapText="1"/>
    </xf>
    <xf numFmtId="166" fontId="6" fillId="0" borderId="0" xfId="0" applyNumberFormat="1" applyFont="1"/>
    <xf numFmtId="166" fontId="34" fillId="0" borderId="0" xfId="0" applyNumberFormat="1" applyFont="1" applyAlignment="1">
      <alignment horizontal="center"/>
    </xf>
    <xf numFmtId="166" fontId="49" fillId="0" borderId="0" xfId="0" applyNumberFormat="1" applyFont="1" applyAlignment="1">
      <alignment horizontal="center"/>
    </xf>
    <xf numFmtId="0" fontId="49" fillId="0" borderId="0" xfId="0" applyFont="1" applyAlignment="1">
      <alignment horizontal="center"/>
    </xf>
    <xf numFmtId="166" fontId="6" fillId="0" borderId="0" xfId="0" applyNumberFormat="1" applyFont="1" applyAlignment="1">
      <alignment horizontal="center"/>
    </xf>
    <xf numFmtId="10" fontId="7" fillId="0" borderId="0" xfId="0" applyNumberFormat="1" applyFont="1"/>
    <xf numFmtId="0" fontId="55" fillId="0" borderId="0" xfId="0" applyFont="1"/>
    <xf numFmtId="0" fontId="56" fillId="0" borderId="0" xfId="0" applyFont="1"/>
    <xf numFmtId="49" fontId="12" fillId="9" borderId="15" xfId="0" applyNumberFormat="1" applyFont="1" applyFill="1" applyBorder="1"/>
    <xf numFmtId="0" fontId="12" fillId="9" borderId="16" xfId="0" applyFont="1" applyFill="1" applyBorder="1" applyAlignment="1">
      <alignment horizontal="left" vertical="top"/>
    </xf>
    <xf numFmtId="0" fontId="7" fillId="0" borderId="17" xfId="0" applyFont="1" applyBorder="1" applyAlignment="1">
      <alignment horizontal="left" vertical="top"/>
    </xf>
    <xf numFmtId="49" fontId="7" fillId="0" borderId="18" xfId="0" applyNumberFormat="1" applyFont="1" applyBorder="1"/>
    <xf numFmtId="166" fontId="7" fillId="0" borderId="17" xfId="0" applyNumberFormat="1" applyFont="1" applyBorder="1" applyAlignment="1">
      <alignment horizontal="center" vertical="top"/>
    </xf>
    <xf numFmtId="0" fontId="46" fillId="0" borderId="0" xfId="0" applyFont="1"/>
    <xf numFmtId="166" fontId="7" fillId="0" borderId="17" xfId="0" applyNumberFormat="1" applyFont="1" applyBorder="1" applyAlignment="1">
      <alignment horizontal="center"/>
    </xf>
    <xf numFmtId="49" fontId="21" fillId="9" borderId="15" xfId="0" applyNumberFormat="1" applyFont="1" applyFill="1" applyBorder="1"/>
    <xf numFmtId="49" fontId="6" fillId="0" borderId="21" xfId="0" applyNumberFormat="1" applyFont="1" applyBorder="1"/>
    <xf numFmtId="166" fontId="7" fillId="0" borderId="17" xfId="0" applyNumberFormat="1" applyFont="1" applyBorder="1" applyAlignment="1">
      <alignment horizontal="left" vertical="top"/>
    </xf>
    <xf numFmtId="49" fontId="7" fillId="0" borderId="15" xfId="0" applyNumberFormat="1" applyFont="1" applyBorder="1"/>
    <xf numFmtId="2" fontId="7" fillId="0" borderId="17" xfId="0" applyNumberFormat="1" applyFont="1" applyBorder="1" applyAlignment="1">
      <alignment horizontal="left" vertical="top"/>
    </xf>
    <xf numFmtId="0" fontId="6" fillId="10" borderId="16" xfId="0" applyFont="1" applyFill="1" applyBorder="1" applyAlignment="1">
      <alignment horizontal="left" vertical="top"/>
    </xf>
    <xf numFmtId="0" fontId="6" fillId="0" borderId="22" xfId="0" applyFont="1" applyBorder="1"/>
    <xf numFmtId="166" fontId="7" fillId="0" borderId="22" xfId="0" applyNumberFormat="1" applyFont="1" applyBorder="1"/>
    <xf numFmtId="0" fontId="6" fillId="0" borderId="16" xfId="0" applyFont="1" applyBorder="1" applyAlignment="1">
      <alignment horizontal="left" vertical="top"/>
    </xf>
    <xf numFmtId="0" fontId="7" fillId="0" borderId="23" xfId="0" applyFont="1" applyBorder="1" applyAlignment="1">
      <alignment horizontal="left" vertical="top"/>
    </xf>
    <xf numFmtId="166" fontId="7" fillId="0" borderId="6" xfId="0" applyNumberFormat="1" applyFont="1" applyBorder="1" applyAlignment="1">
      <alignment horizontal="right" vertical="top"/>
    </xf>
    <xf numFmtId="4" fontId="7" fillId="0" borderId="6" xfId="0" applyNumberFormat="1" applyFont="1" applyBorder="1" applyAlignment="1">
      <alignment horizontal="right" vertical="top"/>
    </xf>
    <xf numFmtId="0" fontId="6" fillId="0" borderId="24" xfId="0" applyFont="1" applyBorder="1"/>
    <xf numFmtId="0" fontId="7" fillId="0" borderId="25" xfId="0" applyFont="1" applyBorder="1"/>
    <xf numFmtId="166" fontId="7" fillId="0" borderId="25" xfId="0" applyNumberFormat="1" applyFont="1" applyBorder="1"/>
    <xf numFmtId="166" fontId="7" fillId="0" borderId="0" xfId="0" applyNumberFormat="1" applyFont="1" applyAlignment="1">
      <alignment horizontal="right" vertical="top"/>
    </xf>
    <xf numFmtId="0" fontId="58" fillId="0" borderId="0" xfId="0" applyFont="1"/>
    <xf numFmtId="0" fontId="7" fillId="0" borderId="0" xfId="0" applyFont="1" applyAlignment="1">
      <alignment horizontal="left" vertical="top"/>
    </xf>
    <xf numFmtId="166" fontId="7" fillId="0" borderId="23" xfId="0" applyNumberFormat="1" applyFont="1" applyBorder="1" applyAlignment="1">
      <alignment horizontal="left" vertical="top"/>
    </xf>
    <xf numFmtId="166" fontId="4" fillId="0" borderId="25" xfId="0" applyNumberFormat="1" applyFont="1" applyBorder="1"/>
    <xf numFmtId="0" fontId="1" fillId="2" borderId="14" xfId="0" applyFont="1" applyFill="1" applyBorder="1"/>
    <xf numFmtId="0" fontId="2" fillId="2" borderId="14" xfId="0" applyFont="1" applyFill="1" applyBorder="1"/>
    <xf numFmtId="0" fontId="8" fillId="2" borderId="14" xfId="0" applyFont="1" applyFill="1" applyBorder="1"/>
    <xf numFmtId="0" fontId="9" fillId="2" borderId="14" xfId="0" applyFont="1" applyFill="1" applyBorder="1"/>
    <xf numFmtId="0" fontId="11" fillId="2" borderId="14" xfId="0" applyFont="1" applyFill="1" applyBorder="1"/>
    <xf numFmtId="0" fontId="12" fillId="2" borderId="14" xfId="0" applyFont="1" applyFill="1" applyBorder="1"/>
    <xf numFmtId="0" fontId="15" fillId="2" borderId="14" xfId="0" applyFont="1" applyFill="1" applyBorder="1"/>
    <xf numFmtId="0" fontId="21" fillId="2" borderId="14" xfId="0" applyFont="1" applyFill="1" applyBorder="1"/>
    <xf numFmtId="0" fontId="12" fillId="2" borderId="14" xfId="0" applyFont="1" applyFill="1" applyBorder="1" applyAlignment="1">
      <alignment horizontal="right"/>
    </xf>
    <xf numFmtId="0" fontId="26" fillId="2" borderId="14" xfId="0" applyFont="1" applyFill="1" applyBorder="1"/>
    <xf numFmtId="0" fontId="27" fillId="2" borderId="14" xfId="0" applyFont="1" applyFill="1" applyBorder="1"/>
    <xf numFmtId="0" fontId="29" fillId="2" borderId="14" xfId="0" applyFont="1" applyFill="1" applyBorder="1"/>
    <xf numFmtId="0" fontId="30" fillId="2" borderId="14" xfId="0" applyFont="1" applyFill="1" applyBorder="1"/>
    <xf numFmtId="0" fontId="34" fillId="4" borderId="14" xfId="0" applyFont="1" applyFill="1" applyBorder="1"/>
    <xf numFmtId="0" fontId="35" fillId="4" borderId="14" xfId="0" applyFont="1" applyFill="1" applyBorder="1"/>
    <xf numFmtId="17" fontId="35" fillId="4" borderId="14" xfId="0" applyNumberFormat="1" applyFont="1" applyFill="1" applyBorder="1"/>
    <xf numFmtId="0" fontId="28" fillId="4" borderId="14" xfId="0" applyFont="1" applyFill="1" applyBorder="1"/>
    <xf numFmtId="3" fontId="35" fillId="4" borderId="14" xfId="0" applyNumberFormat="1" applyFont="1" applyFill="1" applyBorder="1"/>
    <xf numFmtId="4" fontId="28" fillId="4" borderId="14" xfId="0" applyNumberFormat="1" applyFont="1" applyFill="1" applyBorder="1"/>
    <xf numFmtId="166" fontId="4" fillId="4" borderId="14" xfId="0" applyNumberFormat="1" applyFont="1" applyFill="1" applyBorder="1"/>
    <xf numFmtId="0" fontId="4" fillId="4" borderId="14" xfId="0" applyFont="1" applyFill="1" applyBorder="1"/>
    <xf numFmtId="0" fontId="39" fillId="2" borderId="14" xfId="0" applyFont="1" applyFill="1" applyBorder="1"/>
    <xf numFmtId="0" fontId="33" fillId="2" borderId="14" xfId="0" applyFont="1" applyFill="1" applyBorder="1"/>
    <xf numFmtId="4" fontId="4" fillId="6" borderId="14" xfId="0" applyNumberFormat="1" applyFont="1" applyFill="1" applyBorder="1"/>
    <xf numFmtId="0" fontId="42" fillId="2" borderId="14" xfId="0" applyFont="1" applyFill="1" applyBorder="1"/>
    <xf numFmtId="0" fontId="43" fillId="2" borderId="14" xfId="0" applyFont="1" applyFill="1" applyBorder="1"/>
    <xf numFmtId="0" fontId="44" fillId="2" borderId="14" xfId="0" applyFont="1" applyFill="1" applyBorder="1"/>
    <xf numFmtId="0" fontId="45" fillId="2" borderId="14" xfId="0" applyFont="1" applyFill="1" applyBorder="1"/>
    <xf numFmtId="17" fontId="6" fillId="4" borderId="14" xfId="0" applyNumberFormat="1" applyFont="1" applyFill="1" applyBorder="1"/>
    <xf numFmtId="0" fontId="6" fillId="4" borderId="14" xfId="0" applyFont="1" applyFill="1" applyBorder="1"/>
    <xf numFmtId="3" fontId="6" fillId="4" borderId="14" xfId="0" applyNumberFormat="1" applyFont="1" applyFill="1" applyBorder="1"/>
    <xf numFmtId="0" fontId="19" fillId="4" borderId="14" xfId="0" applyFont="1" applyFill="1" applyBorder="1"/>
    <xf numFmtId="0" fontId="27" fillId="2" borderId="22" xfId="0" applyFont="1" applyFill="1" applyBorder="1"/>
    <xf numFmtId="0" fontId="29" fillId="2" borderId="22" xfId="0" applyFont="1" applyFill="1" applyBorder="1"/>
    <xf numFmtId="0" fontId="26" fillId="2" borderId="22" xfId="0" applyFont="1" applyFill="1" applyBorder="1"/>
    <xf numFmtId="169" fontId="46" fillId="2" borderId="22" xfId="0" applyNumberFormat="1" applyFont="1" applyFill="1" applyBorder="1"/>
    <xf numFmtId="169" fontId="12" fillId="2" borderId="22" xfId="0" applyNumberFormat="1" applyFont="1" applyFill="1" applyBorder="1"/>
    <xf numFmtId="0" fontId="40" fillId="2" borderId="22" xfId="0" applyFont="1" applyFill="1" applyBorder="1"/>
    <xf numFmtId="166" fontId="7" fillId="4" borderId="14" xfId="0" applyNumberFormat="1" applyFont="1" applyFill="1" applyBorder="1"/>
    <xf numFmtId="0" fontId="35" fillId="5" borderId="14" xfId="0" applyFont="1" applyFill="1" applyBorder="1"/>
    <xf numFmtId="166" fontId="7" fillId="5" borderId="14" xfId="0" applyNumberFormat="1" applyFont="1" applyFill="1" applyBorder="1"/>
    <xf numFmtId="0" fontId="19" fillId="5" borderId="14" xfId="0" applyFont="1" applyFill="1" applyBorder="1"/>
    <xf numFmtId="0" fontId="19" fillId="7" borderId="14" xfId="0" applyFont="1" applyFill="1" applyBorder="1"/>
    <xf numFmtId="0" fontId="7" fillId="4" borderId="14" xfId="0" applyFont="1" applyFill="1" applyBorder="1"/>
    <xf numFmtId="166" fontId="7" fillId="2" borderId="22" xfId="0" applyNumberFormat="1" applyFont="1" applyFill="1" applyBorder="1"/>
    <xf numFmtId="166" fontId="12" fillId="2" borderId="22" xfId="0" applyNumberFormat="1" applyFont="1" applyFill="1" applyBorder="1"/>
    <xf numFmtId="0" fontId="4" fillId="2" borderId="22" xfId="0" applyFont="1" applyFill="1" applyBorder="1"/>
    <xf numFmtId="0" fontId="19" fillId="2" borderId="22" xfId="0" applyFont="1" applyFill="1" applyBorder="1"/>
    <xf numFmtId="0" fontId="34" fillId="8" borderId="14" xfId="0" applyFont="1" applyFill="1" applyBorder="1"/>
    <xf numFmtId="0" fontId="41" fillId="2" borderId="14" xfId="0" applyFont="1" applyFill="1" applyBorder="1"/>
    <xf numFmtId="0" fontId="47" fillId="2" borderId="14" xfId="0" applyFont="1" applyFill="1" applyBorder="1" applyAlignment="1">
      <alignment wrapText="1"/>
    </xf>
    <xf numFmtId="0" fontId="48" fillId="2" borderId="14" xfId="0" applyFont="1" applyFill="1" applyBorder="1" applyAlignment="1">
      <alignment wrapText="1"/>
    </xf>
    <xf numFmtId="166" fontId="52" fillId="4" borderId="14" xfId="0" applyNumberFormat="1" applyFont="1" applyFill="1" applyBorder="1"/>
    <xf numFmtId="0" fontId="34" fillId="5" borderId="14" xfId="0" applyFont="1" applyFill="1" applyBorder="1"/>
    <xf numFmtId="0" fontId="40" fillId="2" borderId="14" xfId="0" applyFont="1" applyFill="1" applyBorder="1"/>
    <xf numFmtId="0" fontId="6" fillId="4" borderId="14" xfId="0" applyFont="1" applyFill="1" applyBorder="1" applyAlignment="1">
      <alignment horizontal="center"/>
    </xf>
    <xf numFmtId="0" fontId="2" fillId="9" borderId="14" xfId="0" applyFont="1" applyFill="1" applyBorder="1"/>
    <xf numFmtId="0" fontId="19" fillId="9" borderId="14" xfId="0" applyFont="1" applyFill="1" applyBorder="1"/>
    <xf numFmtId="0" fontId="21" fillId="9" borderId="14" xfId="0" applyFont="1" applyFill="1" applyBorder="1"/>
    <xf numFmtId="49" fontId="12" fillId="9" borderId="20" xfId="0" applyNumberFormat="1" applyFont="1" applyFill="1" applyBorder="1"/>
    <xf numFmtId="0" fontId="7" fillId="9" borderId="14" xfId="0" applyFont="1" applyFill="1" applyBorder="1"/>
    <xf numFmtId="0" fontId="30" fillId="9" borderId="14" xfId="0" applyFont="1" applyFill="1" applyBorder="1"/>
    <xf numFmtId="0" fontId="57" fillId="9" borderId="20" xfId="0" applyFont="1" applyFill="1" applyBorder="1"/>
    <xf numFmtId="0" fontId="19" fillId="9" borderId="20" xfId="0" applyFont="1" applyFill="1" applyBorder="1"/>
    <xf numFmtId="170" fontId="7" fillId="9" borderId="14" xfId="0" applyNumberFormat="1" applyFont="1" applyFill="1" applyBorder="1" applyAlignment="1">
      <alignment horizontal="right" vertical="top"/>
    </xf>
    <xf numFmtId="2" fontId="7" fillId="0" borderId="20" xfId="0" applyNumberFormat="1" applyFont="1" applyBorder="1"/>
    <xf numFmtId="49" fontId="7" fillId="0" borderId="20" xfId="0" applyNumberFormat="1" applyFont="1" applyBorder="1"/>
    <xf numFmtId="0" fontId="7" fillId="11" borderId="23" xfId="0" applyFont="1" applyFill="1" applyBorder="1" applyAlignment="1">
      <alignment horizontal="left" vertical="top"/>
    </xf>
    <xf numFmtId="0" fontId="7" fillId="11" borderId="14" xfId="0" applyFont="1" applyFill="1" applyBorder="1" applyAlignment="1">
      <alignment horizontal="left" vertical="top"/>
    </xf>
    <xf numFmtId="0" fontId="58" fillId="9" borderId="14" xfId="0" applyFont="1" applyFill="1" applyBorder="1"/>
    <xf numFmtId="0" fontId="12" fillId="9" borderId="14" xfId="0" applyFont="1" applyFill="1" applyBorder="1"/>
    <xf numFmtId="166" fontId="2" fillId="9" borderId="14" xfId="0" applyNumberFormat="1" applyFont="1" applyFill="1" applyBorder="1"/>
    <xf numFmtId="0" fontId="57" fillId="9" borderId="14" xfId="0" applyFont="1" applyFill="1" applyBorder="1"/>
    <xf numFmtId="0" fontId="59" fillId="9" borderId="14" xfId="0" applyFont="1" applyFill="1" applyBorder="1"/>
    <xf numFmtId="166" fontId="59" fillId="9" borderId="14" xfId="0" applyNumberFormat="1" applyFont="1" applyFill="1" applyBorder="1"/>
    <xf numFmtId="0" fontId="60" fillId="9" borderId="14" xfId="0" applyFont="1" applyFill="1" applyBorder="1"/>
    <xf numFmtId="0" fontId="27" fillId="9" borderId="14" xfId="0" applyFont="1" applyFill="1" applyBorder="1"/>
    <xf numFmtId="0" fontId="9" fillId="9" borderId="14" xfId="0" applyFont="1" applyFill="1" applyBorder="1"/>
    <xf numFmtId="166" fontId="9" fillId="9" borderId="14" xfId="0" applyNumberFormat="1" applyFont="1" applyFill="1" applyBorder="1"/>
    <xf numFmtId="0" fontId="45" fillId="9" borderId="14" xfId="0" applyFont="1" applyFill="1" applyBorder="1"/>
    <xf numFmtId="0" fontId="47" fillId="9" borderId="14" xfId="0" applyFont="1" applyFill="1" applyBorder="1"/>
    <xf numFmtId="0" fontId="57" fillId="9" borderId="14" xfId="0" applyFont="1" applyFill="1" applyBorder="1" applyAlignment="1">
      <alignment horizontal="left" vertical="top"/>
    </xf>
    <xf numFmtId="0" fontId="7" fillId="9" borderId="14" xfId="0" applyFont="1" applyFill="1" applyBorder="1" applyAlignment="1">
      <alignment horizontal="left" vertical="top"/>
    </xf>
    <xf numFmtId="166" fontId="7" fillId="9" borderId="14" xfId="0" applyNumberFormat="1" applyFont="1" applyFill="1" applyBorder="1" applyAlignment="1">
      <alignment horizontal="right" vertical="top"/>
    </xf>
    <xf numFmtId="2" fontId="28" fillId="0" borderId="0" xfId="0" applyNumberFormat="1" applyFont="1"/>
    <xf numFmtId="0" fontId="28" fillId="5" borderId="14" xfId="0" applyFont="1" applyFill="1" applyBorder="1" applyAlignment="1">
      <alignment wrapText="1"/>
    </xf>
    <xf numFmtId="166" fontId="6" fillId="0" borderId="0" xfId="0" applyNumberFormat="1" applyFont="1" applyAlignment="1">
      <alignment wrapText="1"/>
    </xf>
    <xf numFmtId="165" fontId="0" fillId="0" borderId="0" xfId="0" applyNumberFormat="1"/>
    <xf numFmtId="166" fontId="0" fillId="0" borderId="0" xfId="0" applyNumberFormat="1"/>
    <xf numFmtId="0" fontId="17" fillId="0" borderId="0" xfId="0" applyFont="1"/>
    <xf numFmtId="0" fontId="33" fillId="2" borderId="14" xfId="0" applyFont="1" applyFill="1" applyBorder="1" applyAlignment="1">
      <alignment wrapText="1"/>
    </xf>
    <xf numFmtId="0" fontId="4" fillId="5" borderId="14" xfId="0" applyFont="1" applyFill="1" applyBorder="1"/>
    <xf numFmtId="0" fontId="4" fillId="5" borderId="14" xfId="0" applyFont="1" applyFill="1" applyBorder="1" applyAlignment="1">
      <alignment wrapText="1"/>
    </xf>
    <xf numFmtId="0" fontId="21" fillId="9" borderId="20" xfId="0" applyFont="1" applyFill="1" applyBorder="1" applyAlignment="1">
      <alignment wrapText="1"/>
    </xf>
    <xf numFmtId="0" fontId="33" fillId="9" borderId="14" xfId="0" applyFont="1" applyFill="1" applyBorder="1" applyAlignment="1">
      <alignment wrapText="1"/>
    </xf>
    <xf numFmtId="0" fontId="23" fillId="0" borderId="0" xfId="0" applyFont="1" applyAlignment="1">
      <alignment wrapText="1"/>
    </xf>
    <xf numFmtId="0" fontId="0" fillId="0" borderId="0" xfId="0"/>
    <xf numFmtId="0" fontId="24" fillId="0" borderId="0" xfId="0" applyFont="1" applyAlignment="1">
      <alignment wrapText="1"/>
    </xf>
    <xf numFmtId="0" fontId="5" fillId="0" borderId="0" xfId="0" applyFont="1" applyAlignment="1">
      <alignment wrapText="1"/>
    </xf>
    <xf numFmtId="0" fontId="13" fillId="0" borderId="0" xfId="0" applyFont="1" applyAlignment="1">
      <alignment wrapText="1"/>
    </xf>
    <xf numFmtId="0" fontId="17" fillId="0" borderId="2" xfId="0" applyFont="1" applyBorder="1"/>
    <xf numFmtId="0" fontId="18" fillId="0" borderId="2" xfId="0" applyFont="1" applyBorder="1"/>
    <xf numFmtId="0" fontId="17" fillId="0" borderId="0" xfId="0" applyFont="1"/>
    <xf numFmtId="0" fontId="17" fillId="0" borderId="0" xfId="0" applyFont="1" applyAlignment="1">
      <alignment wrapText="1"/>
    </xf>
    <xf numFmtId="0" fontId="33" fillId="2" borderId="14" xfId="0" applyFont="1" applyFill="1" applyBorder="1" applyAlignment="1">
      <alignment wrapText="1"/>
    </xf>
    <xf numFmtId="0" fontId="18" fillId="0" borderId="14" xfId="0" applyFont="1" applyBorder="1"/>
    <xf numFmtId="0" fontId="38" fillId="2" borderId="14" xfId="0" applyFont="1" applyFill="1" applyBorder="1" applyAlignment="1">
      <alignment wrapText="1"/>
    </xf>
    <xf numFmtId="0" fontId="31" fillId="0" borderId="0" xfId="0" applyFont="1" applyAlignment="1">
      <alignment wrapText="1"/>
    </xf>
    <xf numFmtId="0" fontId="54" fillId="0" borderId="0" xfId="0" applyFont="1" applyAlignment="1">
      <alignment wrapText="1"/>
    </xf>
    <xf numFmtId="0" fontId="32" fillId="0" borderId="0" xfId="0" applyFont="1" applyAlignment="1">
      <alignment wrapText="1"/>
    </xf>
    <xf numFmtId="0" fontId="50" fillId="0" borderId="0" xfId="0" applyFont="1" applyAlignment="1">
      <alignment wrapText="1"/>
    </xf>
    <xf numFmtId="0" fontId="53" fillId="2" borderId="14" xfId="0" applyFont="1" applyFill="1" applyBorder="1" applyAlignment="1">
      <alignment wrapText="1"/>
    </xf>
    <xf numFmtId="0" fontId="6" fillId="0" borderId="0" xfId="0" applyFont="1" applyAlignment="1">
      <alignment wrapText="1"/>
    </xf>
    <xf numFmtId="0" fontId="7" fillId="0" borderId="0" xfId="0" applyFont="1" applyAlignment="1">
      <alignment wrapText="1"/>
    </xf>
    <xf numFmtId="0" fontId="6" fillId="7" borderId="14" xfId="0" applyFont="1" applyFill="1" applyBorder="1" applyAlignment="1">
      <alignment wrapText="1"/>
    </xf>
    <xf numFmtId="0" fontId="41" fillId="2" borderId="14" xfId="0" applyFont="1" applyFill="1" applyBorder="1" applyAlignment="1">
      <alignment wrapText="1"/>
    </xf>
    <xf numFmtId="0" fontId="4" fillId="5" borderId="14" xfId="0" applyFont="1" applyFill="1" applyBorder="1"/>
    <xf numFmtId="0" fontId="4" fillId="5" borderId="14" xfId="0" applyFont="1" applyFill="1" applyBorder="1" applyAlignment="1">
      <alignment wrapText="1"/>
    </xf>
    <xf numFmtId="0" fontId="7" fillId="5" borderId="14" xfId="0" applyFont="1" applyFill="1" applyBorder="1" applyAlignment="1">
      <alignment wrapText="1"/>
    </xf>
    <xf numFmtId="0" fontId="21" fillId="9" borderId="20" xfId="0" applyFont="1" applyFill="1" applyBorder="1" applyAlignment="1">
      <alignment wrapText="1"/>
    </xf>
    <xf numFmtId="0" fontId="18" fillId="0" borderId="20" xfId="0" applyFont="1" applyBorder="1"/>
    <xf numFmtId="0" fontId="21" fillId="9" borderId="14" xfId="0" applyFont="1" applyFill="1" applyBorder="1" applyAlignment="1">
      <alignment wrapText="1"/>
    </xf>
    <xf numFmtId="0" fontId="9" fillId="9" borderId="14" xfId="0" applyFont="1" applyFill="1" applyBorder="1" applyAlignment="1">
      <alignment wrapText="1"/>
    </xf>
    <xf numFmtId="0" fontId="33" fillId="9" borderId="14" xfId="0" applyFont="1" applyFill="1" applyBorder="1" applyAlignment="1">
      <alignment wrapText="1"/>
    </xf>
    <xf numFmtId="0" fontId="21" fillId="9" borderId="19" xfId="0" applyFont="1" applyFill="1" applyBorder="1" applyAlignment="1">
      <alignment wrapText="1"/>
    </xf>
    <xf numFmtId="0" fontId="18" fillId="0" borderId="19" xfId="0" applyFont="1" applyBorder="1"/>
    <xf numFmtId="0" fontId="12" fillId="9" borderId="14" xfId="0" applyFont="1" applyFill="1" applyBorder="1" applyAlignment="1">
      <alignment wrapText="1"/>
    </xf>
  </cellXfs>
  <cellStyles count="1">
    <cellStyle name="Normal" xfId="0" builtinId="0"/>
  </cellStyles>
  <dxfs count="5">
    <dxf>
      <fill>
        <patternFill patternType="solid">
          <fgColor rgb="FFE2EFD9"/>
          <bgColor rgb="FFE2EFD9"/>
        </patternFill>
      </fill>
    </dxf>
    <dxf>
      <fill>
        <patternFill patternType="solid">
          <fgColor theme="9"/>
          <bgColor theme="9"/>
        </patternFill>
      </fill>
    </dxf>
    <dxf>
      <fill>
        <patternFill patternType="solid">
          <fgColor rgb="FFFF66CC"/>
          <bgColor rgb="FFFF66CC"/>
        </patternFill>
      </fill>
    </dxf>
    <dxf>
      <fill>
        <patternFill patternType="solid">
          <fgColor theme="9"/>
          <bgColor theme="9"/>
        </patternFill>
      </fill>
    </dxf>
    <dxf>
      <fill>
        <patternFill patternType="solid">
          <fgColor rgb="FFFF66CC"/>
          <bgColor rgb="FFFF66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Hard Water</c:v>
          </c:tx>
          <c:spPr>
            <a:ln w="25400" cap="rnd">
              <a:noFill/>
              <a:round/>
            </a:ln>
            <a:effectLst/>
          </c:spPr>
          <c:marker>
            <c:symbol val="circle"/>
            <c:size val="5"/>
            <c:spPr>
              <a:solidFill>
                <a:schemeClr val="accent1"/>
              </a:solidFill>
              <a:ln w="9525">
                <a:solidFill>
                  <a:schemeClr val="accent1"/>
                </a:solidFill>
              </a:ln>
              <a:effectLst/>
            </c:spPr>
          </c:marker>
          <c:xVal>
            <c:numRef>
              <c:f>'Economic Market Analysis'!$C$18:$N$18</c:f>
              <c:numCache>
                <c:formatCode>0.00</c:formatCode>
                <c:ptCount val="12"/>
                <c:pt idx="0">
                  <c:v>2391.3758824827114</c:v>
                </c:pt>
                <c:pt idx="1">
                  <c:v>2533.2689003303749</c:v>
                </c:pt>
                <c:pt idx="2">
                  <c:v>2203.7442618771042</c:v>
                </c:pt>
                <c:pt idx="3">
                  <c:v>2349.5141185681864</c:v>
                </c:pt>
                <c:pt idx="4">
                  <c:v>2243.584512119523</c:v>
                </c:pt>
                <c:pt idx="5">
                  <c:v>2359.3149577593058</c:v>
                </c:pt>
                <c:pt idx="6">
                  <c:v>2443.2652008227428</c:v>
                </c:pt>
                <c:pt idx="7">
                  <c:v>2300.8485926974759</c:v>
                </c:pt>
                <c:pt idx="8">
                  <c:v>2261.3424374589526</c:v>
                </c:pt>
                <c:pt idx="9">
                  <c:v>2188.7956099697999</c:v>
                </c:pt>
                <c:pt idx="10">
                  <c:v>2303.4374718156046</c:v>
                </c:pt>
                <c:pt idx="11">
                  <c:v>2443.6005061474129</c:v>
                </c:pt>
              </c:numCache>
            </c:numRef>
          </c:xVal>
          <c:yVal>
            <c:numRef>
              <c:f>'Economic Market Analysis'!$C$19:$N$19</c:f>
              <c:numCache>
                <c:formatCode>"$"#,##0.00</c:formatCode>
                <c:ptCount val="12"/>
                <c:pt idx="0">
                  <c:v>110.48381542382315</c:v>
                </c:pt>
                <c:pt idx="1">
                  <c:v>110.62720422979757</c:v>
                </c:pt>
                <c:pt idx="2">
                  <c:v>110.55818806730868</c:v>
                </c:pt>
                <c:pt idx="3">
                  <c:v>93.17518584656078</c:v>
                </c:pt>
                <c:pt idx="4">
                  <c:v>93.408910429176501</c:v>
                </c:pt>
                <c:pt idx="5">
                  <c:v>92.851211447811423</c:v>
                </c:pt>
                <c:pt idx="6">
                  <c:v>92.809567652329747</c:v>
                </c:pt>
                <c:pt idx="7">
                  <c:v>93.14548020527856</c:v>
                </c:pt>
                <c:pt idx="8">
                  <c:v>92.989220833333306</c:v>
                </c:pt>
                <c:pt idx="9">
                  <c:v>92.823577188940064</c:v>
                </c:pt>
                <c:pt idx="10">
                  <c:v>93.029854347041791</c:v>
                </c:pt>
                <c:pt idx="11">
                  <c:v>93.232935483870918</c:v>
                </c:pt>
              </c:numCache>
            </c:numRef>
          </c:yVal>
          <c:smooth val="0"/>
          <c:extLst>
            <c:ext xmlns:c16="http://schemas.microsoft.com/office/drawing/2014/chart" uri="{C3380CC4-5D6E-409C-BE32-E72D297353CC}">
              <c16:uniqueId val="{00000000-5583-42DB-87F6-D42C7EA60F76}"/>
            </c:ext>
          </c:extLst>
        </c:ser>
        <c:dLbls>
          <c:showLegendKey val="0"/>
          <c:showVal val="0"/>
          <c:showCatName val="0"/>
          <c:showSerName val="0"/>
          <c:showPercent val="0"/>
          <c:showBubbleSize val="0"/>
        </c:dLbls>
        <c:axId val="1478232367"/>
        <c:axId val="1478235247"/>
      </c:scatterChart>
      <c:valAx>
        <c:axId val="147823236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235247"/>
        <c:crosses val="autoZero"/>
        <c:crossBetween val="midCat"/>
      </c:valAx>
      <c:valAx>
        <c:axId val="14782352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2323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Soft Water</c:v>
          </c:tx>
          <c:spPr>
            <a:ln w="25400" cap="rnd">
              <a:noFill/>
              <a:round/>
            </a:ln>
            <a:effectLst/>
          </c:spPr>
          <c:marker>
            <c:symbol val="circle"/>
            <c:size val="5"/>
            <c:spPr>
              <a:solidFill>
                <a:schemeClr val="accent1"/>
              </a:solidFill>
              <a:ln w="9525">
                <a:solidFill>
                  <a:schemeClr val="accent1"/>
                </a:solidFill>
              </a:ln>
              <a:effectLst/>
            </c:spPr>
          </c:marker>
          <c:xVal>
            <c:numRef>
              <c:f>'Economic Market Analysis'!$C$21:$N$21</c:f>
              <c:numCache>
                <c:formatCode>0.00</c:formatCode>
                <c:ptCount val="12"/>
                <c:pt idx="0">
                  <c:v>2205.0044354480824</c:v>
                </c:pt>
                <c:pt idx="1">
                  <c:v>2278.9148920918328</c:v>
                </c:pt>
                <c:pt idx="2">
                  <c:v>2051.8848246648477</c:v>
                </c:pt>
                <c:pt idx="3">
                  <c:v>2022.0853898845555</c:v>
                </c:pt>
                <c:pt idx="4">
                  <c:v>2047.9829256126895</c:v>
                </c:pt>
                <c:pt idx="5">
                  <c:v>2100.1843645292161</c:v>
                </c:pt>
                <c:pt idx="6">
                  <c:v>2122.8352936827923</c:v>
                </c:pt>
                <c:pt idx="7">
                  <c:v>2101.2698990655363</c:v>
                </c:pt>
                <c:pt idx="8">
                  <c:v>2045.3439327209553</c:v>
                </c:pt>
                <c:pt idx="9">
                  <c:v>2009.1871525537595</c:v>
                </c:pt>
                <c:pt idx="10">
                  <c:v>2098.4211861697281</c:v>
                </c:pt>
                <c:pt idx="11">
                  <c:v>2180.7985733748733</c:v>
                </c:pt>
              </c:numCache>
            </c:numRef>
          </c:xVal>
          <c:yVal>
            <c:numRef>
              <c:f>'Economic Market Analysis'!$C$22:$N$22</c:f>
              <c:numCache>
                <c:formatCode>"$"#,##0.00</c:formatCode>
                <c:ptCount val="12"/>
                <c:pt idx="0">
                  <c:v>62.299699046920772</c:v>
                </c:pt>
                <c:pt idx="1">
                  <c:v>63.031776721938691</c:v>
                </c:pt>
                <c:pt idx="2">
                  <c:v>52.441594389168138</c:v>
                </c:pt>
                <c:pt idx="3">
                  <c:v>51.963278490860944</c:v>
                </c:pt>
                <c:pt idx="4">
                  <c:v>49.10979825327</c:v>
                </c:pt>
                <c:pt idx="5">
                  <c:v>51.461810151515095</c:v>
                </c:pt>
                <c:pt idx="6">
                  <c:v>60.395873207885266</c:v>
                </c:pt>
                <c:pt idx="7">
                  <c:v>56.719599991853968</c:v>
                </c:pt>
                <c:pt idx="8">
                  <c:v>55.143418813131255</c:v>
                </c:pt>
                <c:pt idx="9">
                  <c:v>57.362720698924704</c:v>
                </c:pt>
                <c:pt idx="10">
                  <c:v>54.372058161976852</c:v>
                </c:pt>
                <c:pt idx="11">
                  <c:v>55.520378176930556</c:v>
                </c:pt>
              </c:numCache>
            </c:numRef>
          </c:yVal>
          <c:smooth val="0"/>
          <c:extLst>
            <c:ext xmlns:c16="http://schemas.microsoft.com/office/drawing/2014/chart" uri="{C3380CC4-5D6E-409C-BE32-E72D297353CC}">
              <c16:uniqueId val="{00000000-77D5-4B43-954D-067144F5A354}"/>
            </c:ext>
          </c:extLst>
        </c:ser>
        <c:dLbls>
          <c:showLegendKey val="0"/>
          <c:showVal val="0"/>
          <c:showCatName val="0"/>
          <c:showSerName val="0"/>
          <c:showPercent val="0"/>
          <c:showBubbleSize val="0"/>
        </c:dLbls>
        <c:axId val="1478260207"/>
        <c:axId val="1478254927"/>
      </c:scatterChart>
      <c:valAx>
        <c:axId val="147826020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254927"/>
        <c:crosses val="autoZero"/>
        <c:crossBetween val="midCat"/>
      </c:valAx>
      <c:valAx>
        <c:axId val="14782549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26020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Average Water Balancing Price (JUL-14 TO JUN-15)</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'What-If Analysis'!$E$13:$P$13</c:f>
              <c:numCache>
                <c:formatCode>mmm\-yy</c:formatCode>
                <c:ptCount val="12"/>
                <c:pt idx="0">
                  <c:v>41821</c:v>
                </c:pt>
                <c:pt idx="1">
                  <c:v>41852</c:v>
                </c:pt>
                <c:pt idx="2">
                  <c:v>41883</c:v>
                </c:pt>
                <c:pt idx="3">
                  <c:v>41913</c:v>
                </c:pt>
                <c:pt idx="4">
                  <c:v>41944</c:v>
                </c:pt>
                <c:pt idx="5">
                  <c:v>41974</c:v>
                </c:pt>
                <c:pt idx="6">
                  <c:v>42005</c:v>
                </c:pt>
                <c:pt idx="7">
                  <c:v>42036</c:v>
                </c:pt>
                <c:pt idx="8">
                  <c:v>42064</c:v>
                </c:pt>
                <c:pt idx="9">
                  <c:v>42095</c:v>
                </c:pt>
                <c:pt idx="10">
                  <c:v>42125</c:v>
                </c:pt>
                <c:pt idx="11">
                  <c:v>42156</c:v>
                </c:pt>
              </c:numCache>
            </c:numRef>
          </c:cat>
          <c:val>
            <c:numRef>
              <c:f>'What-If Analysis'!$E$15:$P$15</c:f>
              <c:numCache>
                <c:formatCode>"$"#,##0.00;[Red]\-"$"#,##0.00</c:formatCode>
                <c:ptCount val="12"/>
                <c:pt idx="0">
                  <c:v>76.602720430107496</c:v>
                </c:pt>
                <c:pt idx="1">
                  <c:v>74.932540098566292</c:v>
                </c:pt>
                <c:pt idx="2">
                  <c:v>74.066319823232305</c:v>
                </c:pt>
                <c:pt idx="3">
                  <c:v>75.093148943932377</c:v>
                </c:pt>
                <c:pt idx="4">
                  <c:v>73.700956254509322</c:v>
                </c:pt>
                <c:pt idx="5">
                  <c:v>74.376656830400748</c:v>
                </c:pt>
                <c:pt idx="6">
                  <c:v>86.391757235371969</c:v>
                </c:pt>
                <c:pt idx="7">
                  <c:v>86.829490475868141</c:v>
                </c:pt>
                <c:pt idx="8">
                  <c:v>81.49989122823844</c:v>
                </c:pt>
                <c:pt idx="9">
                  <c:v>72.569232168710826</c:v>
                </c:pt>
                <c:pt idx="10">
                  <c:v>71.259354341223244</c:v>
                </c:pt>
                <c:pt idx="11">
                  <c:v>72.156510799663252</c:v>
                </c:pt>
              </c:numCache>
            </c:numRef>
          </c:val>
          <c:smooth val="0"/>
          <c:extLst>
            <c:ext xmlns:c16="http://schemas.microsoft.com/office/drawing/2014/chart" uri="{C3380CC4-5D6E-409C-BE32-E72D297353CC}">
              <c16:uniqueId val="{00000001-2C6E-4FEE-9C48-E26023E44FB2}"/>
            </c:ext>
          </c:extLst>
        </c:ser>
        <c:dLbls>
          <c:showLegendKey val="0"/>
          <c:showVal val="0"/>
          <c:showCatName val="0"/>
          <c:showSerName val="0"/>
          <c:showPercent val="0"/>
          <c:showBubbleSize val="0"/>
        </c:dLbls>
        <c:smooth val="0"/>
        <c:axId val="1801703776"/>
        <c:axId val="1801705696"/>
      </c:lineChart>
      <c:dateAx>
        <c:axId val="180170377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705696"/>
        <c:crosses val="autoZero"/>
        <c:auto val="1"/>
        <c:lblOffset val="100"/>
        <c:baseTimeUnit val="months"/>
      </c:dateAx>
      <c:valAx>
        <c:axId val="1801705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70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'What-If Analysis'!$M$24</c:f>
              <c:numCache>
                <c:formatCode>General</c:formatCode>
                <c:ptCount val="1"/>
              </c:numCache>
            </c:numRef>
          </c:val>
          <c:extLst>
            <c:ext xmlns:c16="http://schemas.microsoft.com/office/drawing/2014/chart" uri="{C3380CC4-5D6E-409C-BE32-E72D297353CC}">
              <c16:uniqueId val="{00000001-BFC2-49D4-B042-3A73CF7C9799}"/>
            </c:ext>
          </c:extLst>
        </c:ser>
        <c:dLbls>
          <c:showLegendKey val="0"/>
          <c:showVal val="0"/>
          <c:showCatName val="0"/>
          <c:showSerName val="0"/>
          <c:showPercent val="0"/>
          <c:showBubbleSize val="0"/>
        </c:dLbls>
        <c:gapWidth val="219"/>
        <c:overlap val="-27"/>
        <c:axId val="36710920"/>
        <c:axId val="36721160"/>
      </c:barChart>
      <c:catAx>
        <c:axId val="3671092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21160"/>
        <c:crosses val="autoZero"/>
        <c:auto val="1"/>
        <c:lblAlgn val="ctr"/>
        <c:lblOffset val="100"/>
        <c:noMultiLvlLbl val="0"/>
      </c:catAx>
      <c:valAx>
        <c:axId val="36721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109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lang="en-US" sz="1400" b="0" i="0">
                <a:solidFill>
                  <a:srgbClr val="757575"/>
                </a:solidFill>
                <a:latin typeface="Calibri"/>
              </a:rPr>
              <a:t>Kootha Scatter Plot (Cost to Produce vs. Volume of Water Produced)</a:t>
            </a:r>
          </a:p>
        </c:rich>
      </c:tx>
      <c:overlay val="0"/>
    </c:title>
    <c:autoTitleDeleted val="0"/>
    <c:plotArea>
      <c:layout/>
      <c:scatterChart>
        <c:scatterStyle val="lineMarker"/>
        <c:varyColors val="0"/>
        <c:ser>
          <c:idx val="0"/>
          <c:order val="0"/>
          <c:tx>
            <c:v>Kootha Scatter Plot (Cost to Produce vs. Volume Water Produced)</c:v>
          </c:tx>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'Economic Cost Analysis'!$G$24:$R$24</c:f>
              <c:numCache>
                <c:formatCode>#,##0.00</c:formatCode>
                <c:ptCount val="12"/>
                <c:pt idx="0">
                  <c:v>181.933291</c:v>
                </c:pt>
                <c:pt idx="1">
                  <c:v>187.44394299999999</c:v>
                </c:pt>
                <c:pt idx="2">
                  <c:v>184.77365699999999</c:v>
                </c:pt>
                <c:pt idx="3">
                  <c:v>191.54109299999999</c:v>
                </c:pt>
                <c:pt idx="4">
                  <c:v>98.096062000000003</c:v>
                </c:pt>
                <c:pt idx="5">
                  <c:v>185.30685299999999</c:v>
                </c:pt>
                <c:pt idx="6">
                  <c:v>186.90143900000001</c:v>
                </c:pt>
                <c:pt idx="7">
                  <c:v>158.58676500000001</c:v>
                </c:pt>
                <c:pt idx="8">
                  <c:v>191.40367599999999</c:v>
                </c:pt>
                <c:pt idx="9">
                  <c:v>171.057864</c:v>
                </c:pt>
                <c:pt idx="10">
                  <c:v>169.28699900000001</c:v>
                </c:pt>
                <c:pt idx="11">
                  <c:v>142.50871699999999</c:v>
                </c:pt>
              </c:numCache>
            </c:numRef>
          </c:xVal>
          <c:yVal>
            <c:numRef>
              <c:f>'Economic Cost Analysis'!$G$25:$R$25</c:f>
              <c:numCache>
                <c:formatCode>"$"#,##0.00;[Red]\-"$"#,##0.00\ "$/ML"</c:formatCode>
                <c:ptCount val="12"/>
                <c:pt idx="0">
                  <c:v>19.008554460403097</c:v>
                </c:pt>
                <c:pt idx="1">
                  <c:v>25.492172623052561</c:v>
                </c:pt>
                <c:pt idx="2">
                  <c:v>20.246430814356369</c:v>
                </c:pt>
                <c:pt idx="3">
                  <c:v>18.538208897820557</c:v>
                </c:pt>
                <c:pt idx="4">
                  <c:v>37.173188734592117</c:v>
                </c:pt>
                <c:pt idx="5">
                  <c:v>18.926571259334377</c:v>
                </c:pt>
                <c:pt idx="6">
                  <c:v>28.088710165040506</c:v>
                </c:pt>
                <c:pt idx="7">
                  <c:v>27.869870996564565</c:v>
                </c:pt>
                <c:pt idx="8">
                  <c:v>23.038875551690033</c:v>
                </c:pt>
                <c:pt idx="9">
                  <c:v>25.83514265328515</c:v>
                </c:pt>
                <c:pt idx="10">
                  <c:v>27.720966236714666</c:v>
                </c:pt>
                <c:pt idx="11">
                  <c:v>37.542526065045898</c:v>
                </c:pt>
              </c:numCache>
            </c:numRef>
          </c:yVal>
          <c:smooth val="0"/>
          <c:extLst>
            <c:ext xmlns:c16="http://schemas.microsoft.com/office/drawing/2014/chart" uri="{C3380CC4-5D6E-409C-BE32-E72D297353CC}">
              <c16:uniqueId val="{00000000-2FDD-45C5-8352-A0B8FDF79720}"/>
            </c:ext>
          </c:extLst>
        </c:ser>
        <c:dLbls>
          <c:showLegendKey val="0"/>
          <c:showVal val="0"/>
          <c:showCatName val="0"/>
          <c:showSerName val="0"/>
          <c:showPercent val="0"/>
          <c:showBubbleSize val="0"/>
        </c:dLbls>
        <c:axId val="1550201817"/>
        <c:axId val="1917058652"/>
      </c:scatterChart>
      <c:valAx>
        <c:axId val="1550201817"/>
        <c:scaling>
          <c:orientation val="minMax"/>
        </c:scaling>
        <c:delete val="0"/>
        <c:axPos val="b"/>
        <c:majorGridlines>
          <c:spPr>
            <a:ln>
              <a:solidFill>
                <a:srgbClr val="B7B7B7"/>
              </a:solidFill>
            </a:ln>
          </c:spPr>
        </c:majorGridlines>
        <c:title>
          <c:tx>
            <c:rich>
              <a:bodyPr/>
              <a:lstStyle/>
              <a:p>
                <a:pPr>
                  <a:defRPr/>
                </a:pPr>
                <a:r>
                  <a:rPr lang="en-US"/>
                  <a:t>Volume</a:t>
                </a:r>
                <a:r>
                  <a:rPr lang="en-US" baseline="0"/>
                  <a:t> of Water Produced</a:t>
                </a:r>
                <a:endParaRPr lang="en-US"/>
              </a:p>
            </c:rich>
          </c:tx>
          <c:layout>
            <c:manualLayout>
              <c:xMode val="edge"/>
              <c:yMode val="edge"/>
              <c:x val="0.38014746248322012"/>
              <c:y val="0.88353315835520563"/>
            </c:manualLayout>
          </c:layout>
          <c:overlay val="0"/>
        </c:title>
        <c:numFmt formatCode="#,##0" sourceLinked="0"/>
        <c:majorTickMark val="none"/>
        <c:minorTickMark val="none"/>
        <c:tickLblPos val="nextTo"/>
        <c:spPr>
          <a:ln/>
        </c:spPr>
        <c:txPr>
          <a:bodyPr/>
          <a:lstStyle/>
          <a:p>
            <a:pPr lvl="0">
              <a:defRPr sz="900" b="0" i="0">
                <a:solidFill>
                  <a:srgbClr val="000000"/>
                </a:solidFill>
                <a:latin typeface="Calibri"/>
              </a:defRPr>
            </a:pPr>
            <a:endParaRPr lang="en-US"/>
          </a:p>
        </c:txPr>
        <c:crossAx val="1917058652"/>
        <c:crosses val="autoZero"/>
        <c:crossBetween val="midCat"/>
      </c:valAx>
      <c:valAx>
        <c:axId val="1917058652"/>
        <c:scaling>
          <c:orientation val="minMax"/>
        </c:scaling>
        <c:delete val="0"/>
        <c:axPos val="l"/>
        <c:title>
          <c:tx>
            <c:rich>
              <a:bodyPr/>
              <a:lstStyle/>
              <a:p>
                <a:pPr>
                  <a:defRPr/>
                </a:pPr>
                <a:r>
                  <a:rPr lang="en-US"/>
                  <a:t>Cost</a:t>
                </a:r>
                <a:r>
                  <a:rPr lang="en-US" baseline="0"/>
                  <a:t> to Produce</a:t>
                </a:r>
                <a:endParaRPr lang="en-US"/>
              </a:p>
            </c:rich>
          </c:tx>
          <c:overlay val="0"/>
        </c:title>
        <c:numFmt formatCode="&quot;$&quot;#,##0.00;[Red]\-&quot;$&quot;#,##0.00\ &quot;$/ML&quot;" sourceLinked="1"/>
        <c:majorTickMark val="cross"/>
        <c:minorTickMark val="cross"/>
        <c:tickLblPos val="nextTo"/>
        <c:spPr>
          <a:ln>
            <a:noFill/>
          </a:ln>
        </c:spPr>
        <c:crossAx val="1550201817"/>
        <c:crosses val="autoZero"/>
        <c:crossBetween val="midCat"/>
      </c:valAx>
    </c:plotArea>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lang="en-US" sz="1400" b="0" i="0">
                <a:solidFill>
                  <a:srgbClr val="757575"/>
                </a:solidFill>
                <a:latin typeface="Calibri"/>
              </a:rPr>
              <a:t>Surjek Scatter Plot (Cost to Produce vs. Volume of Water Produced)</a:t>
            </a:r>
          </a:p>
        </c:rich>
      </c:tx>
      <c:overlay val="0"/>
    </c:title>
    <c:autoTitleDeleted val="0"/>
    <c:plotArea>
      <c:layout/>
      <c:scatterChart>
        <c:scatterStyle val="lineMarker"/>
        <c:varyColors val="0"/>
        <c:ser>
          <c:idx val="0"/>
          <c:order val="0"/>
          <c:tx>
            <c:v>Surjek Cost to Produce vs. Water Production </c:v>
          </c:tx>
          <c:spPr>
            <a:ln w="19050">
              <a:no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'Economic Cost Analysis'!$G$35:$R$35</c:f>
              <c:numCache>
                <c:formatCode>#,##0.00</c:formatCode>
                <c:ptCount val="12"/>
                <c:pt idx="0">
                  <c:v>214.968999</c:v>
                </c:pt>
                <c:pt idx="1">
                  <c:v>228.199051</c:v>
                </c:pt>
                <c:pt idx="2">
                  <c:v>216.53646700000002</c:v>
                </c:pt>
                <c:pt idx="3">
                  <c:v>236.760276</c:v>
                </c:pt>
                <c:pt idx="4">
                  <c:v>232.052864</c:v>
                </c:pt>
                <c:pt idx="5">
                  <c:v>240.21016</c:v>
                </c:pt>
                <c:pt idx="6">
                  <c:v>288.160549</c:v>
                </c:pt>
                <c:pt idx="7">
                  <c:v>306.884524</c:v>
                </c:pt>
                <c:pt idx="8">
                  <c:v>367.65100600000005</c:v>
                </c:pt>
                <c:pt idx="9">
                  <c:v>351.99016599999999</c:v>
                </c:pt>
                <c:pt idx="10">
                  <c:v>362.822</c:v>
                </c:pt>
                <c:pt idx="11">
                  <c:v>260.31229999999999</c:v>
                </c:pt>
              </c:numCache>
            </c:numRef>
          </c:xVal>
          <c:yVal>
            <c:numRef>
              <c:f>'Economic Cost Analysis'!$G$36:$R$36</c:f>
              <c:numCache>
                <c:formatCode>"$"#,##0.00;[Red]\-"$"#,##0.00\ "$/ML"</c:formatCode>
                <c:ptCount val="12"/>
                <c:pt idx="0">
                  <c:v>52.749704483604205</c:v>
                </c:pt>
                <c:pt idx="1">
                  <c:v>59.863878813385597</c:v>
                </c:pt>
                <c:pt idx="2">
                  <c:v>63.762690282929732</c:v>
                </c:pt>
                <c:pt idx="3">
                  <c:v>78.188472724753353</c:v>
                </c:pt>
                <c:pt idx="4">
                  <c:v>86.296565119062237</c:v>
                </c:pt>
                <c:pt idx="5">
                  <c:v>53.948353573134469</c:v>
                </c:pt>
                <c:pt idx="6">
                  <c:v>48.540531907011328</c:v>
                </c:pt>
                <c:pt idx="7">
                  <c:v>53.6634853464152</c:v>
                </c:pt>
                <c:pt idx="8">
                  <c:v>40.836500744441324</c:v>
                </c:pt>
                <c:pt idx="9">
                  <c:v>45.840777989347593</c:v>
                </c:pt>
                <c:pt idx="10">
                  <c:v>52.15056777763202</c:v>
                </c:pt>
                <c:pt idx="11">
                  <c:v>32.611103369040954</c:v>
                </c:pt>
              </c:numCache>
            </c:numRef>
          </c:yVal>
          <c:smooth val="0"/>
          <c:extLst>
            <c:ext xmlns:c16="http://schemas.microsoft.com/office/drawing/2014/chart" uri="{C3380CC4-5D6E-409C-BE32-E72D297353CC}">
              <c16:uniqueId val="{00000000-2835-47D4-B749-7FCC3EDD447B}"/>
            </c:ext>
          </c:extLst>
        </c:ser>
        <c:dLbls>
          <c:showLegendKey val="0"/>
          <c:showVal val="0"/>
          <c:showCatName val="0"/>
          <c:showSerName val="0"/>
          <c:showPercent val="0"/>
          <c:showBubbleSize val="0"/>
        </c:dLbls>
        <c:axId val="1749232527"/>
        <c:axId val="1693238504"/>
      </c:scatterChart>
      <c:valAx>
        <c:axId val="1749232527"/>
        <c:scaling>
          <c:orientation val="minMax"/>
        </c:scaling>
        <c:delete val="0"/>
        <c:axPos val="b"/>
        <c:title>
          <c:tx>
            <c:rich>
              <a:bodyPr/>
              <a:lstStyle/>
              <a:p>
                <a:pPr>
                  <a:defRPr/>
                </a:pPr>
                <a:r>
                  <a:rPr lang="en-US"/>
                  <a:t>Volume</a:t>
                </a:r>
                <a:r>
                  <a:rPr lang="en-US" baseline="0"/>
                  <a:t> of Water Produced</a:t>
                </a:r>
                <a:endParaRPr lang="en-US"/>
              </a:p>
            </c:rich>
          </c:tx>
          <c:overlay val="0"/>
        </c:title>
        <c:numFmt formatCode="#,##0" sourceLinked="0"/>
        <c:majorTickMark val="none"/>
        <c:minorTickMark val="none"/>
        <c:tickLblPos val="nextTo"/>
        <c:spPr>
          <a:ln/>
        </c:spPr>
        <c:txPr>
          <a:bodyPr/>
          <a:lstStyle/>
          <a:p>
            <a:pPr lvl="0">
              <a:defRPr sz="900" b="0" i="0">
                <a:solidFill>
                  <a:srgbClr val="000000"/>
                </a:solidFill>
                <a:latin typeface="Calibri"/>
              </a:defRPr>
            </a:pPr>
            <a:endParaRPr lang="en-US"/>
          </a:p>
        </c:txPr>
        <c:crossAx val="1693238504"/>
        <c:crosses val="autoZero"/>
        <c:crossBetween val="midCat"/>
      </c:valAx>
      <c:valAx>
        <c:axId val="1693238504"/>
        <c:scaling>
          <c:orientation val="minMax"/>
        </c:scaling>
        <c:delete val="0"/>
        <c:axPos val="l"/>
        <c:title>
          <c:tx>
            <c:rich>
              <a:bodyPr/>
              <a:lstStyle/>
              <a:p>
                <a:pPr>
                  <a:defRPr/>
                </a:pPr>
                <a:r>
                  <a:rPr lang="en-US"/>
                  <a:t>Cost</a:t>
                </a:r>
                <a:r>
                  <a:rPr lang="en-US" baseline="0"/>
                  <a:t> To Produce</a:t>
                </a:r>
                <a:endParaRPr lang="en-US"/>
              </a:p>
            </c:rich>
          </c:tx>
          <c:overlay val="0"/>
        </c:title>
        <c:numFmt formatCode="&quot;$&quot;#,##0.00;[Red]\-&quot;$&quot;#,##0.00\ &quot;$/ML&quot;" sourceLinked="1"/>
        <c:majorTickMark val="cross"/>
        <c:minorTickMark val="cross"/>
        <c:tickLblPos val="nextTo"/>
        <c:spPr>
          <a:ln>
            <a:noFill/>
          </a:ln>
        </c:spPr>
        <c:crossAx val="1749232527"/>
        <c:crosses val="autoZero"/>
        <c:crossBetween val="midCat"/>
      </c:valAx>
    </c:plotArea>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lang="en-US" sz="1400" b="0" i="0">
                <a:solidFill>
                  <a:srgbClr val="757575"/>
                </a:solidFill>
                <a:latin typeface="Calibri"/>
              </a:rPr>
              <a:t>Jutik Scatter Plot (Cost to Produce vs. Volume of Water Produced)</a:t>
            </a:r>
          </a:p>
        </c:rich>
      </c:tx>
      <c:overlay val="0"/>
    </c:title>
    <c:autoTitleDeleted val="0"/>
    <c:plotArea>
      <c:layout/>
      <c:scatterChart>
        <c:scatterStyle val="lineMarker"/>
        <c:varyColors val="0"/>
        <c:ser>
          <c:idx val="0"/>
          <c:order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'Economic Cost Analysis'!$G$46:$R$46</c:f>
              <c:numCache>
                <c:formatCode>#,##0.00</c:formatCode>
                <c:ptCount val="12"/>
                <c:pt idx="0">
                  <c:v>250.24199099999998</c:v>
                </c:pt>
                <c:pt idx="1">
                  <c:v>206.740703</c:v>
                </c:pt>
                <c:pt idx="2">
                  <c:v>201.23546099999996</c:v>
                </c:pt>
                <c:pt idx="3">
                  <c:v>174.36956599999999</c:v>
                </c:pt>
                <c:pt idx="4">
                  <c:v>204.09105</c:v>
                </c:pt>
                <c:pt idx="5">
                  <c:v>146.35666599999999</c:v>
                </c:pt>
                <c:pt idx="6">
                  <c:v>204.20249700000002</c:v>
                </c:pt>
                <c:pt idx="7">
                  <c:v>217.43019900000002</c:v>
                </c:pt>
                <c:pt idx="8">
                  <c:v>230.98220000000001</c:v>
                </c:pt>
                <c:pt idx="9">
                  <c:v>236.441136</c:v>
                </c:pt>
                <c:pt idx="10">
                  <c:v>241.40736899999999</c:v>
                </c:pt>
                <c:pt idx="11">
                  <c:v>220.380334</c:v>
                </c:pt>
              </c:numCache>
            </c:numRef>
          </c:xVal>
          <c:yVal>
            <c:numRef>
              <c:f>'Economic Cost Analysis'!$G$47:$R$47</c:f>
              <c:numCache>
                <c:formatCode>"$"#,##0.00;[Red]\-"$"#,##0.00\ "$/ML"</c:formatCode>
                <c:ptCount val="12"/>
                <c:pt idx="0">
                  <c:v>32.644395721309699</c:v>
                </c:pt>
                <c:pt idx="1">
                  <c:v>31.479124229144556</c:v>
                </c:pt>
                <c:pt idx="2">
                  <c:v>43.716430376785929</c:v>
                </c:pt>
                <c:pt idx="3">
                  <c:v>42.437461047529588</c:v>
                </c:pt>
                <c:pt idx="4">
                  <c:v>30.832306822249631</c:v>
                </c:pt>
                <c:pt idx="5">
                  <c:v>40.056607121314855</c:v>
                </c:pt>
                <c:pt idx="6">
                  <c:v>35.252643432800426</c:v>
                </c:pt>
                <c:pt idx="7">
                  <c:v>34.40970474928254</c:v>
                </c:pt>
                <c:pt idx="8">
                  <c:v>37.625793747462467</c:v>
                </c:pt>
                <c:pt idx="9">
                  <c:v>28.473377116074253</c:v>
                </c:pt>
                <c:pt idx="10">
                  <c:v>33.597819136852863</c:v>
                </c:pt>
                <c:pt idx="11">
                  <c:v>43.016148904686304</c:v>
                </c:pt>
              </c:numCache>
            </c:numRef>
          </c:yVal>
          <c:smooth val="0"/>
          <c:extLst>
            <c:ext xmlns:c16="http://schemas.microsoft.com/office/drawing/2014/chart" uri="{C3380CC4-5D6E-409C-BE32-E72D297353CC}">
              <c16:uniqueId val="{00000000-1ADE-4616-98B9-75CE6D4ECEE1}"/>
            </c:ext>
          </c:extLst>
        </c:ser>
        <c:dLbls>
          <c:showLegendKey val="0"/>
          <c:showVal val="0"/>
          <c:showCatName val="0"/>
          <c:showSerName val="0"/>
          <c:showPercent val="0"/>
          <c:showBubbleSize val="0"/>
        </c:dLbls>
        <c:axId val="1164507374"/>
        <c:axId val="1369889910"/>
      </c:scatterChart>
      <c:valAx>
        <c:axId val="1164507374"/>
        <c:scaling>
          <c:orientation val="minMax"/>
        </c:scaling>
        <c:delete val="0"/>
        <c:axPos val="b"/>
        <c:majorGridlines>
          <c:spPr>
            <a:ln>
              <a:solidFill>
                <a:srgbClr val="B7B7B7"/>
              </a:solidFill>
            </a:ln>
          </c:spPr>
        </c:majorGridlines>
        <c:title>
          <c:tx>
            <c:rich>
              <a:bodyPr/>
              <a:lstStyle/>
              <a:p>
                <a:pPr>
                  <a:defRPr/>
                </a:pPr>
                <a:r>
                  <a:rPr lang="en-US"/>
                  <a:t>Volume</a:t>
                </a:r>
                <a:r>
                  <a:rPr lang="en-US" baseline="0"/>
                  <a:t> of Water Produced</a:t>
                </a:r>
                <a:endParaRPr lang="en-US"/>
              </a:p>
            </c:rich>
          </c:tx>
          <c:overlay val="0"/>
        </c:title>
        <c:numFmt formatCode="#,##0" sourceLinked="0"/>
        <c:majorTickMark val="none"/>
        <c:minorTickMark val="none"/>
        <c:tickLblPos val="nextTo"/>
        <c:spPr>
          <a:ln/>
        </c:spPr>
        <c:txPr>
          <a:bodyPr/>
          <a:lstStyle/>
          <a:p>
            <a:pPr lvl="0">
              <a:defRPr sz="900" b="0" i="0">
                <a:solidFill>
                  <a:srgbClr val="000000"/>
                </a:solidFill>
                <a:latin typeface="Calibri"/>
              </a:defRPr>
            </a:pPr>
            <a:endParaRPr lang="en-US"/>
          </a:p>
        </c:txPr>
        <c:crossAx val="1369889910"/>
        <c:crosses val="autoZero"/>
        <c:crossBetween val="midCat"/>
      </c:valAx>
      <c:valAx>
        <c:axId val="1369889910"/>
        <c:scaling>
          <c:orientation val="minMax"/>
        </c:scaling>
        <c:delete val="0"/>
        <c:axPos val="l"/>
        <c:title>
          <c:tx>
            <c:rich>
              <a:bodyPr/>
              <a:lstStyle/>
              <a:p>
                <a:pPr>
                  <a:defRPr/>
                </a:pPr>
                <a:r>
                  <a:rPr lang="en-US"/>
                  <a:t>Cost</a:t>
                </a:r>
                <a:r>
                  <a:rPr lang="en-US" baseline="0"/>
                  <a:t> to Produce</a:t>
                </a:r>
                <a:endParaRPr lang="en-US"/>
              </a:p>
            </c:rich>
          </c:tx>
          <c:overlay val="0"/>
        </c:title>
        <c:numFmt formatCode="&quot;$&quot;#,##0.00;[Red]\-&quot;$&quot;#,##0.00\ &quot;$/ML&quot;" sourceLinked="1"/>
        <c:majorTickMark val="cross"/>
        <c:minorTickMark val="cross"/>
        <c:tickLblPos val="nextTo"/>
        <c:spPr>
          <a:ln>
            <a:noFill/>
          </a:ln>
        </c:spPr>
        <c:crossAx val="1164507374"/>
        <c:crosses val="autoZero"/>
        <c:crossBetween val="midCat"/>
      </c:valAx>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a:t>
            </a:r>
            <a:r>
              <a:rPr lang="en-US" baseline="0"/>
              <a:t> CTP, KOOTHA CTP, Surjetk CTP, Jutik CTP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Overall CTP</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'Economic Cost Analysis'!$G$13:$R$13</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'Economic Cost Analysis'!$G$65:$R$65</c:f>
              <c:numCache>
                <c:formatCode>"$"#,##0.00;[Red]\-"$"#,##0.00</c:formatCode>
                <c:ptCount val="12"/>
                <c:pt idx="0">
                  <c:v>35.4895180180268</c:v>
                </c:pt>
                <c:pt idx="1">
                  <c:v>40.083392414844866</c:v>
                </c:pt>
                <c:pt idx="2">
                  <c:v>43.723249193160832</c:v>
                </c:pt>
                <c:pt idx="3">
                  <c:v>48.886636356341938</c:v>
                </c:pt>
                <c:pt idx="4">
                  <c:v>56.088102230227392</c:v>
                </c:pt>
                <c:pt idx="5">
                  <c:v>39.044842053719009</c:v>
                </c:pt>
                <c:pt idx="6">
                  <c:v>38.918514174055339</c:v>
                </c:pt>
                <c:pt idx="7">
                  <c:v>41.543319627670584</c:v>
                </c:pt>
                <c:pt idx="8">
                  <c:v>35.585926820374347</c:v>
                </c:pt>
                <c:pt idx="9">
                  <c:v>35.928208360416363</c:v>
                </c:pt>
                <c:pt idx="10">
                  <c:v>41.013913758286819</c:v>
                </c:pt>
                <c:pt idx="11">
                  <c:v>37.418278653587279</c:v>
                </c:pt>
              </c:numCache>
            </c:numRef>
          </c:val>
          <c:smooth val="0"/>
          <c:extLst>
            <c:ext xmlns:c16="http://schemas.microsoft.com/office/drawing/2014/chart" uri="{C3380CC4-5D6E-409C-BE32-E72D297353CC}">
              <c16:uniqueId val="{00000000-DF95-499A-AE6B-0E991F9D312F}"/>
            </c:ext>
          </c:extLst>
        </c:ser>
        <c:ser>
          <c:idx val="1"/>
          <c:order val="1"/>
          <c:tx>
            <c:v>Kootha CTP</c:v>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'Economic Cost Analysis'!$G$13:$R$13</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'Economic Cost Analysis'!$G$25:$R$25</c:f>
              <c:numCache>
                <c:formatCode>"$"#,##0.00;[Red]\-"$"#,##0.00\ "$/ML"</c:formatCode>
                <c:ptCount val="12"/>
                <c:pt idx="0">
                  <c:v>19.008554460403097</c:v>
                </c:pt>
                <c:pt idx="1">
                  <c:v>25.492172623052561</c:v>
                </c:pt>
                <c:pt idx="2">
                  <c:v>20.246430814356369</c:v>
                </c:pt>
                <c:pt idx="3">
                  <c:v>18.538208897820557</c:v>
                </c:pt>
                <c:pt idx="4">
                  <c:v>37.173188734592117</c:v>
                </c:pt>
                <c:pt idx="5">
                  <c:v>18.926571259334377</c:v>
                </c:pt>
                <c:pt idx="6">
                  <c:v>28.088710165040506</c:v>
                </c:pt>
                <c:pt idx="7">
                  <c:v>27.869870996564565</c:v>
                </c:pt>
                <c:pt idx="8">
                  <c:v>23.038875551690033</c:v>
                </c:pt>
                <c:pt idx="9">
                  <c:v>25.83514265328515</c:v>
                </c:pt>
                <c:pt idx="10">
                  <c:v>27.720966236714666</c:v>
                </c:pt>
                <c:pt idx="11">
                  <c:v>37.542526065045898</c:v>
                </c:pt>
              </c:numCache>
            </c:numRef>
          </c:val>
          <c:smooth val="0"/>
          <c:extLst>
            <c:ext xmlns:c16="http://schemas.microsoft.com/office/drawing/2014/chart" uri="{C3380CC4-5D6E-409C-BE32-E72D297353CC}">
              <c16:uniqueId val="{00000001-DF95-499A-AE6B-0E991F9D312F}"/>
            </c:ext>
          </c:extLst>
        </c:ser>
        <c:ser>
          <c:idx val="2"/>
          <c:order val="2"/>
          <c:tx>
            <c:v>Surjek CTP</c:v>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'Economic Cost Analysis'!$G$13:$R$13</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'Economic Cost Analysis'!$G$36:$R$36</c:f>
              <c:numCache>
                <c:formatCode>"$"#,##0.00;[Red]\-"$"#,##0.00\ "$/ML"</c:formatCode>
                <c:ptCount val="12"/>
                <c:pt idx="0">
                  <c:v>52.749704483604205</c:v>
                </c:pt>
                <c:pt idx="1">
                  <c:v>59.863878813385597</c:v>
                </c:pt>
                <c:pt idx="2">
                  <c:v>63.762690282929732</c:v>
                </c:pt>
                <c:pt idx="3">
                  <c:v>78.188472724753353</c:v>
                </c:pt>
                <c:pt idx="4">
                  <c:v>86.296565119062237</c:v>
                </c:pt>
                <c:pt idx="5">
                  <c:v>53.948353573134469</c:v>
                </c:pt>
                <c:pt idx="6">
                  <c:v>48.540531907011328</c:v>
                </c:pt>
                <c:pt idx="7">
                  <c:v>53.6634853464152</c:v>
                </c:pt>
                <c:pt idx="8">
                  <c:v>40.836500744441324</c:v>
                </c:pt>
                <c:pt idx="9">
                  <c:v>45.840777989347593</c:v>
                </c:pt>
                <c:pt idx="10">
                  <c:v>52.15056777763202</c:v>
                </c:pt>
                <c:pt idx="11">
                  <c:v>32.611103369040954</c:v>
                </c:pt>
              </c:numCache>
            </c:numRef>
          </c:val>
          <c:smooth val="0"/>
          <c:extLst>
            <c:ext xmlns:c16="http://schemas.microsoft.com/office/drawing/2014/chart" uri="{C3380CC4-5D6E-409C-BE32-E72D297353CC}">
              <c16:uniqueId val="{00000002-DF95-499A-AE6B-0E991F9D312F}"/>
            </c:ext>
          </c:extLst>
        </c:ser>
        <c:ser>
          <c:idx val="3"/>
          <c:order val="3"/>
          <c:tx>
            <c:v>Jutik CTP</c:v>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'Economic Cost Analysis'!$G$13:$R$13</c:f>
              <c:numCache>
                <c:formatCode>mmm\-yy</c:formatCode>
                <c:ptCount val="12"/>
                <c:pt idx="0">
                  <c:v>41456</c:v>
                </c:pt>
                <c:pt idx="1">
                  <c:v>41487</c:v>
                </c:pt>
                <c:pt idx="2">
                  <c:v>41518</c:v>
                </c:pt>
                <c:pt idx="3">
                  <c:v>41548</c:v>
                </c:pt>
                <c:pt idx="4">
                  <c:v>41579</c:v>
                </c:pt>
                <c:pt idx="5">
                  <c:v>41609</c:v>
                </c:pt>
                <c:pt idx="6">
                  <c:v>41640</c:v>
                </c:pt>
                <c:pt idx="7">
                  <c:v>41671</c:v>
                </c:pt>
                <c:pt idx="8">
                  <c:v>41699</c:v>
                </c:pt>
                <c:pt idx="9">
                  <c:v>41730</c:v>
                </c:pt>
                <c:pt idx="10">
                  <c:v>41760</c:v>
                </c:pt>
                <c:pt idx="11">
                  <c:v>41791</c:v>
                </c:pt>
              </c:numCache>
            </c:numRef>
          </c:cat>
          <c:val>
            <c:numRef>
              <c:f>'Economic Cost Analysis'!$G$47:$R$47</c:f>
              <c:numCache>
                <c:formatCode>"$"#,##0.00;[Red]\-"$"#,##0.00\ "$/ML"</c:formatCode>
                <c:ptCount val="12"/>
                <c:pt idx="0">
                  <c:v>32.644395721309699</c:v>
                </c:pt>
                <c:pt idx="1">
                  <c:v>31.479124229144556</c:v>
                </c:pt>
                <c:pt idx="2">
                  <c:v>43.716430376785929</c:v>
                </c:pt>
                <c:pt idx="3">
                  <c:v>42.437461047529588</c:v>
                </c:pt>
                <c:pt idx="4">
                  <c:v>30.832306822249631</c:v>
                </c:pt>
                <c:pt idx="5">
                  <c:v>40.056607121314855</c:v>
                </c:pt>
                <c:pt idx="6">
                  <c:v>35.252643432800426</c:v>
                </c:pt>
                <c:pt idx="7">
                  <c:v>34.40970474928254</c:v>
                </c:pt>
                <c:pt idx="8">
                  <c:v>37.625793747462467</c:v>
                </c:pt>
                <c:pt idx="9">
                  <c:v>28.473377116074253</c:v>
                </c:pt>
                <c:pt idx="10">
                  <c:v>33.597819136852863</c:v>
                </c:pt>
                <c:pt idx="11">
                  <c:v>43.016148904686304</c:v>
                </c:pt>
              </c:numCache>
            </c:numRef>
          </c:val>
          <c:smooth val="0"/>
          <c:extLst>
            <c:ext xmlns:c16="http://schemas.microsoft.com/office/drawing/2014/chart" uri="{C3380CC4-5D6E-409C-BE32-E72D297353CC}">
              <c16:uniqueId val="{00000003-DF95-499A-AE6B-0E991F9D312F}"/>
            </c:ext>
          </c:extLst>
        </c:ser>
        <c:dLbls>
          <c:showLegendKey val="0"/>
          <c:showVal val="0"/>
          <c:showCatName val="0"/>
          <c:showSerName val="0"/>
          <c:showPercent val="0"/>
          <c:showBubbleSize val="0"/>
        </c:dLbls>
        <c:marker val="1"/>
        <c:smooth val="0"/>
        <c:axId val="1855736368"/>
        <c:axId val="1855729648"/>
      </c:lineChart>
      <c:dateAx>
        <c:axId val="1855736368"/>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729648"/>
        <c:crosses val="autoZero"/>
        <c:auto val="1"/>
        <c:lblOffset val="100"/>
        <c:baseTimeUnit val="months"/>
      </c:dateAx>
      <c:valAx>
        <c:axId val="18557296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7363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'Economic Cost Analysis'!$B$108</c:f>
              <c:strCache>
                <c:ptCount val="1"/>
                <c:pt idx="0">
                  <c:v>Overall Desalination Cost to Produce ($/ML)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'Economic Cost Analysis'!$A$109:$A$111</c:f>
              <c:strCache>
                <c:ptCount val="3"/>
                <c:pt idx="0">
                  <c:v>Kootha</c:v>
                </c:pt>
                <c:pt idx="1">
                  <c:v>Surjek</c:v>
                </c:pt>
                <c:pt idx="2">
                  <c:v>Jutik</c:v>
                </c:pt>
              </c:strCache>
            </c:strRef>
          </c:cat>
          <c:val>
            <c:numRef>
              <c:f>'Economic Cost Analysis'!$B$109:$B$111</c:f>
              <c:numCache>
                <c:formatCode>"$"#,##0.00;[Red]\-"$"#,##0.00</c:formatCode>
                <c:ptCount val="3"/>
                <c:pt idx="0" formatCode="&quot;$&quot;#,##0.00;[Red]\-&quot;$&quot;#,##0.00\ &quot;$/ML&quot;">
                  <c:v>25.001374005209883</c:v>
                </c:pt>
                <c:pt idx="1">
                  <c:v>54.231506516209798</c:v>
                </c:pt>
                <c:pt idx="2">
                  <c:v>35.80418919825496</c:v>
                </c:pt>
              </c:numCache>
            </c:numRef>
          </c:val>
          <c:extLst>
            <c:ext xmlns:c16="http://schemas.microsoft.com/office/drawing/2014/chart" uri="{C3380CC4-5D6E-409C-BE32-E72D297353CC}">
              <c16:uniqueId val="{00000001-EF80-4E79-B0DF-4CACC1B8CC24}"/>
            </c:ext>
          </c:extLst>
        </c:ser>
        <c:ser>
          <c:idx val="1"/>
          <c:order val="1"/>
          <c:tx>
            <c:strRef>
              <c:f>'Economic Cost Analysis'!$C$108</c:f>
              <c:strCache>
                <c:ptCount val="1"/>
                <c:pt idx="0">
                  <c:v>Overall Average WBMP Market Price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'Economic Cost Analysis'!$A$109:$A$111</c:f>
              <c:strCache>
                <c:ptCount val="3"/>
                <c:pt idx="0">
                  <c:v>Kootha</c:v>
                </c:pt>
                <c:pt idx="1">
                  <c:v>Surjek</c:v>
                </c:pt>
                <c:pt idx="2">
                  <c:v>Jutik</c:v>
                </c:pt>
              </c:strCache>
            </c:strRef>
          </c:cat>
          <c:val>
            <c:numRef>
              <c:f>'Economic Cost Analysis'!$C$109:$C$111</c:f>
              <c:numCache>
                <c:formatCode>"$"#,##0.00;[Red]\-"$"#,##0.00</c:formatCode>
                <c:ptCount val="3"/>
                <c:pt idx="0">
                  <c:v>55.517132988258403</c:v>
                </c:pt>
                <c:pt idx="1">
                  <c:v>55.735351791726728</c:v>
                </c:pt>
                <c:pt idx="2">
                  <c:v>56.667660360191988</c:v>
                </c:pt>
              </c:numCache>
            </c:numRef>
          </c:val>
          <c:extLst>
            <c:ext xmlns:c16="http://schemas.microsoft.com/office/drawing/2014/chart" uri="{C3380CC4-5D6E-409C-BE32-E72D297353CC}">
              <c16:uniqueId val="{00000002-EF80-4E79-B0DF-4CACC1B8CC24}"/>
            </c:ext>
          </c:extLst>
        </c:ser>
        <c:dLbls>
          <c:showLegendKey val="0"/>
          <c:showVal val="0"/>
          <c:showCatName val="0"/>
          <c:showSerName val="0"/>
          <c:showPercent val="0"/>
          <c:showBubbleSize val="0"/>
        </c:dLbls>
        <c:gapWidth val="219"/>
        <c:axId val="1869961744"/>
        <c:axId val="1869962224"/>
      </c:barChart>
      <c:catAx>
        <c:axId val="186996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962224"/>
        <c:crosses val="autoZero"/>
        <c:auto val="1"/>
        <c:lblAlgn val="ctr"/>
        <c:lblOffset val="100"/>
        <c:noMultiLvlLbl val="0"/>
      </c:catAx>
      <c:valAx>
        <c:axId val="18699622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Red]\-&quot;$&quot;#,##0.00\ &quot;$/M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96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Kootha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504077491"/>
        <c:axId val="2060102272"/>
      </c:lineChart>
      <c:catAx>
        <c:axId val="50407749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2060102272"/>
        <c:crosses val="autoZero"/>
        <c:auto val="1"/>
        <c:lblAlgn val="ctr"/>
        <c:lblOffset val="100"/>
        <c:noMultiLvlLbl val="1"/>
      </c:catAx>
      <c:valAx>
        <c:axId val="2060102272"/>
        <c:scaling>
          <c:orientation val="minMax"/>
        </c:scaling>
        <c:delete val="0"/>
        <c:axPos val="l"/>
        <c:majorTickMark val="cross"/>
        <c:minorTickMark val="cross"/>
        <c:tickLblPos val="nextTo"/>
        <c:spPr>
          <a:ln>
            <a:noFill/>
          </a:ln>
        </c:spPr>
        <c:crossAx val="504077491"/>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Surjek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2087479651"/>
        <c:axId val="1943917244"/>
      </c:lineChart>
      <c:catAx>
        <c:axId val="208747965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1943917244"/>
        <c:crosses val="autoZero"/>
        <c:auto val="1"/>
        <c:lblAlgn val="ctr"/>
        <c:lblOffset val="100"/>
        <c:noMultiLvlLbl val="1"/>
      </c:catAx>
      <c:valAx>
        <c:axId val="1943917244"/>
        <c:scaling>
          <c:orientation val="minMax"/>
        </c:scaling>
        <c:delete val="0"/>
        <c:axPos val="l"/>
        <c:majorTickMark val="cross"/>
        <c:minorTickMark val="cross"/>
        <c:tickLblPos val="nextTo"/>
        <c:spPr>
          <a:ln>
            <a:noFill/>
          </a:ln>
        </c:spPr>
        <c:crossAx val="2087479651"/>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Jutik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833915185"/>
        <c:axId val="1206397642"/>
      </c:lineChart>
      <c:catAx>
        <c:axId val="83391518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1206397642"/>
        <c:crosses val="autoZero"/>
        <c:auto val="1"/>
        <c:lblAlgn val="ctr"/>
        <c:lblOffset val="100"/>
        <c:noMultiLvlLbl val="1"/>
      </c:catAx>
      <c:valAx>
        <c:axId val="1206397642"/>
        <c:scaling>
          <c:orientation val="minMax"/>
        </c:scaling>
        <c:delete val="0"/>
        <c:axPos val="l"/>
        <c:majorTickMark val="cross"/>
        <c:minorTickMark val="cross"/>
        <c:tickLblPos val="nextTo"/>
        <c:spPr>
          <a:ln>
            <a:noFill/>
          </a:ln>
        </c:spPr>
        <c:crossAx val="833915185"/>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Calibri"/>
              </a:defRPr>
            </a:pPr>
            <a:r>
              <a:rPr sz="1400" b="0" i="0">
                <a:solidFill>
                  <a:srgbClr val="757575"/>
                </a:solidFill>
                <a:latin typeface="Calibri"/>
              </a:rPr>
              <a:t>Overall EBIT 2013 - 2014 Actuals vs Budget</a:t>
            </a:r>
          </a:p>
        </c:rich>
      </c:tx>
      <c:overlay val="0"/>
    </c:title>
    <c:autoTitleDeleted val="0"/>
    <c:plotArea>
      <c:layout/>
      <c:lineChart>
        <c:grouping val="standard"/>
        <c:varyColors val="1"/>
        <c:dLbls>
          <c:showLegendKey val="0"/>
          <c:showVal val="0"/>
          <c:showCatName val="0"/>
          <c:showSerName val="0"/>
          <c:showPercent val="0"/>
          <c:showBubbleSize val="0"/>
        </c:dLbls>
        <c:marker val="1"/>
        <c:smooth val="0"/>
        <c:axId val="1442580035"/>
        <c:axId val="2025891334"/>
      </c:lineChart>
      <c:catAx>
        <c:axId val="144258003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Calibri"/>
              </a:defRPr>
            </a:pPr>
            <a:endParaRPr lang="en-US"/>
          </a:p>
        </c:txPr>
        <c:crossAx val="2025891334"/>
        <c:crosses val="autoZero"/>
        <c:auto val="1"/>
        <c:lblAlgn val="ctr"/>
        <c:lblOffset val="100"/>
        <c:noMultiLvlLbl val="1"/>
      </c:catAx>
      <c:valAx>
        <c:axId val="2025891334"/>
        <c:scaling>
          <c:orientation val="minMax"/>
        </c:scaling>
        <c:delete val="0"/>
        <c:axPos val="l"/>
        <c:majorTickMark val="cross"/>
        <c:minorTickMark val="cross"/>
        <c:tickLblPos val="nextTo"/>
        <c:spPr>
          <a:ln>
            <a:noFill/>
          </a:ln>
        </c:spPr>
        <c:crossAx val="1442580035"/>
        <c:crosses val="autoZero"/>
        <c:crossBetween val="between"/>
      </c:valAx>
    </c:plotArea>
    <c:legend>
      <c:legendPos val="t"/>
      <c:overlay val="0"/>
      <c:txPr>
        <a:bodyPr/>
        <a:lstStyle/>
        <a:p>
          <a:pPr lvl="0">
            <a:defRPr sz="900" b="0" i="0">
              <a:solidFill>
                <a:srgbClr val="1A1A1A"/>
              </a:solidFill>
              <a:latin typeface="Calibri"/>
            </a:defRPr>
          </a:pPr>
          <a:endParaRPr lang="en-US"/>
        </a:p>
      </c:txPr>
    </c:legend>
    <c:plotVisOnly val="1"/>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9.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8.xml"/><Relationship Id="rId5" Type="http://schemas.openxmlformats.org/officeDocument/2006/relationships/image" Target="../media/image9.png"/><Relationship Id="rId4" Type="http://schemas.openxmlformats.org/officeDocument/2006/relationships/image" Target="../media/image8.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oneCellAnchor>
    <xdr:from>
      <xdr:col>0</xdr:col>
      <xdr:colOff>0</xdr:colOff>
      <xdr:row>20</xdr:row>
      <xdr:rowOff>9525</xdr:rowOff>
    </xdr:from>
    <xdr:ext cx="11220450" cy="3181350"/>
    <xdr:pic>
      <xdr:nvPicPr>
        <xdr:cNvPr id="2" name="image2.png" descr="A screenshot of a table&#10;&#10;Description automatically generated">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1</xdr:row>
      <xdr:rowOff>19050</xdr:rowOff>
    </xdr:from>
    <xdr:ext cx="8324850" cy="5562600"/>
    <xdr:pic>
      <xdr:nvPicPr>
        <xdr:cNvPr id="3" name="image5.png" descr="A hand holding a cup of water with a faucet&#10;&#10;Description automatically generated">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0</xdr:colOff>
      <xdr:row>52</xdr:row>
      <xdr:rowOff>76200</xdr:rowOff>
    </xdr:from>
    <xdr:ext cx="8524875" cy="5867400"/>
    <xdr:pic>
      <xdr:nvPicPr>
        <xdr:cNvPr id="4" name="image3.png" descr="A screenshot of a computer screen&#10;&#10;Description automatically generated">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10</xdr:col>
      <xdr:colOff>0</xdr:colOff>
      <xdr:row>52</xdr:row>
      <xdr:rowOff>57150</xdr:rowOff>
    </xdr:from>
    <xdr:ext cx="9572625" cy="6353175"/>
    <xdr:pic>
      <xdr:nvPicPr>
        <xdr:cNvPr id="5" name="image1.png" descr="A screenshot of a computer&#10;&#10;Description automatically generated">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219075</xdr:colOff>
      <xdr:row>42</xdr:row>
      <xdr:rowOff>200025</xdr:rowOff>
    </xdr:from>
    <xdr:ext cx="7572375" cy="5505450"/>
    <xdr:pic>
      <xdr:nvPicPr>
        <xdr:cNvPr id="2" name="image1.png" descr="A screenshot of a computer&#10;&#10;Description automatically generated">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47625</xdr:colOff>
      <xdr:row>28</xdr:row>
      <xdr:rowOff>161925</xdr:rowOff>
    </xdr:from>
    <xdr:ext cx="5619750" cy="3009900"/>
    <xdr:pic>
      <xdr:nvPicPr>
        <xdr:cNvPr id="3" name="image9.png" descr="A graph with blue dots&#10;&#10;Description automatically generated">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2</xdr:col>
      <xdr:colOff>1152525</xdr:colOff>
      <xdr:row>29</xdr:row>
      <xdr:rowOff>276225</xdr:rowOff>
    </xdr:from>
    <xdr:to>
      <xdr:col>7</xdr:col>
      <xdr:colOff>104775</xdr:colOff>
      <xdr:row>36</xdr:row>
      <xdr:rowOff>233362</xdr:rowOff>
    </xdr:to>
    <xdr:graphicFrame macro="">
      <xdr:nvGraphicFramePr>
        <xdr:cNvPr id="4" name="Chart 3">
          <a:extLst>
            <a:ext uri="{FF2B5EF4-FFF2-40B4-BE49-F238E27FC236}">
              <a16:creationId xmlns:a16="http://schemas.microsoft.com/office/drawing/2014/main" id="{2B6801EF-2760-00F8-3F11-813EE178CC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371475</xdr:colOff>
      <xdr:row>29</xdr:row>
      <xdr:rowOff>57150</xdr:rowOff>
    </xdr:from>
    <xdr:to>
      <xdr:col>12</xdr:col>
      <xdr:colOff>838200</xdr:colOff>
      <xdr:row>36</xdr:row>
      <xdr:rowOff>233362</xdr:rowOff>
    </xdr:to>
    <xdr:graphicFrame macro="">
      <xdr:nvGraphicFramePr>
        <xdr:cNvPr id="5" name="Chart 4">
          <a:extLst>
            <a:ext uri="{FF2B5EF4-FFF2-40B4-BE49-F238E27FC236}">
              <a16:creationId xmlns:a16="http://schemas.microsoft.com/office/drawing/2014/main" id="{3B1AA2A3-2651-C2D6-9B22-3D28898535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180975</xdr:colOff>
      <xdr:row>71</xdr:row>
      <xdr:rowOff>114300</xdr:rowOff>
    </xdr:from>
    <xdr:ext cx="6353175" cy="2343150"/>
    <xdr:pic>
      <xdr:nvPicPr>
        <xdr:cNvPr id="2" name="image8.png" descr="A graph of a number of people&#10;&#10;Description automatically generated with medium confidenc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133350</xdr:colOff>
      <xdr:row>18</xdr:row>
      <xdr:rowOff>142875</xdr:rowOff>
    </xdr:from>
    <xdr:ext cx="8696325" cy="2362200"/>
    <xdr:pic>
      <xdr:nvPicPr>
        <xdr:cNvPr id="3" name="image6.png" descr="A graph on a white background&#10;&#10;Description automatically generated">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xdr:from>
      <xdr:col>7</xdr:col>
      <xdr:colOff>76200</xdr:colOff>
      <xdr:row>19</xdr:row>
      <xdr:rowOff>152400</xdr:rowOff>
    </xdr:from>
    <xdr:to>
      <xdr:col>11</xdr:col>
      <xdr:colOff>685800</xdr:colOff>
      <xdr:row>33</xdr:row>
      <xdr:rowOff>95250</xdr:rowOff>
    </xdr:to>
    <xdr:graphicFrame macro="">
      <xdr:nvGraphicFramePr>
        <xdr:cNvPr id="4" name="Chart 3">
          <a:extLst>
            <a:ext uri="{FF2B5EF4-FFF2-40B4-BE49-F238E27FC236}">
              <a16:creationId xmlns:a16="http://schemas.microsoft.com/office/drawing/2014/main" id="{C0EC78E8-1378-181D-1BEF-F07EFDE358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419100</xdr:colOff>
      <xdr:row>18</xdr:row>
      <xdr:rowOff>114300</xdr:rowOff>
    </xdr:from>
    <xdr:to>
      <xdr:col>16</xdr:col>
      <xdr:colOff>1028700</xdr:colOff>
      <xdr:row>34</xdr:row>
      <xdr:rowOff>114300</xdr:rowOff>
    </xdr:to>
    <xdr:graphicFrame macro="">
      <xdr:nvGraphicFramePr>
        <xdr:cNvPr id="7" name="Chart 6">
          <a:extLst>
            <a:ext uri="{FF2B5EF4-FFF2-40B4-BE49-F238E27FC236}">
              <a16:creationId xmlns:a16="http://schemas.microsoft.com/office/drawing/2014/main" id="{0CF775F2-589F-39AE-A248-D3B12C9233DE}"/>
            </a:ext>
            <a:ext uri="{147F2762-F138-4A5C-976F-8EAC2B608ADB}">
              <a16:predDERef xmlns:a16="http://schemas.microsoft.com/office/drawing/2014/main" pred="{C0EC78E8-1378-181D-1BEF-F07EFDE358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0</xdr:col>
      <xdr:colOff>0</xdr:colOff>
      <xdr:row>85</xdr:row>
      <xdr:rowOff>19050</xdr:rowOff>
    </xdr:from>
    <xdr:ext cx="4991100" cy="2857500"/>
    <xdr:graphicFrame macro="">
      <xdr:nvGraphicFramePr>
        <xdr:cNvPr id="613478806" name="Chart 1">
          <a:extLst>
            <a:ext uri="{FF2B5EF4-FFF2-40B4-BE49-F238E27FC236}">
              <a16:creationId xmlns:a16="http://schemas.microsoft.com/office/drawing/2014/main" id="{00000000-0008-0000-0400-000096F19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714376</xdr:colOff>
      <xdr:row>85</xdr:row>
      <xdr:rowOff>19050</xdr:rowOff>
    </xdr:from>
    <xdr:ext cx="4953000" cy="2647950"/>
    <xdr:graphicFrame macro="">
      <xdr:nvGraphicFramePr>
        <xdr:cNvPr id="7" name="Chart 2">
          <a:extLst>
            <a:ext uri="{FF2B5EF4-FFF2-40B4-BE49-F238E27FC236}">
              <a16:creationId xmlns:a16="http://schemas.microsoft.com/office/drawing/2014/main" id="{00000000-0008-0000-0400-00006E76575E}"/>
            </a:ext>
            <a:ext uri="{147F2762-F138-4A5C-976F-8EAC2B608ADB}">
              <a16:predDERef xmlns:a16="http://schemas.microsoft.com/office/drawing/2014/main" pred="{00000000-0008-0000-0400-000096F19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8</xdr:col>
      <xdr:colOff>390525</xdr:colOff>
      <xdr:row>85</xdr:row>
      <xdr:rowOff>0</xdr:rowOff>
    </xdr:from>
    <xdr:ext cx="5095875" cy="2857500"/>
    <xdr:graphicFrame macro="">
      <xdr:nvGraphicFramePr>
        <xdr:cNvPr id="29378810" name="Chart 3">
          <a:extLst>
            <a:ext uri="{FF2B5EF4-FFF2-40B4-BE49-F238E27FC236}">
              <a16:creationId xmlns:a16="http://schemas.microsoft.com/office/drawing/2014/main" id="{00000000-0008-0000-0400-0000FA48C0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95250</xdr:colOff>
      <xdr:row>66</xdr:row>
      <xdr:rowOff>9525</xdr:rowOff>
    </xdr:from>
    <xdr:ext cx="6991350" cy="2714625"/>
    <xdr:pic>
      <xdr:nvPicPr>
        <xdr:cNvPr id="2" name="image4.png" descr="A graph of a graph with numbers and lines&#10;&#10;Description automatically generated with medium confidenc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0</xdr:colOff>
      <xdr:row>113</xdr:row>
      <xdr:rowOff>0</xdr:rowOff>
    </xdr:from>
    <xdr:ext cx="4619625" cy="3448050"/>
    <xdr:pic>
      <xdr:nvPicPr>
        <xdr:cNvPr id="3" name="image7.png" descr="A graph of a graph showing the cost of produce&#10;&#10;Description automatically generated">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twoCellAnchor>
    <xdr:from>
      <xdr:col>5</xdr:col>
      <xdr:colOff>352425</xdr:colOff>
      <xdr:row>65</xdr:row>
      <xdr:rowOff>152399</xdr:rowOff>
    </xdr:from>
    <xdr:to>
      <xdr:col>14</xdr:col>
      <xdr:colOff>304800</xdr:colOff>
      <xdr:row>82</xdr:row>
      <xdr:rowOff>123825</xdr:rowOff>
    </xdr:to>
    <xdr:graphicFrame macro="">
      <xdr:nvGraphicFramePr>
        <xdr:cNvPr id="4" name="Chart 3">
          <a:extLst>
            <a:ext uri="{FF2B5EF4-FFF2-40B4-BE49-F238E27FC236}">
              <a16:creationId xmlns:a16="http://schemas.microsoft.com/office/drawing/2014/main" id="{32173CC4-B74A-9820-9184-89BD0E6DD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1514474</xdr:colOff>
      <xdr:row>109</xdr:row>
      <xdr:rowOff>114300</xdr:rowOff>
    </xdr:from>
    <xdr:to>
      <xdr:col>10</xdr:col>
      <xdr:colOff>209549</xdr:colOff>
      <xdr:row>131</xdr:row>
      <xdr:rowOff>47625</xdr:rowOff>
    </xdr:to>
    <xdr:graphicFrame macro="">
      <xdr:nvGraphicFramePr>
        <xdr:cNvPr id="5" name="Chart 4">
          <a:extLst>
            <a:ext uri="{FF2B5EF4-FFF2-40B4-BE49-F238E27FC236}">
              <a16:creationId xmlns:a16="http://schemas.microsoft.com/office/drawing/2014/main" id="{3CFBB197-9313-9DBE-4B0E-71B807C3F5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0</xdr:col>
      <xdr:colOff>76200</xdr:colOff>
      <xdr:row>69</xdr:row>
      <xdr:rowOff>95250</xdr:rowOff>
    </xdr:from>
    <xdr:ext cx="8372475" cy="2924175"/>
    <xdr:graphicFrame macro="">
      <xdr:nvGraphicFramePr>
        <xdr:cNvPr id="1656188226" name="Chart 4">
          <a:extLst>
            <a:ext uri="{FF2B5EF4-FFF2-40B4-BE49-F238E27FC236}">
              <a16:creationId xmlns:a16="http://schemas.microsoft.com/office/drawing/2014/main" id="{00000000-0008-0000-0800-0000426DB7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57150</xdr:colOff>
      <xdr:row>86</xdr:row>
      <xdr:rowOff>57150</xdr:rowOff>
    </xdr:from>
    <xdr:ext cx="8372475" cy="2924175"/>
    <xdr:graphicFrame macro="">
      <xdr:nvGraphicFramePr>
        <xdr:cNvPr id="1502523377" name="Chart 5">
          <a:extLst>
            <a:ext uri="{FF2B5EF4-FFF2-40B4-BE49-F238E27FC236}">
              <a16:creationId xmlns:a16="http://schemas.microsoft.com/office/drawing/2014/main" id="{00000000-0008-0000-0800-0000F1AF8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600075</xdr:colOff>
      <xdr:row>69</xdr:row>
      <xdr:rowOff>76200</xdr:rowOff>
    </xdr:from>
    <xdr:ext cx="8353425" cy="2933700"/>
    <xdr:graphicFrame macro="">
      <xdr:nvGraphicFramePr>
        <xdr:cNvPr id="999829471" name="Chart 6">
          <a:extLst>
            <a:ext uri="{FF2B5EF4-FFF2-40B4-BE49-F238E27FC236}">
              <a16:creationId xmlns:a16="http://schemas.microsoft.com/office/drawing/2014/main" id="{00000000-0008-0000-0800-0000DF2F98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7</xdr:col>
      <xdr:colOff>609600</xdr:colOff>
      <xdr:row>86</xdr:row>
      <xdr:rowOff>76200</xdr:rowOff>
    </xdr:from>
    <xdr:ext cx="8353425" cy="2924175"/>
    <xdr:graphicFrame macro="">
      <xdr:nvGraphicFramePr>
        <xdr:cNvPr id="39829638" name="Chart 7">
          <a:extLst>
            <a:ext uri="{FF2B5EF4-FFF2-40B4-BE49-F238E27FC236}">
              <a16:creationId xmlns:a16="http://schemas.microsoft.com/office/drawing/2014/main" id="{00000000-0008-0000-0800-000086C05F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E226E"/>
  </sheetPr>
  <dimension ref="A1:AA1000"/>
  <sheetViews>
    <sheetView showGridLines="0" workbookViewId="0"/>
  </sheetViews>
  <sheetFormatPr defaultColWidth="14.42578125" defaultRowHeight="15" customHeight="1" x14ac:dyDescent="0.25"/>
  <cols>
    <col min="1" max="1" width="57.85546875" customWidth="1"/>
    <col min="2" max="27" width="8.7109375" customWidth="1"/>
  </cols>
  <sheetData>
    <row r="1" spans="1:27" ht="54.75" customHeight="1" x14ac:dyDescent="0.5">
      <c r="A1" s="101" t="s">
        <v>0</v>
      </c>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row>
    <row r="2" spans="1:27" ht="54.75" customHeight="1" x14ac:dyDescent="0.45">
      <c r="A2" s="1"/>
      <c r="B2" s="2"/>
      <c r="C2" s="2"/>
      <c r="D2" s="2"/>
      <c r="E2" s="2"/>
      <c r="F2" s="2"/>
      <c r="G2" s="2"/>
      <c r="H2" s="2"/>
      <c r="I2" s="2"/>
      <c r="J2" s="2"/>
      <c r="K2" s="2"/>
      <c r="L2" s="2"/>
      <c r="M2" s="2"/>
      <c r="N2" s="2"/>
      <c r="O2" s="2"/>
      <c r="P2" s="2"/>
      <c r="Q2" s="2"/>
      <c r="R2" s="2"/>
      <c r="S2" s="2"/>
      <c r="T2" s="2"/>
      <c r="U2" s="2"/>
      <c r="V2" s="2"/>
      <c r="W2" s="2"/>
      <c r="X2" s="2"/>
      <c r="Y2" s="2"/>
      <c r="Z2" s="2"/>
      <c r="AA2" s="2"/>
    </row>
    <row r="3" spans="1:27" ht="54.75" customHeight="1" x14ac:dyDescent="0.5">
      <c r="A3" s="3"/>
      <c r="B3" s="2"/>
      <c r="C3" s="2"/>
      <c r="D3" s="2"/>
      <c r="E3" s="2"/>
      <c r="F3" s="2"/>
      <c r="G3" s="2"/>
      <c r="H3" s="2"/>
      <c r="I3" s="2"/>
      <c r="J3" s="2"/>
      <c r="K3" s="2"/>
      <c r="L3" s="2"/>
      <c r="M3" s="2"/>
      <c r="N3" s="2"/>
      <c r="O3" s="2"/>
      <c r="P3" s="2"/>
      <c r="Q3" s="2"/>
      <c r="R3" s="2"/>
      <c r="S3" s="2"/>
      <c r="T3" s="2"/>
      <c r="U3" s="2"/>
      <c r="V3" s="2"/>
      <c r="W3" s="2"/>
      <c r="X3" s="2"/>
      <c r="Y3" s="2"/>
      <c r="Z3" s="2"/>
      <c r="AA3" s="2"/>
    </row>
    <row r="4" spans="1:27" ht="54.75" customHeight="1" x14ac:dyDescent="0.5">
      <c r="A4" s="3"/>
      <c r="B4" s="2"/>
      <c r="C4" s="2"/>
      <c r="D4" s="2"/>
      <c r="E4" s="2"/>
      <c r="F4" s="2"/>
      <c r="G4" s="2"/>
      <c r="H4" s="2"/>
      <c r="I4" s="2"/>
      <c r="J4" s="2"/>
      <c r="K4" s="2"/>
      <c r="L4" s="2"/>
      <c r="M4" s="2"/>
      <c r="N4" s="2"/>
      <c r="O4" s="2"/>
      <c r="P4" s="2"/>
      <c r="Q4" s="2"/>
      <c r="R4" s="2"/>
      <c r="S4" s="2"/>
      <c r="T4" s="2"/>
      <c r="U4" s="2"/>
      <c r="V4" s="2"/>
      <c r="W4" s="2"/>
      <c r="X4" s="2"/>
      <c r="Y4" s="2"/>
      <c r="Z4" s="2"/>
      <c r="AA4" s="2"/>
    </row>
    <row r="5" spans="1:27" ht="54.75" customHeight="1" x14ac:dyDescent="0.5">
      <c r="A5" s="3"/>
      <c r="B5" s="2"/>
      <c r="C5" s="2"/>
      <c r="D5" s="2"/>
      <c r="E5" s="2"/>
      <c r="F5" s="2"/>
      <c r="G5" s="2"/>
      <c r="H5" s="2"/>
      <c r="I5" s="2"/>
      <c r="J5" s="2"/>
      <c r="K5" s="2"/>
      <c r="L5" s="2"/>
      <c r="M5" s="2"/>
      <c r="N5" s="2"/>
      <c r="O5" s="2"/>
      <c r="P5" s="2"/>
      <c r="Q5" s="2"/>
      <c r="R5" s="2"/>
      <c r="S5" s="2"/>
      <c r="T5" s="2"/>
      <c r="U5" s="2"/>
      <c r="V5" s="2"/>
      <c r="W5" s="2"/>
      <c r="X5" s="2"/>
      <c r="Y5" s="2"/>
      <c r="Z5" s="2"/>
      <c r="AA5" s="2"/>
    </row>
    <row r="6" spans="1:27" ht="54.75" customHeight="1" x14ac:dyDescent="0.5">
      <c r="A6" s="3"/>
      <c r="B6" s="2"/>
      <c r="C6" s="2"/>
      <c r="D6" s="2"/>
      <c r="E6" s="2"/>
      <c r="F6" s="2"/>
      <c r="G6" s="2"/>
      <c r="H6" s="2"/>
      <c r="I6" s="2"/>
      <c r="J6" s="2"/>
      <c r="K6" s="2"/>
      <c r="L6" s="2"/>
      <c r="M6" s="2"/>
      <c r="N6" s="2"/>
      <c r="O6" s="2"/>
      <c r="P6" s="2"/>
      <c r="Q6" s="2"/>
      <c r="R6" s="2"/>
      <c r="S6" s="2"/>
      <c r="T6" s="2"/>
      <c r="U6" s="2"/>
      <c r="V6" s="2"/>
      <c r="W6" s="2"/>
      <c r="X6" s="2"/>
      <c r="Y6" s="2"/>
      <c r="Z6" s="2"/>
      <c r="AA6" s="2"/>
    </row>
    <row r="7" spans="1:27" ht="54.75" customHeight="1" x14ac:dyDescent="0.5">
      <c r="A7" s="3"/>
      <c r="B7" s="2"/>
      <c r="C7" s="2"/>
      <c r="D7" s="2"/>
      <c r="E7" s="2"/>
      <c r="F7" s="2"/>
      <c r="G7" s="2"/>
      <c r="H7" s="2"/>
      <c r="I7" s="2"/>
      <c r="J7" s="2"/>
      <c r="K7" s="2"/>
      <c r="L7" s="2"/>
      <c r="M7" s="2"/>
      <c r="N7" s="2"/>
      <c r="O7" s="2"/>
      <c r="P7" s="2"/>
      <c r="Q7" s="2"/>
      <c r="R7" s="2"/>
      <c r="S7" s="2"/>
      <c r="T7" s="2"/>
      <c r="U7" s="2"/>
      <c r="V7" s="2"/>
      <c r="W7" s="2"/>
      <c r="X7" s="2"/>
      <c r="Y7" s="2"/>
      <c r="Z7" s="2"/>
      <c r="AA7" s="2"/>
    </row>
    <row r="8" spans="1:27" ht="54.75" customHeight="1" x14ac:dyDescent="0.5">
      <c r="A8" s="3"/>
      <c r="B8" s="2"/>
      <c r="C8" s="2"/>
      <c r="D8" s="2"/>
      <c r="E8" s="2"/>
      <c r="F8" s="2"/>
      <c r="G8" s="2"/>
      <c r="H8" s="2"/>
      <c r="I8" s="2"/>
      <c r="J8" s="2"/>
      <c r="K8" s="2"/>
      <c r="L8" s="2"/>
      <c r="M8" s="2"/>
      <c r="N8" s="2"/>
      <c r="O8" s="2"/>
      <c r="P8" s="2"/>
      <c r="Q8" s="2"/>
      <c r="R8" s="2"/>
      <c r="S8" s="2"/>
      <c r="T8" s="2"/>
      <c r="U8" s="2"/>
      <c r="V8" s="2"/>
      <c r="W8" s="2"/>
      <c r="X8" s="2"/>
      <c r="Y8" s="2"/>
      <c r="Z8" s="2"/>
      <c r="AA8" s="2"/>
    </row>
    <row r="9" spans="1:27" ht="54.75" customHeight="1" x14ac:dyDescent="0.5">
      <c r="A9" s="3"/>
      <c r="B9" s="2"/>
      <c r="C9" s="2"/>
      <c r="D9" s="2"/>
      <c r="E9" s="2"/>
      <c r="F9" s="2"/>
      <c r="G9" s="2"/>
      <c r="H9" s="2"/>
      <c r="I9" s="2"/>
      <c r="J9" s="2"/>
      <c r="K9" s="2"/>
      <c r="L9" s="2"/>
      <c r="M9" s="2"/>
      <c r="N9" s="2"/>
      <c r="O9" s="2"/>
      <c r="P9" s="2"/>
      <c r="Q9" s="2"/>
      <c r="R9" s="2"/>
      <c r="S9" s="2"/>
      <c r="T9" s="2"/>
      <c r="U9" s="2"/>
      <c r="V9" s="2"/>
      <c r="W9" s="2"/>
      <c r="X9" s="2"/>
      <c r="Y9" s="2"/>
      <c r="Z9" s="2"/>
      <c r="AA9" s="2"/>
    </row>
    <row r="10" spans="1:27" ht="12.75" customHeight="1" x14ac:dyDescent="0.25">
      <c r="A10" s="4"/>
      <c r="B10" s="4"/>
      <c r="C10" s="4"/>
      <c r="D10" s="4"/>
      <c r="E10" s="4"/>
      <c r="F10" s="4"/>
      <c r="G10" s="4"/>
      <c r="H10" s="4"/>
      <c r="I10" s="4"/>
      <c r="J10" s="4"/>
      <c r="K10" s="4"/>
      <c r="L10" s="4"/>
      <c r="M10" s="4"/>
      <c r="N10" s="4"/>
      <c r="O10" s="4"/>
      <c r="P10" s="4"/>
      <c r="Q10" s="4"/>
      <c r="R10" s="4"/>
      <c r="S10" s="4"/>
      <c r="T10" s="4"/>
      <c r="U10" s="4"/>
      <c r="V10" s="4"/>
      <c r="W10" s="4"/>
      <c r="X10" s="4"/>
      <c r="Y10" s="4"/>
      <c r="Z10" s="4"/>
      <c r="AA10" s="4"/>
    </row>
    <row r="11" spans="1:27" ht="42" customHeight="1" x14ac:dyDescent="0.3">
      <c r="A11" s="5" t="s">
        <v>1</v>
      </c>
      <c r="B11" s="5"/>
      <c r="C11" s="5"/>
      <c r="D11" s="5"/>
      <c r="E11" s="5"/>
      <c r="F11" s="5"/>
      <c r="G11" s="5"/>
      <c r="H11" s="5"/>
      <c r="I11" s="5"/>
      <c r="J11" s="5"/>
      <c r="K11" s="5"/>
      <c r="L11" s="5"/>
      <c r="M11" s="5"/>
      <c r="N11" s="5"/>
      <c r="O11" s="5"/>
      <c r="P11" s="5"/>
      <c r="Q11" s="5"/>
      <c r="R11" s="5"/>
      <c r="S11" s="5"/>
      <c r="T11" s="5"/>
      <c r="U11" s="5"/>
      <c r="V11" s="5"/>
      <c r="W11" s="5"/>
      <c r="X11" s="5"/>
      <c r="Y11" s="5"/>
      <c r="Z11" s="5"/>
      <c r="AA11" s="5"/>
    </row>
    <row r="12" spans="1:27" ht="32.25" customHeight="1" x14ac:dyDescent="0.3">
      <c r="A12" s="5" t="s">
        <v>2</v>
      </c>
      <c r="B12" s="5"/>
      <c r="C12" s="5"/>
      <c r="D12" s="5"/>
      <c r="E12" s="5"/>
      <c r="F12" s="5"/>
      <c r="G12" s="5"/>
      <c r="H12" s="5"/>
      <c r="I12" s="5"/>
      <c r="J12" s="5"/>
      <c r="K12" s="5"/>
      <c r="L12" s="5"/>
      <c r="M12" s="5"/>
      <c r="N12" s="5"/>
      <c r="O12" s="5"/>
      <c r="P12" s="5"/>
      <c r="Q12" s="5"/>
      <c r="R12" s="5"/>
      <c r="S12" s="5"/>
      <c r="T12" s="5"/>
      <c r="U12" s="5"/>
      <c r="V12" s="5"/>
      <c r="W12" s="5"/>
      <c r="X12" s="5"/>
      <c r="Y12" s="5"/>
      <c r="Z12" s="5"/>
      <c r="AA12" s="5"/>
    </row>
    <row r="13" spans="1:27" ht="25.5" customHeight="1" x14ac:dyDescent="0.3">
      <c r="A13" s="5" t="s">
        <v>3</v>
      </c>
      <c r="B13" s="5"/>
      <c r="C13" s="5"/>
      <c r="D13" s="5"/>
      <c r="E13" s="5"/>
      <c r="F13" s="5"/>
      <c r="G13" s="5"/>
      <c r="H13" s="5"/>
      <c r="I13" s="5"/>
      <c r="J13" s="5"/>
      <c r="K13" s="5"/>
      <c r="L13" s="5"/>
      <c r="M13" s="5"/>
      <c r="N13" s="5"/>
      <c r="O13" s="5"/>
      <c r="P13" s="5"/>
      <c r="Q13" s="5"/>
      <c r="R13" s="5"/>
      <c r="S13" s="5"/>
      <c r="T13" s="5"/>
      <c r="U13" s="5"/>
      <c r="V13" s="5"/>
      <c r="W13" s="5"/>
      <c r="X13" s="5"/>
      <c r="Y13" s="5"/>
      <c r="Z13" s="5"/>
      <c r="AA13" s="5"/>
    </row>
    <row r="14" spans="1:27" ht="25.5" customHeight="1" x14ac:dyDescent="0.3">
      <c r="A14" s="5" t="s">
        <v>4</v>
      </c>
      <c r="B14" s="5"/>
      <c r="C14" s="5"/>
      <c r="D14" s="5"/>
      <c r="E14" s="5"/>
      <c r="F14" s="5"/>
      <c r="G14" s="5"/>
      <c r="H14" s="5"/>
      <c r="I14" s="5"/>
      <c r="J14" s="5"/>
      <c r="K14" s="5"/>
      <c r="L14" s="5"/>
      <c r="M14" s="5"/>
      <c r="N14" s="5"/>
      <c r="O14" s="5"/>
      <c r="P14" s="5"/>
      <c r="Q14" s="5"/>
      <c r="R14" s="5"/>
      <c r="S14" s="5"/>
      <c r="T14" s="5"/>
      <c r="U14" s="5"/>
      <c r="V14" s="5"/>
      <c r="W14" s="5"/>
      <c r="X14" s="5"/>
      <c r="Y14" s="5"/>
      <c r="Z14" s="5"/>
      <c r="AA14" s="5"/>
    </row>
    <row r="15" spans="1:27" ht="12" customHeight="1" x14ac:dyDescent="0.25">
      <c r="A15" s="6"/>
      <c r="B15" s="7"/>
      <c r="C15" s="7"/>
      <c r="D15" s="7"/>
      <c r="E15" s="7"/>
      <c r="F15" s="7"/>
      <c r="G15" s="7"/>
      <c r="H15" s="7"/>
      <c r="I15" s="7"/>
      <c r="J15" s="7"/>
      <c r="K15" s="7"/>
      <c r="L15" s="7"/>
      <c r="M15" s="7"/>
      <c r="N15" s="7"/>
      <c r="O15" s="7"/>
      <c r="P15" s="7"/>
      <c r="Q15" s="7"/>
      <c r="R15" s="7"/>
      <c r="S15" s="7"/>
      <c r="T15" s="7"/>
      <c r="U15" s="7"/>
      <c r="V15" s="7"/>
      <c r="W15" s="7"/>
      <c r="X15" s="7"/>
      <c r="Y15" s="7"/>
      <c r="Z15" s="7"/>
      <c r="AA15" s="7"/>
    </row>
    <row r="16" spans="1:27" ht="24.75" customHeight="1" x14ac:dyDescent="0.35">
      <c r="A16" s="103" t="s">
        <v>5</v>
      </c>
      <c r="B16" s="104"/>
      <c r="C16" s="104"/>
      <c r="D16" s="104"/>
      <c r="E16" s="104"/>
      <c r="F16" s="104"/>
      <c r="G16" s="104"/>
      <c r="H16" s="104"/>
      <c r="I16" s="104"/>
      <c r="J16" s="104"/>
      <c r="K16" s="104"/>
      <c r="L16" s="104"/>
      <c r="M16" s="104"/>
      <c r="N16" s="104"/>
      <c r="O16" s="104"/>
      <c r="P16" s="104"/>
      <c r="Q16" s="104"/>
      <c r="R16" s="104"/>
      <c r="S16" s="104"/>
      <c r="T16" s="104"/>
      <c r="U16" s="104"/>
      <c r="V16" s="104"/>
      <c r="W16" s="104"/>
      <c r="X16" s="104"/>
      <c r="Y16" s="104"/>
      <c r="Z16" s="104"/>
      <c r="AA16" s="104"/>
    </row>
    <row r="17" spans="1:27" ht="153" customHeight="1" x14ac:dyDescent="0.35">
      <c r="A17" s="199" t="s">
        <v>6</v>
      </c>
      <c r="B17" s="197"/>
      <c r="C17" s="197"/>
      <c r="D17" s="197"/>
      <c r="E17" s="197"/>
      <c r="F17" s="197"/>
      <c r="G17" s="197"/>
      <c r="H17" s="197"/>
      <c r="I17" s="197"/>
      <c r="J17" s="197"/>
      <c r="K17" s="197"/>
      <c r="L17" s="197"/>
      <c r="M17" s="197"/>
      <c r="N17" s="197"/>
      <c r="O17" s="197"/>
      <c r="P17" s="197"/>
      <c r="Q17" s="197"/>
      <c r="R17" s="197"/>
      <c r="S17" s="197"/>
      <c r="T17" s="197"/>
      <c r="U17" s="197"/>
      <c r="V17" s="197"/>
      <c r="W17" s="8"/>
      <c r="X17" s="8"/>
      <c r="Y17" s="8"/>
      <c r="Z17" s="8"/>
      <c r="AA17" s="8"/>
    </row>
    <row r="18" spans="1:27" ht="27.75" customHeight="1" x14ac:dyDescent="0.35">
      <c r="A18" s="105" t="s">
        <v>7</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6"/>
      <c r="Z18" s="106"/>
      <c r="AA18" s="106"/>
    </row>
    <row r="19" spans="1:27" ht="46.5" customHeight="1" x14ac:dyDescent="0.35">
      <c r="A19" s="199" t="s">
        <v>8</v>
      </c>
      <c r="B19" s="197"/>
      <c r="C19" s="197"/>
      <c r="D19" s="197"/>
      <c r="E19" s="197"/>
      <c r="F19" s="197"/>
      <c r="G19" s="197"/>
      <c r="H19" s="197"/>
      <c r="I19" s="197"/>
      <c r="J19" s="197"/>
      <c r="K19" s="197"/>
      <c r="L19" s="197"/>
      <c r="M19" s="197"/>
      <c r="N19" s="197"/>
      <c r="O19" s="197"/>
      <c r="P19" s="197"/>
      <c r="Q19" s="197"/>
      <c r="R19" s="197"/>
      <c r="S19" s="197"/>
      <c r="T19" s="197"/>
      <c r="U19" s="197"/>
      <c r="V19" s="197"/>
      <c r="W19" s="8"/>
      <c r="X19" s="8"/>
      <c r="Y19" s="8"/>
      <c r="Z19" s="8"/>
      <c r="AA19" s="8"/>
    </row>
    <row r="20" spans="1:27" ht="25.5" customHeight="1" x14ac:dyDescent="0.35">
      <c r="A20" s="199" t="s">
        <v>9</v>
      </c>
      <c r="B20" s="197"/>
      <c r="C20" s="197"/>
      <c r="D20" s="197"/>
      <c r="E20" s="197"/>
      <c r="F20" s="197"/>
      <c r="G20" s="197"/>
      <c r="H20" s="197"/>
      <c r="I20" s="197"/>
      <c r="J20" s="197"/>
      <c r="K20" s="197"/>
      <c r="L20" s="197"/>
      <c r="M20" s="197"/>
      <c r="N20" s="197"/>
      <c r="O20" s="197"/>
      <c r="P20" s="197"/>
      <c r="Q20" s="197"/>
      <c r="R20" s="197"/>
      <c r="S20" s="197"/>
      <c r="T20" s="197"/>
      <c r="U20" s="197"/>
      <c r="V20" s="197"/>
      <c r="W20" s="8"/>
      <c r="X20" s="8"/>
      <c r="Y20" s="8"/>
      <c r="Z20" s="8"/>
      <c r="AA20" s="8"/>
    </row>
    <row r="21" spans="1:27" ht="105" customHeight="1" x14ac:dyDescent="0.35">
      <c r="A21" s="200"/>
      <c r="B21" s="197"/>
      <c r="C21" s="197"/>
      <c r="D21" s="197"/>
      <c r="E21" s="197"/>
      <c r="F21" s="197"/>
      <c r="G21" s="197"/>
      <c r="H21" s="197"/>
      <c r="I21" s="197"/>
      <c r="J21" s="197"/>
      <c r="K21" s="197"/>
      <c r="L21" s="197"/>
      <c r="M21" s="197"/>
      <c r="N21" s="197"/>
      <c r="O21" s="197"/>
      <c r="P21" s="197"/>
      <c r="Q21" s="197"/>
      <c r="R21" s="197"/>
      <c r="S21" s="197"/>
      <c r="T21" s="197"/>
      <c r="U21" s="197"/>
      <c r="V21" s="197"/>
      <c r="W21" s="9"/>
      <c r="X21" s="9"/>
      <c r="Y21" s="9"/>
      <c r="Z21" s="9"/>
      <c r="AA21" s="9"/>
    </row>
    <row r="22" spans="1:27" ht="42" customHeight="1" x14ac:dyDescent="0.25">
      <c r="A22" s="6"/>
      <c r="B22" s="7"/>
      <c r="C22" s="7"/>
      <c r="D22" s="7"/>
      <c r="E22" s="7"/>
      <c r="F22" s="7"/>
      <c r="G22" s="7"/>
      <c r="H22" s="7"/>
      <c r="I22" s="7"/>
      <c r="J22" s="7"/>
      <c r="K22" s="7"/>
      <c r="L22" s="7"/>
      <c r="M22" s="7"/>
      <c r="N22" s="7"/>
      <c r="O22" s="7"/>
      <c r="P22" s="7"/>
      <c r="Q22" s="7"/>
      <c r="R22" s="7"/>
      <c r="S22" s="7"/>
      <c r="T22" s="7"/>
      <c r="U22" s="7"/>
      <c r="V22" s="7"/>
      <c r="W22" s="7"/>
      <c r="X22" s="7"/>
      <c r="Y22" s="7"/>
      <c r="Z22" s="7"/>
      <c r="AA22" s="7"/>
    </row>
    <row r="23" spans="1:27" ht="12.75" customHeight="1" x14ac:dyDescent="0.25">
      <c r="A23" s="7"/>
      <c r="B23" s="7"/>
      <c r="C23" s="7"/>
      <c r="D23" s="7"/>
      <c r="E23" s="7"/>
      <c r="F23" s="7"/>
      <c r="G23" s="7"/>
      <c r="H23" s="7"/>
      <c r="I23" s="7"/>
      <c r="J23" s="7"/>
      <c r="K23" s="7"/>
      <c r="L23" s="7"/>
      <c r="M23" s="7"/>
      <c r="N23" s="7"/>
      <c r="O23" s="7"/>
      <c r="P23" s="7"/>
      <c r="Q23" s="7"/>
      <c r="R23" s="7"/>
      <c r="S23" s="7"/>
      <c r="T23" s="7"/>
      <c r="U23" s="7"/>
      <c r="V23" s="7"/>
      <c r="W23" s="7"/>
      <c r="X23" s="7"/>
      <c r="Y23" s="7"/>
      <c r="Z23" s="7"/>
      <c r="AA23" s="7"/>
    </row>
    <row r="24" spans="1:27" ht="12.75" customHeight="1" x14ac:dyDescent="0.25">
      <c r="A24" s="7"/>
      <c r="B24" s="7"/>
      <c r="C24" s="7"/>
      <c r="D24" s="7"/>
      <c r="E24" s="7"/>
      <c r="F24" s="7"/>
      <c r="G24" s="7"/>
      <c r="H24" s="7"/>
      <c r="I24" s="7"/>
      <c r="J24" s="7"/>
      <c r="K24" s="7"/>
      <c r="L24" s="7"/>
      <c r="M24" s="7"/>
      <c r="N24" s="7"/>
      <c r="O24" s="7"/>
      <c r="P24" s="7"/>
      <c r="Q24" s="7"/>
      <c r="R24" s="7"/>
      <c r="S24" s="7"/>
      <c r="T24" s="7"/>
      <c r="U24" s="7"/>
      <c r="V24" s="7"/>
      <c r="W24" s="7"/>
      <c r="X24" s="7"/>
      <c r="Y24" s="7"/>
      <c r="Z24" s="7"/>
      <c r="AA24" s="7"/>
    </row>
    <row r="25" spans="1:27" ht="12.75" customHeight="1" x14ac:dyDescent="0.25">
      <c r="A25" s="7"/>
      <c r="B25" s="7"/>
      <c r="C25" s="7"/>
      <c r="D25" s="7"/>
      <c r="E25" s="7"/>
      <c r="F25" s="7"/>
      <c r="G25" s="7"/>
      <c r="H25" s="7"/>
      <c r="I25" s="7"/>
      <c r="J25" s="7"/>
      <c r="K25" s="7"/>
      <c r="L25" s="7"/>
      <c r="M25" s="7"/>
      <c r="N25" s="7"/>
      <c r="O25" s="7"/>
      <c r="P25" s="7"/>
      <c r="Q25" s="7"/>
      <c r="R25" s="7"/>
      <c r="S25" s="7"/>
      <c r="T25" s="7"/>
      <c r="U25" s="7"/>
      <c r="V25" s="7"/>
      <c r="W25" s="7"/>
      <c r="X25" s="7"/>
      <c r="Y25" s="7"/>
      <c r="Z25" s="7"/>
      <c r="AA25" s="7"/>
    </row>
    <row r="26" spans="1:27" ht="12.75" customHeight="1" x14ac:dyDescent="0.25">
      <c r="A26" s="7"/>
      <c r="B26" s="7"/>
      <c r="C26" s="7"/>
      <c r="D26" s="7"/>
      <c r="E26" s="7"/>
      <c r="F26" s="7"/>
      <c r="G26" s="7"/>
      <c r="H26" s="7"/>
      <c r="I26" s="7"/>
      <c r="J26" s="7"/>
      <c r="K26" s="7"/>
      <c r="L26" s="7"/>
      <c r="M26" s="7"/>
      <c r="N26" s="7"/>
      <c r="O26" s="7"/>
      <c r="P26" s="7"/>
      <c r="Q26" s="7"/>
      <c r="R26" s="7"/>
      <c r="S26" s="7"/>
      <c r="T26" s="7"/>
      <c r="U26" s="7"/>
      <c r="V26" s="7"/>
      <c r="W26" s="7"/>
      <c r="X26" s="7"/>
      <c r="Y26" s="7"/>
      <c r="Z26" s="7"/>
      <c r="AA26" s="7"/>
    </row>
    <row r="27" spans="1:27" ht="12.75" customHeight="1" x14ac:dyDescent="0.25">
      <c r="A27" s="7"/>
      <c r="B27" s="7"/>
      <c r="C27" s="7"/>
      <c r="D27" s="7"/>
      <c r="E27" s="7"/>
      <c r="F27" s="7"/>
      <c r="G27" s="7"/>
      <c r="H27" s="7"/>
      <c r="I27" s="7"/>
      <c r="J27" s="7"/>
      <c r="K27" s="7"/>
      <c r="L27" s="7"/>
      <c r="M27" s="7"/>
      <c r="N27" s="7"/>
      <c r="O27" s="7"/>
      <c r="P27" s="7"/>
      <c r="Q27" s="7"/>
      <c r="R27" s="7"/>
      <c r="S27" s="7"/>
      <c r="T27" s="7"/>
      <c r="U27" s="7"/>
      <c r="V27" s="7"/>
      <c r="W27" s="7"/>
      <c r="X27" s="7"/>
      <c r="Y27" s="7"/>
      <c r="Z27" s="7"/>
      <c r="AA27" s="7"/>
    </row>
    <row r="28" spans="1:27" ht="12.75" customHeight="1" x14ac:dyDescent="0.25">
      <c r="A28" s="7"/>
      <c r="B28" s="7"/>
      <c r="C28" s="7"/>
      <c r="D28" s="7"/>
      <c r="E28" s="7"/>
      <c r="F28" s="7"/>
      <c r="G28" s="7"/>
      <c r="H28" s="7"/>
      <c r="I28" s="7"/>
      <c r="J28" s="7"/>
      <c r="K28" s="7"/>
      <c r="L28" s="7"/>
      <c r="M28" s="7"/>
      <c r="N28" s="7"/>
      <c r="O28" s="7"/>
      <c r="P28" s="7"/>
      <c r="Q28" s="7"/>
      <c r="R28" s="7"/>
      <c r="S28" s="7"/>
      <c r="T28" s="7"/>
      <c r="U28" s="7"/>
      <c r="V28" s="7"/>
      <c r="W28" s="7"/>
      <c r="X28" s="7"/>
      <c r="Y28" s="7"/>
      <c r="Z28" s="7"/>
      <c r="AA28" s="7"/>
    </row>
    <row r="29" spans="1:27" ht="12.75" customHeight="1" x14ac:dyDescent="0.25">
      <c r="A29" s="7"/>
      <c r="B29" s="7"/>
      <c r="C29" s="7"/>
      <c r="D29" s="7"/>
      <c r="E29" s="7"/>
      <c r="F29" s="7"/>
      <c r="G29" s="7"/>
      <c r="H29" s="7"/>
      <c r="I29" s="7"/>
      <c r="J29" s="7"/>
      <c r="K29" s="7"/>
      <c r="L29" s="7"/>
      <c r="M29" s="7"/>
      <c r="N29" s="7"/>
      <c r="O29" s="7"/>
      <c r="P29" s="7"/>
      <c r="Q29" s="7"/>
      <c r="R29" s="7"/>
      <c r="S29" s="7"/>
      <c r="T29" s="7"/>
      <c r="U29" s="7"/>
      <c r="V29" s="7"/>
      <c r="W29" s="7"/>
      <c r="X29" s="7"/>
      <c r="Y29" s="7"/>
      <c r="Z29" s="7"/>
      <c r="AA29" s="7"/>
    </row>
    <row r="30" spans="1:27" ht="12.75" customHeight="1" x14ac:dyDescent="0.25">
      <c r="A30" s="7"/>
      <c r="B30" s="7"/>
      <c r="C30" s="7"/>
      <c r="D30" s="7"/>
      <c r="E30" s="7"/>
      <c r="F30" s="7"/>
      <c r="G30" s="7"/>
      <c r="H30" s="7"/>
      <c r="I30" s="7"/>
      <c r="J30" s="7"/>
      <c r="K30" s="7"/>
      <c r="L30" s="7"/>
      <c r="M30" s="7"/>
      <c r="N30" s="7"/>
      <c r="O30" s="7"/>
      <c r="P30" s="7"/>
      <c r="Q30" s="7"/>
      <c r="R30" s="7"/>
      <c r="S30" s="7"/>
      <c r="T30" s="7"/>
      <c r="U30" s="7"/>
      <c r="V30" s="7"/>
      <c r="W30" s="7"/>
      <c r="X30" s="7"/>
      <c r="Y30" s="7"/>
      <c r="Z30" s="7"/>
      <c r="AA30" s="7"/>
    </row>
    <row r="31" spans="1:27" ht="12.75" customHeight="1" x14ac:dyDescent="0.25">
      <c r="A31" s="7"/>
      <c r="B31" s="7"/>
      <c r="C31" s="7"/>
      <c r="D31" s="7"/>
      <c r="E31" s="7"/>
      <c r="F31" s="7"/>
      <c r="G31" s="7"/>
      <c r="H31" s="7"/>
      <c r="I31" s="7"/>
      <c r="J31" s="7"/>
      <c r="K31" s="7"/>
      <c r="L31" s="7"/>
      <c r="M31" s="7"/>
      <c r="N31" s="7"/>
      <c r="O31" s="7"/>
      <c r="P31" s="7"/>
      <c r="Q31" s="7"/>
      <c r="R31" s="7"/>
      <c r="S31" s="7"/>
      <c r="T31" s="7"/>
      <c r="U31" s="7"/>
      <c r="V31" s="7"/>
      <c r="W31" s="7"/>
      <c r="X31" s="7"/>
      <c r="Y31" s="7"/>
      <c r="Z31" s="7"/>
      <c r="AA31" s="7"/>
    </row>
    <row r="32" spans="1:27" ht="27.75" customHeight="1" x14ac:dyDescent="0.35">
      <c r="A32" s="105" t="s">
        <v>10</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row>
    <row r="33" spans="1:27" ht="27.75" customHeight="1" x14ac:dyDescent="0.25">
      <c r="A33" s="107" t="s">
        <v>11</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row>
    <row r="34" spans="1:27" ht="12.75" customHeight="1" x14ac:dyDescent="0.25">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spans="1:27" ht="12.75" customHeight="1" x14ac:dyDescent="0.3">
      <c r="A35" s="10" t="s">
        <v>12</v>
      </c>
      <c r="B35" s="201" t="s">
        <v>13</v>
      </c>
      <c r="C35" s="202"/>
      <c r="D35" s="202"/>
      <c r="E35" s="202"/>
      <c r="F35" s="202"/>
      <c r="G35" s="202"/>
      <c r="H35" s="202"/>
      <c r="I35" s="202"/>
      <c r="J35" s="202"/>
      <c r="K35" s="202"/>
      <c r="L35" s="202"/>
      <c r="M35" s="202"/>
      <c r="N35" s="202"/>
      <c r="O35" s="202"/>
      <c r="P35" s="202"/>
      <c r="Q35" s="202"/>
      <c r="R35" s="202"/>
      <c r="S35" s="202"/>
      <c r="T35" s="202"/>
      <c r="U35" s="202"/>
      <c r="V35" s="202"/>
      <c r="W35" s="11"/>
      <c r="X35" s="11"/>
      <c r="Y35" s="11"/>
      <c r="Z35" s="11"/>
      <c r="AA35" s="11"/>
    </row>
    <row r="36" spans="1:27" ht="12.75" customHeight="1" x14ac:dyDescent="0.3">
      <c r="A36" s="12" t="s">
        <v>14</v>
      </c>
      <c r="B36" s="203" t="s">
        <v>15</v>
      </c>
      <c r="C36" s="197"/>
      <c r="D36" s="197"/>
      <c r="E36" s="197"/>
      <c r="F36" s="197"/>
      <c r="G36" s="197"/>
      <c r="H36" s="197"/>
      <c r="I36" s="197"/>
      <c r="J36" s="197"/>
      <c r="K36" s="197"/>
      <c r="L36" s="197"/>
      <c r="M36" s="197"/>
      <c r="N36" s="197"/>
      <c r="O36" s="197"/>
      <c r="P36" s="197"/>
      <c r="Q36" s="197"/>
      <c r="R36" s="197"/>
      <c r="S36" s="197"/>
      <c r="T36" s="197"/>
      <c r="U36" s="197"/>
      <c r="V36" s="197"/>
      <c r="W36" s="13"/>
      <c r="X36" s="13"/>
      <c r="Y36" s="13"/>
      <c r="Z36" s="13"/>
      <c r="AA36" s="13"/>
    </row>
    <row r="37" spans="1:27" ht="12.75" customHeight="1" x14ac:dyDescent="0.3">
      <c r="A37" s="12" t="s">
        <v>16</v>
      </c>
      <c r="B37" s="190" t="s">
        <v>17</v>
      </c>
      <c r="C37" s="14"/>
      <c r="D37" s="14"/>
      <c r="E37" s="14"/>
      <c r="F37" s="14"/>
      <c r="G37" s="14"/>
      <c r="H37" s="14"/>
      <c r="I37" s="14"/>
      <c r="J37" s="14"/>
      <c r="K37" s="14"/>
      <c r="L37" s="14"/>
      <c r="M37" s="14"/>
      <c r="N37" s="14"/>
      <c r="O37" s="14"/>
      <c r="P37" s="14"/>
      <c r="Q37" s="14"/>
      <c r="R37" s="14"/>
      <c r="S37" s="14"/>
      <c r="T37" s="14"/>
      <c r="U37" s="14"/>
      <c r="V37" s="14"/>
      <c r="W37" s="14"/>
      <c r="X37" s="14"/>
      <c r="Y37" s="14"/>
      <c r="Z37" s="14"/>
      <c r="AA37" s="14"/>
    </row>
    <row r="38" spans="1:27" ht="12.75" customHeight="1" x14ac:dyDescent="0.3">
      <c r="A38" s="12" t="s">
        <v>18</v>
      </c>
      <c r="B38" s="190" t="s">
        <v>19</v>
      </c>
      <c r="C38" s="14"/>
      <c r="D38" s="14"/>
      <c r="E38" s="14"/>
      <c r="F38" s="14"/>
      <c r="G38" s="14"/>
      <c r="H38" s="14"/>
      <c r="I38" s="14"/>
      <c r="J38" s="14"/>
      <c r="K38" s="14"/>
      <c r="L38" s="14"/>
      <c r="M38" s="14"/>
      <c r="N38" s="14"/>
      <c r="O38" s="14"/>
      <c r="P38" s="14"/>
      <c r="Q38" s="14"/>
      <c r="R38" s="14"/>
      <c r="S38" s="14"/>
      <c r="T38" s="14"/>
      <c r="U38" s="14"/>
      <c r="V38" s="14"/>
      <c r="W38" s="14"/>
      <c r="X38" s="14"/>
      <c r="Y38" s="14"/>
      <c r="Z38" s="14"/>
      <c r="AA38" s="14"/>
    </row>
    <row r="39" spans="1:27" ht="12.75" customHeight="1" x14ac:dyDescent="0.3">
      <c r="A39" s="12" t="s">
        <v>20</v>
      </c>
      <c r="B39" s="190" t="s">
        <v>21</v>
      </c>
      <c r="C39" s="14"/>
      <c r="D39" s="14"/>
      <c r="E39" s="14"/>
      <c r="F39" s="14"/>
      <c r="G39" s="14"/>
      <c r="H39" s="14"/>
      <c r="I39" s="14"/>
      <c r="J39" s="14"/>
      <c r="K39" s="14"/>
      <c r="L39" s="14"/>
      <c r="M39" s="14"/>
      <c r="N39" s="14"/>
      <c r="O39" s="14"/>
      <c r="P39" s="14"/>
      <c r="Q39" s="14"/>
      <c r="R39" s="14"/>
      <c r="S39" s="14"/>
      <c r="T39" s="14"/>
      <c r="U39" s="14"/>
      <c r="V39" s="14"/>
      <c r="W39" s="14"/>
      <c r="X39" s="14"/>
      <c r="Y39" s="14"/>
      <c r="Z39" s="14"/>
      <c r="AA39" s="14"/>
    </row>
    <row r="40" spans="1:27" ht="12.75" customHeight="1" x14ac:dyDescent="0.3">
      <c r="A40" s="12" t="s">
        <v>22</v>
      </c>
      <c r="B40" s="204" t="s">
        <v>23</v>
      </c>
      <c r="C40" s="197"/>
      <c r="D40" s="197"/>
      <c r="E40" s="197"/>
      <c r="F40" s="197"/>
      <c r="G40" s="197"/>
      <c r="H40" s="197"/>
      <c r="I40" s="197"/>
      <c r="J40" s="197"/>
      <c r="K40" s="197"/>
      <c r="L40" s="197"/>
      <c r="M40" s="197"/>
      <c r="N40" s="197"/>
      <c r="O40" s="197"/>
      <c r="P40" s="197"/>
      <c r="Q40" s="197"/>
      <c r="R40" s="197"/>
      <c r="S40" s="197"/>
      <c r="T40" s="197"/>
      <c r="U40" s="197"/>
      <c r="V40" s="197"/>
      <c r="W40" s="13"/>
      <c r="X40" s="13"/>
      <c r="Y40" s="13"/>
      <c r="Z40" s="13"/>
      <c r="AA40" s="13"/>
    </row>
    <row r="41" spans="1:27" ht="12.75" customHeight="1" x14ac:dyDescent="0.3">
      <c r="A41" s="12" t="s">
        <v>24</v>
      </c>
      <c r="B41" s="190" t="s">
        <v>25</v>
      </c>
      <c r="C41" s="14"/>
      <c r="D41" s="14"/>
      <c r="E41" s="14"/>
      <c r="F41" s="14"/>
      <c r="G41" s="14"/>
      <c r="H41" s="14"/>
      <c r="I41" s="14"/>
      <c r="J41" s="14"/>
      <c r="K41" s="14"/>
      <c r="L41" s="14"/>
      <c r="M41" s="14"/>
      <c r="N41" s="14"/>
      <c r="O41" s="14"/>
      <c r="P41" s="14"/>
      <c r="Q41" s="14"/>
      <c r="R41" s="14"/>
      <c r="S41" s="14"/>
      <c r="T41" s="14"/>
      <c r="U41" s="14"/>
      <c r="V41" s="14"/>
      <c r="W41" s="14"/>
      <c r="X41" s="14"/>
      <c r="Y41" s="14"/>
      <c r="Z41" s="14"/>
      <c r="AA41" s="14"/>
    </row>
    <row r="42" spans="1:27" ht="12.75" customHeight="1" x14ac:dyDescent="0.3">
      <c r="A42" s="12" t="s">
        <v>26</v>
      </c>
      <c r="B42" s="190" t="s">
        <v>27</v>
      </c>
      <c r="C42" s="14"/>
      <c r="D42" s="14"/>
      <c r="E42" s="14"/>
      <c r="F42" s="14"/>
      <c r="G42" s="14"/>
      <c r="H42" s="14"/>
      <c r="I42" s="14"/>
      <c r="J42" s="14"/>
      <c r="K42" s="14"/>
      <c r="L42" s="14"/>
      <c r="M42" s="14"/>
      <c r="N42" s="14"/>
      <c r="O42" s="14"/>
      <c r="P42" s="14"/>
      <c r="Q42" s="14"/>
      <c r="R42" s="14"/>
      <c r="S42" s="14"/>
      <c r="T42" s="14"/>
      <c r="U42" s="14"/>
      <c r="V42" s="14"/>
      <c r="W42" s="14"/>
      <c r="X42" s="14"/>
      <c r="Y42" s="14"/>
      <c r="Z42" s="14"/>
      <c r="AA42" s="14"/>
    </row>
    <row r="43" spans="1:27" ht="12.75" customHeight="1" x14ac:dyDescent="0.3">
      <c r="A43" s="15" t="s">
        <v>28</v>
      </c>
      <c r="B43" s="190" t="s">
        <v>29</v>
      </c>
      <c r="C43" s="14"/>
      <c r="D43" s="14"/>
      <c r="E43" s="14"/>
      <c r="F43" s="14"/>
      <c r="G43" s="14"/>
      <c r="H43" s="14"/>
      <c r="I43" s="14"/>
      <c r="J43" s="14"/>
      <c r="K43" s="14"/>
      <c r="L43" s="14"/>
      <c r="M43" s="14"/>
      <c r="N43" s="14"/>
      <c r="O43" s="14"/>
      <c r="P43" s="14"/>
      <c r="Q43" s="14"/>
      <c r="R43" s="14"/>
      <c r="S43" s="14"/>
      <c r="T43" s="14"/>
      <c r="U43" s="14"/>
      <c r="V43" s="14"/>
      <c r="W43" s="14"/>
      <c r="X43" s="14"/>
      <c r="Y43" s="14"/>
      <c r="Z43" s="14"/>
      <c r="AA43" s="14"/>
    </row>
    <row r="44" spans="1:27" ht="12.75" customHeight="1" x14ac:dyDescent="0.3">
      <c r="A44" s="15" t="s">
        <v>30</v>
      </c>
      <c r="B44" s="190" t="s">
        <v>31</v>
      </c>
      <c r="C44" s="190"/>
      <c r="D44" s="7"/>
      <c r="E44" s="7"/>
      <c r="F44" s="7"/>
      <c r="G44" s="7"/>
      <c r="H44" s="7"/>
      <c r="I44" s="7"/>
      <c r="J44" s="7"/>
      <c r="K44" s="14"/>
      <c r="L44" s="14"/>
      <c r="M44" s="14"/>
      <c r="N44" s="14"/>
      <c r="O44" s="14"/>
      <c r="P44" s="14"/>
      <c r="Q44" s="14"/>
      <c r="R44" s="14"/>
      <c r="S44" s="14"/>
      <c r="T44" s="14"/>
      <c r="U44" s="14"/>
      <c r="V44" s="14"/>
      <c r="W44" s="14"/>
      <c r="X44" s="14"/>
      <c r="Y44" s="14"/>
      <c r="Z44" s="14"/>
      <c r="AA44" s="14"/>
    </row>
    <row r="45" spans="1:27" ht="12.75" customHeight="1" x14ac:dyDescent="0.3">
      <c r="A45" s="15" t="s">
        <v>32</v>
      </c>
      <c r="B45" s="190" t="s">
        <v>33</v>
      </c>
      <c r="C45" s="190"/>
      <c r="D45" s="7"/>
      <c r="E45" s="7"/>
      <c r="F45" s="7"/>
      <c r="G45" s="7"/>
      <c r="H45" s="7"/>
      <c r="I45" s="7"/>
      <c r="J45" s="7"/>
      <c r="K45" s="14"/>
      <c r="L45" s="14"/>
      <c r="M45" s="14"/>
      <c r="N45" s="14"/>
      <c r="O45" s="14"/>
      <c r="P45" s="14"/>
      <c r="Q45" s="14"/>
      <c r="R45" s="14"/>
      <c r="S45" s="14"/>
      <c r="T45" s="14"/>
      <c r="U45" s="14"/>
      <c r="V45" s="14"/>
      <c r="W45" s="14"/>
      <c r="X45" s="14"/>
      <c r="Y45" s="14"/>
      <c r="Z45" s="14"/>
      <c r="AA45" s="14"/>
    </row>
    <row r="46" spans="1:27" ht="12.75" customHeight="1" x14ac:dyDescent="0.3">
      <c r="A46" s="15" t="s">
        <v>34</v>
      </c>
      <c r="B46" s="190" t="s">
        <v>35</v>
      </c>
      <c r="C46" s="190"/>
      <c r="D46" s="7"/>
      <c r="E46" s="7"/>
      <c r="F46" s="7"/>
      <c r="G46" s="7"/>
      <c r="H46" s="7"/>
      <c r="I46" s="7"/>
      <c r="J46" s="7"/>
      <c r="K46" s="14"/>
      <c r="L46" s="14"/>
      <c r="M46" s="14"/>
      <c r="N46" s="14"/>
      <c r="O46" s="14"/>
      <c r="P46" s="14"/>
      <c r="Q46" s="14"/>
      <c r="R46" s="14"/>
      <c r="S46" s="14"/>
      <c r="T46" s="14"/>
      <c r="U46" s="14"/>
      <c r="V46" s="14"/>
      <c r="W46" s="14"/>
      <c r="X46" s="14"/>
      <c r="Y46" s="14"/>
      <c r="Z46" s="14"/>
      <c r="AA46" s="14"/>
    </row>
    <row r="47" spans="1:27" ht="12.75" customHeight="1" x14ac:dyDescent="0.3">
      <c r="A47" s="15" t="s">
        <v>18</v>
      </c>
      <c r="B47" s="190" t="s">
        <v>36</v>
      </c>
      <c r="C47" s="190"/>
      <c r="D47" s="7"/>
      <c r="E47" s="7"/>
      <c r="F47" s="7"/>
      <c r="G47" s="7"/>
      <c r="H47" s="7"/>
      <c r="I47" s="7"/>
      <c r="J47" s="7"/>
      <c r="K47" s="14"/>
      <c r="L47" s="14"/>
      <c r="M47" s="14"/>
      <c r="N47" s="14"/>
      <c r="O47" s="14"/>
      <c r="P47" s="14"/>
      <c r="Q47" s="14"/>
      <c r="R47" s="14"/>
      <c r="S47" s="14"/>
      <c r="T47" s="14"/>
      <c r="U47" s="14"/>
      <c r="V47" s="14"/>
      <c r="W47" s="14"/>
      <c r="X47" s="14"/>
      <c r="Y47" s="14"/>
      <c r="Z47" s="14"/>
      <c r="AA47" s="14"/>
    </row>
    <row r="48" spans="1:27" ht="12.75" customHeight="1" x14ac:dyDescent="0.3">
      <c r="A48" s="16" t="s">
        <v>37</v>
      </c>
      <c r="B48" s="17" t="s">
        <v>38</v>
      </c>
      <c r="C48" s="17"/>
      <c r="D48" s="18"/>
      <c r="E48" s="18"/>
      <c r="F48" s="18"/>
      <c r="G48" s="18"/>
      <c r="H48" s="18"/>
      <c r="I48" s="18"/>
      <c r="J48" s="18"/>
      <c r="K48" s="19"/>
      <c r="L48" s="19"/>
      <c r="M48" s="19"/>
      <c r="N48" s="19"/>
      <c r="O48" s="19"/>
      <c r="P48" s="19"/>
      <c r="Q48" s="19"/>
      <c r="R48" s="19"/>
      <c r="S48" s="19"/>
      <c r="T48" s="19"/>
      <c r="U48" s="19"/>
      <c r="V48" s="19"/>
      <c r="W48" s="19"/>
      <c r="X48" s="19"/>
      <c r="Y48" s="19"/>
      <c r="Z48" s="19"/>
      <c r="AA48" s="19"/>
    </row>
    <row r="49" spans="1:27" ht="12.75" customHeight="1" x14ac:dyDescent="0.3">
      <c r="A49" s="20"/>
      <c r="B49" s="190"/>
      <c r="C49" s="14"/>
      <c r="D49" s="14"/>
      <c r="E49" s="14"/>
      <c r="F49" s="14"/>
      <c r="G49" s="14"/>
      <c r="H49" s="14"/>
      <c r="I49" s="14"/>
      <c r="J49" s="14"/>
      <c r="K49" s="14"/>
      <c r="L49" s="14"/>
      <c r="M49" s="14"/>
      <c r="N49" s="14"/>
      <c r="O49" s="14"/>
      <c r="P49" s="14"/>
      <c r="Q49" s="14"/>
      <c r="R49" s="14"/>
      <c r="S49" s="14"/>
      <c r="T49" s="14"/>
      <c r="U49" s="14"/>
      <c r="V49" s="14"/>
      <c r="W49" s="14"/>
      <c r="X49" s="14"/>
      <c r="Y49" s="14"/>
      <c r="Z49" s="14"/>
      <c r="AA49" s="14"/>
    </row>
    <row r="50" spans="1:27" ht="12.75" customHeight="1" x14ac:dyDescent="0.25">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r="51" spans="1:27" ht="27" customHeight="1" x14ac:dyDescent="0.35">
      <c r="A51" s="105" t="s">
        <v>39</v>
      </c>
      <c r="B51" s="106"/>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row>
    <row r="52" spans="1:27" ht="27.75" customHeight="1" x14ac:dyDescent="0.25">
      <c r="A52" s="108" t="s">
        <v>40</v>
      </c>
      <c r="B52" s="106"/>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row>
    <row r="53" spans="1:27" ht="12.75" customHeight="1" x14ac:dyDescent="0.25">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spans="1:27" ht="12.75" customHeight="1" x14ac:dyDescent="0.25">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spans="1:27" ht="12.75" customHeight="1" x14ac:dyDescent="0.25">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spans="1:27" ht="12.75" customHeight="1" x14ac:dyDescent="0.25">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spans="1:27" ht="12.75" customHeight="1" x14ac:dyDescent="0.25">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spans="1:27" ht="12.75" customHeight="1" x14ac:dyDescent="0.25">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spans="1:27" ht="12.75" customHeight="1" x14ac:dyDescent="0.25">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spans="1:27" ht="12.75" customHeight="1" x14ac:dyDescent="0.25">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spans="1:27" ht="12.75" customHeight="1" x14ac:dyDescent="0.25">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spans="1:27" ht="12.75" customHeight="1" x14ac:dyDescent="0.25">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spans="1:27" ht="12.75" customHeight="1" x14ac:dyDescent="0.25">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spans="1:27" ht="12.75" customHeight="1" x14ac:dyDescent="0.25">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spans="1:27" ht="12.75" customHeight="1" x14ac:dyDescent="0.3">
      <c r="A65" s="5"/>
      <c r="B65" s="21"/>
      <c r="C65" s="21"/>
      <c r="D65" s="21"/>
      <c r="E65" s="21"/>
      <c r="F65" s="21"/>
      <c r="G65" s="21"/>
      <c r="H65" s="21"/>
      <c r="I65" s="21"/>
      <c r="J65" s="21"/>
      <c r="K65" s="21"/>
      <c r="L65" s="21"/>
      <c r="M65" s="21"/>
      <c r="N65" s="21"/>
      <c r="O65" s="7"/>
      <c r="P65" s="7"/>
      <c r="Q65" s="7"/>
      <c r="R65" s="7"/>
      <c r="S65" s="7"/>
      <c r="T65" s="7"/>
      <c r="U65" s="7"/>
      <c r="V65" s="7"/>
      <c r="W65" s="7"/>
      <c r="X65" s="7"/>
      <c r="Y65" s="7"/>
      <c r="Z65" s="7"/>
      <c r="AA65" s="7"/>
    </row>
    <row r="66" spans="1:27" ht="12.75" customHeight="1" x14ac:dyDescent="0.25">
      <c r="A66" s="196"/>
      <c r="B66" s="197"/>
      <c r="C66" s="197"/>
      <c r="D66" s="197"/>
      <c r="E66" s="197"/>
      <c r="F66" s="197"/>
      <c r="G66" s="197"/>
      <c r="H66" s="197"/>
      <c r="I66" s="197"/>
      <c r="J66" s="197"/>
      <c r="K66" s="197"/>
      <c r="L66" s="197"/>
      <c r="M66" s="197"/>
      <c r="N66" s="197"/>
      <c r="O66" s="7"/>
      <c r="P66" s="7"/>
      <c r="Q66" s="7"/>
      <c r="R66" s="7"/>
      <c r="S66" s="7"/>
      <c r="T66" s="7"/>
      <c r="U66" s="7"/>
      <c r="V66" s="7"/>
      <c r="W66" s="7"/>
      <c r="X66" s="7"/>
      <c r="Y66" s="7"/>
      <c r="Z66" s="7"/>
      <c r="AA66" s="7"/>
    </row>
    <row r="67" spans="1:27" ht="12.75" customHeight="1" x14ac:dyDescent="0.25">
      <c r="A67" s="13"/>
      <c r="B67" s="13"/>
      <c r="C67" s="13"/>
      <c r="D67" s="13"/>
      <c r="E67" s="13"/>
      <c r="F67" s="13"/>
      <c r="G67" s="13"/>
      <c r="H67" s="13"/>
      <c r="I67" s="13"/>
      <c r="J67" s="13"/>
      <c r="K67" s="13"/>
      <c r="L67" s="13"/>
      <c r="M67" s="13"/>
      <c r="N67" s="13"/>
      <c r="O67" s="7"/>
      <c r="P67" s="7"/>
      <c r="Q67" s="7"/>
      <c r="R67" s="7"/>
      <c r="S67" s="7"/>
      <c r="T67" s="7"/>
      <c r="U67" s="7"/>
      <c r="V67" s="7"/>
      <c r="W67" s="7"/>
      <c r="X67" s="7"/>
      <c r="Y67" s="7"/>
      <c r="Z67" s="7"/>
      <c r="AA67" s="7"/>
    </row>
    <row r="68" spans="1:27" ht="12.75" customHeight="1" x14ac:dyDescent="0.25">
      <c r="A68" s="198"/>
      <c r="B68" s="197"/>
      <c r="C68" s="197"/>
      <c r="D68" s="197"/>
      <c r="E68" s="197"/>
      <c r="F68" s="197"/>
      <c r="G68" s="197"/>
      <c r="H68" s="197"/>
      <c r="I68" s="197"/>
      <c r="J68" s="197"/>
      <c r="K68" s="197"/>
      <c r="L68" s="197"/>
      <c r="M68" s="197"/>
      <c r="N68" s="197"/>
      <c r="O68" s="7"/>
      <c r="P68" s="7"/>
      <c r="Q68" s="7"/>
      <c r="R68" s="7"/>
      <c r="S68" s="7"/>
      <c r="T68" s="7"/>
      <c r="U68" s="7"/>
      <c r="V68" s="7"/>
      <c r="W68" s="7"/>
      <c r="X68" s="7"/>
      <c r="Y68" s="7"/>
      <c r="Z68" s="7"/>
      <c r="AA68" s="7"/>
    </row>
    <row r="69" spans="1:27" ht="12.75" customHeight="1" x14ac:dyDescent="0.25">
      <c r="A69" s="197"/>
      <c r="B69" s="197"/>
      <c r="C69" s="197"/>
      <c r="D69" s="197"/>
      <c r="E69" s="197"/>
      <c r="F69" s="197"/>
      <c r="G69" s="197"/>
      <c r="H69" s="197"/>
      <c r="I69" s="197"/>
      <c r="J69" s="197"/>
      <c r="K69" s="197"/>
      <c r="L69" s="197"/>
      <c r="M69" s="197"/>
      <c r="N69" s="197"/>
      <c r="O69" s="7"/>
      <c r="P69" s="7"/>
      <c r="Q69" s="7"/>
      <c r="R69" s="7"/>
      <c r="S69" s="7"/>
      <c r="T69" s="7"/>
      <c r="U69" s="7"/>
      <c r="V69" s="7"/>
      <c r="W69" s="7"/>
      <c r="X69" s="7"/>
      <c r="Y69" s="7"/>
      <c r="Z69" s="7"/>
      <c r="AA69" s="7"/>
    </row>
    <row r="70" spans="1:27" ht="12.75" customHeight="1" x14ac:dyDescent="0.25">
      <c r="A70" s="22"/>
      <c r="B70" s="13"/>
      <c r="C70" s="13"/>
      <c r="D70" s="13"/>
      <c r="E70" s="13"/>
      <c r="F70" s="13"/>
      <c r="G70" s="13"/>
      <c r="H70" s="13"/>
      <c r="I70" s="13"/>
      <c r="J70" s="13"/>
      <c r="K70" s="13"/>
      <c r="L70" s="13"/>
      <c r="M70" s="13"/>
      <c r="N70" s="13"/>
      <c r="O70" s="7"/>
      <c r="P70" s="7"/>
      <c r="Q70" s="7"/>
      <c r="R70" s="7"/>
      <c r="S70" s="7"/>
      <c r="T70" s="7"/>
      <c r="U70" s="7"/>
      <c r="V70" s="7"/>
      <c r="W70" s="7"/>
      <c r="X70" s="7"/>
      <c r="Y70" s="7"/>
      <c r="Z70" s="7"/>
      <c r="AA70" s="7"/>
    </row>
    <row r="71" spans="1:27" ht="12.75" customHeight="1" x14ac:dyDescent="0.25">
      <c r="A71" s="22"/>
      <c r="B71" s="13"/>
      <c r="C71" s="13"/>
      <c r="D71" s="13"/>
      <c r="E71" s="13"/>
      <c r="F71" s="13"/>
      <c r="G71" s="13"/>
      <c r="H71" s="13"/>
      <c r="I71" s="13"/>
      <c r="J71" s="13"/>
      <c r="K71" s="13"/>
      <c r="L71" s="13"/>
      <c r="M71" s="13"/>
      <c r="N71" s="13"/>
      <c r="O71" s="7"/>
      <c r="P71" s="7"/>
      <c r="Q71" s="7"/>
      <c r="R71" s="7"/>
      <c r="S71" s="7"/>
      <c r="T71" s="7"/>
      <c r="U71" s="7"/>
      <c r="V71" s="7"/>
      <c r="W71" s="7"/>
      <c r="X71" s="7"/>
      <c r="Y71" s="7"/>
      <c r="Z71" s="7"/>
      <c r="AA71" s="7"/>
    </row>
    <row r="72" spans="1:27" ht="12.75" customHeight="1" x14ac:dyDescent="0.25">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spans="1:27" ht="12.75" customHeight="1" x14ac:dyDescent="0.25">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spans="1:27" ht="12.75" customHeight="1" x14ac:dyDescent="0.25">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spans="1:27" ht="12.75" customHeight="1" x14ac:dyDescent="0.25">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spans="1:27" ht="12.75" customHeight="1" x14ac:dyDescent="0.25">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spans="1:27" ht="12.75" customHeight="1" x14ac:dyDescent="0.25">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spans="1:27" ht="12.75" customHeight="1" x14ac:dyDescent="0.25">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spans="1:27" ht="12.75" customHeight="1" x14ac:dyDescent="0.25">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spans="1:27" ht="12.75" customHeight="1" x14ac:dyDescent="0.25">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spans="1:27" ht="12.75" customHeight="1" x14ac:dyDescent="0.25">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spans="1:27" ht="12.75" customHeight="1" x14ac:dyDescent="0.25">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spans="1:27" ht="12.75" customHeight="1" x14ac:dyDescent="0.25">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spans="1:27" ht="12.7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spans="1:27" ht="12.75" customHeight="1" x14ac:dyDescent="0.25">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spans="1:27" ht="12.75" customHeight="1" x14ac:dyDescent="0.25">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spans="1:27" ht="12.75" customHeight="1" x14ac:dyDescent="0.25">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spans="1:27" ht="12.75" customHeight="1" x14ac:dyDescent="0.25">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spans="1:27" ht="12.75" customHeight="1" x14ac:dyDescent="0.25">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spans="1:27" ht="12.75" customHeight="1" x14ac:dyDescent="0.25">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spans="1:27" ht="12.75" customHeight="1" x14ac:dyDescent="0.25">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spans="1:27" ht="12.75" customHeight="1" x14ac:dyDescent="0.25">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spans="1:27" ht="12.75" customHeight="1" x14ac:dyDescent="0.25">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spans="1:27" ht="12.75" customHeight="1" x14ac:dyDescent="0.25">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spans="1:27" ht="12.75" customHeigh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spans="1:27" ht="12.75" customHeight="1" x14ac:dyDescent="0.25">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spans="1:27" ht="12.75" customHeight="1" x14ac:dyDescent="0.25">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spans="1:27" ht="12.75" customHeight="1" x14ac:dyDescent="0.25">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spans="1:27" ht="12.75" customHeight="1" x14ac:dyDescent="0.25">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spans="1:27" ht="12.75" customHeight="1"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spans="1:27" ht="12.75" customHeight="1"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spans="1:27" ht="12.75" customHeight="1"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spans="1:27" ht="12.75" customHeight="1"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spans="1:27" ht="12.75" customHeight="1"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spans="1:27" ht="12.75" customHeight="1"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spans="1:27" ht="12.75" customHeight="1"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spans="1:27" ht="12.75" customHeight="1"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spans="1:27" ht="12.75" customHeight="1"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spans="1:27" ht="12.75" customHeigh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spans="1:27" ht="12.75" customHeigh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spans="1:27" ht="12.75" customHeigh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spans="1:27" ht="12.75" customHeigh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spans="1:27" ht="12.75" customHeigh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spans="1:27" ht="12.75" customHeigh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spans="1:27" ht="12.75" customHeigh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spans="1:27" ht="12.75" customHeigh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spans="1:27" ht="12.75" customHeigh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spans="1:27" ht="12.75" customHeigh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spans="1:27" ht="12.75" customHeigh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spans="1:27" ht="12.75" customHeight="1"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spans="1:27" ht="12.75" customHeight="1"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spans="1:27" ht="12.75" customHeight="1"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spans="1:27" ht="12.75" customHeight="1"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spans="1:27" ht="12.75" customHeight="1"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spans="1:27" ht="12.75" customHeight="1"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spans="1:27" ht="12.75" customHeight="1"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spans="1:27" ht="12.75" customHeigh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spans="1:27" ht="12.75" customHeigh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spans="1:27" ht="12.75" customHeigh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spans="1:27" ht="12.75" customHeigh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spans="1:27" ht="12.75" customHeigh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spans="1:27" ht="12.75" customHeigh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spans="1:27" ht="12.75" customHeigh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spans="1:27" ht="12.75" customHeigh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spans="1:27" ht="12.75" customHeigh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spans="1:27" ht="12.75" customHeigh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spans="1:27" ht="12.75" customHeigh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spans="1:27" ht="12.75" customHeigh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spans="1:27" ht="12.75" customHeigh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spans="1:27" ht="12.75" customHeigh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spans="1:27" ht="12.75" customHeigh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spans="1:27" ht="12.75" customHeigh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spans="1:27" ht="12.75" customHeigh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spans="1:27" ht="12.75" customHeigh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spans="1:27" ht="12.75" customHeigh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spans="1:27" ht="12.75" customHeigh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spans="1:27" ht="12.75" customHeigh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spans="1:27" ht="12.75" customHeigh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spans="1:27" ht="12.75" customHeigh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spans="1:27" ht="12.75" customHeigh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spans="1:27" ht="12.75" customHeigh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spans="1:27" ht="12.75" customHeigh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spans="1:27" ht="12.75" customHeigh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spans="1:27" ht="12.75" customHeigh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spans="1:27" ht="12.75" customHeigh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spans="1:27" ht="12.75" customHeigh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spans="1:27" ht="12.75" customHeigh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spans="1:27" ht="12.75" customHeigh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spans="1:27" ht="12.75" customHeigh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spans="1:27" ht="12.75" customHeigh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spans="1:27" ht="12.75" customHeigh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spans="1:27" ht="12.75" customHeigh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spans="1:27" ht="12.75" customHeigh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spans="1:27" ht="12.75" customHeigh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spans="1:27" ht="12.75" customHeigh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spans="1:27" ht="12.75" customHeigh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spans="1:27" ht="12.75" customHeigh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spans="1:27" ht="12.75" customHeigh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spans="1:27" ht="12.75" customHeigh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spans="1:27" ht="12.75" customHeigh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spans="1:27" ht="12.75" customHeigh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spans="1:27" ht="12.75" customHeigh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spans="1:27" ht="12.75" customHeigh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spans="1:27" ht="12.75" customHeigh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spans="1:27" ht="12.75" customHeigh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spans="1:27" ht="12.75" customHeigh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spans="1:27" ht="12.75" customHeigh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spans="1:27" ht="12.75" customHeigh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spans="1:27" ht="12.75" customHeigh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spans="1:27" ht="12.75" customHeigh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spans="1:27" ht="12.75" customHeigh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spans="1:27" ht="12.75" customHeigh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spans="1:27" ht="12.75" customHeigh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spans="1:27" ht="12.75" customHeigh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spans="1:27" ht="12.75" customHeigh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spans="1:27" ht="12.75" customHeigh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spans="1:27" ht="12.75" customHeigh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spans="1:27" ht="12.75" customHeigh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spans="1:27" ht="12.75" customHeigh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spans="1:27" ht="12.75" customHeigh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spans="1:27" ht="12.75" customHeigh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spans="1:27" ht="12.75" customHeigh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spans="1:27" ht="12.75" customHeigh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spans="1:27" ht="12.75" customHeigh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spans="1:27" ht="12.75" customHeigh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spans="1:27" ht="12.75" customHeigh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spans="1:27" ht="12.75" customHeigh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spans="1:27" ht="12.75" customHeigh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spans="1:27" ht="12.75" customHeigh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spans="1:27" ht="12.75" customHeigh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spans="1:27" ht="12.75" customHeigh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spans="1:27" ht="12.75" customHeigh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spans="1:27" ht="12.75" customHeigh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spans="1:27" ht="12.75" customHeigh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spans="1:27" ht="12.75" customHeigh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spans="1:27" ht="12.75" customHeigh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spans="1:27" ht="12.75" customHeigh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spans="1:27" ht="12.75" customHeigh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spans="1:27" ht="12.75" customHeigh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spans="1:27" ht="12.75" customHeigh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spans="1:27" ht="12.75" customHeigh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spans="1:27" ht="12.75" customHeigh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spans="1:27" ht="12.75" customHeigh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spans="1:27" ht="12.75" customHeigh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spans="1:27" ht="12.75" customHeigh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spans="1:27" ht="12.75" customHeigh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spans="1:27" ht="12.75" customHeigh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spans="1:27" ht="12.75" customHeigh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spans="1:27" ht="12.75" customHeigh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spans="1:27" ht="12.75"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spans="1:27" ht="12.7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spans="1:27" ht="12.7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spans="1:27" ht="12.7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spans="1:27" ht="12.7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spans="1:27" ht="12.7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spans="1:27" ht="12.7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spans="1:27" ht="12.7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spans="1:27" ht="12.7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spans="1:27" ht="12.75"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spans="1:27" ht="12.75"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spans="1:27" ht="12.75"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spans="1:27" ht="12.75"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spans="1:27" ht="12.75"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spans="1:27" ht="12.75"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spans="1:27" ht="12.75"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spans="1:27" ht="12.75"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spans="1:27" ht="12.75"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spans="1:27" ht="12.75" customHeigh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spans="1:27" ht="12.75" customHeigh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spans="1:27" ht="12.75" customHeigh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spans="1:27" ht="12.75" customHeigh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spans="1:27" ht="12.75" customHeigh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spans="1:27" ht="12.75" customHeigh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spans="1:27" ht="12.75" customHeigh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spans="1:27" ht="12.75" customHeigh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spans="1:27" ht="12.75" customHeigh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spans="1:27" ht="12.75" customHeigh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spans="1:27" ht="12.75" customHeigh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spans="1:27" ht="12.75" customHeigh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spans="1:27" ht="12.75" customHeigh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spans="1:27" ht="12.75" customHeigh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spans="1:27" ht="12.75" customHeigh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spans="1:27" ht="12.75" customHeigh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spans="1:27" ht="12.75" customHeigh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spans="1:27" ht="12.75" customHeigh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spans="1:27" ht="12.75" customHeigh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spans="1:27" ht="12.75" customHeigh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spans="1:27" ht="12.75" customHeigh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spans="1:27" ht="12.75" customHeigh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spans="1:27" ht="12.75" customHeigh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spans="1:27" ht="12.75" customHeigh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spans="1:27" ht="12.75" customHeigh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spans="1:27" ht="12.75" customHeigh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spans="1:27" ht="12.75" customHeigh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spans="1:27" ht="12.75" customHeigh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spans="1:27" ht="12.75" customHeigh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spans="1:27" ht="12.75" customHeigh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spans="1:27" ht="12.75" customHeigh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spans="1:27" ht="12.75" customHeigh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spans="1:27" ht="12.75" customHeigh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spans="1:27" ht="12.75" customHeigh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spans="1:27" ht="12.75" customHeigh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spans="1:27" ht="12.75" customHeigh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spans="1:27" ht="12.75" customHeigh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spans="1:27" ht="12.75" customHeight="1"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spans="1:27" ht="12.75" customHeight="1"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spans="1:27" ht="12.75" customHeight="1"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spans="1:27" ht="12.75" customHeight="1"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spans="1:27" ht="12.75" customHeight="1"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spans="1:27" ht="12.75" customHeight="1"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spans="1:27" ht="12.75" customHeight="1"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spans="1:27" ht="12.75" customHeight="1"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spans="1:27" ht="12.75" customHeight="1"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spans="1:27" ht="12.75" customHeight="1"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spans="1:27" ht="12.75" customHeight="1"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spans="1:27" ht="12.75" customHeight="1"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spans="1:27" ht="12.75" customHeight="1"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spans="1:27" ht="12.75" customHeight="1"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spans="1:27" ht="12.75" customHeight="1"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spans="1:27" ht="12.75" customHeight="1"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spans="1:27" ht="12.75" customHeight="1"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spans="1:27" ht="12.75" customHeight="1"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spans="1:27" ht="12.75" customHeight="1"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spans="1:27" ht="12.75" customHeight="1"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spans="1:27" ht="12.75" customHeight="1"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spans="1:27" ht="12.75" customHeight="1"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spans="1:27" ht="12.75" customHeight="1"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spans="1:27" ht="12.75" customHeight="1"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spans="1:27" ht="12.75" customHeight="1"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spans="1:27" ht="12.75" customHeight="1"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spans="1:27" ht="12.75" customHeight="1"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spans="1:27" ht="12.75" customHeight="1"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spans="1:27" ht="12.75" customHeight="1"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spans="1:27" ht="12.75" customHeight="1"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spans="1:27" ht="12.75" customHeight="1"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spans="1:27" ht="12.75" customHeight="1"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spans="1:27" ht="12.75" customHeight="1"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spans="1:27" ht="12.75" customHeight="1"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spans="1:27" ht="12.75" customHeight="1"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spans="1:27" ht="12.75" customHeight="1"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spans="1:27" ht="12.75" customHeight="1"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spans="1:27" ht="12.75" customHeight="1"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spans="1:27" ht="12.75" customHeight="1"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spans="1:27" ht="12.75" customHeight="1"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spans="1:27" ht="12.75" customHeight="1"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spans="1:27" ht="12.75" customHeight="1"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spans="1:27" ht="12.75" customHeight="1"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spans="1:27" ht="12.75" customHeight="1"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spans="1:27" ht="12.75" customHeight="1"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spans="1:27" ht="12.75" customHeight="1"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spans="1:27" ht="12.75" customHeight="1"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spans="1:27" ht="12.75" customHeight="1"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spans="1:27" ht="12.75" customHeight="1"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spans="1:27" ht="12.75" customHeight="1"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spans="1:27" ht="12.75" customHeight="1"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spans="1:27" ht="12.75" customHeight="1"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spans="1:27" ht="12.75" customHeight="1"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spans="1:27" ht="12.75" customHeight="1"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spans="1:27" ht="12.75" customHeight="1"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spans="1:27" ht="12.75" customHeight="1"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spans="1:27" ht="12.75" customHeight="1"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spans="1:27" ht="12.75" customHeight="1"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spans="1:27" ht="12.75" customHeight="1"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spans="1:27" ht="12.75" customHeight="1"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spans="1:27" ht="12.75" customHeight="1"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spans="1:27" ht="12.75" customHeight="1"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spans="1:27" ht="12.75" customHeight="1"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spans="1:27" ht="12.75" customHeight="1"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spans="1:27" ht="12.75" customHeight="1"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spans="1:27" ht="12.75" customHeight="1"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spans="1:27" ht="12.75" customHeight="1"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spans="1:27" ht="12.75" customHeight="1"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spans="1:27" ht="12.75" customHeight="1"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spans="1:27" ht="12.75" customHeight="1"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spans="1:27" ht="12.75" customHeight="1"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spans="1:27" ht="12.75" customHeight="1"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spans="1:27" ht="12.75" customHeight="1"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spans="1:27" ht="12.75" customHeight="1"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spans="1:27" ht="12.75" customHeight="1"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spans="1:27" ht="12.75" customHeight="1"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spans="1:27" ht="12.75" customHeight="1"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spans="1:27" ht="12.75" customHeight="1"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spans="1:27" ht="12.75" customHeight="1"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spans="1:27" ht="12.75" customHeight="1"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spans="1:27" ht="12.75" customHeight="1"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spans="1:27" ht="12.75" customHeight="1"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spans="1:27" ht="12.75" customHeight="1"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spans="1:27" ht="12.75" customHeight="1"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spans="1:27" ht="12.75" customHeight="1"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spans="1:27" ht="12.75" customHeight="1"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spans="1:27" ht="12.75" customHeight="1"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spans="1:27" ht="12.75" customHeight="1"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spans="1:27" ht="12.75" customHeight="1"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spans="1:27" ht="12.75" customHeight="1"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spans="1:27" ht="12.75" customHeight="1"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spans="1:27" ht="12.75" customHeight="1"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spans="1:27" ht="12.75" customHeight="1"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spans="1:27" ht="12.75" customHeight="1"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spans="1:27" ht="12.75" customHeight="1"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spans="1:27" ht="12.75" customHeight="1"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spans="1:27" ht="12.75" customHeight="1"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spans="1:27" ht="12.75" customHeight="1"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spans="1:27" ht="12.75" customHeight="1"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spans="1:27" ht="12.75" customHeight="1"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spans="1:27" ht="12.75" customHeight="1"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spans="1:27" ht="12.75" customHeight="1"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spans="1:27" ht="12.75" customHeight="1"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spans="1:27" ht="12.75" customHeight="1"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spans="1:27" ht="12.75" customHeight="1"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spans="1:27" ht="12.75" customHeight="1"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spans="1:27" ht="12.75" customHeight="1"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spans="1:27" ht="12.75" customHeight="1"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spans="1:27" ht="12.75" customHeight="1"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spans="1:27" ht="12.75" customHeight="1"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spans="1:27" ht="12.75" customHeight="1"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spans="1:27" ht="12.75" customHeight="1"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spans="1:27" ht="12.75" customHeight="1"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spans="1:27" ht="12.75" customHeight="1"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spans="1:27" ht="12.75" customHeight="1"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spans="1:27" ht="12.75" customHeight="1"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spans="1:27" ht="12.75" customHeight="1"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spans="1:27" ht="12.75" customHeight="1"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spans="1:27" ht="12.75" customHeight="1"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spans="1:27" ht="12.75" customHeight="1"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spans="1:27" ht="12.75" customHeight="1"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spans="1:27" ht="12.75" customHeight="1"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spans="1:27" ht="12.75" customHeight="1"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spans="1:27" ht="12.75" customHeight="1"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spans="1:27" ht="12.75" customHeight="1"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spans="1:27" ht="12.75" customHeight="1"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spans="1:27" ht="12.75" customHeight="1"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spans="1:27" ht="12.75" customHeight="1"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spans="1:27" ht="12.75" customHeight="1"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spans="1:27" ht="12.75" customHeight="1"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spans="1:27" ht="12.75" customHeight="1"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spans="1:27" ht="12.75" customHeight="1"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spans="1:27" ht="12.75" customHeight="1"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spans="1:27" ht="12.75" customHeight="1"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spans="1:27" ht="12.75" customHeight="1"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spans="1:27" ht="12.75" customHeight="1"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spans="1:27" ht="12.75" customHeight="1"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spans="1:27" ht="12.75" customHeight="1"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spans="1:27" ht="12.75" customHeight="1"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spans="1:27" ht="12.75" customHeight="1"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spans="1:27" ht="12.75" customHeight="1"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spans="1:27" ht="12.75" customHeight="1"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spans="1:27" ht="12.75" customHeight="1"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spans="1:27" ht="12.75" customHeight="1"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spans="1:27" ht="12.75" customHeight="1"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spans="1:27" ht="12.75" customHeight="1"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spans="1:27" ht="12.75" customHeight="1"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spans="1:27" ht="12.75" customHeight="1"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spans="1:27" ht="12.75" customHeight="1"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spans="1:27" ht="12.75" customHeight="1"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spans="1:27" ht="12.75" customHeight="1"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spans="1:27" ht="12.75" customHeight="1"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spans="1:27" ht="12.75" customHeight="1"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spans="1:27" ht="12.75" customHeight="1"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spans="1:27" ht="12.75" customHeight="1"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spans="1:27" ht="12.75" customHeight="1"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spans="1:27" ht="12.75" customHeight="1"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spans="1:27" ht="12.75" customHeight="1"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spans="1:27" ht="12.75" customHeight="1"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spans="1:27" ht="12.75" customHeight="1"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spans="1:27" ht="12.75" customHeight="1"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spans="1:27" ht="12.75" customHeight="1"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spans="1:27" ht="12.75" customHeight="1"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spans="1:27" ht="12.75" customHeight="1"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spans="1:27" ht="12.75" customHeight="1"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spans="1:27" ht="12.75" customHeight="1"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spans="1:27" ht="12.75" customHeight="1"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spans="1:27" ht="12.75" customHeight="1"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spans="1:27" ht="12.75" customHeight="1"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spans="1:27" ht="12.75" customHeight="1"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spans="1:27" ht="12.75" customHeight="1"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spans="1:27" ht="12.75" customHeight="1"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spans="1:27" ht="12.75" customHeight="1"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spans="1:27" ht="12.75" customHeight="1"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spans="1:27" ht="12.75" customHeight="1"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spans="1:27" ht="12.75" customHeight="1"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spans="1:27" ht="12.75" customHeight="1"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spans="1:27" ht="12.75" customHeight="1"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spans="1:27" ht="12.75" customHeight="1"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spans="1:27" ht="12.75" customHeight="1"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spans="1:27" ht="12.75" customHeight="1"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spans="1:27" ht="12.75" customHeight="1"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spans="1:27" ht="12.75" customHeight="1"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spans="1:27" ht="12.75" customHeight="1"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spans="1:27" ht="12.75" customHeight="1"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spans="1:27" ht="12.75" customHeight="1"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spans="1:27" ht="12.75" customHeight="1"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spans="1:27" ht="12.75" customHeight="1"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spans="1:27" ht="12.75" customHeight="1"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spans="1:27" ht="12.75" customHeight="1"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spans="1:27" ht="12.75" customHeight="1"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spans="1:27" ht="12.75" customHeight="1"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spans="1:27" ht="12.75" customHeight="1"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spans="1:27" ht="12.75" customHeight="1"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spans="1:27" ht="12.75" customHeight="1"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spans="1:27" ht="12.75" customHeight="1"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spans="1:27" ht="12.75" customHeight="1"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spans="1:27" ht="12.75" customHeight="1"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spans="1:27" ht="12.75" customHeight="1"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spans="1:27" ht="12.75" customHeight="1"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spans="1:27" ht="12.75" customHeight="1"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spans="1:27" ht="12.75" customHeight="1"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spans="1:27" ht="12.75" customHeight="1"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spans="1:27" ht="12.75" customHeight="1"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spans="1:27" ht="12.75" customHeight="1"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spans="1:27" ht="12.75" customHeight="1"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spans="1:27" ht="12.75" customHeight="1"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spans="1:27" ht="12.75" customHeight="1"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spans="1:27" ht="12.75" customHeight="1"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spans="1:27" ht="12.75" customHeight="1"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spans="1:27" ht="12.75" customHeight="1"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spans="1:27" ht="12.75" customHeight="1"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spans="1:27" ht="12.75" customHeight="1"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spans="1:27" ht="12.75" customHeight="1"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spans="1:27" ht="12.75" customHeight="1"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spans="1:27" ht="12.75" customHeight="1"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spans="1:27" ht="12.75" customHeight="1"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spans="1:27" ht="12.75" customHeight="1"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spans="1:27" ht="12.75" customHeight="1"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spans="1:27" ht="12.75" customHeight="1"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spans="1:27" ht="12.75" customHeight="1"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spans="1:27" ht="12.75" customHeight="1"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spans="1:27" ht="12.75" customHeight="1"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spans="1:27" ht="12.75" customHeight="1"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spans="1:27" ht="12.75" customHeight="1"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spans="1:27" ht="12.75" customHeight="1"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spans="1:27" ht="12.75" customHeight="1"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spans="1:27" ht="12.75" customHeight="1"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spans="1:27" ht="12.75" customHeight="1"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spans="1:27" ht="12.75" customHeight="1"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spans="1:27" ht="12.75" customHeight="1"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spans="1:27" ht="12.75" customHeight="1"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spans="1:27" ht="12.75" customHeight="1"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spans="1:27" ht="12.75" customHeight="1"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spans="1:27" ht="12.75" customHeight="1"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spans="1:27" ht="12.75" customHeight="1"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spans="1:27" ht="12.75" customHeight="1"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spans="1:27" ht="12.75" customHeight="1"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spans="1:27" ht="12.75" customHeight="1"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spans="1:27" ht="12.75" customHeight="1"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spans="1:27" ht="12.75" customHeight="1"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spans="1:27" ht="12.75" customHeight="1"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spans="1:27" ht="12.75" customHeight="1"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spans="1:27" ht="12.75" customHeight="1"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spans="1:27" ht="12.75" customHeight="1"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spans="1:27" ht="12.75" customHeight="1"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spans="1:27" ht="12.75" customHeight="1"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spans="1:27" ht="12.75" customHeight="1"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spans="1:27" ht="12.75" customHeight="1"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spans="1:27" ht="12.75" customHeight="1"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spans="1:27" ht="12.75" customHeight="1"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spans="1:27" ht="12.75" customHeight="1"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spans="1:27" ht="12.75" customHeight="1"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spans="1:27" ht="12.75" customHeight="1"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spans="1:27" ht="12.75" customHeight="1"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spans="1:27" ht="12.75" customHeight="1"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spans="1:27" ht="12.75" customHeight="1"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spans="1:27" ht="12.75" customHeight="1"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spans="1:27" ht="12.75" customHeight="1"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spans="1:27" ht="12.75" customHeight="1"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spans="1:27" ht="12.75" customHeight="1"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spans="1:27" ht="12.75" customHeight="1"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spans="1:27" ht="12.75" customHeight="1"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spans="1:27" ht="12.75" customHeight="1"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spans="1:27" ht="12.75" customHeight="1"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spans="1:27" ht="12.75" customHeight="1"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spans="1:27" ht="12.75" customHeight="1"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spans="1:27" ht="12.75" customHeight="1"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spans="1:27" ht="12.75" customHeigh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spans="1:27" ht="12.75" customHeight="1"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spans="1:27" ht="12.75" customHeight="1"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spans="1:27" ht="12.75" customHeight="1"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spans="1:27" ht="12.75" customHeight="1"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spans="1:27" ht="12.75" customHeight="1"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spans="1:27" ht="12.75" customHeight="1"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spans="1:27" ht="12.75" customHeight="1"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spans="1:27" ht="12.75" customHeight="1"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spans="1:27" ht="12.75" customHeight="1"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spans="1:27" ht="12.75" customHeight="1"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spans="1:27" ht="12.75" customHeight="1"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spans="1:27" ht="12.75" customHeight="1"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spans="1:27" ht="12.75" customHeight="1"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spans="1:27" ht="12.75" customHeight="1"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spans="1:27" ht="12.75" customHeight="1"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spans="1:27" ht="12.75" customHeight="1"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spans="1:27" ht="12.75" customHeight="1"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spans="1:27" ht="12.75" customHeight="1"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spans="1:27" ht="12.75" customHeight="1"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spans="1:27" ht="12.75" customHeight="1"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spans="1:27" ht="12.75" customHeight="1"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spans="1:27" ht="12.75" customHeight="1"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spans="1:27" ht="12.75" customHeight="1"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spans="1:27" ht="12.75" customHeight="1"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spans="1:27" ht="12.75" customHeight="1"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spans="1:27" ht="12.75" customHeight="1"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spans="1:27" ht="12.75" customHeight="1"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spans="1:27" ht="12.75" customHeight="1"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spans="1:27" ht="12.75" customHeight="1"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spans="1:27" ht="12.75" customHeight="1"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spans="1:27" ht="12.75" customHeight="1"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spans="1:27" ht="12.75" customHeight="1"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spans="1:27" ht="12.75" customHeight="1"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spans="1:27" ht="12.75" customHeight="1"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spans="1:27" ht="12.75" customHeigh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spans="1:27" ht="12.75" customHeight="1"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spans="1:27" ht="12.75" customHeight="1"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spans="1:27" ht="12.75" customHeight="1"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spans="1:27" ht="12.75" customHeight="1"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spans="1:27" ht="12.75" customHeight="1"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spans="1:27" ht="12.75" customHeight="1"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spans="1:27" ht="12.75" customHeight="1"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spans="1:27" ht="12.75" customHeight="1"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spans="1:27" ht="12.75" customHeight="1"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spans="1:27" ht="12.75" customHeight="1"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spans="1:27" ht="12.75" customHeight="1"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spans="1:27" ht="12.75" customHeight="1"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spans="1:27" ht="12.75" customHeight="1"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spans="1:27" ht="12.75" customHeight="1"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spans="1:27" ht="12.75" customHeight="1"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spans="1:27" ht="12.75" customHeight="1"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spans="1:27" ht="12.75" customHeight="1"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spans="1:27" ht="12.75" customHeight="1"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spans="1:27" ht="12.75" customHeight="1"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spans="1:27" ht="12.75" customHeight="1"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spans="1:27" ht="12.75" customHeight="1"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spans="1:27" ht="12.75" customHeight="1"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spans="1:27" ht="12.75" customHeight="1"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spans="1:27" ht="12.75" customHeight="1"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spans="1:27" ht="12.75" customHeight="1"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spans="1:27" ht="12.75" customHeight="1"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spans="1:27" ht="12.75" customHeigh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spans="1:27" ht="12.75" customHeigh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spans="1:27" ht="12.75" customHeigh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spans="1:27" ht="12.75" customHeigh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spans="1:27" ht="12.75" customHeigh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spans="1:27" ht="12.75" customHeigh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spans="1:27" ht="12.75" customHeigh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spans="1:27" ht="12.75" customHeigh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spans="1:27" ht="12.75" customHeigh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spans="1:27" ht="12.75" customHeigh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spans="1:27" ht="12.75" customHeigh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spans="1:27" ht="12.75" customHeigh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spans="1:27" ht="12.75" customHeigh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spans="1:27" ht="12.75" customHeigh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spans="1:27" ht="12.75" customHeigh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spans="1:27" ht="12.75" customHeigh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spans="1:27" ht="12.75" customHeigh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spans="1:27" ht="12.75" customHeigh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spans="1:27" ht="12.75" customHeigh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spans="1:27" ht="12.75" customHeigh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spans="1:27" ht="12.75" customHeigh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spans="1:27" ht="12.75" customHeigh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spans="1:27" ht="12.75" customHeigh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spans="1:27" ht="12.75" customHeigh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spans="1:27" ht="12.75" customHeigh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spans="1:27" ht="12.75" customHeigh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spans="1:27" ht="12.75" customHeigh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spans="1:27" ht="12.75" customHeigh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spans="1:27" ht="12.75" customHeigh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spans="1:27" ht="12.75" customHeigh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spans="1:27" ht="12.75" customHeigh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spans="1:27" ht="12.75" customHeigh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spans="1:27" ht="12.75" customHeigh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spans="1:27" ht="12.75" customHeigh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spans="1:27" ht="12.75" customHeigh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spans="1:27" ht="12.75" customHeigh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spans="1:27" ht="12.75" customHeigh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spans="1:27" ht="12.75" customHeigh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spans="1:27" ht="12.75" customHeigh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spans="1:27" ht="12.75" customHeigh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spans="1:27" ht="12.75" customHeigh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spans="1:27" ht="12.75" customHeigh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spans="1:27" ht="12.75" customHeigh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spans="1:27" ht="12.75" customHeigh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spans="1:27" ht="12.75" customHeigh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spans="1:27" ht="12.75" customHeigh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spans="1:27" ht="12.75" customHeigh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spans="1:27" ht="12.75" customHeigh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spans="1:27" ht="12.75" customHeigh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spans="1:27" ht="12.75" customHeigh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spans="1:27" ht="12.75" customHeigh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spans="1:27" ht="12.75" customHeigh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spans="1:27" ht="12.75" customHeigh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spans="1:27" ht="12.75" customHeigh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spans="1:27" ht="12.75" customHeigh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spans="1:27" ht="12.75" customHeigh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spans="1:27" ht="12.75" customHeigh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spans="1:27" ht="12.75" customHeigh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spans="1:27" ht="12.75" customHeigh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spans="1:27" ht="12.75" customHeigh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spans="1:27" ht="12.75" customHeigh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spans="1:27" ht="12.75" customHeigh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spans="1:27" ht="12.75" customHeigh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spans="1:27" ht="12.75" customHeigh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spans="1:27" ht="12.75" customHeigh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spans="1:27" ht="12.75" customHeigh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spans="1:27" ht="12.75" customHeigh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spans="1:27" ht="12.75" customHeigh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spans="1:27" ht="12.75" customHeigh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spans="1:27" ht="12.75" customHeigh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spans="1:27" ht="12.75" customHeigh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spans="1:27" ht="12.75" customHeigh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spans="1:27" ht="12.75" customHeigh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spans="1:27" ht="12.75" customHeigh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spans="1:27" ht="12.75" customHeigh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spans="1:27" ht="12.75" customHeigh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spans="1:27" ht="12.75" customHeigh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spans="1:27" ht="12.75" customHeigh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spans="1:27" ht="12.75" customHeigh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spans="1:27" ht="12.75" customHeigh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spans="1:27" ht="12.75" customHeigh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spans="1:27" ht="12.75" customHeigh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spans="1:27" ht="12.75" customHeigh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spans="1:27" ht="12.75" customHeigh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spans="1:27" ht="12.75" customHeigh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spans="1:27" ht="12.75" customHeigh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spans="1:27" ht="12.75" customHeigh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spans="1:27" ht="12.75" customHeigh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spans="1:27" ht="12.75" customHeigh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spans="1:27" ht="12.75" customHeigh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spans="1:27" ht="12.75" customHeigh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spans="1:27" ht="12.75" customHeigh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spans="1:27" ht="12.75" customHeigh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spans="1:27" ht="12.75" customHeigh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spans="1:27" ht="12.75" customHeigh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spans="1:27" ht="12.75" customHeigh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spans="1:27" ht="12.75" customHeigh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spans="1:27" ht="12.75" customHeigh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spans="1:27" ht="12.75" customHeigh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spans="1:27" ht="12.75" customHeigh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spans="1:27" ht="12.75" customHeigh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spans="1:27" ht="12.75" customHeigh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spans="1:27" ht="12.75" customHeigh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spans="1:27" ht="12.75" customHeigh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spans="1:27" ht="12.75" customHeigh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spans="1:27" ht="12.75" customHeigh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spans="1:27" ht="12.75" customHeigh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spans="1:27" ht="12.75" customHeigh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spans="1:27" ht="12.75" customHeigh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spans="1:27" ht="12.75" customHeigh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spans="1:27" ht="12.75" customHeigh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spans="1:27" ht="12.75" customHeigh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spans="1:27" ht="12.75" customHeigh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spans="1:27" ht="12.75" customHeigh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spans="1:27" ht="12.75" customHeigh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spans="1:27" ht="12.75" customHeigh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spans="1:27" ht="12.75" customHeigh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spans="1:27" ht="12.75" customHeigh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spans="1:27" ht="12.75" customHeigh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spans="1:27" ht="12.75" customHeigh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spans="1:27" ht="12.75" customHeigh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spans="1:27" ht="12.75" customHeigh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spans="1:27" ht="12.75" customHeigh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spans="1:27" ht="12.75" customHeigh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spans="1:27" ht="12.75" customHeigh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spans="1:27" ht="12.75" customHeigh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spans="1:27" ht="12.75" customHeigh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spans="1:27" ht="12.75" customHeigh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spans="1:27" ht="12.75" customHeigh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spans="1:27" ht="12.75" customHeigh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spans="1:27" ht="12.75" customHeigh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spans="1:27" ht="12.75" customHeigh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spans="1:27" ht="12.75" customHeigh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spans="1:27" ht="12.75" customHeigh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spans="1:27" ht="12.75" customHeigh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spans="1:27" ht="12.75" customHeigh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spans="1:27" ht="12.75" customHeigh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spans="1:27" ht="12.75" customHeigh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spans="1:27" ht="12.75" customHeigh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spans="1:27" ht="12.75" customHeigh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spans="1:27" ht="12.75" customHeigh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spans="1:27" ht="12.75" customHeigh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spans="1:27" ht="12.75" customHeigh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spans="1:27" ht="12.75" customHeigh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spans="1:27" ht="12.75" customHeigh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spans="1:27" ht="12.75" customHeigh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spans="1:27" ht="12.75" customHeigh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spans="1:27" ht="12.75" customHeigh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spans="1:27" ht="12.75" customHeigh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spans="1:27" ht="12.75" customHeigh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spans="1:27" ht="12.75" customHeigh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spans="1:27" ht="12.75" customHeigh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spans="1:27" ht="12.75" customHeigh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spans="1:27" ht="12.75" customHeigh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spans="1:27" ht="12.75" customHeigh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spans="1:27" ht="12.75" customHeigh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spans="1:27" ht="12.75" customHeigh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spans="1:27" ht="12.75" customHeigh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spans="1:27" ht="12.75" customHeigh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spans="1:27" ht="12.75" customHeigh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spans="1:27" ht="12.75" customHeigh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spans="1:27" ht="12.75" customHeigh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spans="1:27" ht="12.75" customHeigh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spans="1:27" ht="12.75" customHeigh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spans="1:27" ht="12.75" customHeigh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spans="1:27" ht="12.75" customHeigh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spans="1:27" ht="12.75" customHeigh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spans="1:27" ht="12.75" customHeigh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spans="1:27" ht="12.75" customHeigh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spans="1:27" ht="12.75" customHeigh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spans="1:27" ht="12.75" customHeigh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spans="1:27" ht="12.75" customHeigh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spans="1:27" ht="12.75" customHeigh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spans="1:27" ht="12.75" customHeigh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spans="1:27" ht="12.75" customHeigh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spans="1:27" ht="12.75" customHeigh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spans="1:27" ht="12.75" customHeigh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spans="1:27" ht="12.75" customHeigh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spans="1:27" ht="12.75" customHeigh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spans="1:27" ht="12.75" customHeigh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spans="1:27" ht="12.75" customHeigh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spans="1:27" ht="12.75" customHeigh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spans="1:27" ht="12.75" customHeigh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spans="1:27" ht="12.75" customHeigh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spans="1:27" ht="12.75" customHeigh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spans="1:27" ht="12.75" customHeigh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spans="1:27" ht="12.75" customHeigh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spans="1:27" ht="12.75" customHeigh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spans="1:27" ht="12.75" customHeigh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spans="1:27" ht="12.75" customHeigh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spans="1:27" ht="12.75" customHeigh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spans="1:27" ht="12.75" customHeigh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spans="1:27" ht="12.75" customHeigh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spans="1:27" ht="12.75" customHeigh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spans="1:27" ht="12.75" customHeigh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spans="1:27" ht="12.75" customHeigh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spans="1:27" ht="12.75" customHeigh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spans="1:27" ht="12.75" customHeigh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spans="1:27" ht="12.75" customHeigh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spans="1:27" ht="12.75" customHeigh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spans="1:27" ht="12.75" customHeigh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spans="1:27" ht="12.75" customHeigh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spans="1:27" ht="12.75" customHeigh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spans="1:27" ht="12.75" customHeigh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spans="1:27" ht="12.75" customHeigh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spans="1:27" ht="12.75" customHeigh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spans="1:27" ht="12.75" customHeigh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spans="1:27" ht="12.75" customHeigh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spans="1:27" ht="12.75" customHeigh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spans="1:27" ht="12.75" customHeigh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spans="1:27" ht="12.75" customHeigh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spans="1:27" ht="12.75" customHeigh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spans="1:27" ht="12.75" customHeigh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spans="1:27" ht="12.75" customHeigh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spans="1:27" ht="12.75" customHeigh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spans="1:27" ht="12.75" customHeigh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spans="1:27" ht="12.75" customHeigh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spans="1:27" ht="12.75" customHeigh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spans="1:27" ht="12.75" customHeigh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spans="1:27" ht="12.75" customHeigh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spans="1:27" ht="12.75" customHeigh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spans="1:27" ht="12.75" customHeigh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spans="1:27" ht="12.75" customHeigh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spans="1:27" ht="12.75" customHeigh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spans="1:27" ht="12.75" customHeigh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spans="1:27" ht="12.75" customHeigh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spans="1:27" ht="12.75" customHeigh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spans="1:27" ht="12.75" customHeigh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spans="1:27" ht="12.75" customHeigh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spans="1:27" ht="12.75" customHeigh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spans="1:27" ht="12.75" customHeigh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spans="1:27" ht="12.75" customHeigh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spans="1:27" ht="12.75" customHeigh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spans="1:27" ht="12.75" customHeigh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spans="1:27" ht="12.75" customHeigh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spans="1:27" ht="12.75" customHeigh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spans="1:27" ht="12.75" customHeigh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spans="1:27" ht="12.75" customHeigh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spans="1:27" ht="12.75" customHeigh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spans="1:27" ht="12.75" customHeigh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spans="1:27" ht="12.75" customHeigh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spans="1:27" ht="12.75" customHeigh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spans="1:27" ht="12.75" customHeigh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spans="1:27" ht="12.75" customHeigh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spans="1:27" ht="12.75" customHeigh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spans="1:27" ht="12.75" customHeigh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spans="1:27" ht="12.75" customHeigh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spans="1:27" ht="12.75" customHeigh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spans="1:27" ht="12.75" customHeigh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spans="1:27" ht="12.75" customHeigh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spans="1:27" ht="12.75" customHeigh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spans="1:27" ht="12.75" customHeigh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spans="1:27" ht="12.75" customHeigh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spans="1:27" ht="12.75" customHeigh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spans="1:27" ht="12.75" customHeigh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spans="1:27" ht="12.75" customHeigh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spans="1:27" ht="12.75" customHeigh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spans="1:27" ht="12.75" customHeigh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spans="1:27" ht="12.75" customHeigh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spans="1:27" ht="12.75" customHeigh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spans="1:27" ht="12.75" customHeigh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spans="1:27" ht="12.75" customHeigh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spans="1:27" ht="12.75" customHeigh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spans="1:27" ht="12.75" customHeight="1"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spans="1:27" ht="12.75" customHeight="1"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spans="1:27" ht="12.75" customHeight="1"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spans="1:27" ht="12.75" customHeight="1"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spans="1:27" ht="12.75" customHeight="1"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spans="1:27" ht="12.75" customHeight="1"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spans="1:27" ht="12.75" customHeight="1"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spans="1:27" ht="12.75" customHeight="1"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spans="1:27" ht="12.75" customHeight="1"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spans="1:27" ht="12.75" customHeight="1"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spans="1:27" ht="12.75" customHeight="1"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spans="1:27" ht="12.75" customHeight="1"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spans="1:27" ht="12.75" customHeight="1"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spans="1:27" ht="12.75" customHeight="1"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spans="1:27" ht="12.75" customHeight="1"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spans="1:27" ht="12.75" customHeight="1"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spans="1:27" ht="12.75" customHeight="1"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spans="1:27" ht="12.75" customHeight="1"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spans="1:27" ht="12.75" customHeight="1"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spans="1:27" ht="12.75" customHeight="1"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spans="1:27" ht="12.75" customHeight="1"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spans="1:27" ht="12.75" customHeight="1"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spans="1:27" ht="12.75" customHeight="1"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spans="1:27" ht="12.75" customHeight="1"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spans="1:27" ht="12.75" customHeight="1"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spans="1:27" ht="12.75" customHeight="1"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spans="1:27" ht="12.75" customHeight="1"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spans="1:27" ht="12.75" customHeight="1"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spans="1:27" ht="12.75" customHeight="1"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spans="1:27" ht="12.75" customHeight="1"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spans="1:27" ht="12.75" customHeight="1"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spans="1:27" ht="12.75" customHeight="1"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spans="1:27" ht="12.75" customHeight="1"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spans="1:27" ht="12.75" customHeight="1"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spans="1:27" ht="12.75" customHeight="1"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spans="1:27" ht="12.75" customHeight="1"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spans="1:27" ht="12.75" customHeight="1"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spans="1:27" ht="12.75" customHeight="1"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spans="1:27" ht="12.75" customHeight="1"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spans="1:27" ht="12.75" customHeight="1"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spans="1:27" ht="12.75" customHeight="1"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spans="1:27" ht="12.75" customHeight="1"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spans="1:27" ht="12.75" customHeight="1"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spans="1:27" ht="12.75" customHeight="1"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spans="1:27" ht="12.75" customHeight="1"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spans="1:27" ht="12.75" customHeight="1"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spans="1:27" ht="12.75" customHeight="1"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spans="1:27" ht="12.75" customHeight="1"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spans="1:27" ht="12.75" customHeight="1"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spans="1:27" ht="12.75" customHeight="1"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spans="1:27" ht="12.75" customHeight="1"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spans="1:27" ht="12.75" customHeight="1"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spans="1:27" ht="12.75" customHeight="1"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spans="1:27" ht="12.75" customHeight="1"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spans="1:27" ht="12.75" customHeight="1"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spans="1:27" ht="12.75" customHeight="1"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spans="1:27" ht="12.75" customHeight="1"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spans="1:27" ht="12.75" customHeight="1"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spans="1:27" ht="12.75" customHeight="1"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spans="1:27" ht="12.75" customHeight="1"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spans="1:27" ht="12.75" customHeight="1"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spans="1:27" ht="12.75" customHeight="1"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spans="1:27" ht="12.75" customHeight="1"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spans="1:27" ht="12.75" customHeight="1"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spans="1:27" ht="12.75" customHeight="1"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spans="1:27" ht="12.75" customHeight="1"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spans="1:27" ht="12.75" customHeight="1"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spans="1:27" ht="12.75" customHeight="1"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spans="1:27" ht="12.75" customHeight="1"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spans="1:27" ht="12.75" customHeight="1"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spans="1:27" ht="12.75" customHeight="1"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spans="1:27" ht="12.75" customHeight="1"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spans="1:27" ht="12.75" customHeight="1"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spans="1:27" ht="12.75" customHeight="1"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spans="1:27" ht="12.75" customHeight="1"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spans="1:27" ht="12.75" customHeight="1"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spans="1:27" ht="12.75" customHeight="1"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spans="1:27" ht="12.75" customHeight="1"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spans="1:27" ht="12.75" customHeight="1"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spans="1:27" ht="12.75" customHeight="1"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spans="1:27" ht="12.75" customHeight="1"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spans="1:27" ht="12.75" customHeight="1"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spans="1:27" ht="12.75" customHeight="1"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spans="1:27" ht="12.75" customHeight="1"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spans="1:27" ht="12.75" customHeight="1"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spans="1:27" ht="12.75" customHeight="1"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spans="1:27" ht="12.75" customHeight="1"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spans="1:27" ht="12.75" customHeight="1"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spans="1:27" ht="12.75" customHeight="1"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spans="1:27" ht="12.75" customHeight="1"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spans="1:27" ht="12.75" customHeight="1"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spans="1:27" ht="12.75" customHeight="1"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spans="1:27" ht="12.75" customHeight="1"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spans="1:27" ht="12.75" customHeight="1"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spans="1:27" ht="12.75" customHeight="1"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spans="1:27" ht="12.75" customHeight="1"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spans="1:27" ht="12.75" customHeight="1"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spans="1:27" ht="12.75" customHeight="1"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spans="1:27" ht="12.75" customHeight="1"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spans="1:27" ht="12.75" customHeight="1"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spans="1:27" ht="12.75" customHeight="1"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spans="1:27" ht="12.75" customHeight="1"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spans="1:27" ht="12.75" customHeight="1"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spans="1:27" ht="12.75" customHeight="1"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spans="1:27" ht="12.75" customHeight="1"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spans="1:27" ht="12.75" customHeight="1"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spans="1:27" ht="12.75" customHeight="1"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spans="1:27" ht="12.75" customHeight="1"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spans="1:27" ht="12.75" customHeight="1"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spans="1:27" ht="12.75" customHeight="1"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spans="1:27" ht="12.75" customHeight="1"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spans="1:27" ht="12.75" customHeight="1"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spans="1:27" ht="12.75" customHeight="1"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spans="1:27" ht="12.75" customHeight="1"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spans="1:27" ht="12.75" customHeight="1"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spans="1:27" ht="12.75" customHeight="1"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spans="1:27" ht="12.75" customHeight="1"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spans="1:27" ht="12.75" customHeight="1"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spans="1:27" ht="12.75" customHeight="1"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spans="1:27" ht="12.75" customHeight="1"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spans="1:27" ht="12.75" customHeight="1"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spans="1:27" ht="12.75" customHeight="1"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spans="1:27" ht="12.75" customHeight="1"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spans="1:27" ht="12.75" customHeight="1"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spans="1:27" ht="12.75" customHeight="1"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spans="1:27" ht="12.75" customHeight="1"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spans="1:27" ht="12.75" customHeight="1"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spans="1:27" ht="12.75" customHeight="1"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spans="1:27" ht="12.75" customHeight="1"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spans="1:27" ht="12.75" customHeight="1"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spans="1:27" ht="12.75" customHeight="1"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spans="1:27" ht="12.75" customHeight="1"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spans="1:27" ht="12.75" customHeight="1"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sheetData>
  <mergeCells count="9">
    <mergeCell ref="A66:N66"/>
    <mergeCell ref="A68:N69"/>
    <mergeCell ref="A17:V17"/>
    <mergeCell ref="A19:V19"/>
    <mergeCell ref="A20:V20"/>
    <mergeCell ref="A21:V21"/>
    <mergeCell ref="B35:V35"/>
    <mergeCell ref="B36:V36"/>
    <mergeCell ref="B40:V40"/>
  </mergeCell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5B"/>
  </sheetPr>
  <dimension ref="A1:Z1000"/>
  <sheetViews>
    <sheetView workbookViewId="0">
      <pane ySplit="1" topLeftCell="A86" activePane="bottomLeft" state="frozen"/>
      <selection pane="bottomLeft" activeCell="B3" sqref="B3"/>
    </sheetView>
  </sheetViews>
  <sheetFormatPr defaultColWidth="14.42578125" defaultRowHeight="15" customHeight="1" x14ac:dyDescent="0.25"/>
  <cols>
    <col min="1" max="1" width="21.42578125" customWidth="1"/>
    <col min="2" max="3" width="19.85546875" customWidth="1"/>
    <col min="4" max="4" width="8.7109375" customWidth="1"/>
    <col min="5" max="6" width="15.140625" customWidth="1"/>
    <col min="7" max="7" width="27.5703125" customWidth="1"/>
    <col min="8" max="8" width="31.85546875" customWidth="1"/>
    <col min="9" max="9" width="16.85546875" customWidth="1"/>
    <col min="10" max="10" width="18.7109375" customWidth="1"/>
    <col min="11" max="12" width="12.28515625" customWidth="1"/>
    <col min="13" max="26" width="8.7109375" customWidth="1"/>
  </cols>
  <sheetData>
    <row r="1" spans="1:26" ht="14.25" customHeight="1" x14ac:dyDescent="0.25">
      <c r="A1" s="106" t="s">
        <v>12</v>
      </c>
      <c r="B1" s="106" t="s">
        <v>14</v>
      </c>
      <c r="C1" s="106" t="s">
        <v>16</v>
      </c>
      <c r="D1" s="106" t="s">
        <v>18</v>
      </c>
      <c r="E1" s="106" t="s">
        <v>20</v>
      </c>
      <c r="F1" s="106" t="s">
        <v>41</v>
      </c>
      <c r="G1" s="106" t="s">
        <v>42</v>
      </c>
      <c r="H1" s="106" t="s">
        <v>43</v>
      </c>
      <c r="I1" s="106" t="s">
        <v>26</v>
      </c>
      <c r="J1" s="109" t="s">
        <v>28</v>
      </c>
      <c r="K1" s="110"/>
      <c r="L1" s="111"/>
      <c r="M1" s="111"/>
      <c r="N1" s="111"/>
      <c r="O1" s="111"/>
      <c r="P1" s="111"/>
      <c r="Q1" s="111"/>
      <c r="R1" s="111"/>
      <c r="S1" s="111"/>
      <c r="T1" s="111"/>
      <c r="U1" s="111"/>
      <c r="V1" s="111"/>
      <c r="W1" s="111"/>
      <c r="X1" s="111"/>
      <c r="Y1" s="111"/>
      <c r="Z1" s="111"/>
    </row>
    <row r="2" spans="1:26" ht="14.25" customHeight="1" x14ac:dyDescent="0.25">
      <c r="A2" s="7" t="s">
        <v>44</v>
      </c>
      <c r="B2" s="7" t="s">
        <v>45</v>
      </c>
      <c r="C2" s="7" t="s">
        <v>46</v>
      </c>
      <c r="D2" s="23">
        <v>41456</v>
      </c>
      <c r="E2" s="24">
        <f t="shared" ref="E2:E256" si="0">MONTH(D2)</f>
        <v>7</v>
      </c>
      <c r="F2" s="24" t="s">
        <v>47</v>
      </c>
      <c r="G2" s="7" t="s">
        <v>48</v>
      </c>
      <c r="H2" s="7" t="s">
        <v>49</v>
      </c>
      <c r="I2" s="7" t="s">
        <v>50</v>
      </c>
      <c r="J2" s="25">
        <v>1473589.0469999998</v>
      </c>
      <c r="K2" s="26"/>
    </row>
    <row r="3" spans="1:26" ht="14.25" customHeight="1" x14ac:dyDescent="0.25">
      <c r="A3" s="7" t="s">
        <v>44</v>
      </c>
      <c r="B3" s="7" t="s">
        <v>45</v>
      </c>
      <c r="C3" s="7" t="s">
        <v>46</v>
      </c>
      <c r="D3" s="23">
        <v>41487</v>
      </c>
      <c r="E3" s="24">
        <f t="shared" si="0"/>
        <v>8</v>
      </c>
      <c r="F3" s="24" t="s">
        <v>47</v>
      </c>
      <c r="G3" s="7" t="s">
        <v>48</v>
      </c>
      <c r="H3" s="7" t="s">
        <v>49</v>
      </c>
      <c r="I3" s="7" t="s">
        <v>50</v>
      </c>
      <c r="J3" s="25">
        <v>1419296.1002499999</v>
      </c>
      <c r="K3" s="26"/>
    </row>
    <row r="4" spans="1:26" ht="14.25" customHeight="1" x14ac:dyDescent="0.25">
      <c r="A4" s="7" t="s">
        <v>44</v>
      </c>
      <c r="B4" s="7" t="s">
        <v>45</v>
      </c>
      <c r="C4" s="7" t="s">
        <v>46</v>
      </c>
      <c r="D4" s="23">
        <v>41518</v>
      </c>
      <c r="E4" s="24">
        <f t="shared" si="0"/>
        <v>9</v>
      </c>
      <c r="F4" s="24" t="s">
        <v>47</v>
      </c>
      <c r="G4" s="7" t="s">
        <v>48</v>
      </c>
      <c r="H4" s="7" t="s">
        <v>49</v>
      </c>
      <c r="I4" s="7" t="s">
        <v>50</v>
      </c>
      <c r="J4" s="25">
        <v>1310673.21</v>
      </c>
      <c r="K4" s="26"/>
    </row>
    <row r="5" spans="1:26" ht="14.25" customHeight="1" x14ac:dyDescent="0.25">
      <c r="A5" s="7" t="s">
        <v>44</v>
      </c>
      <c r="B5" s="7" t="s">
        <v>45</v>
      </c>
      <c r="C5" s="7" t="s">
        <v>46</v>
      </c>
      <c r="D5" s="23">
        <v>41548</v>
      </c>
      <c r="E5" s="24">
        <f t="shared" si="0"/>
        <v>10</v>
      </c>
      <c r="F5" s="24" t="s">
        <v>47</v>
      </c>
      <c r="G5" s="7" t="s">
        <v>48</v>
      </c>
      <c r="H5" s="7" t="s">
        <v>49</v>
      </c>
      <c r="I5" s="7" t="s">
        <v>50</v>
      </c>
      <c r="J5" s="25">
        <v>1301024.7319999998</v>
      </c>
      <c r="K5" s="26"/>
    </row>
    <row r="6" spans="1:26" ht="14.25" customHeight="1" x14ac:dyDescent="0.25">
      <c r="A6" s="7" t="s">
        <v>44</v>
      </c>
      <c r="B6" s="7" t="s">
        <v>45</v>
      </c>
      <c r="C6" s="7" t="s">
        <v>46</v>
      </c>
      <c r="D6" s="23">
        <v>41579</v>
      </c>
      <c r="E6" s="24">
        <f t="shared" si="0"/>
        <v>11</v>
      </c>
      <c r="F6" s="24" t="s">
        <v>47</v>
      </c>
      <c r="G6" s="7" t="s">
        <v>48</v>
      </c>
      <c r="H6" s="7" t="s">
        <v>49</v>
      </c>
      <c r="I6" s="7" t="s">
        <v>50</v>
      </c>
      <c r="J6" s="25">
        <v>1373822.8629999999</v>
      </c>
    </row>
    <row r="7" spans="1:26" ht="14.25" customHeight="1" x14ac:dyDescent="0.25">
      <c r="A7" s="7" t="s">
        <v>44</v>
      </c>
      <c r="B7" s="7" t="s">
        <v>45</v>
      </c>
      <c r="C7" s="7" t="s">
        <v>46</v>
      </c>
      <c r="D7" s="23">
        <v>41609</v>
      </c>
      <c r="E7" s="24">
        <f t="shared" si="0"/>
        <v>12</v>
      </c>
      <c r="F7" s="24" t="s">
        <v>47</v>
      </c>
      <c r="G7" s="7" t="s">
        <v>48</v>
      </c>
      <c r="H7" s="7" t="s">
        <v>49</v>
      </c>
      <c r="I7" s="7" t="s">
        <v>50</v>
      </c>
      <c r="J7" s="25">
        <v>1340623.0372500001</v>
      </c>
    </row>
    <row r="8" spans="1:26" ht="14.25" customHeight="1" x14ac:dyDescent="0.25">
      <c r="A8" s="7" t="s">
        <v>44</v>
      </c>
      <c r="B8" s="7" t="s">
        <v>45</v>
      </c>
      <c r="C8" s="7" t="s">
        <v>46</v>
      </c>
      <c r="D8" s="23">
        <v>41640</v>
      </c>
      <c r="E8" s="24">
        <f t="shared" si="0"/>
        <v>1</v>
      </c>
      <c r="F8" s="24" t="s">
        <v>47</v>
      </c>
      <c r="G8" s="7" t="s">
        <v>48</v>
      </c>
      <c r="H8" s="7" t="s">
        <v>49</v>
      </c>
      <c r="I8" s="7" t="s">
        <v>50</v>
      </c>
      <c r="J8" s="25">
        <v>1948962.5522499997</v>
      </c>
    </row>
    <row r="9" spans="1:26" ht="14.25" customHeight="1" x14ac:dyDescent="0.25">
      <c r="A9" s="7" t="s">
        <v>44</v>
      </c>
      <c r="B9" s="7" t="s">
        <v>45</v>
      </c>
      <c r="C9" s="7" t="s">
        <v>46</v>
      </c>
      <c r="D9" s="23">
        <v>41671</v>
      </c>
      <c r="E9" s="24">
        <f t="shared" si="0"/>
        <v>2</v>
      </c>
      <c r="F9" s="24" t="s">
        <v>47</v>
      </c>
      <c r="G9" s="7" t="s">
        <v>48</v>
      </c>
      <c r="H9" s="7" t="s">
        <v>49</v>
      </c>
      <c r="I9" s="7" t="s">
        <v>50</v>
      </c>
      <c r="J9" s="25">
        <v>1725161.6969999999</v>
      </c>
    </row>
    <row r="10" spans="1:26" ht="14.25" customHeight="1" x14ac:dyDescent="0.25">
      <c r="A10" s="7" t="s">
        <v>44</v>
      </c>
      <c r="B10" s="7" t="s">
        <v>45</v>
      </c>
      <c r="C10" s="7" t="s">
        <v>46</v>
      </c>
      <c r="D10" s="23">
        <v>41699</v>
      </c>
      <c r="E10" s="24">
        <f t="shared" si="0"/>
        <v>3</v>
      </c>
      <c r="F10" s="24" t="s">
        <v>47</v>
      </c>
      <c r="G10" s="7" t="s">
        <v>48</v>
      </c>
      <c r="H10" s="7" t="s">
        <v>49</v>
      </c>
      <c r="I10" s="7" t="s">
        <v>50</v>
      </c>
      <c r="J10" s="25">
        <v>1818208.6194999998</v>
      </c>
    </row>
    <row r="11" spans="1:26" ht="14.25" customHeight="1" x14ac:dyDescent="0.25">
      <c r="A11" s="7" t="s">
        <v>44</v>
      </c>
      <c r="B11" s="7" t="s">
        <v>45</v>
      </c>
      <c r="C11" s="7" t="s">
        <v>46</v>
      </c>
      <c r="D11" s="23">
        <v>41730</v>
      </c>
      <c r="E11" s="24">
        <f t="shared" si="0"/>
        <v>4</v>
      </c>
      <c r="F11" s="24" t="s">
        <v>47</v>
      </c>
      <c r="G11" s="7" t="s">
        <v>48</v>
      </c>
      <c r="H11" s="7" t="s">
        <v>49</v>
      </c>
      <c r="I11" s="7" t="s">
        <v>50</v>
      </c>
      <c r="J11" s="25">
        <v>1328501.68325</v>
      </c>
    </row>
    <row r="12" spans="1:26" ht="14.25" customHeight="1" x14ac:dyDescent="0.25">
      <c r="A12" s="7" t="s">
        <v>44</v>
      </c>
      <c r="B12" s="7" t="s">
        <v>45</v>
      </c>
      <c r="C12" s="7" t="s">
        <v>46</v>
      </c>
      <c r="D12" s="23">
        <v>41760</v>
      </c>
      <c r="E12" s="24">
        <f t="shared" si="0"/>
        <v>5</v>
      </c>
      <c r="F12" s="24" t="s">
        <v>47</v>
      </c>
      <c r="G12" s="7" t="s">
        <v>48</v>
      </c>
      <c r="H12" s="7" t="s">
        <v>49</v>
      </c>
      <c r="I12" s="7" t="s">
        <v>50</v>
      </c>
      <c r="J12" s="25">
        <v>1344117.2814999998</v>
      </c>
    </row>
    <row r="13" spans="1:26" ht="14.25" customHeight="1" x14ac:dyDescent="0.25">
      <c r="A13" s="7" t="s">
        <v>44</v>
      </c>
      <c r="B13" s="7" t="s">
        <v>45</v>
      </c>
      <c r="C13" s="7" t="s">
        <v>46</v>
      </c>
      <c r="D13" s="23">
        <v>41791</v>
      </c>
      <c r="E13" s="24">
        <f t="shared" si="0"/>
        <v>6</v>
      </c>
      <c r="F13" s="24" t="s">
        <v>47</v>
      </c>
      <c r="G13" s="7" t="s">
        <v>48</v>
      </c>
      <c r="H13" s="7" t="s">
        <v>49</v>
      </c>
      <c r="I13" s="7" t="s">
        <v>50</v>
      </c>
      <c r="J13" s="25">
        <v>1291609.1335</v>
      </c>
    </row>
    <row r="14" spans="1:26" ht="14.25" customHeight="1" x14ac:dyDescent="0.25">
      <c r="A14" s="7" t="s">
        <v>44</v>
      </c>
      <c r="B14" s="7" t="s">
        <v>45</v>
      </c>
      <c r="C14" s="7" t="s">
        <v>46</v>
      </c>
      <c r="D14" s="23">
        <v>41456</v>
      </c>
      <c r="E14" s="24">
        <f t="shared" si="0"/>
        <v>7</v>
      </c>
      <c r="F14" s="24" t="s">
        <v>47</v>
      </c>
      <c r="G14" s="7" t="s">
        <v>48</v>
      </c>
      <c r="H14" s="7" t="s">
        <v>51</v>
      </c>
      <c r="I14" s="7" t="s">
        <v>50</v>
      </c>
      <c r="J14" s="25">
        <v>1620947.9516999999</v>
      </c>
    </row>
    <row r="15" spans="1:26" ht="14.25" customHeight="1" x14ac:dyDescent="0.25">
      <c r="A15" s="7" t="s">
        <v>44</v>
      </c>
      <c r="B15" s="7" t="s">
        <v>45</v>
      </c>
      <c r="C15" s="7" t="s">
        <v>46</v>
      </c>
      <c r="D15" s="23">
        <v>41487</v>
      </c>
      <c r="E15" s="24">
        <f t="shared" si="0"/>
        <v>8</v>
      </c>
      <c r="F15" s="24" t="s">
        <v>47</v>
      </c>
      <c r="G15" s="7" t="s">
        <v>48</v>
      </c>
      <c r="H15" s="7" t="s">
        <v>51</v>
      </c>
      <c r="I15" s="7" t="s">
        <v>50</v>
      </c>
      <c r="J15" s="25">
        <v>1561225.710275</v>
      </c>
    </row>
    <row r="16" spans="1:26" ht="14.25" customHeight="1" x14ac:dyDescent="0.25">
      <c r="A16" s="7" t="s">
        <v>44</v>
      </c>
      <c r="B16" s="7" t="s">
        <v>45</v>
      </c>
      <c r="C16" s="7" t="s">
        <v>46</v>
      </c>
      <c r="D16" s="23">
        <v>41518</v>
      </c>
      <c r="E16" s="24">
        <f t="shared" si="0"/>
        <v>9</v>
      </c>
      <c r="F16" s="24" t="s">
        <v>47</v>
      </c>
      <c r="G16" s="7" t="s">
        <v>48</v>
      </c>
      <c r="H16" s="7" t="s">
        <v>51</v>
      </c>
      <c r="I16" s="7" t="s">
        <v>50</v>
      </c>
      <c r="J16" s="25">
        <v>1441740.531</v>
      </c>
    </row>
    <row r="17" spans="1:10" ht="14.25" customHeight="1" x14ac:dyDescent="0.25">
      <c r="A17" s="7" t="s">
        <v>44</v>
      </c>
      <c r="B17" s="7" t="s">
        <v>45</v>
      </c>
      <c r="C17" s="7" t="s">
        <v>46</v>
      </c>
      <c r="D17" s="23">
        <v>41548</v>
      </c>
      <c r="E17" s="24">
        <f t="shared" si="0"/>
        <v>10</v>
      </c>
      <c r="F17" s="24" t="s">
        <v>47</v>
      </c>
      <c r="G17" s="7" t="s">
        <v>48</v>
      </c>
      <c r="H17" s="7" t="s">
        <v>51</v>
      </c>
      <c r="I17" s="7" t="s">
        <v>50</v>
      </c>
      <c r="J17" s="25">
        <v>1431127.2052</v>
      </c>
    </row>
    <row r="18" spans="1:10" ht="14.25" customHeight="1" x14ac:dyDescent="0.25">
      <c r="A18" s="7" t="s">
        <v>44</v>
      </c>
      <c r="B18" s="7" t="s">
        <v>45</v>
      </c>
      <c r="C18" s="7" t="s">
        <v>46</v>
      </c>
      <c r="D18" s="23">
        <v>41579</v>
      </c>
      <c r="E18" s="24">
        <f t="shared" si="0"/>
        <v>11</v>
      </c>
      <c r="F18" s="24" t="s">
        <v>47</v>
      </c>
      <c r="G18" s="7" t="s">
        <v>48</v>
      </c>
      <c r="H18" s="7" t="s">
        <v>51</v>
      </c>
      <c r="I18" s="7" t="s">
        <v>50</v>
      </c>
      <c r="J18" s="25">
        <v>1511205.1492999999</v>
      </c>
    </row>
    <row r="19" spans="1:10" ht="14.25" customHeight="1" x14ac:dyDescent="0.25">
      <c r="A19" s="7" t="s">
        <v>44</v>
      </c>
      <c r="B19" s="7" t="s">
        <v>45</v>
      </c>
      <c r="C19" s="7" t="s">
        <v>46</v>
      </c>
      <c r="D19" s="23">
        <v>41609</v>
      </c>
      <c r="E19" s="24">
        <f t="shared" si="0"/>
        <v>12</v>
      </c>
      <c r="F19" s="24" t="s">
        <v>47</v>
      </c>
      <c r="G19" s="7" t="s">
        <v>48</v>
      </c>
      <c r="H19" s="7" t="s">
        <v>51</v>
      </c>
      <c r="I19" s="7" t="s">
        <v>50</v>
      </c>
      <c r="J19" s="25">
        <v>1474685.3409750003</v>
      </c>
    </row>
    <row r="20" spans="1:10" ht="14.25" customHeight="1" x14ac:dyDescent="0.25">
      <c r="A20" s="7" t="s">
        <v>44</v>
      </c>
      <c r="B20" s="7" t="s">
        <v>45</v>
      </c>
      <c r="C20" s="7" t="s">
        <v>46</v>
      </c>
      <c r="D20" s="23">
        <v>41640</v>
      </c>
      <c r="E20" s="24">
        <f t="shared" si="0"/>
        <v>1</v>
      </c>
      <c r="F20" s="24" t="s">
        <v>47</v>
      </c>
      <c r="G20" s="7" t="s">
        <v>48</v>
      </c>
      <c r="H20" s="7" t="s">
        <v>51</v>
      </c>
      <c r="I20" s="7" t="s">
        <v>50</v>
      </c>
      <c r="J20" s="25">
        <v>2143858.8074749997</v>
      </c>
    </row>
    <row r="21" spans="1:10" ht="14.25" customHeight="1" x14ac:dyDescent="0.25">
      <c r="A21" s="7" t="s">
        <v>44</v>
      </c>
      <c r="B21" s="7" t="s">
        <v>45</v>
      </c>
      <c r="C21" s="7" t="s">
        <v>46</v>
      </c>
      <c r="D21" s="23">
        <v>41671</v>
      </c>
      <c r="E21" s="24">
        <f t="shared" si="0"/>
        <v>2</v>
      </c>
      <c r="F21" s="24" t="s">
        <v>47</v>
      </c>
      <c r="G21" s="7" t="s">
        <v>48</v>
      </c>
      <c r="H21" s="7" t="s">
        <v>51</v>
      </c>
      <c r="I21" s="7" t="s">
        <v>50</v>
      </c>
      <c r="J21" s="25">
        <v>1897677.8667000001</v>
      </c>
    </row>
    <row r="22" spans="1:10" ht="14.25" customHeight="1" x14ac:dyDescent="0.25">
      <c r="A22" s="7" t="s">
        <v>44</v>
      </c>
      <c r="B22" s="7" t="s">
        <v>45</v>
      </c>
      <c r="C22" s="7" t="s">
        <v>46</v>
      </c>
      <c r="D22" s="23">
        <v>41699</v>
      </c>
      <c r="E22" s="24">
        <f t="shared" si="0"/>
        <v>3</v>
      </c>
      <c r="F22" s="24" t="s">
        <v>47</v>
      </c>
      <c r="G22" s="7" t="s">
        <v>48</v>
      </c>
      <c r="H22" s="7" t="s">
        <v>51</v>
      </c>
      <c r="I22" s="7" t="s">
        <v>50</v>
      </c>
      <c r="J22" s="25">
        <v>2000029.4814499998</v>
      </c>
    </row>
    <row r="23" spans="1:10" ht="14.25" customHeight="1" x14ac:dyDescent="0.25">
      <c r="A23" s="7" t="s">
        <v>44</v>
      </c>
      <c r="B23" s="7" t="s">
        <v>45</v>
      </c>
      <c r="C23" s="7" t="s">
        <v>46</v>
      </c>
      <c r="D23" s="23">
        <v>41730</v>
      </c>
      <c r="E23" s="24">
        <f t="shared" si="0"/>
        <v>4</v>
      </c>
      <c r="F23" s="24" t="s">
        <v>47</v>
      </c>
      <c r="G23" s="7" t="s">
        <v>48</v>
      </c>
      <c r="H23" s="7" t="s">
        <v>51</v>
      </c>
      <c r="I23" s="7" t="s">
        <v>50</v>
      </c>
      <c r="J23" s="25">
        <v>1461351.8515750002</v>
      </c>
    </row>
    <row r="24" spans="1:10" ht="14.25" customHeight="1" x14ac:dyDescent="0.25">
      <c r="A24" s="7" t="s">
        <v>44</v>
      </c>
      <c r="B24" s="7" t="s">
        <v>45</v>
      </c>
      <c r="C24" s="7" t="s">
        <v>46</v>
      </c>
      <c r="D24" s="23">
        <v>41760</v>
      </c>
      <c r="E24" s="24">
        <f t="shared" si="0"/>
        <v>5</v>
      </c>
      <c r="F24" s="24" t="s">
        <v>47</v>
      </c>
      <c r="G24" s="7" t="s">
        <v>48</v>
      </c>
      <c r="H24" s="7" t="s">
        <v>51</v>
      </c>
      <c r="I24" s="7" t="s">
        <v>50</v>
      </c>
      <c r="J24" s="25">
        <v>1478529.0096499999</v>
      </c>
    </row>
    <row r="25" spans="1:10" ht="14.25" customHeight="1" x14ac:dyDescent="0.25">
      <c r="A25" s="7" t="s">
        <v>44</v>
      </c>
      <c r="B25" s="7" t="s">
        <v>45</v>
      </c>
      <c r="C25" s="7" t="s">
        <v>46</v>
      </c>
      <c r="D25" s="23">
        <v>41791</v>
      </c>
      <c r="E25" s="24">
        <f t="shared" si="0"/>
        <v>6</v>
      </c>
      <c r="F25" s="24" t="s">
        <v>47</v>
      </c>
      <c r="G25" s="7" t="s">
        <v>48</v>
      </c>
      <c r="H25" s="7" t="s">
        <v>51</v>
      </c>
      <c r="I25" s="7" t="s">
        <v>50</v>
      </c>
      <c r="J25" s="25">
        <v>1420770.04685</v>
      </c>
    </row>
    <row r="26" spans="1:10" ht="14.25" customHeight="1" x14ac:dyDescent="0.25">
      <c r="A26" s="7" t="s">
        <v>44</v>
      </c>
      <c r="B26" s="7" t="s">
        <v>45</v>
      </c>
      <c r="C26" s="7" t="s">
        <v>46</v>
      </c>
      <c r="D26" s="23">
        <v>41456</v>
      </c>
      <c r="E26" s="24">
        <f t="shared" si="0"/>
        <v>7</v>
      </c>
      <c r="F26" s="24" t="s">
        <v>47</v>
      </c>
      <c r="G26" s="7" t="s">
        <v>52</v>
      </c>
      <c r="H26" s="7" t="s">
        <v>49</v>
      </c>
      <c r="I26" s="7" t="s">
        <v>50</v>
      </c>
      <c r="J26" s="25">
        <v>567331.78309499996</v>
      </c>
    </row>
    <row r="27" spans="1:10" ht="14.25" customHeight="1" x14ac:dyDescent="0.25">
      <c r="A27" s="7" t="s">
        <v>44</v>
      </c>
      <c r="B27" s="7" t="s">
        <v>45</v>
      </c>
      <c r="C27" s="7" t="s">
        <v>46</v>
      </c>
      <c r="D27" s="23">
        <v>41487</v>
      </c>
      <c r="E27" s="24">
        <f t="shared" si="0"/>
        <v>8</v>
      </c>
      <c r="F27" s="24" t="s">
        <v>47</v>
      </c>
      <c r="G27" s="7" t="s">
        <v>52</v>
      </c>
      <c r="H27" s="7" t="s">
        <v>49</v>
      </c>
      <c r="I27" s="7" t="s">
        <v>50</v>
      </c>
      <c r="J27" s="25">
        <v>546428.99859624996</v>
      </c>
    </row>
    <row r="28" spans="1:10" ht="14.25" customHeight="1" x14ac:dyDescent="0.25">
      <c r="A28" s="7" t="s">
        <v>44</v>
      </c>
      <c r="B28" s="7" t="s">
        <v>45</v>
      </c>
      <c r="C28" s="7" t="s">
        <v>46</v>
      </c>
      <c r="D28" s="23">
        <v>41518</v>
      </c>
      <c r="E28" s="24">
        <f t="shared" si="0"/>
        <v>9</v>
      </c>
      <c r="F28" s="24" t="s">
        <v>47</v>
      </c>
      <c r="G28" s="7" t="s">
        <v>52</v>
      </c>
      <c r="H28" s="7" t="s">
        <v>49</v>
      </c>
      <c r="I28" s="7" t="s">
        <v>50</v>
      </c>
      <c r="J28" s="25">
        <v>504609.18584999995</v>
      </c>
    </row>
    <row r="29" spans="1:10" ht="14.25" customHeight="1" x14ac:dyDescent="0.25">
      <c r="A29" s="7" t="s">
        <v>44</v>
      </c>
      <c r="B29" s="7" t="s">
        <v>45</v>
      </c>
      <c r="C29" s="7" t="s">
        <v>46</v>
      </c>
      <c r="D29" s="23">
        <v>41548</v>
      </c>
      <c r="E29" s="24">
        <f t="shared" si="0"/>
        <v>10</v>
      </c>
      <c r="F29" s="24" t="s">
        <v>47</v>
      </c>
      <c r="G29" s="7" t="s">
        <v>52</v>
      </c>
      <c r="H29" s="7" t="s">
        <v>49</v>
      </c>
      <c r="I29" s="7" t="s">
        <v>50</v>
      </c>
      <c r="J29" s="25">
        <v>500894.52181999997</v>
      </c>
    </row>
    <row r="30" spans="1:10" ht="14.25" customHeight="1" x14ac:dyDescent="0.25">
      <c r="A30" s="7" t="s">
        <v>44</v>
      </c>
      <c r="B30" s="7" t="s">
        <v>45</v>
      </c>
      <c r="C30" s="7" t="s">
        <v>46</v>
      </c>
      <c r="D30" s="23">
        <v>41579</v>
      </c>
      <c r="E30" s="24">
        <f t="shared" si="0"/>
        <v>11</v>
      </c>
      <c r="F30" s="24" t="s">
        <v>47</v>
      </c>
      <c r="G30" s="7" t="s">
        <v>52</v>
      </c>
      <c r="H30" s="7" t="s">
        <v>49</v>
      </c>
      <c r="I30" s="7" t="s">
        <v>50</v>
      </c>
      <c r="J30" s="25">
        <v>528921.80225499999</v>
      </c>
    </row>
    <row r="31" spans="1:10" ht="14.25" customHeight="1" x14ac:dyDescent="0.25">
      <c r="A31" s="7" t="s">
        <v>44</v>
      </c>
      <c r="B31" s="7" t="s">
        <v>45</v>
      </c>
      <c r="C31" s="7" t="s">
        <v>46</v>
      </c>
      <c r="D31" s="23">
        <v>41609</v>
      </c>
      <c r="E31" s="24">
        <f t="shared" si="0"/>
        <v>12</v>
      </c>
      <c r="F31" s="24" t="s">
        <v>47</v>
      </c>
      <c r="G31" s="7" t="s">
        <v>52</v>
      </c>
      <c r="H31" s="7" t="s">
        <v>49</v>
      </c>
      <c r="I31" s="7" t="s">
        <v>50</v>
      </c>
      <c r="J31" s="25">
        <v>516139.86934125004</v>
      </c>
    </row>
    <row r="32" spans="1:10" ht="14.25" customHeight="1" x14ac:dyDescent="0.25">
      <c r="A32" s="7" t="s">
        <v>44</v>
      </c>
      <c r="B32" s="7" t="s">
        <v>45</v>
      </c>
      <c r="C32" s="7" t="s">
        <v>46</v>
      </c>
      <c r="D32" s="23">
        <v>41640</v>
      </c>
      <c r="E32" s="24">
        <f t="shared" si="0"/>
        <v>1</v>
      </c>
      <c r="F32" s="24" t="s">
        <v>47</v>
      </c>
      <c r="G32" s="7" t="s">
        <v>52</v>
      </c>
      <c r="H32" s="7" t="s">
        <v>49</v>
      </c>
      <c r="I32" s="7" t="s">
        <v>50</v>
      </c>
      <c r="J32" s="25">
        <v>750350.5826162498</v>
      </c>
    </row>
    <row r="33" spans="1:10" ht="14.25" customHeight="1" x14ac:dyDescent="0.25">
      <c r="A33" s="7" t="s">
        <v>44</v>
      </c>
      <c r="B33" s="7" t="s">
        <v>45</v>
      </c>
      <c r="C33" s="7" t="s">
        <v>46</v>
      </c>
      <c r="D33" s="23">
        <v>41671</v>
      </c>
      <c r="E33" s="24">
        <f t="shared" si="0"/>
        <v>2</v>
      </c>
      <c r="F33" s="24" t="s">
        <v>47</v>
      </c>
      <c r="G33" s="7" t="s">
        <v>52</v>
      </c>
      <c r="H33" s="7" t="s">
        <v>49</v>
      </c>
      <c r="I33" s="7" t="s">
        <v>50</v>
      </c>
      <c r="J33" s="25">
        <v>664187.25334499998</v>
      </c>
    </row>
    <row r="34" spans="1:10" ht="14.25" customHeight="1" x14ac:dyDescent="0.25">
      <c r="A34" s="7" t="s">
        <v>44</v>
      </c>
      <c r="B34" s="7" t="s">
        <v>45</v>
      </c>
      <c r="C34" s="7" t="s">
        <v>46</v>
      </c>
      <c r="D34" s="23">
        <v>41699</v>
      </c>
      <c r="E34" s="24">
        <f t="shared" si="0"/>
        <v>3</v>
      </c>
      <c r="F34" s="24" t="s">
        <v>47</v>
      </c>
      <c r="G34" s="7" t="s">
        <v>52</v>
      </c>
      <c r="H34" s="7" t="s">
        <v>49</v>
      </c>
      <c r="I34" s="7" t="s">
        <v>50</v>
      </c>
      <c r="J34" s="25">
        <v>700010.31850749988</v>
      </c>
    </row>
    <row r="35" spans="1:10" ht="14.25" customHeight="1" x14ac:dyDescent="0.25">
      <c r="A35" s="7" t="s">
        <v>44</v>
      </c>
      <c r="B35" s="7" t="s">
        <v>45</v>
      </c>
      <c r="C35" s="7" t="s">
        <v>46</v>
      </c>
      <c r="D35" s="23">
        <v>41730</v>
      </c>
      <c r="E35" s="24">
        <f t="shared" si="0"/>
        <v>4</v>
      </c>
      <c r="F35" s="24" t="s">
        <v>47</v>
      </c>
      <c r="G35" s="7" t="s">
        <v>52</v>
      </c>
      <c r="H35" s="7" t="s">
        <v>49</v>
      </c>
      <c r="I35" s="7" t="s">
        <v>50</v>
      </c>
      <c r="J35" s="25">
        <v>511473.14805125003</v>
      </c>
    </row>
    <row r="36" spans="1:10" ht="14.25" customHeight="1" x14ac:dyDescent="0.25">
      <c r="A36" s="7" t="s">
        <v>44</v>
      </c>
      <c r="B36" s="7" t="s">
        <v>45</v>
      </c>
      <c r="C36" s="7" t="s">
        <v>46</v>
      </c>
      <c r="D36" s="23">
        <v>41760</v>
      </c>
      <c r="E36" s="24">
        <f t="shared" si="0"/>
        <v>5</v>
      </c>
      <c r="F36" s="24" t="s">
        <v>47</v>
      </c>
      <c r="G36" s="7" t="s">
        <v>52</v>
      </c>
      <c r="H36" s="7" t="s">
        <v>49</v>
      </c>
      <c r="I36" s="7" t="s">
        <v>50</v>
      </c>
      <c r="J36" s="25">
        <v>517485.15337749996</v>
      </c>
    </row>
    <row r="37" spans="1:10" ht="14.25" customHeight="1" x14ac:dyDescent="0.25">
      <c r="A37" s="7" t="s">
        <v>44</v>
      </c>
      <c r="B37" s="7" t="s">
        <v>45</v>
      </c>
      <c r="C37" s="7" t="s">
        <v>46</v>
      </c>
      <c r="D37" s="23">
        <v>41791</v>
      </c>
      <c r="E37" s="24">
        <f t="shared" si="0"/>
        <v>6</v>
      </c>
      <c r="F37" s="24" t="s">
        <v>47</v>
      </c>
      <c r="G37" s="7" t="s">
        <v>52</v>
      </c>
      <c r="H37" s="7" t="s">
        <v>49</v>
      </c>
      <c r="I37" s="7" t="s">
        <v>50</v>
      </c>
      <c r="J37" s="25">
        <v>497269.5163975</v>
      </c>
    </row>
    <row r="38" spans="1:10" ht="14.25" customHeight="1" x14ac:dyDescent="0.25">
      <c r="A38" s="7" t="s">
        <v>44</v>
      </c>
      <c r="B38" s="7" t="s">
        <v>45</v>
      </c>
      <c r="C38" s="7" t="s">
        <v>46</v>
      </c>
      <c r="D38" s="23">
        <v>41456</v>
      </c>
      <c r="E38" s="24">
        <f t="shared" si="0"/>
        <v>7</v>
      </c>
      <c r="F38" s="24" t="s">
        <v>47</v>
      </c>
      <c r="G38" s="7" t="s">
        <v>52</v>
      </c>
      <c r="H38" s="7" t="s">
        <v>51</v>
      </c>
      <c r="I38" s="7" t="s">
        <v>50</v>
      </c>
      <c r="J38" s="25">
        <v>955954.05451507494</v>
      </c>
    </row>
    <row r="39" spans="1:10" ht="14.25" customHeight="1" x14ac:dyDescent="0.25">
      <c r="A39" s="7" t="s">
        <v>44</v>
      </c>
      <c r="B39" s="7" t="s">
        <v>45</v>
      </c>
      <c r="C39" s="7" t="s">
        <v>46</v>
      </c>
      <c r="D39" s="23">
        <v>41487</v>
      </c>
      <c r="E39" s="24">
        <f t="shared" si="0"/>
        <v>8</v>
      </c>
      <c r="F39" s="24" t="s">
        <v>47</v>
      </c>
      <c r="G39" s="7" t="s">
        <v>52</v>
      </c>
      <c r="H39" s="7" t="s">
        <v>51</v>
      </c>
      <c r="I39" s="7" t="s">
        <v>50</v>
      </c>
      <c r="J39" s="25">
        <v>920732.86263468117</v>
      </c>
    </row>
    <row r="40" spans="1:10" ht="14.25" customHeight="1" x14ac:dyDescent="0.25">
      <c r="A40" s="7" t="s">
        <v>44</v>
      </c>
      <c r="B40" s="7" t="s">
        <v>45</v>
      </c>
      <c r="C40" s="7" t="s">
        <v>46</v>
      </c>
      <c r="D40" s="23">
        <v>41518</v>
      </c>
      <c r="E40" s="24">
        <f t="shared" si="0"/>
        <v>9</v>
      </c>
      <c r="F40" s="24" t="s">
        <v>47</v>
      </c>
      <c r="G40" s="7" t="s">
        <v>52</v>
      </c>
      <c r="H40" s="7" t="s">
        <v>51</v>
      </c>
      <c r="I40" s="7" t="s">
        <v>50</v>
      </c>
      <c r="J40" s="25">
        <v>850266.47815724998</v>
      </c>
    </row>
    <row r="41" spans="1:10" ht="14.25" customHeight="1" x14ac:dyDescent="0.25">
      <c r="A41" s="7" t="s">
        <v>44</v>
      </c>
      <c r="B41" s="7" t="s">
        <v>45</v>
      </c>
      <c r="C41" s="7" t="s">
        <v>46</v>
      </c>
      <c r="D41" s="23">
        <v>41548</v>
      </c>
      <c r="E41" s="24">
        <f t="shared" si="0"/>
        <v>10</v>
      </c>
      <c r="F41" s="24" t="s">
        <v>47</v>
      </c>
      <c r="G41" s="7" t="s">
        <v>52</v>
      </c>
      <c r="H41" s="7" t="s">
        <v>51</v>
      </c>
      <c r="I41" s="7" t="s">
        <v>50</v>
      </c>
      <c r="J41" s="25">
        <v>844007.26926670002</v>
      </c>
    </row>
    <row r="42" spans="1:10" ht="14.25" customHeight="1" x14ac:dyDescent="0.25">
      <c r="A42" s="7" t="s">
        <v>44</v>
      </c>
      <c r="B42" s="7" t="s">
        <v>45</v>
      </c>
      <c r="C42" s="7" t="s">
        <v>46</v>
      </c>
      <c r="D42" s="23">
        <v>41579</v>
      </c>
      <c r="E42" s="24">
        <f t="shared" si="0"/>
        <v>11</v>
      </c>
      <c r="F42" s="24" t="s">
        <v>47</v>
      </c>
      <c r="G42" s="7" t="s">
        <v>52</v>
      </c>
      <c r="H42" s="7" t="s">
        <v>51</v>
      </c>
      <c r="I42" s="7" t="s">
        <v>50</v>
      </c>
      <c r="J42" s="25">
        <v>891233.23679967504</v>
      </c>
    </row>
    <row r="43" spans="1:10" ht="14.25" customHeight="1" x14ac:dyDescent="0.25">
      <c r="A43" s="7" t="s">
        <v>44</v>
      </c>
      <c r="B43" s="7" t="s">
        <v>45</v>
      </c>
      <c r="C43" s="7" t="s">
        <v>46</v>
      </c>
      <c r="D43" s="23">
        <v>41609</v>
      </c>
      <c r="E43" s="24">
        <f t="shared" si="0"/>
        <v>12</v>
      </c>
      <c r="F43" s="24" t="s">
        <v>47</v>
      </c>
      <c r="G43" s="7" t="s">
        <v>52</v>
      </c>
      <c r="H43" s="7" t="s">
        <v>51</v>
      </c>
      <c r="I43" s="7" t="s">
        <v>50</v>
      </c>
      <c r="J43" s="25">
        <v>869695.6798400064</v>
      </c>
    </row>
    <row r="44" spans="1:10" ht="14.25" customHeight="1" x14ac:dyDescent="0.25">
      <c r="A44" s="7" t="s">
        <v>44</v>
      </c>
      <c r="B44" s="7" t="s">
        <v>45</v>
      </c>
      <c r="C44" s="7" t="s">
        <v>46</v>
      </c>
      <c r="D44" s="23">
        <v>41640</v>
      </c>
      <c r="E44" s="24">
        <f t="shared" si="0"/>
        <v>1</v>
      </c>
      <c r="F44" s="24" t="s">
        <v>47</v>
      </c>
      <c r="G44" s="7" t="s">
        <v>52</v>
      </c>
      <c r="H44" s="7" t="s">
        <v>51</v>
      </c>
      <c r="I44" s="7" t="s">
        <v>50</v>
      </c>
      <c r="J44" s="25">
        <v>1264340.7317083809</v>
      </c>
    </row>
    <row r="45" spans="1:10" ht="14.25" customHeight="1" x14ac:dyDescent="0.25">
      <c r="A45" s="7" t="s">
        <v>44</v>
      </c>
      <c r="B45" s="7" t="s">
        <v>45</v>
      </c>
      <c r="C45" s="7" t="s">
        <v>46</v>
      </c>
      <c r="D45" s="23">
        <v>41671</v>
      </c>
      <c r="E45" s="24">
        <f t="shared" si="0"/>
        <v>2</v>
      </c>
      <c r="F45" s="24" t="s">
        <v>47</v>
      </c>
      <c r="G45" s="7" t="s">
        <v>52</v>
      </c>
      <c r="H45" s="7" t="s">
        <v>51</v>
      </c>
      <c r="I45" s="7" t="s">
        <v>50</v>
      </c>
      <c r="J45" s="25">
        <v>1119155.521886325</v>
      </c>
    </row>
    <row r="46" spans="1:10" ht="14.25" customHeight="1" x14ac:dyDescent="0.25">
      <c r="A46" s="7" t="s">
        <v>44</v>
      </c>
      <c r="B46" s="7" t="s">
        <v>45</v>
      </c>
      <c r="C46" s="7" t="s">
        <v>46</v>
      </c>
      <c r="D46" s="23">
        <v>41699</v>
      </c>
      <c r="E46" s="24">
        <f t="shared" si="0"/>
        <v>3</v>
      </c>
      <c r="F46" s="24" t="s">
        <v>47</v>
      </c>
      <c r="G46" s="7" t="s">
        <v>52</v>
      </c>
      <c r="H46" s="7" t="s">
        <v>51</v>
      </c>
      <c r="I46" s="7" t="s">
        <v>50</v>
      </c>
      <c r="J46" s="25">
        <v>1179517.3866851374</v>
      </c>
    </row>
    <row r="47" spans="1:10" ht="14.25" customHeight="1" x14ac:dyDescent="0.25">
      <c r="A47" s="7" t="s">
        <v>44</v>
      </c>
      <c r="B47" s="7" t="s">
        <v>45</v>
      </c>
      <c r="C47" s="7" t="s">
        <v>46</v>
      </c>
      <c r="D47" s="23">
        <v>41730</v>
      </c>
      <c r="E47" s="24">
        <f t="shared" si="0"/>
        <v>4</v>
      </c>
      <c r="F47" s="24" t="s">
        <v>47</v>
      </c>
      <c r="G47" s="7" t="s">
        <v>52</v>
      </c>
      <c r="H47" s="7" t="s">
        <v>51</v>
      </c>
      <c r="I47" s="7" t="s">
        <v>50</v>
      </c>
      <c r="J47" s="25">
        <v>861832.25446635636</v>
      </c>
    </row>
    <row r="48" spans="1:10" ht="14.25" customHeight="1" x14ac:dyDescent="0.25">
      <c r="A48" s="7" t="s">
        <v>44</v>
      </c>
      <c r="B48" s="7" t="s">
        <v>45</v>
      </c>
      <c r="C48" s="7" t="s">
        <v>46</v>
      </c>
      <c r="D48" s="23">
        <v>41760</v>
      </c>
      <c r="E48" s="24">
        <f t="shared" si="0"/>
        <v>5</v>
      </c>
      <c r="F48" s="24" t="s">
        <v>47</v>
      </c>
      <c r="G48" s="7" t="s">
        <v>52</v>
      </c>
      <c r="H48" s="7" t="s">
        <v>51</v>
      </c>
      <c r="I48" s="7" t="s">
        <v>50</v>
      </c>
      <c r="J48" s="25">
        <v>871962.48344108742</v>
      </c>
    </row>
    <row r="49" spans="1:10" ht="14.25" customHeight="1" x14ac:dyDescent="0.25">
      <c r="A49" s="7" t="s">
        <v>44</v>
      </c>
      <c r="B49" s="7" t="s">
        <v>45</v>
      </c>
      <c r="C49" s="7" t="s">
        <v>46</v>
      </c>
      <c r="D49" s="23">
        <v>41791</v>
      </c>
      <c r="E49" s="24">
        <f t="shared" si="0"/>
        <v>6</v>
      </c>
      <c r="F49" s="24" t="s">
        <v>47</v>
      </c>
      <c r="G49" s="7" t="s">
        <v>52</v>
      </c>
      <c r="H49" s="7" t="s">
        <v>51</v>
      </c>
      <c r="I49" s="7" t="s">
        <v>50</v>
      </c>
      <c r="J49" s="25">
        <v>837899.13512978749</v>
      </c>
    </row>
    <row r="50" spans="1:10" ht="14.25" customHeight="1" x14ac:dyDescent="0.25">
      <c r="A50" s="7" t="s">
        <v>44</v>
      </c>
      <c r="B50" s="7" t="s">
        <v>45</v>
      </c>
      <c r="C50" s="7" t="s">
        <v>46</v>
      </c>
      <c r="D50" s="23">
        <v>41456</v>
      </c>
      <c r="E50" s="24">
        <f t="shared" si="0"/>
        <v>7</v>
      </c>
      <c r="F50" s="24" t="s">
        <v>47</v>
      </c>
      <c r="G50" s="7" t="s">
        <v>53</v>
      </c>
      <c r="H50" s="7" t="s">
        <v>49</v>
      </c>
      <c r="I50" s="7" t="s">
        <v>50</v>
      </c>
      <c r="J50" s="25">
        <v>1296758.36136</v>
      </c>
    </row>
    <row r="51" spans="1:10" ht="14.25" customHeight="1" x14ac:dyDescent="0.25">
      <c r="A51" s="7" t="s">
        <v>44</v>
      </c>
      <c r="B51" s="7" t="s">
        <v>45</v>
      </c>
      <c r="C51" s="7" t="s">
        <v>46</v>
      </c>
      <c r="D51" s="23">
        <v>41487</v>
      </c>
      <c r="E51" s="24">
        <f t="shared" si="0"/>
        <v>8</v>
      </c>
      <c r="F51" s="24" t="s">
        <v>47</v>
      </c>
      <c r="G51" s="7" t="s">
        <v>53</v>
      </c>
      <c r="H51" s="7" t="s">
        <v>49</v>
      </c>
      <c r="I51" s="7" t="s">
        <v>50</v>
      </c>
      <c r="J51" s="25">
        <v>1248980.56822</v>
      </c>
    </row>
    <row r="52" spans="1:10" ht="14.25" customHeight="1" x14ac:dyDescent="0.25">
      <c r="A52" s="7" t="s">
        <v>44</v>
      </c>
      <c r="B52" s="7" t="s">
        <v>45</v>
      </c>
      <c r="C52" s="7" t="s">
        <v>46</v>
      </c>
      <c r="D52" s="23">
        <v>41518</v>
      </c>
      <c r="E52" s="24">
        <f t="shared" si="0"/>
        <v>9</v>
      </c>
      <c r="F52" s="24" t="s">
        <v>47</v>
      </c>
      <c r="G52" s="7" t="s">
        <v>53</v>
      </c>
      <c r="H52" s="7" t="s">
        <v>49</v>
      </c>
      <c r="I52" s="7" t="s">
        <v>50</v>
      </c>
      <c r="J52" s="25">
        <v>1153392.4247999999</v>
      </c>
    </row>
    <row r="53" spans="1:10" ht="14.25" customHeight="1" x14ac:dyDescent="0.25">
      <c r="A53" s="7" t="s">
        <v>44</v>
      </c>
      <c r="B53" s="7" t="s">
        <v>45</v>
      </c>
      <c r="C53" s="7" t="s">
        <v>46</v>
      </c>
      <c r="D53" s="23">
        <v>41548</v>
      </c>
      <c r="E53" s="24">
        <f t="shared" si="0"/>
        <v>10</v>
      </c>
      <c r="F53" s="24" t="s">
        <v>47</v>
      </c>
      <c r="G53" s="7" t="s">
        <v>53</v>
      </c>
      <c r="H53" s="7" t="s">
        <v>49</v>
      </c>
      <c r="I53" s="7" t="s">
        <v>50</v>
      </c>
      <c r="J53" s="25">
        <v>1144901.76416</v>
      </c>
    </row>
    <row r="54" spans="1:10" ht="14.25" customHeight="1" x14ac:dyDescent="0.25">
      <c r="A54" s="7" t="s">
        <v>44</v>
      </c>
      <c r="B54" s="7" t="s">
        <v>45</v>
      </c>
      <c r="C54" s="7" t="s">
        <v>46</v>
      </c>
      <c r="D54" s="23">
        <v>41579</v>
      </c>
      <c r="E54" s="24">
        <f t="shared" si="0"/>
        <v>11</v>
      </c>
      <c r="F54" s="24" t="s">
        <v>47</v>
      </c>
      <c r="G54" s="7" t="s">
        <v>53</v>
      </c>
      <c r="H54" s="7" t="s">
        <v>49</v>
      </c>
      <c r="I54" s="7" t="s">
        <v>50</v>
      </c>
      <c r="J54" s="25">
        <v>1208964.11944</v>
      </c>
    </row>
    <row r="55" spans="1:10" ht="14.25" customHeight="1" x14ac:dyDescent="0.25">
      <c r="A55" s="7" t="s">
        <v>44</v>
      </c>
      <c r="B55" s="7" t="s">
        <v>45</v>
      </c>
      <c r="C55" s="7" t="s">
        <v>46</v>
      </c>
      <c r="D55" s="23">
        <v>41609</v>
      </c>
      <c r="E55" s="24">
        <f t="shared" si="0"/>
        <v>12</v>
      </c>
      <c r="F55" s="24" t="s">
        <v>47</v>
      </c>
      <c r="G55" s="7" t="s">
        <v>53</v>
      </c>
      <c r="H55" s="7" t="s">
        <v>49</v>
      </c>
      <c r="I55" s="7" t="s">
        <v>50</v>
      </c>
      <c r="J55" s="25">
        <v>1179748.2727800002</v>
      </c>
    </row>
    <row r="56" spans="1:10" ht="14.25" customHeight="1" x14ac:dyDescent="0.25">
      <c r="A56" s="7" t="s">
        <v>44</v>
      </c>
      <c r="B56" s="7" t="s">
        <v>45</v>
      </c>
      <c r="C56" s="7" t="s">
        <v>46</v>
      </c>
      <c r="D56" s="23">
        <v>41640</v>
      </c>
      <c r="E56" s="24">
        <f t="shared" si="0"/>
        <v>1</v>
      </c>
      <c r="F56" s="24" t="s">
        <v>47</v>
      </c>
      <c r="G56" s="7" t="s">
        <v>53</v>
      </c>
      <c r="H56" s="7" t="s">
        <v>49</v>
      </c>
      <c r="I56" s="7" t="s">
        <v>50</v>
      </c>
      <c r="J56" s="25">
        <v>1715087.0459799999</v>
      </c>
    </row>
    <row r="57" spans="1:10" ht="14.25" customHeight="1" x14ac:dyDescent="0.25">
      <c r="A57" s="7" t="s">
        <v>44</v>
      </c>
      <c r="B57" s="7" t="s">
        <v>45</v>
      </c>
      <c r="C57" s="7" t="s">
        <v>46</v>
      </c>
      <c r="D57" s="23">
        <v>41671</v>
      </c>
      <c r="E57" s="24">
        <f t="shared" si="0"/>
        <v>2</v>
      </c>
      <c r="F57" s="24" t="s">
        <v>47</v>
      </c>
      <c r="G57" s="7" t="s">
        <v>53</v>
      </c>
      <c r="H57" s="7" t="s">
        <v>49</v>
      </c>
      <c r="I57" s="7" t="s">
        <v>50</v>
      </c>
      <c r="J57" s="25">
        <v>1518142.2933600002</v>
      </c>
    </row>
    <row r="58" spans="1:10" ht="14.25" customHeight="1" x14ac:dyDescent="0.25">
      <c r="A58" s="7" t="s">
        <v>44</v>
      </c>
      <c r="B58" s="7" t="s">
        <v>45</v>
      </c>
      <c r="C58" s="7" t="s">
        <v>46</v>
      </c>
      <c r="D58" s="23">
        <v>41699</v>
      </c>
      <c r="E58" s="24">
        <f t="shared" si="0"/>
        <v>3</v>
      </c>
      <c r="F58" s="24" t="s">
        <v>47</v>
      </c>
      <c r="G58" s="7" t="s">
        <v>53</v>
      </c>
      <c r="H58" s="7" t="s">
        <v>49</v>
      </c>
      <c r="I58" s="7" t="s">
        <v>50</v>
      </c>
      <c r="J58" s="25">
        <v>1600023.58516</v>
      </c>
    </row>
    <row r="59" spans="1:10" ht="14.25" customHeight="1" x14ac:dyDescent="0.25">
      <c r="A59" s="7" t="s">
        <v>44</v>
      </c>
      <c r="B59" s="7" t="s">
        <v>45</v>
      </c>
      <c r="C59" s="7" t="s">
        <v>46</v>
      </c>
      <c r="D59" s="23">
        <v>41730</v>
      </c>
      <c r="E59" s="24">
        <f t="shared" si="0"/>
        <v>4</v>
      </c>
      <c r="F59" s="24" t="s">
        <v>47</v>
      </c>
      <c r="G59" s="7" t="s">
        <v>53</v>
      </c>
      <c r="H59" s="7" t="s">
        <v>49</v>
      </c>
      <c r="I59" s="7" t="s">
        <v>50</v>
      </c>
      <c r="J59" s="25">
        <v>1169081.4812600003</v>
      </c>
    </row>
    <row r="60" spans="1:10" ht="14.25" customHeight="1" x14ac:dyDescent="0.25">
      <c r="A60" s="7" t="s">
        <v>44</v>
      </c>
      <c r="B60" s="7" t="s">
        <v>45</v>
      </c>
      <c r="C60" s="7" t="s">
        <v>46</v>
      </c>
      <c r="D60" s="23">
        <v>41760</v>
      </c>
      <c r="E60" s="24">
        <f t="shared" si="0"/>
        <v>5</v>
      </c>
      <c r="F60" s="24" t="s">
        <v>47</v>
      </c>
      <c r="G60" s="7" t="s">
        <v>53</v>
      </c>
      <c r="H60" s="7" t="s">
        <v>49</v>
      </c>
      <c r="I60" s="7" t="s">
        <v>50</v>
      </c>
      <c r="J60" s="25">
        <v>1182823.2077200001</v>
      </c>
    </row>
    <row r="61" spans="1:10" ht="14.25" customHeight="1" x14ac:dyDescent="0.25">
      <c r="A61" s="7" t="s">
        <v>44</v>
      </c>
      <c r="B61" s="7" t="s">
        <v>45</v>
      </c>
      <c r="C61" s="7" t="s">
        <v>46</v>
      </c>
      <c r="D61" s="23">
        <v>41791</v>
      </c>
      <c r="E61" s="24">
        <f t="shared" si="0"/>
        <v>6</v>
      </c>
      <c r="F61" s="24" t="s">
        <v>47</v>
      </c>
      <c r="G61" s="7" t="s">
        <v>53</v>
      </c>
      <c r="H61" s="7" t="s">
        <v>49</v>
      </c>
      <c r="I61" s="7" t="s">
        <v>50</v>
      </c>
      <c r="J61" s="25">
        <v>1136616.0374800002</v>
      </c>
    </row>
    <row r="62" spans="1:10" ht="14.25" customHeight="1" x14ac:dyDescent="0.25">
      <c r="A62" s="7" t="s">
        <v>44</v>
      </c>
      <c r="B62" s="7" t="s">
        <v>45</v>
      </c>
      <c r="C62" s="7" t="s">
        <v>54</v>
      </c>
      <c r="D62" s="23">
        <v>41456</v>
      </c>
      <c r="E62" s="24">
        <f t="shared" si="0"/>
        <v>7</v>
      </c>
      <c r="F62" s="24" t="s">
        <v>47</v>
      </c>
      <c r="G62" s="7" t="s">
        <v>48</v>
      </c>
      <c r="H62" s="7" t="s">
        <v>49</v>
      </c>
      <c r="I62" s="7" t="s">
        <v>50</v>
      </c>
      <c r="J62" s="25">
        <v>2406673.7462499999</v>
      </c>
    </row>
    <row r="63" spans="1:10" ht="14.25" customHeight="1" x14ac:dyDescent="0.25">
      <c r="A63" s="7" t="s">
        <v>44</v>
      </c>
      <c r="B63" s="7" t="s">
        <v>45</v>
      </c>
      <c r="C63" s="7" t="s">
        <v>54</v>
      </c>
      <c r="D63" s="23">
        <v>41487</v>
      </c>
      <c r="E63" s="24">
        <f t="shared" si="0"/>
        <v>8</v>
      </c>
      <c r="F63" s="24" t="s">
        <v>47</v>
      </c>
      <c r="G63" s="7" t="s">
        <v>48</v>
      </c>
      <c r="H63" s="7" t="s">
        <v>49</v>
      </c>
      <c r="I63" s="7" t="s">
        <v>50</v>
      </c>
      <c r="J63" s="25">
        <v>2028377.0049999999</v>
      </c>
    </row>
    <row r="64" spans="1:10" ht="14.25" customHeight="1" x14ac:dyDescent="0.25">
      <c r="A64" s="7" t="s">
        <v>44</v>
      </c>
      <c r="B64" s="7" t="s">
        <v>45</v>
      </c>
      <c r="C64" s="7" t="s">
        <v>54</v>
      </c>
      <c r="D64" s="23">
        <v>41518</v>
      </c>
      <c r="E64" s="24">
        <f t="shared" si="0"/>
        <v>9</v>
      </c>
      <c r="F64" s="24" t="s">
        <v>47</v>
      </c>
      <c r="G64" s="7" t="s">
        <v>48</v>
      </c>
      <c r="H64" s="7" t="s">
        <v>49</v>
      </c>
      <c r="I64" s="7" t="s">
        <v>50</v>
      </c>
      <c r="J64" s="25">
        <v>2241097.23875</v>
      </c>
    </row>
    <row r="65" spans="1:10" ht="14.25" customHeight="1" x14ac:dyDescent="0.25">
      <c r="A65" s="7" t="s">
        <v>44</v>
      </c>
      <c r="B65" s="7" t="s">
        <v>45</v>
      </c>
      <c r="C65" s="7" t="s">
        <v>54</v>
      </c>
      <c r="D65" s="23">
        <v>41548</v>
      </c>
      <c r="E65" s="24">
        <f t="shared" si="0"/>
        <v>10</v>
      </c>
      <c r="F65" s="24" t="s">
        <v>47</v>
      </c>
      <c r="G65" s="7" t="s">
        <v>48</v>
      </c>
      <c r="H65" s="7" t="s">
        <v>49</v>
      </c>
      <c r="I65" s="7" t="s">
        <v>50</v>
      </c>
      <c r="J65" s="25">
        <v>2104393.5099999998</v>
      </c>
    </row>
    <row r="66" spans="1:10" ht="14.25" customHeight="1" x14ac:dyDescent="0.25">
      <c r="A66" s="7" t="s">
        <v>44</v>
      </c>
      <c r="B66" s="7" t="s">
        <v>45</v>
      </c>
      <c r="C66" s="7" t="s">
        <v>54</v>
      </c>
      <c r="D66" s="23">
        <v>41579</v>
      </c>
      <c r="E66" s="24">
        <f t="shared" si="0"/>
        <v>11</v>
      </c>
      <c r="F66" s="24" t="s">
        <v>47</v>
      </c>
      <c r="G66" s="7" t="s">
        <v>48</v>
      </c>
      <c r="H66" s="7" t="s">
        <v>49</v>
      </c>
      <c r="I66" s="7" t="s">
        <v>50</v>
      </c>
      <c r="J66" s="25">
        <v>1921236.2224999999</v>
      </c>
    </row>
    <row r="67" spans="1:10" ht="14.25" customHeight="1" x14ac:dyDescent="0.25">
      <c r="A67" s="7" t="s">
        <v>44</v>
      </c>
      <c r="B67" s="7" t="s">
        <v>45</v>
      </c>
      <c r="C67" s="7" t="s">
        <v>54</v>
      </c>
      <c r="D67" s="23">
        <v>41609</v>
      </c>
      <c r="E67" s="24">
        <f t="shared" si="0"/>
        <v>12</v>
      </c>
      <c r="F67" s="24" t="s">
        <v>47</v>
      </c>
      <c r="G67" s="7" t="s">
        <v>48</v>
      </c>
      <c r="H67" s="7" t="s">
        <v>49</v>
      </c>
      <c r="I67" s="7" t="s">
        <v>50</v>
      </c>
      <c r="J67" s="25">
        <v>2161522.17</v>
      </c>
    </row>
    <row r="68" spans="1:10" ht="14.25" customHeight="1" x14ac:dyDescent="0.25">
      <c r="A68" s="7" t="s">
        <v>44</v>
      </c>
      <c r="B68" s="7" t="s">
        <v>45</v>
      </c>
      <c r="C68" s="7" t="s">
        <v>54</v>
      </c>
      <c r="D68" s="23">
        <v>41640</v>
      </c>
      <c r="E68" s="24">
        <f t="shared" si="0"/>
        <v>1</v>
      </c>
      <c r="F68" s="24" t="s">
        <v>47</v>
      </c>
      <c r="G68" s="7" t="s">
        <v>48</v>
      </c>
      <c r="H68" s="7" t="s">
        <v>49</v>
      </c>
      <c r="I68" s="7" t="s">
        <v>50</v>
      </c>
      <c r="J68" s="25">
        <v>3104730.2250000001</v>
      </c>
    </row>
    <row r="69" spans="1:10" ht="14.25" customHeight="1" x14ac:dyDescent="0.25">
      <c r="A69" s="7" t="s">
        <v>44</v>
      </c>
      <c r="B69" s="7" t="s">
        <v>45</v>
      </c>
      <c r="C69" s="7" t="s">
        <v>54</v>
      </c>
      <c r="D69" s="23">
        <v>41671</v>
      </c>
      <c r="E69" s="24">
        <f t="shared" si="0"/>
        <v>2</v>
      </c>
      <c r="F69" s="24" t="s">
        <v>47</v>
      </c>
      <c r="G69" s="7" t="s">
        <v>48</v>
      </c>
      <c r="H69" s="7" t="s">
        <v>49</v>
      </c>
      <c r="I69" s="7" t="s">
        <v>50</v>
      </c>
      <c r="J69" s="25">
        <v>2116798.7124999999</v>
      </c>
    </row>
    <row r="70" spans="1:10" ht="14.25" customHeight="1" x14ac:dyDescent="0.25">
      <c r="A70" s="7" t="s">
        <v>44</v>
      </c>
      <c r="B70" s="7" t="s">
        <v>45</v>
      </c>
      <c r="C70" s="7" t="s">
        <v>54</v>
      </c>
      <c r="D70" s="23">
        <v>41699</v>
      </c>
      <c r="E70" s="24">
        <f t="shared" si="0"/>
        <v>3</v>
      </c>
      <c r="F70" s="24" t="s">
        <v>47</v>
      </c>
      <c r="G70" s="7" t="s">
        <v>48</v>
      </c>
      <c r="H70" s="7" t="s">
        <v>49</v>
      </c>
      <c r="I70" s="7" t="s">
        <v>50</v>
      </c>
      <c r="J70" s="25">
        <v>2728427.88625</v>
      </c>
    </row>
    <row r="71" spans="1:10" ht="14.25" customHeight="1" x14ac:dyDescent="0.25">
      <c r="A71" s="7" t="s">
        <v>44</v>
      </c>
      <c r="B71" s="7" t="s">
        <v>45</v>
      </c>
      <c r="C71" s="7" t="s">
        <v>54</v>
      </c>
      <c r="D71" s="23">
        <v>41730</v>
      </c>
      <c r="E71" s="24">
        <f t="shared" si="0"/>
        <v>4</v>
      </c>
      <c r="F71" s="24" t="s">
        <v>47</v>
      </c>
      <c r="G71" s="7" t="s">
        <v>48</v>
      </c>
      <c r="H71" s="7" t="s">
        <v>49</v>
      </c>
      <c r="I71" s="7" t="s">
        <v>50</v>
      </c>
      <c r="J71" s="25">
        <v>2259504.8675000002</v>
      </c>
    </row>
    <row r="72" spans="1:10" ht="14.25" customHeight="1" x14ac:dyDescent="0.25">
      <c r="A72" s="7" t="s">
        <v>44</v>
      </c>
      <c r="B72" s="7" t="s">
        <v>45</v>
      </c>
      <c r="C72" s="7" t="s">
        <v>54</v>
      </c>
      <c r="D72" s="23">
        <v>41760</v>
      </c>
      <c r="E72" s="24">
        <f t="shared" si="0"/>
        <v>5</v>
      </c>
      <c r="F72" s="24" t="s">
        <v>47</v>
      </c>
      <c r="G72" s="7" t="s">
        <v>48</v>
      </c>
      <c r="H72" s="7" t="s">
        <v>49</v>
      </c>
      <c r="I72" s="7" t="s">
        <v>50</v>
      </c>
      <c r="J72" s="25">
        <v>2031569.2350000001</v>
      </c>
    </row>
    <row r="73" spans="1:10" ht="14.25" customHeight="1" x14ac:dyDescent="0.25">
      <c r="A73" s="7" t="s">
        <v>44</v>
      </c>
      <c r="B73" s="7" t="s">
        <v>45</v>
      </c>
      <c r="C73" s="7" t="s">
        <v>54</v>
      </c>
      <c r="D73" s="23">
        <v>41791</v>
      </c>
      <c r="E73" s="24">
        <f t="shared" si="0"/>
        <v>6</v>
      </c>
      <c r="F73" s="24" t="s">
        <v>47</v>
      </c>
      <c r="G73" s="7" t="s">
        <v>48</v>
      </c>
      <c r="H73" s="7" t="s">
        <v>49</v>
      </c>
      <c r="I73" s="7" t="s">
        <v>50</v>
      </c>
      <c r="J73" s="25">
        <v>2245023.2324999999</v>
      </c>
    </row>
    <row r="74" spans="1:10" ht="14.25" customHeight="1" x14ac:dyDescent="0.25">
      <c r="A74" s="7" t="s">
        <v>44</v>
      </c>
      <c r="B74" s="7" t="s">
        <v>45</v>
      </c>
      <c r="C74" s="7" t="s">
        <v>54</v>
      </c>
      <c r="D74" s="23">
        <v>41456</v>
      </c>
      <c r="E74" s="24">
        <f t="shared" si="0"/>
        <v>7</v>
      </c>
      <c r="F74" s="24" t="s">
        <v>47</v>
      </c>
      <c r="G74" s="7" t="s">
        <v>48</v>
      </c>
      <c r="H74" s="7" t="s">
        <v>51</v>
      </c>
      <c r="I74" s="7" t="s">
        <v>50</v>
      </c>
      <c r="J74" s="25">
        <v>4813347.4924999997</v>
      </c>
    </row>
    <row r="75" spans="1:10" ht="14.25" customHeight="1" x14ac:dyDescent="0.25">
      <c r="A75" s="7" t="s">
        <v>44</v>
      </c>
      <c r="B75" s="7" t="s">
        <v>45</v>
      </c>
      <c r="C75" s="7" t="s">
        <v>54</v>
      </c>
      <c r="D75" s="23">
        <v>41487</v>
      </c>
      <c r="E75" s="24">
        <f t="shared" si="0"/>
        <v>8</v>
      </c>
      <c r="F75" s="24" t="s">
        <v>47</v>
      </c>
      <c r="G75" s="7" t="s">
        <v>48</v>
      </c>
      <c r="H75" s="7" t="s">
        <v>51</v>
      </c>
      <c r="I75" s="7" t="s">
        <v>50</v>
      </c>
      <c r="J75" s="25">
        <v>4056754.01</v>
      </c>
    </row>
    <row r="76" spans="1:10" ht="14.25" customHeight="1" x14ac:dyDescent="0.25">
      <c r="A76" s="7" t="s">
        <v>44</v>
      </c>
      <c r="B76" s="7" t="s">
        <v>45</v>
      </c>
      <c r="C76" s="7" t="s">
        <v>54</v>
      </c>
      <c r="D76" s="23">
        <v>41518</v>
      </c>
      <c r="E76" s="24">
        <f t="shared" si="0"/>
        <v>9</v>
      </c>
      <c r="F76" s="24" t="s">
        <v>47</v>
      </c>
      <c r="G76" s="7" t="s">
        <v>48</v>
      </c>
      <c r="H76" s="7" t="s">
        <v>51</v>
      </c>
      <c r="I76" s="7" t="s">
        <v>50</v>
      </c>
      <c r="J76" s="25">
        <v>4482194.4775</v>
      </c>
    </row>
    <row r="77" spans="1:10" ht="14.25" customHeight="1" x14ac:dyDescent="0.25">
      <c r="A77" s="7" t="s">
        <v>44</v>
      </c>
      <c r="B77" s="7" t="s">
        <v>45</v>
      </c>
      <c r="C77" s="7" t="s">
        <v>54</v>
      </c>
      <c r="D77" s="23">
        <v>41548</v>
      </c>
      <c r="E77" s="24">
        <f t="shared" si="0"/>
        <v>10</v>
      </c>
      <c r="F77" s="24" t="s">
        <v>47</v>
      </c>
      <c r="G77" s="7" t="s">
        <v>48</v>
      </c>
      <c r="H77" s="7" t="s">
        <v>51</v>
      </c>
      <c r="I77" s="7" t="s">
        <v>50</v>
      </c>
      <c r="J77" s="25">
        <v>4208787.0199999996</v>
      </c>
    </row>
    <row r="78" spans="1:10" ht="14.25" customHeight="1" x14ac:dyDescent="0.25">
      <c r="A78" s="7" t="s">
        <v>44</v>
      </c>
      <c r="B78" s="7" t="s">
        <v>45</v>
      </c>
      <c r="C78" s="7" t="s">
        <v>54</v>
      </c>
      <c r="D78" s="23">
        <v>41579</v>
      </c>
      <c r="E78" s="24">
        <f t="shared" si="0"/>
        <v>11</v>
      </c>
      <c r="F78" s="24" t="s">
        <v>47</v>
      </c>
      <c r="G78" s="7" t="s">
        <v>48</v>
      </c>
      <c r="H78" s="7" t="s">
        <v>51</v>
      </c>
      <c r="I78" s="7" t="s">
        <v>50</v>
      </c>
      <c r="J78" s="25">
        <v>3842472.4449999998</v>
      </c>
    </row>
    <row r="79" spans="1:10" ht="14.25" customHeight="1" x14ac:dyDescent="0.25">
      <c r="A79" s="7" t="s">
        <v>44</v>
      </c>
      <c r="B79" s="7" t="s">
        <v>45</v>
      </c>
      <c r="C79" s="7" t="s">
        <v>54</v>
      </c>
      <c r="D79" s="23">
        <v>41609</v>
      </c>
      <c r="E79" s="24">
        <f t="shared" si="0"/>
        <v>12</v>
      </c>
      <c r="F79" s="24" t="s">
        <v>47</v>
      </c>
      <c r="G79" s="7" t="s">
        <v>48</v>
      </c>
      <c r="H79" s="7" t="s">
        <v>51</v>
      </c>
      <c r="I79" s="7" t="s">
        <v>50</v>
      </c>
      <c r="J79" s="25">
        <v>4323044.34</v>
      </c>
    </row>
    <row r="80" spans="1:10" ht="14.25" customHeight="1" x14ac:dyDescent="0.25">
      <c r="A80" s="7" t="s">
        <v>44</v>
      </c>
      <c r="B80" s="7" t="s">
        <v>45</v>
      </c>
      <c r="C80" s="7" t="s">
        <v>54</v>
      </c>
      <c r="D80" s="23">
        <v>41640</v>
      </c>
      <c r="E80" s="24">
        <f t="shared" si="0"/>
        <v>1</v>
      </c>
      <c r="F80" s="24" t="s">
        <v>47</v>
      </c>
      <c r="G80" s="7" t="s">
        <v>48</v>
      </c>
      <c r="H80" s="7" t="s">
        <v>51</v>
      </c>
      <c r="I80" s="7" t="s">
        <v>50</v>
      </c>
      <c r="J80" s="25">
        <v>6209460.4500000002</v>
      </c>
    </row>
    <row r="81" spans="1:10" ht="14.25" customHeight="1" x14ac:dyDescent="0.25">
      <c r="A81" s="7" t="s">
        <v>44</v>
      </c>
      <c r="B81" s="7" t="s">
        <v>45</v>
      </c>
      <c r="C81" s="7" t="s">
        <v>54</v>
      </c>
      <c r="D81" s="23">
        <v>41671</v>
      </c>
      <c r="E81" s="24">
        <f t="shared" si="0"/>
        <v>2</v>
      </c>
      <c r="F81" s="24" t="s">
        <v>47</v>
      </c>
      <c r="G81" s="7" t="s">
        <v>48</v>
      </c>
      <c r="H81" s="7" t="s">
        <v>51</v>
      </c>
      <c r="I81" s="7" t="s">
        <v>50</v>
      </c>
      <c r="J81" s="25">
        <v>4633597.4249999998</v>
      </c>
    </row>
    <row r="82" spans="1:10" ht="14.25" customHeight="1" x14ac:dyDescent="0.25">
      <c r="A82" s="7" t="s">
        <v>44</v>
      </c>
      <c r="B82" s="7" t="s">
        <v>45</v>
      </c>
      <c r="C82" s="7" t="s">
        <v>54</v>
      </c>
      <c r="D82" s="23">
        <v>41699</v>
      </c>
      <c r="E82" s="24">
        <f t="shared" si="0"/>
        <v>3</v>
      </c>
      <c r="F82" s="24" t="s">
        <v>47</v>
      </c>
      <c r="G82" s="7" t="s">
        <v>48</v>
      </c>
      <c r="H82" s="7" t="s">
        <v>51</v>
      </c>
      <c r="I82" s="7" t="s">
        <v>50</v>
      </c>
      <c r="J82" s="25">
        <v>5456855.7725</v>
      </c>
    </row>
    <row r="83" spans="1:10" ht="14.25" customHeight="1" x14ac:dyDescent="0.25">
      <c r="A83" s="7" t="s">
        <v>44</v>
      </c>
      <c r="B83" s="7" t="s">
        <v>45</v>
      </c>
      <c r="C83" s="7" t="s">
        <v>54</v>
      </c>
      <c r="D83" s="23">
        <v>41730</v>
      </c>
      <c r="E83" s="24">
        <f t="shared" si="0"/>
        <v>4</v>
      </c>
      <c r="F83" s="24" t="s">
        <v>47</v>
      </c>
      <c r="G83" s="7" t="s">
        <v>48</v>
      </c>
      <c r="H83" s="7" t="s">
        <v>51</v>
      </c>
      <c r="I83" s="7" t="s">
        <v>50</v>
      </c>
      <c r="J83" s="25">
        <v>4519009.7350000003</v>
      </c>
    </row>
    <row r="84" spans="1:10" ht="14.25" customHeight="1" x14ac:dyDescent="0.25">
      <c r="A84" s="7" t="s">
        <v>44</v>
      </c>
      <c r="B84" s="7" t="s">
        <v>45</v>
      </c>
      <c r="C84" s="7" t="s">
        <v>54</v>
      </c>
      <c r="D84" s="23">
        <v>41760</v>
      </c>
      <c r="E84" s="24">
        <f t="shared" si="0"/>
        <v>5</v>
      </c>
      <c r="F84" s="24" t="s">
        <v>47</v>
      </c>
      <c r="G84" s="7" t="s">
        <v>48</v>
      </c>
      <c r="H84" s="7" t="s">
        <v>51</v>
      </c>
      <c r="I84" s="7" t="s">
        <v>50</v>
      </c>
      <c r="J84" s="25">
        <v>4063138.47</v>
      </c>
    </row>
    <row r="85" spans="1:10" ht="14.25" customHeight="1" x14ac:dyDescent="0.25">
      <c r="A85" s="7" t="s">
        <v>44</v>
      </c>
      <c r="B85" s="7" t="s">
        <v>45</v>
      </c>
      <c r="C85" s="7" t="s">
        <v>54</v>
      </c>
      <c r="D85" s="23">
        <v>41791</v>
      </c>
      <c r="E85" s="24">
        <f t="shared" si="0"/>
        <v>6</v>
      </c>
      <c r="F85" s="24" t="s">
        <v>47</v>
      </c>
      <c r="G85" s="7" t="s">
        <v>48</v>
      </c>
      <c r="H85" s="7" t="s">
        <v>51</v>
      </c>
      <c r="I85" s="7" t="s">
        <v>50</v>
      </c>
      <c r="J85" s="25">
        <v>4490046.4649999999</v>
      </c>
    </row>
    <row r="86" spans="1:10" ht="14.25" customHeight="1" x14ac:dyDescent="0.25">
      <c r="A86" s="7" t="s">
        <v>44</v>
      </c>
      <c r="B86" s="7" t="s">
        <v>45</v>
      </c>
      <c r="C86" s="7" t="s">
        <v>54</v>
      </c>
      <c r="D86" s="23">
        <v>41456</v>
      </c>
      <c r="E86" s="24">
        <f t="shared" si="0"/>
        <v>7</v>
      </c>
      <c r="F86" s="24" t="s">
        <v>47</v>
      </c>
      <c r="G86" s="7" t="s">
        <v>52</v>
      </c>
      <c r="H86" s="7" t="s">
        <v>49</v>
      </c>
      <c r="I86" s="7" t="s">
        <v>50</v>
      </c>
      <c r="J86" s="25">
        <v>2117872.8966999999</v>
      </c>
    </row>
    <row r="87" spans="1:10" ht="14.25" customHeight="1" x14ac:dyDescent="0.25">
      <c r="A87" s="7" t="s">
        <v>44</v>
      </c>
      <c r="B87" s="7" t="s">
        <v>45</v>
      </c>
      <c r="C87" s="7" t="s">
        <v>54</v>
      </c>
      <c r="D87" s="23">
        <v>41487</v>
      </c>
      <c r="E87" s="24">
        <f t="shared" si="0"/>
        <v>8</v>
      </c>
      <c r="F87" s="24" t="s">
        <v>47</v>
      </c>
      <c r="G87" s="7" t="s">
        <v>52</v>
      </c>
      <c r="H87" s="7" t="s">
        <v>49</v>
      </c>
      <c r="I87" s="7" t="s">
        <v>50</v>
      </c>
      <c r="J87" s="25">
        <v>1784971.7644</v>
      </c>
    </row>
    <row r="88" spans="1:10" ht="14.25" customHeight="1" x14ac:dyDescent="0.25">
      <c r="A88" s="7" t="s">
        <v>44</v>
      </c>
      <c r="B88" s="7" t="s">
        <v>45</v>
      </c>
      <c r="C88" s="7" t="s">
        <v>54</v>
      </c>
      <c r="D88" s="23">
        <v>41518</v>
      </c>
      <c r="E88" s="24">
        <f t="shared" si="0"/>
        <v>9</v>
      </c>
      <c r="F88" s="24" t="s">
        <v>47</v>
      </c>
      <c r="G88" s="7" t="s">
        <v>52</v>
      </c>
      <c r="H88" s="7" t="s">
        <v>49</v>
      </c>
      <c r="I88" s="7" t="s">
        <v>50</v>
      </c>
      <c r="J88" s="25">
        <v>1972165.5701000001</v>
      </c>
    </row>
    <row r="89" spans="1:10" ht="14.25" customHeight="1" x14ac:dyDescent="0.25">
      <c r="A89" s="7" t="s">
        <v>44</v>
      </c>
      <c r="B89" s="7" t="s">
        <v>45</v>
      </c>
      <c r="C89" s="7" t="s">
        <v>54</v>
      </c>
      <c r="D89" s="23">
        <v>41548</v>
      </c>
      <c r="E89" s="24">
        <f t="shared" si="0"/>
        <v>10</v>
      </c>
      <c r="F89" s="24" t="s">
        <v>47</v>
      </c>
      <c r="G89" s="7" t="s">
        <v>52</v>
      </c>
      <c r="H89" s="7" t="s">
        <v>49</v>
      </c>
      <c r="I89" s="7" t="s">
        <v>50</v>
      </c>
      <c r="J89" s="25">
        <v>1851866.2887999997</v>
      </c>
    </row>
    <row r="90" spans="1:10" ht="14.25" customHeight="1" x14ac:dyDescent="0.25">
      <c r="A90" s="7" t="s">
        <v>44</v>
      </c>
      <c r="B90" s="7" t="s">
        <v>45</v>
      </c>
      <c r="C90" s="7" t="s">
        <v>54</v>
      </c>
      <c r="D90" s="23">
        <v>41579</v>
      </c>
      <c r="E90" s="24">
        <f t="shared" si="0"/>
        <v>11</v>
      </c>
      <c r="F90" s="24" t="s">
        <v>47</v>
      </c>
      <c r="G90" s="7" t="s">
        <v>52</v>
      </c>
      <c r="H90" s="7" t="s">
        <v>49</v>
      </c>
      <c r="I90" s="7" t="s">
        <v>50</v>
      </c>
      <c r="J90" s="25">
        <v>1690687.8758</v>
      </c>
    </row>
    <row r="91" spans="1:10" ht="14.25" customHeight="1" x14ac:dyDescent="0.25">
      <c r="A91" s="7" t="s">
        <v>44</v>
      </c>
      <c r="B91" s="7" t="s">
        <v>45</v>
      </c>
      <c r="C91" s="7" t="s">
        <v>54</v>
      </c>
      <c r="D91" s="23">
        <v>41609</v>
      </c>
      <c r="E91" s="24">
        <f t="shared" si="0"/>
        <v>12</v>
      </c>
      <c r="F91" s="24" t="s">
        <v>47</v>
      </c>
      <c r="G91" s="7" t="s">
        <v>52</v>
      </c>
      <c r="H91" s="7" t="s">
        <v>49</v>
      </c>
      <c r="I91" s="7" t="s">
        <v>50</v>
      </c>
      <c r="J91" s="25">
        <v>1902139.5096</v>
      </c>
    </row>
    <row r="92" spans="1:10" ht="14.25" customHeight="1" x14ac:dyDescent="0.25">
      <c r="A92" s="7" t="s">
        <v>44</v>
      </c>
      <c r="B92" s="7" t="s">
        <v>45</v>
      </c>
      <c r="C92" s="7" t="s">
        <v>54</v>
      </c>
      <c r="D92" s="23">
        <v>41640</v>
      </c>
      <c r="E92" s="24">
        <f t="shared" si="0"/>
        <v>1</v>
      </c>
      <c r="F92" s="24" t="s">
        <v>47</v>
      </c>
      <c r="G92" s="7" t="s">
        <v>52</v>
      </c>
      <c r="H92" s="7" t="s">
        <v>49</v>
      </c>
      <c r="I92" s="7" t="s">
        <v>50</v>
      </c>
      <c r="J92" s="25">
        <v>2732162.5980000002</v>
      </c>
    </row>
    <row r="93" spans="1:10" ht="14.25" customHeight="1" x14ac:dyDescent="0.25">
      <c r="A93" s="7" t="s">
        <v>44</v>
      </c>
      <c r="B93" s="7" t="s">
        <v>45</v>
      </c>
      <c r="C93" s="7" t="s">
        <v>54</v>
      </c>
      <c r="D93" s="23">
        <v>41671</v>
      </c>
      <c r="E93" s="24">
        <f t="shared" si="0"/>
        <v>2</v>
      </c>
      <c r="F93" s="24" t="s">
        <v>47</v>
      </c>
      <c r="G93" s="7" t="s">
        <v>52</v>
      </c>
      <c r="H93" s="7" t="s">
        <v>49</v>
      </c>
      <c r="I93" s="7" t="s">
        <v>50</v>
      </c>
      <c r="J93" s="25">
        <v>2478782.8670000001</v>
      </c>
    </row>
    <row r="94" spans="1:10" ht="14.25" customHeight="1" x14ac:dyDescent="0.25">
      <c r="A94" s="7" t="s">
        <v>44</v>
      </c>
      <c r="B94" s="7" t="s">
        <v>45</v>
      </c>
      <c r="C94" s="7" t="s">
        <v>54</v>
      </c>
      <c r="D94" s="23">
        <v>41699</v>
      </c>
      <c r="E94" s="24">
        <f t="shared" si="0"/>
        <v>3</v>
      </c>
      <c r="F94" s="24" t="s">
        <v>47</v>
      </c>
      <c r="G94" s="7" t="s">
        <v>52</v>
      </c>
      <c r="H94" s="7" t="s">
        <v>49</v>
      </c>
      <c r="I94" s="7" t="s">
        <v>50</v>
      </c>
      <c r="J94" s="25">
        <v>2401016.5399000002</v>
      </c>
    </row>
    <row r="95" spans="1:10" ht="14.25" customHeight="1" x14ac:dyDescent="0.25">
      <c r="A95" s="7" t="s">
        <v>44</v>
      </c>
      <c r="B95" s="7" t="s">
        <v>45</v>
      </c>
      <c r="C95" s="7" t="s">
        <v>54</v>
      </c>
      <c r="D95" s="23">
        <v>41730</v>
      </c>
      <c r="E95" s="24">
        <f t="shared" si="0"/>
        <v>4</v>
      </c>
      <c r="F95" s="24" t="s">
        <v>47</v>
      </c>
      <c r="G95" s="7" t="s">
        <v>52</v>
      </c>
      <c r="H95" s="7" t="s">
        <v>49</v>
      </c>
      <c r="I95" s="7" t="s">
        <v>50</v>
      </c>
      <c r="J95" s="25">
        <v>1988364.2834000001</v>
      </c>
    </row>
    <row r="96" spans="1:10" ht="14.25" customHeight="1" x14ac:dyDescent="0.25">
      <c r="A96" s="7" t="s">
        <v>44</v>
      </c>
      <c r="B96" s="7" t="s">
        <v>45</v>
      </c>
      <c r="C96" s="7" t="s">
        <v>54</v>
      </c>
      <c r="D96" s="23">
        <v>41760</v>
      </c>
      <c r="E96" s="24">
        <f t="shared" si="0"/>
        <v>5</v>
      </c>
      <c r="F96" s="24" t="s">
        <v>47</v>
      </c>
      <c r="G96" s="7" t="s">
        <v>52</v>
      </c>
      <c r="H96" s="7" t="s">
        <v>49</v>
      </c>
      <c r="I96" s="7" t="s">
        <v>50</v>
      </c>
      <c r="J96" s="25">
        <v>1787780.9268</v>
      </c>
    </row>
    <row r="97" spans="1:10" ht="14.25" customHeight="1" x14ac:dyDescent="0.25">
      <c r="A97" s="7" t="s">
        <v>44</v>
      </c>
      <c r="B97" s="7" t="s">
        <v>45</v>
      </c>
      <c r="C97" s="7" t="s">
        <v>54</v>
      </c>
      <c r="D97" s="23">
        <v>41791</v>
      </c>
      <c r="E97" s="24">
        <f t="shared" si="0"/>
        <v>6</v>
      </c>
      <c r="F97" s="24" t="s">
        <v>47</v>
      </c>
      <c r="G97" s="7" t="s">
        <v>52</v>
      </c>
      <c r="H97" s="7" t="s">
        <v>49</v>
      </c>
      <c r="I97" s="7" t="s">
        <v>50</v>
      </c>
      <c r="J97" s="25">
        <v>1975620.4446</v>
      </c>
    </row>
    <row r="98" spans="1:10" ht="14.25" customHeight="1" x14ac:dyDescent="0.25">
      <c r="A98" s="7" t="s">
        <v>44</v>
      </c>
      <c r="B98" s="7" t="s">
        <v>45</v>
      </c>
      <c r="C98" s="7" t="s">
        <v>54</v>
      </c>
      <c r="D98" s="23">
        <v>41456</v>
      </c>
      <c r="E98" s="24">
        <f t="shared" si="0"/>
        <v>7</v>
      </c>
      <c r="F98" s="24" t="s">
        <v>47</v>
      </c>
      <c r="G98" s="7" t="s">
        <v>52</v>
      </c>
      <c r="H98" s="7" t="s">
        <v>51</v>
      </c>
      <c r="I98" s="7" t="s">
        <v>50</v>
      </c>
      <c r="J98" s="25">
        <v>3850677.9939999999</v>
      </c>
    </row>
    <row r="99" spans="1:10" ht="14.25" customHeight="1" x14ac:dyDescent="0.25">
      <c r="A99" s="7" t="s">
        <v>44</v>
      </c>
      <c r="B99" s="7" t="s">
        <v>45</v>
      </c>
      <c r="C99" s="7" t="s">
        <v>54</v>
      </c>
      <c r="D99" s="23">
        <v>41487</v>
      </c>
      <c r="E99" s="24">
        <f t="shared" si="0"/>
        <v>8</v>
      </c>
      <c r="F99" s="24" t="s">
        <v>47</v>
      </c>
      <c r="G99" s="7" t="s">
        <v>52</v>
      </c>
      <c r="H99" s="7" t="s">
        <v>51</v>
      </c>
      <c r="I99" s="7" t="s">
        <v>50</v>
      </c>
      <c r="J99" s="25">
        <v>3245403.2080000001</v>
      </c>
    </row>
    <row r="100" spans="1:10" ht="14.25" customHeight="1" x14ac:dyDescent="0.25">
      <c r="A100" s="7" t="s">
        <v>44</v>
      </c>
      <c r="B100" s="7" t="s">
        <v>45</v>
      </c>
      <c r="C100" s="7" t="s">
        <v>54</v>
      </c>
      <c r="D100" s="23">
        <v>41518</v>
      </c>
      <c r="E100" s="24">
        <f t="shared" si="0"/>
        <v>9</v>
      </c>
      <c r="F100" s="24" t="s">
        <v>47</v>
      </c>
      <c r="G100" s="7" t="s">
        <v>52</v>
      </c>
      <c r="H100" s="7" t="s">
        <v>51</v>
      </c>
      <c r="I100" s="7" t="s">
        <v>50</v>
      </c>
      <c r="J100" s="25">
        <v>3585755.5820000004</v>
      </c>
    </row>
    <row r="101" spans="1:10" ht="14.25" customHeight="1" x14ac:dyDescent="0.25">
      <c r="A101" s="7" t="s">
        <v>44</v>
      </c>
      <c r="B101" s="7" t="s">
        <v>45</v>
      </c>
      <c r="C101" s="7" t="s">
        <v>54</v>
      </c>
      <c r="D101" s="23">
        <v>41548</v>
      </c>
      <c r="E101" s="24">
        <f t="shared" si="0"/>
        <v>10</v>
      </c>
      <c r="F101" s="24" t="s">
        <v>47</v>
      </c>
      <c r="G101" s="7" t="s">
        <v>52</v>
      </c>
      <c r="H101" s="7" t="s">
        <v>51</v>
      </c>
      <c r="I101" s="7" t="s">
        <v>50</v>
      </c>
      <c r="J101" s="25">
        <v>3367029.6159999999</v>
      </c>
    </row>
    <row r="102" spans="1:10" ht="14.25" customHeight="1" x14ac:dyDescent="0.25">
      <c r="A102" s="7" t="s">
        <v>44</v>
      </c>
      <c r="B102" s="7" t="s">
        <v>45</v>
      </c>
      <c r="C102" s="7" t="s">
        <v>54</v>
      </c>
      <c r="D102" s="23">
        <v>41579</v>
      </c>
      <c r="E102" s="24">
        <f t="shared" si="0"/>
        <v>11</v>
      </c>
      <c r="F102" s="24" t="s">
        <v>47</v>
      </c>
      <c r="G102" s="7" t="s">
        <v>52</v>
      </c>
      <c r="H102" s="7" t="s">
        <v>51</v>
      </c>
      <c r="I102" s="7" t="s">
        <v>50</v>
      </c>
      <c r="J102" s="25">
        <v>3073977.9560000002</v>
      </c>
    </row>
    <row r="103" spans="1:10" ht="14.25" customHeight="1" x14ac:dyDescent="0.25">
      <c r="A103" s="7" t="s">
        <v>44</v>
      </c>
      <c r="B103" s="7" t="s">
        <v>45</v>
      </c>
      <c r="C103" s="7" t="s">
        <v>54</v>
      </c>
      <c r="D103" s="23">
        <v>41609</v>
      </c>
      <c r="E103" s="24">
        <f t="shared" si="0"/>
        <v>12</v>
      </c>
      <c r="F103" s="24" t="s">
        <v>47</v>
      </c>
      <c r="G103" s="7" t="s">
        <v>52</v>
      </c>
      <c r="H103" s="7" t="s">
        <v>51</v>
      </c>
      <c r="I103" s="7" t="s">
        <v>50</v>
      </c>
      <c r="J103" s="25">
        <v>3458435.4720000001</v>
      </c>
    </row>
    <row r="104" spans="1:10" ht="14.25" customHeight="1" x14ac:dyDescent="0.25">
      <c r="A104" s="7" t="s">
        <v>44</v>
      </c>
      <c r="B104" s="7" t="s">
        <v>45</v>
      </c>
      <c r="C104" s="7" t="s">
        <v>54</v>
      </c>
      <c r="D104" s="23">
        <v>41640</v>
      </c>
      <c r="E104" s="24">
        <f t="shared" si="0"/>
        <v>1</v>
      </c>
      <c r="F104" s="24" t="s">
        <v>47</v>
      </c>
      <c r="G104" s="7" t="s">
        <v>52</v>
      </c>
      <c r="H104" s="7" t="s">
        <v>51</v>
      </c>
      <c r="I104" s="7" t="s">
        <v>50</v>
      </c>
      <c r="J104" s="25">
        <v>4967568.3600000003</v>
      </c>
    </row>
    <row r="105" spans="1:10" ht="14.25" customHeight="1" x14ac:dyDescent="0.25">
      <c r="A105" s="7" t="s">
        <v>44</v>
      </c>
      <c r="B105" s="7" t="s">
        <v>45</v>
      </c>
      <c r="C105" s="7" t="s">
        <v>54</v>
      </c>
      <c r="D105" s="23">
        <v>41671</v>
      </c>
      <c r="E105" s="24">
        <f t="shared" si="0"/>
        <v>2</v>
      </c>
      <c r="F105" s="24" t="s">
        <v>47</v>
      </c>
      <c r="G105" s="7" t="s">
        <v>52</v>
      </c>
      <c r="H105" s="7" t="s">
        <v>51</v>
      </c>
      <c r="I105" s="7" t="s">
        <v>50</v>
      </c>
      <c r="J105" s="25">
        <v>4506877.9400000004</v>
      </c>
    </row>
    <row r="106" spans="1:10" ht="14.25" customHeight="1" x14ac:dyDescent="0.25">
      <c r="A106" s="7" t="s">
        <v>44</v>
      </c>
      <c r="B106" s="7" t="s">
        <v>45</v>
      </c>
      <c r="C106" s="7" t="s">
        <v>54</v>
      </c>
      <c r="D106" s="23">
        <v>41699</v>
      </c>
      <c r="E106" s="24">
        <f t="shared" si="0"/>
        <v>3</v>
      </c>
      <c r="F106" s="24" t="s">
        <v>47</v>
      </c>
      <c r="G106" s="7" t="s">
        <v>52</v>
      </c>
      <c r="H106" s="7" t="s">
        <v>51</v>
      </c>
      <c r="I106" s="7" t="s">
        <v>50</v>
      </c>
      <c r="J106" s="25">
        <v>4365484.6179999998</v>
      </c>
    </row>
    <row r="107" spans="1:10" ht="14.25" customHeight="1" x14ac:dyDescent="0.25">
      <c r="A107" s="7" t="s">
        <v>44</v>
      </c>
      <c r="B107" s="7" t="s">
        <v>45</v>
      </c>
      <c r="C107" s="7" t="s">
        <v>54</v>
      </c>
      <c r="D107" s="23">
        <v>41730</v>
      </c>
      <c r="E107" s="24">
        <f t="shared" si="0"/>
        <v>4</v>
      </c>
      <c r="F107" s="24" t="s">
        <v>47</v>
      </c>
      <c r="G107" s="7" t="s">
        <v>52</v>
      </c>
      <c r="H107" s="7" t="s">
        <v>51</v>
      </c>
      <c r="I107" s="7" t="s">
        <v>50</v>
      </c>
      <c r="J107" s="25">
        <v>4615207.7879999997</v>
      </c>
    </row>
    <row r="108" spans="1:10" ht="14.25" customHeight="1" x14ac:dyDescent="0.25">
      <c r="A108" s="7" t="s">
        <v>44</v>
      </c>
      <c r="B108" s="7" t="s">
        <v>45</v>
      </c>
      <c r="C108" s="7" t="s">
        <v>54</v>
      </c>
      <c r="D108" s="23">
        <v>41760</v>
      </c>
      <c r="E108" s="24">
        <f t="shared" si="0"/>
        <v>5</v>
      </c>
      <c r="F108" s="24" t="s">
        <v>47</v>
      </c>
      <c r="G108" s="7" t="s">
        <v>52</v>
      </c>
      <c r="H108" s="7" t="s">
        <v>51</v>
      </c>
      <c r="I108" s="7" t="s">
        <v>50</v>
      </c>
      <c r="J108" s="25">
        <v>3250510.7760000005</v>
      </c>
    </row>
    <row r="109" spans="1:10" ht="14.25" customHeight="1" x14ac:dyDescent="0.25">
      <c r="A109" s="7" t="s">
        <v>44</v>
      </c>
      <c r="B109" s="7" t="s">
        <v>45</v>
      </c>
      <c r="C109" s="7" t="s">
        <v>54</v>
      </c>
      <c r="D109" s="23">
        <v>41791</v>
      </c>
      <c r="E109" s="24">
        <f t="shared" si="0"/>
        <v>6</v>
      </c>
      <c r="F109" s="24" t="s">
        <v>47</v>
      </c>
      <c r="G109" s="7" t="s">
        <v>52</v>
      </c>
      <c r="H109" s="7" t="s">
        <v>51</v>
      </c>
      <c r="I109" s="7" t="s">
        <v>50</v>
      </c>
      <c r="J109" s="25">
        <v>3592037.1720000003</v>
      </c>
    </row>
    <row r="110" spans="1:10" ht="14.25" customHeight="1" x14ac:dyDescent="0.25">
      <c r="A110" s="7" t="s">
        <v>44</v>
      </c>
      <c r="B110" s="7" t="s">
        <v>45</v>
      </c>
      <c r="C110" s="7" t="s">
        <v>54</v>
      </c>
      <c r="D110" s="23">
        <v>41456</v>
      </c>
      <c r="E110" s="24">
        <f t="shared" si="0"/>
        <v>7</v>
      </c>
      <c r="F110" s="24" t="s">
        <v>47</v>
      </c>
      <c r="G110" s="7" t="s">
        <v>53</v>
      </c>
      <c r="H110" s="7" t="s">
        <v>49</v>
      </c>
      <c r="I110" s="7" t="s">
        <v>50</v>
      </c>
      <c r="J110" s="25">
        <v>4139478.8435499985</v>
      </c>
    </row>
    <row r="111" spans="1:10" ht="14.25" customHeight="1" x14ac:dyDescent="0.25">
      <c r="A111" s="7" t="s">
        <v>44</v>
      </c>
      <c r="B111" s="7" t="s">
        <v>45</v>
      </c>
      <c r="C111" s="7" t="s">
        <v>54</v>
      </c>
      <c r="D111" s="23">
        <v>41487</v>
      </c>
      <c r="E111" s="24">
        <f t="shared" si="0"/>
        <v>8</v>
      </c>
      <c r="F111" s="24" t="s">
        <v>47</v>
      </c>
      <c r="G111" s="7" t="s">
        <v>53</v>
      </c>
      <c r="H111" s="7" t="s">
        <v>49</v>
      </c>
      <c r="I111" s="7" t="s">
        <v>50</v>
      </c>
      <c r="J111" s="25">
        <v>3488808.4485999988</v>
      </c>
    </row>
    <row r="112" spans="1:10" ht="14.25" customHeight="1" x14ac:dyDescent="0.25">
      <c r="A112" s="7" t="s">
        <v>44</v>
      </c>
      <c r="B112" s="7" t="s">
        <v>45</v>
      </c>
      <c r="C112" s="7" t="s">
        <v>54</v>
      </c>
      <c r="D112" s="23">
        <v>41518</v>
      </c>
      <c r="E112" s="24">
        <f t="shared" si="0"/>
        <v>9</v>
      </c>
      <c r="F112" s="24" t="s">
        <v>47</v>
      </c>
      <c r="G112" s="7" t="s">
        <v>53</v>
      </c>
      <c r="H112" s="7" t="s">
        <v>49</v>
      </c>
      <c r="I112" s="7" t="s">
        <v>50</v>
      </c>
      <c r="J112" s="25">
        <v>3854687.2506499989</v>
      </c>
    </row>
    <row r="113" spans="1:10" ht="14.25" customHeight="1" x14ac:dyDescent="0.25">
      <c r="A113" s="7" t="s">
        <v>44</v>
      </c>
      <c r="B113" s="7" t="s">
        <v>45</v>
      </c>
      <c r="C113" s="7" t="s">
        <v>54</v>
      </c>
      <c r="D113" s="23">
        <v>41548</v>
      </c>
      <c r="E113" s="24">
        <f t="shared" si="0"/>
        <v>10</v>
      </c>
      <c r="F113" s="24" t="s">
        <v>47</v>
      </c>
      <c r="G113" s="7" t="s">
        <v>53</v>
      </c>
      <c r="H113" s="7" t="s">
        <v>49</v>
      </c>
      <c r="I113" s="7" t="s">
        <v>50</v>
      </c>
      <c r="J113" s="25">
        <v>3619556.8371999986</v>
      </c>
    </row>
    <row r="114" spans="1:10" ht="14.25" customHeight="1" x14ac:dyDescent="0.25">
      <c r="A114" s="7" t="s">
        <v>44</v>
      </c>
      <c r="B114" s="7" t="s">
        <v>45</v>
      </c>
      <c r="C114" s="7" t="s">
        <v>54</v>
      </c>
      <c r="D114" s="23">
        <v>41579</v>
      </c>
      <c r="E114" s="24">
        <f t="shared" si="0"/>
        <v>11</v>
      </c>
      <c r="F114" s="24" t="s">
        <v>47</v>
      </c>
      <c r="G114" s="7" t="s">
        <v>53</v>
      </c>
      <c r="H114" s="7" t="s">
        <v>49</v>
      </c>
      <c r="I114" s="7" t="s">
        <v>50</v>
      </c>
      <c r="J114" s="25">
        <v>3304526.302699999</v>
      </c>
    </row>
    <row r="115" spans="1:10" ht="14.25" customHeight="1" x14ac:dyDescent="0.25">
      <c r="A115" s="7" t="s">
        <v>44</v>
      </c>
      <c r="B115" s="7" t="s">
        <v>45</v>
      </c>
      <c r="C115" s="7" t="s">
        <v>54</v>
      </c>
      <c r="D115" s="23">
        <v>41609</v>
      </c>
      <c r="E115" s="24">
        <f t="shared" si="0"/>
        <v>12</v>
      </c>
      <c r="F115" s="24" t="s">
        <v>47</v>
      </c>
      <c r="G115" s="7" t="s">
        <v>53</v>
      </c>
      <c r="H115" s="7" t="s">
        <v>49</v>
      </c>
      <c r="I115" s="7" t="s">
        <v>50</v>
      </c>
      <c r="J115" s="25">
        <v>3717818.1323999991</v>
      </c>
    </row>
    <row r="116" spans="1:10" ht="14.25" customHeight="1" x14ac:dyDescent="0.25">
      <c r="A116" s="7" t="s">
        <v>44</v>
      </c>
      <c r="B116" s="7" t="s">
        <v>45</v>
      </c>
      <c r="C116" s="7" t="s">
        <v>54</v>
      </c>
      <c r="D116" s="23">
        <v>41640</v>
      </c>
      <c r="E116" s="24">
        <f t="shared" si="0"/>
        <v>1</v>
      </c>
      <c r="F116" s="24" t="s">
        <v>47</v>
      </c>
      <c r="G116" s="7" t="s">
        <v>53</v>
      </c>
      <c r="H116" s="7" t="s">
        <v>49</v>
      </c>
      <c r="I116" s="7" t="s">
        <v>50</v>
      </c>
      <c r="J116" s="25">
        <v>5340135.9869999988</v>
      </c>
    </row>
    <row r="117" spans="1:10" ht="14.25" customHeight="1" x14ac:dyDescent="0.25">
      <c r="A117" s="7" t="s">
        <v>44</v>
      </c>
      <c r="B117" s="7" t="s">
        <v>45</v>
      </c>
      <c r="C117" s="7" t="s">
        <v>54</v>
      </c>
      <c r="D117" s="23">
        <v>41671</v>
      </c>
      <c r="E117" s="24">
        <f t="shared" si="0"/>
        <v>2</v>
      </c>
      <c r="F117" s="24" t="s">
        <v>47</v>
      </c>
      <c r="G117" s="7" t="s">
        <v>53</v>
      </c>
      <c r="H117" s="7" t="s">
        <v>49</v>
      </c>
      <c r="I117" s="7" t="s">
        <v>50</v>
      </c>
      <c r="J117" s="25">
        <v>4844893.7854999984</v>
      </c>
    </row>
    <row r="118" spans="1:10" ht="14.25" customHeight="1" x14ac:dyDescent="0.25">
      <c r="A118" s="7" t="s">
        <v>44</v>
      </c>
      <c r="B118" s="7" t="s">
        <v>45</v>
      </c>
      <c r="C118" s="7" t="s">
        <v>54</v>
      </c>
      <c r="D118" s="23">
        <v>41699</v>
      </c>
      <c r="E118" s="24">
        <f t="shared" si="0"/>
        <v>3</v>
      </c>
      <c r="F118" s="24" t="s">
        <v>47</v>
      </c>
      <c r="G118" s="7" t="s">
        <v>53</v>
      </c>
      <c r="H118" s="7" t="s">
        <v>49</v>
      </c>
      <c r="I118" s="7" t="s">
        <v>50</v>
      </c>
      <c r="J118" s="25">
        <v>4692895.9643499991</v>
      </c>
    </row>
    <row r="119" spans="1:10" ht="14.25" customHeight="1" x14ac:dyDescent="0.25">
      <c r="A119" s="7" t="s">
        <v>44</v>
      </c>
      <c r="B119" s="7" t="s">
        <v>45</v>
      </c>
      <c r="C119" s="7" t="s">
        <v>54</v>
      </c>
      <c r="D119" s="23">
        <v>41730</v>
      </c>
      <c r="E119" s="24">
        <f t="shared" si="0"/>
        <v>4</v>
      </c>
      <c r="F119" s="24" t="s">
        <v>47</v>
      </c>
      <c r="G119" s="7" t="s">
        <v>53</v>
      </c>
      <c r="H119" s="7" t="s">
        <v>49</v>
      </c>
      <c r="I119" s="7" t="s">
        <v>50</v>
      </c>
      <c r="J119" s="25">
        <v>4886348.3721000003</v>
      </c>
    </row>
    <row r="120" spans="1:10" ht="14.25" customHeight="1" x14ac:dyDescent="0.25">
      <c r="A120" s="7" t="s">
        <v>44</v>
      </c>
      <c r="B120" s="7" t="s">
        <v>45</v>
      </c>
      <c r="C120" s="7" t="s">
        <v>54</v>
      </c>
      <c r="D120" s="23">
        <v>41760</v>
      </c>
      <c r="E120" s="24">
        <f t="shared" si="0"/>
        <v>5</v>
      </c>
      <c r="F120" s="24" t="s">
        <v>47</v>
      </c>
      <c r="G120" s="7" t="s">
        <v>53</v>
      </c>
      <c r="H120" s="7" t="s">
        <v>49</v>
      </c>
      <c r="I120" s="7" t="s">
        <v>50</v>
      </c>
      <c r="J120" s="25">
        <v>3494299.084199999</v>
      </c>
    </row>
    <row r="121" spans="1:10" ht="14.25" customHeight="1" x14ac:dyDescent="0.25">
      <c r="A121" s="7" t="s">
        <v>44</v>
      </c>
      <c r="B121" s="7" t="s">
        <v>45</v>
      </c>
      <c r="C121" s="7" t="s">
        <v>54</v>
      </c>
      <c r="D121" s="23">
        <v>41791</v>
      </c>
      <c r="E121" s="24">
        <f t="shared" si="0"/>
        <v>6</v>
      </c>
      <c r="F121" s="24" t="s">
        <v>47</v>
      </c>
      <c r="G121" s="7" t="s">
        <v>53</v>
      </c>
      <c r="H121" s="7" t="s">
        <v>49</v>
      </c>
      <c r="I121" s="7" t="s">
        <v>50</v>
      </c>
      <c r="J121" s="25">
        <v>3861439.9598999987</v>
      </c>
    </row>
    <row r="122" spans="1:10" ht="14.25" customHeight="1" x14ac:dyDescent="0.25">
      <c r="A122" s="7" t="s">
        <v>44</v>
      </c>
      <c r="B122" s="7" t="s">
        <v>45</v>
      </c>
      <c r="C122" s="7" t="s">
        <v>55</v>
      </c>
      <c r="D122" s="23">
        <v>41456</v>
      </c>
      <c r="E122" s="24">
        <f t="shared" si="0"/>
        <v>7</v>
      </c>
      <c r="F122" s="24" t="s">
        <v>47</v>
      </c>
      <c r="G122" s="7" t="s">
        <v>48</v>
      </c>
      <c r="H122" s="7" t="s">
        <v>49</v>
      </c>
      <c r="I122" s="7" t="s">
        <v>50</v>
      </c>
      <c r="J122" s="25">
        <v>1766228.7212499999</v>
      </c>
    </row>
    <row r="123" spans="1:10" ht="14.25" customHeight="1" x14ac:dyDescent="0.25">
      <c r="A123" s="7" t="s">
        <v>44</v>
      </c>
      <c r="B123" s="7" t="s">
        <v>45</v>
      </c>
      <c r="C123" s="7" t="s">
        <v>55</v>
      </c>
      <c r="D123" s="23">
        <v>41487</v>
      </c>
      <c r="E123" s="24">
        <f t="shared" si="0"/>
        <v>8</v>
      </c>
      <c r="F123" s="24" t="s">
        <v>47</v>
      </c>
      <c r="G123" s="7" t="s">
        <v>48</v>
      </c>
      <c r="H123" s="7" t="s">
        <v>49</v>
      </c>
      <c r="I123" s="7" t="s">
        <v>50</v>
      </c>
      <c r="J123" s="25">
        <v>1951422.76125</v>
      </c>
    </row>
    <row r="124" spans="1:10" ht="14.25" customHeight="1" x14ac:dyDescent="0.25">
      <c r="A124" s="7" t="s">
        <v>44</v>
      </c>
      <c r="B124" s="7" t="s">
        <v>45</v>
      </c>
      <c r="C124" s="7" t="s">
        <v>55</v>
      </c>
      <c r="D124" s="23">
        <v>41518</v>
      </c>
      <c r="E124" s="24">
        <f t="shared" si="0"/>
        <v>9</v>
      </c>
      <c r="F124" s="24" t="s">
        <v>47</v>
      </c>
      <c r="G124" s="7" t="s">
        <v>48</v>
      </c>
      <c r="H124" s="7" t="s">
        <v>49</v>
      </c>
      <c r="I124" s="7" t="s">
        <v>50</v>
      </c>
      <c r="J124" s="25">
        <v>1699371.23875</v>
      </c>
    </row>
    <row r="125" spans="1:10" ht="14.25" customHeight="1" x14ac:dyDescent="0.25">
      <c r="A125" s="7" t="s">
        <v>44</v>
      </c>
      <c r="B125" s="7" t="s">
        <v>45</v>
      </c>
      <c r="C125" s="7" t="s">
        <v>55</v>
      </c>
      <c r="D125" s="23">
        <v>41548</v>
      </c>
      <c r="E125" s="24">
        <f t="shared" si="0"/>
        <v>10</v>
      </c>
      <c r="F125" s="24" t="s">
        <v>47</v>
      </c>
      <c r="G125" s="7" t="s">
        <v>48</v>
      </c>
      <c r="H125" s="7" t="s">
        <v>49</v>
      </c>
      <c r="I125" s="7" t="s">
        <v>50</v>
      </c>
      <c r="J125" s="25">
        <v>1502189.2037500001</v>
      </c>
    </row>
    <row r="126" spans="1:10" ht="14.25" customHeight="1" x14ac:dyDescent="0.25">
      <c r="A126" s="7" t="s">
        <v>44</v>
      </c>
      <c r="B126" s="7" t="s">
        <v>45</v>
      </c>
      <c r="C126" s="7" t="s">
        <v>55</v>
      </c>
      <c r="D126" s="23">
        <v>41579</v>
      </c>
      <c r="E126" s="24">
        <f t="shared" si="0"/>
        <v>11</v>
      </c>
      <c r="F126" s="24" t="s">
        <v>47</v>
      </c>
      <c r="G126" s="7" t="s">
        <v>48</v>
      </c>
      <c r="H126" s="7" t="s">
        <v>49</v>
      </c>
      <c r="I126" s="7" t="s">
        <v>50</v>
      </c>
      <c r="J126" s="25">
        <v>1650239.5062500001</v>
      </c>
    </row>
    <row r="127" spans="1:10" ht="14.25" customHeight="1" x14ac:dyDescent="0.25">
      <c r="A127" s="7" t="s">
        <v>44</v>
      </c>
      <c r="B127" s="7" t="s">
        <v>45</v>
      </c>
      <c r="C127" s="7" t="s">
        <v>55</v>
      </c>
      <c r="D127" s="23">
        <v>41609</v>
      </c>
      <c r="E127" s="24">
        <f t="shared" si="0"/>
        <v>12</v>
      </c>
      <c r="F127" s="24" t="s">
        <v>47</v>
      </c>
      <c r="G127" s="7" t="s">
        <v>48</v>
      </c>
      <c r="H127" s="7" t="s">
        <v>49</v>
      </c>
      <c r="I127" s="7" t="s">
        <v>50</v>
      </c>
      <c r="J127" s="25">
        <v>1406546.085</v>
      </c>
    </row>
    <row r="128" spans="1:10" ht="14.25" customHeight="1" x14ac:dyDescent="0.25">
      <c r="A128" s="7" t="s">
        <v>44</v>
      </c>
      <c r="B128" s="7" t="s">
        <v>45</v>
      </c>
      <c r="C128" s="7" t="s">
        <v>55</v>
      </c>
      <c r="D128" s="23">
        <v>41640</v>
      </c>
      <c r="E128" s="24">
        <f t="shared" si="0"/>
        <v>1</v>
      </c>
      <c r="F128" s="24" t="s">
        <v>47</v>
      </c>
      <c r="G128" s="7" t="s">
        <v>48</v>
      </c>
      <c r="H128" s="7" t="s">
        <v>49</v>
      </c>
      <c r="I128" s="7" t="s">
        <v>50</v>
      </c>
      <c r="J128" s="25">
        <v>2151540.1949999998</v>
      </c>
    </row>
    <row r="129" spans="1:10" ht="14.25" customHeight="1" x14ac:dyDescent="0.25">
      <c r="A129" s="7" t="s">
        <v>44</v>
      </c>
      <c r="B129" s="7" t="s">
        <v>45</v>
      </c>
      <c r="C129" s="7" t="s">
        <v>55</v>
      </c>
      <c r="D129" s="23">
        <v>41671</v>
      </c>
      <c r="E129" s="24">
        <f t="shared" si="0"/>
        <v>2</v>
      </c>
      <c r="F129" s="24" t="s">
        <v>47</v>
      </c>
      <c r="G129" s="7" t="s">
        <v>48</v>
      </c>
      <c r="H129" s="7" t="s">
        <v>49</v>
      </c>
      <c r="I129" s="7" t="s">
        <v>50</v>
      </c>
      <c r="J129" s="25">
        <v>2191228.2262499998</v>
      </c>
    </row>
    <row r="130" spans="1:10" ht="14.25" customHeight="1" x14ac:dyDescent="0.25">
      <c r="A130" s="7" t="s">
        <v>44</v>
      </c>
      <c r="B130" s="7" t="s">
        <v>45</v>
      </c>
      <c r="C130" s="7" t="s">
        <v>55</v>
      </c>
      <c r="D130" s="23">
        <v>41699</v>
      </c>
      <c r="E130" s="24">
        <f t="shared" si="0"/>
        <v>3</v>
      </c>
      <c r="F130" s="24" t="s">
        <v>47</v>
      </c>
      <c r="G130" s="7" t="s">
        <v>48</v>
      </c>
      <c r="H130" s="7" t="s">
        <v>49</v>
      </c>
      <c r="I130" s="7" t="s">
        <v>50</v>
      </c>
      <c r="J130" s="25">
        <v>1965526.61625</v>
      </c>
    </row>
    <row r="131" spans="1:10" ht="14.25" customHeight="1" x14ac:dyDescent="0.25">
      <c r="A131" s="7" t="s">
        <v>44</v>
      </c>
      <c r="B131" s="7" t="s">
        <v>45</v>
      </c>
      <c r="C131" s="7" t="s">
        <v>55</v>
      </c>
      <c r="D131" s="23">
        <v>41730</v>
      </c>
      <c r="E131" s="24">
        <f t="shared" si="0"/>
        <v>4</v>
      </c>
      <c r="F131" s="24" t="s">
        <v>47</v>
      </c>
      <c r="G131" s="7" t="s">
        <v>48</v>
      </c>
      <c r="H131" s="7" t="s">
        <v>49</v>
      </c>
      <c r="I131" s="7" t="s">
        <v>50</v>
      </c>
      <c r="J131" s="25">
        <v>2084911.36</v>
      </c>
    </row>
    <row r="132" spans="1:10" ht="14.25" customHeight="1" x14ac:dyDescent="0.25">
      <c r="A132" s="7" t="s">
        <v>44</v>
      </c>
      <c r="B132" s="7" t="s">
        <v>45</v>
      </c>
      <c r="C132" s="7" t="s">
        <v>55</v>
      </c>
      <c r="D132" s="23">
        <v>41760</v>
      </c>
      <c r="E132" s="24">
        <f t="shared" si="0"/>
        <v>5</v>
      </c>
      <c r="F132" s="24" t="s">
        <v>47</v>
      </c>
      <c r="G132" s="7" t="s">
        <v>48</v>
      </c>
      <c r="H132" s="7" t="s">
        <v>49</v>
      </c>
      <c r="I132" s="7" t="s">
        <v>50</v>
      </c>
      <c r="J132" s="25">
        <v>2053699.35375</v>
      </c>
    </row>
    <row r="133" spans="1:10" ht="14.25" customHeight="1" x14ac:dyDescent="0.25">
      <c r="A133" s="7" t="s">
        <v>44</v>
      </c>
      <c r="B133" s="7" t="s">
        <v>45</v>
      </c>
      <c r="C133" s="7" t="s">
        <v>55</v>
      </c>
      <c r="D133" s="23">
        <v>41791</v>
      </c>
      <c r="E133" s="24">
        <f t="shared" si="0"/>
        <v>6</v>
      </c>
      <c r="F133" s="24" t="s">
        <v>47</v>
      </c>
      <c r="G133" s="7" t="s">
        <v>48</v>
      </c>
      <c r="H133" s="7" t="s">
        <v>49</v>
      </c>
      <c r="I133" s="7" t="s">
        <v>50</v>
      </c>
      <c r="J133" s="25">
        <v>2197266.9237500001</v>
      </c>
    </row>
    <row r="134" spans="1:10" ht="14.25" customHeight="1" x14ac:dyDescent="0.25">
      <c r="A134" s="7" t="s">
        <v>44</v>
      </c>
      <c r="B134" s="7" t="s">
        <v>45</v>
      </c>
      <c r="C134" s="7" t="s">
        <v>55</v>
      </c>
      <c r="D134" s="23">
        <v>41456</v>
      </c>
      <c r="E134" s="24">
        <f t="shared" si="0"/>
        <v>7</v>
      </c>
      <c r="F134" s="24" t="s">
        <v>47</v>
      </c>
      <c r="G134" s="7" t="s">
        <v>48</v>
      </c>
      <c r="H134" s="7" t="s">
        <v>51</v>
      </c>
      <c r="I134" s="7" t="s">
        <v>50</v>
      </c>
      <c r="J134" s="25">
        <v>3532457.4424999999</v>
      </c>
    </row>
    <row r="135" spans="1:10" ht="14.25" customHeight="1" x14ac:dyDescent="0.25">
      <c r="A135" s="7" t="s">
        <v>44</v>
      </c>
      <c r="B135" s="7" t="s">
        <v>45</v>
      </c>
      <c r="C135" s="7" t="s">
        <v>55</v>
      </c>
      <c r="D135" s="23">
        <v>41487</v>
      </c>
      <c r="E135" s="24">
        <f t="shared" si="0"/>
        <v>8</v>
      </c>
      <c r="F135" s="24" t="s">
        <v>47</v>
      </c>
      <c r="G135" s="7" t="s">
        <v>48</v>
      </c>
      <c r="H135" s="7" t="s">
        <v>51</v>
      </c>
      <c r="I135" s="7" t="s">
        <v>50</v>
      </c>
      <c r="J135" s="25">
        <v>3902845.5225</v>
      </c>
    </row>
    <row r="136" spans="1:10" ht="14.25" customHeight="1" x14ac:dyDescent="0.25">
      <c r="A136" s="7" t="s">
        <v>44</v>
      </c>
      <c r="B136" s="7" t="s">
        <v>45</v>
      </c>
      <c r="C136" s="7" t="s">
        <v>55</v>
      </c>
      <c r="D136" s="23">
        <v>41518</v>
      </c>
      <c r="E136" s="24">
        <f t="shared" si="0"/>
        <v>9</v>
      </c>
      <c r="F136" s="24" t="s">
        <v>47</v>
      </c>
      <c r="G136" s="7" t="s">
        <v>48</v>
      </c>
      <c r="H136" s="7" t="s">
        <v>51</v>
      </c>
      <c r="I136" s="7" t="s">
        <v>50</v>
      </c>
      <c r="J136" s="25">
        <v>3398742.4775</v>
      </c>
    </row>
    <row r="137" spans="1:10" ht="14.25" customHeight="1" x14ac:dyDescent="0.25">
      <c r="A137" s="7" t="s">
        <v>44</v>
      </c>
      <c r="B137" s="7" t="s">
        <v>45</v>
      </c>
      <c r="C137" s="7" t="s">
        <v>55</v>
      </c>
      <c r="D137" s="23">
        <v>41548</v>
      </c>
      <c r="E137" s="24">
        <f t="shared" si="0"/>
        <v>10</v>
      </c>
      <c r="F137" s="24" t="s">
        <v>47</v>
      </c>
      <c r="G137" s="7" t="s">
        <v>48</v>
      </c>
      <c r="H137" s="7" t="s">
        <v>51</v>
      </c>
      <c r="I137" s="7" t="s">
        <v>50</v>
      </c>
      <c r="J137" s="25">
        <v>3004378.4075000002</v>
      </c>
    </row>
    <row r="138" spans="1:10" ht="14.25" customHeight="1" x14ac:dyDescent="0.25">
      <c r="A138" s="7" t="s">
        <v>44</v>
      </c>
      <c r="B138" s="7" t="s">
        <v>45</v>
      </c>
      <c r="C138" s="7" t="s">
        <v>55</v>
      </c>
      <c r="D138" s="23">
        <v>41579</v>
      </c>
      <c r="E138" s="24">
        <f t="shared" si="0"/>
        <v>11</v>
      </c>
      <c r="F138" s="24" t="s">
        <v>47</v>
      </c>
      <c r="G138" s="7" t="s">
        <v>48</v>
      </c>
      <c r="H138" s="7" t="s">
        <v>51</v>
      </c>
      <c r="I138" s="7" t="s">
        <v>50</v>
      </c>
      <c r="J138" s="25">
        <v>3300479.0125000002</v>
      </c>
    </row>
    <row r="139" spans="1:10" ht="14.25" customHeight="1" x14ac:dyDescent="0.25">
      <c r="A139" s="7" t="s">
        <v>44</v>
      </c>
      <c r="B139" s="7" t="s">
        <v>45</v>
      </c>
      <c r="C139" s="7" t="s">
        <v>55</v>
      </c>
      <c r="D139" s="23">
        <v>41609</v>
      </c>
      <c r="E139" s="24">
        <f t="shared" si="0"/>
        <v>12</v>
      </c>
      <c r="F139" s="24" t="s">
        <v>47</v>
      </c>
      <c r="G139" s="7" t="s">
        <v>48</v>
      </c>
      <c r="H139" s="7" t="s">
        <v>51</v>
      </c>
      <c r="I139" s="7" t="s">
        <v>50</v>
      </c>
      <c r="J139" s="25">
        <v>2813092.17</v>
      </c>
    </row>
    <row r="140" spans="1:10" ht="14.25" customHeight="1" x14ac:dyDescent="0.25">
      <c r="A140" s="7" t="s">
        <v>44</v>
      </c>
      <c r="B140" s="7" t="s">
        <v>45</v>
      </c>
      <c r="C140" s="7" t="s">
        <v>55</v>
      </c>
      <c r="D140" s="23">
        <v>41640</v>
      </c>
      <c r="E140" s="24">
        <f t="shared" si="0"/>
        <v>1</v>
      </c>
      <c r="F140" s="24" t="s">
        <v>47</v>
      </c>
      <c r="G140" s="7" t="s">
        <v>48</v>
      </c>
      <c r="H140" s="7" t="s">
        <v>51</v>
      </c>
      <c r="I140" s="7" t="s">
        <v>50</v>
      </c>
      <c r="J140" s="25">
        <v>4303080.3899999997</v>
      </c>
    </row>
    <row r="141" spans="1:10" ht="14.25" customHeight="1" x14ac:dyDescent="0.25">
      <c r="A141" s="7" t="s">
        <v>44</v>
      </c>
      <c r="B141" s="7" t="s">
        <v>45</v>
      </c>
      <c r="C141" s="7" t="s">
        <v>55</v>
      </c>
      <c r="D141" s="23">
        <v>41671</v>
      </c>
      <c r="E141" s="24">
        <f t="shared" si="0"/>
        <v>2</v>
      </c>
      <c r="F141" s="24" t="s">
        <v>47</v>
      </c>
      <c r="G141" s="7" t="s">
        <v>48</v>
      </c>
      <c r="H141" s="7" t="s">
        <v>51</v>
      </c>
      <c r="I141" s="7" t="s">
        <v>50</v>
      </c>
      <c r="J141" s="25">
        <v>4382456.4524999997</v>
      </c>
    </row>
    <row r="142" spans="1:10" ht="14.25" customHeight="1" x14ac:dyDescent="0.25">
      <c r="A142" s="7" t="s">
        <v>44</v>
      </c>
      <c r="B142" s="7" t="s">
        <v>45</v>
      </c>
      <c r="C142" s="7" t="s">
        <v>55</v>
      </c>
      <c r="D142" s="23">
        <v>41699</v>
      </c>
      <c r="E142" s="24">
        <f t="shared" si="0"/>
        <v>3</v>
      </c>
      <c r="F142" s="24" t="s">
        <v>47</v>
      </c>
      <c r="G142" s="7" t="s">
        <v>48</v>
      </c>
      <c r="H142" s="7" t="s">
        <v>51</v>
      </c>
      <c r="I142" s="7" t="s">
        <v>50</v>
      </c>
      <c r="J142" s="25">
        <v>3931053.2324999999</v>
      </c>
    </row>
    <row r="143" spans="1:10" ht="14.25" customHeight="1" x14ac:dyDescent="0.25">
      <c r="A143" s="7" t="s">
        <v>44</v>
      </c>
      <c r="B143" s="7" t="s">
        <v>45</v>
      </c>
      <c r="C143" s="7" t="s">
        <v>55</v>
      </c>
      <c r="D143" s="23">
        <v>41730</v>
      </c>
      <c r="E143" s="24">
        <f t="shared" si="0"/>
        <v>4</v>
      </c>
      <c r="F143" s="24" t="s">
        <v>47</v>
      </c>
      <c r="G143" s="7" t="s">
        <v>48</v>
      </c>
      <c r="H143" s="7" t="s">
        <v>51</v>
      </c>
      <c r="I143" s="7" t="s">
        <v>50</v>
      </c>
      <c r="J143" s="25">
        <v>4169822.72</v>
      </c>
    </row>
    <row r="144" spans="1:10" ht="14.25" customHeight="1" x14ac:dyDescent="0.25">
      <c r="A144" s="7" t="s">
        <v>44</v>
      </c>
      <c r="B144" s="7" t="s">
        <v>45</v>
      </c>
      <c r="C144" s="7" t="s">
        <v>55</v>
      </c>
      <c r="D144" s="23">
        <v>41760</v>
      </c>
      <c r="E144" s="24">
        <f t="shared" si="0"/>
        <v>5</v>
      </c>
      <c r="F144" s="24" t="s">
        <v>47</v>
      </c>
      <c r="G144" s="7" t="s">
        <v>48</v>
      </c>
      <c r="H144" s="7" t="s">
        <v>51</v>
      </c>
      <c r="I144" s="7" t="s">
        <v>50</v>
      </c>
      <c r="J144" s="25">
        <v>4107398.7075</v>
      </c>
    </row>
    <row r="145" spans="1:10" ht="14.25" customHeight="1" x14ac:dyDescent="0.25">
      <c r="A145" s="7" t="s">
        <v>44</v>
      </c>
      <c r="B145" s="7" t="s">
        <v>45</v>
      </c>
      <c r="C145" s="7" t="s">
        <v>55</v>
      </c>
      <c r="D145" s="23">
        <v>41791</v>
      </c>
      <c r="E145" s="24">
        <f t="shared" si="0"/>
        <v>6</v>
      </c>
      <c r="F145" s="24" t="s">
        <v>47</v>
      </c>
      <c r="G145" s="7" t="s">
        <v>48</v>
      </c>
      <c r="H145" s="7" t="s">
        <v>51</v>
      </c>
      <c r="I145" s="7" t="s">
        <v>50</v>
      </c>
      <c r="J145" s="25">
        <v>4394533.8475000001</v>
      </c>
    </row>
    <row r="146" spans="1:10" ht="14.25" customHeight="1" x14ac:dyDescent="0.25">
      <c r="A146" s="7" t="s">
        <v>44</v>
      </c>
      <c r="B146" s="7" t="s">
        <v>45</v>
      </c>
      <c r="C146" s="7" t="s">
        <v>55</v>
      </c>
      <c r="D146" s="23">
        <v>41456</v>
      </c>
      <c r="E146" s="24">
        <f t="shared" si="0"/>
        <v>7</v>
      </c>
      <c r="F146" s="24" t="s">
        <v>47</v>
      </c>
      <c r="G146" s="7" t="s">
        <v>52</v>
      </c>
      <c r="H146" s="7" t="s">
        <v>49</v>
      </c>
      <c r="I146" s="7" t="s">
        <v>50</v>
      </c>
      <c r="J146" s="25">
        <v>1554281.2747</v>
      </c>
    </row>
    <row r="147" spans="1:10" ht="14.25" customHeight="1" x14ac:dyDescent="0.25">
      <c r="A147" s="7" t="s">
        <v>44</v>
      </c>
      <c r="B147" s="7" t="s">
        <v>45</v>
      </c>
      <c r="C147" s="7" t="s">
        <v>55</v>
      </c>
      <c r="D147" s="23">
        <v>41487</v>
      </c>
      <c r="E147" s="24">
        <f t="shared" si="0"/>
        <v>8</v>
      </c>
      <c r="F147" s="24" t="s">
        <v>47</v>
      </c>
      <c r="G147" s="7" t="s">
        <v>52</v>
      </c>
      <c r="H147" s="7" t="s">
        <v>49</v>
      </c>
      <c r="I147" s="7" t="s">
        <v>50</v>
      </c>
      <c r="J147" s="25">
        <v>1717252.0299</v>
      </c>
    </row>
    <row r="148" spans="1:10" ht="14.25" customHeight="1" x14ac:dyDescent="0.25">
      <c r="A148" s="7" t="s">
        <v>44</v>
      </c>
      <c r="B148" s="7" t="s">
        <v>45</v>
      </c>
      <c r="C148" s="7" t="s">
        <v>55</v>
      </c>
      <c r="D148" s="23">
        <v>41518</v>
      </c>
      <c r="E148" s="24">
        <f t="shared" si="0"/>
        <v>9</v>
      </c>
      <c r="F148" s="24" t="s">
        <v>47</v>
      </c>
      <c r="G148" s="7" t="s">
        <v>52</v>
      </c>
      <c r="H148" s="7" t="s">
        <v>49</v>
      </c>
      <c r="I148" s="7" t="s">
        <v>50</v>
      </c>
      <c r="J148" s="25">
        <v>1495446.6901</v>
      </c>
    </row>
    <row r="149" spans="1:10" ht="14.25" customHeight="1" x14ac:dyDescent="0.25">
      <c r="A149" s="7" t="s">
        <v>44</v>
      </c>
      <c r="B149" s="7" t="s">
        <v>45</v>
      </c>
      <c r="C149" s="7" t="s">
        <v>55</v>
      </c>
      <c r="D149" s="23">
        <v>41548</v>
      </c>
      <c r="E149" s="24">
        <f t="shared" si="0"/>
        <v>10</v>
      </c>
      <c r="F149" s="24" t="s">
        <v>47</v>
      </c>
      <c r="G149" s="7" t="s">
        <v>52</v>
      </c>
      <c r="H149" s="7" t="s">
        <v>49</v>
      </c>
      <c r="I149" s="7" t="s">
        <v>50</v>
      </c>
      <c r="J149" s="25">
        <v>1321926.4993</v>
      </c>
    </row>
    <row r="150" spans="1:10" ht="14.25" customHeight="1" x14ac:dyDescent="0.25">
      <c r="A150" s="7" t="s">
        <v>44</v>
      </c>
      <c r="B150" s="7" t="s">
        <v>45</v>
      </c>
      <c r="C150" s="7" t="s">
        <v>55</v>
      </c>
      <c r="D150" s="23">
        <v>41579</v>
      </c>
      <c r="E150" s="24">
        <f t="shared" si="0"/>
        <v>11</v>
      </c>
      <c r="F150" s="24" t="s">
        <v>47</v>
      </c>
      <c r="G150" s="7" t="s">
        <v>52</v>
      </c>
      <c r="H150" s="7" t="s">
        <v>49</v>
      </c>
      <c r="I150" s="7" t="s">
        <v>50</v>
      </c>
      <c r="J150" s="25">
        <v>1452210.7655</v>
      </c>
    </row>
    <row r="151" spans="1:10" ht="14.25" customHeight="1" x14ac:dyDescent="0.25">
      <c r="A151" s="7" t="s">
        <v>44</v>
      </c>
      <c r="B151" s="7" t="s">
        <v>45</v>
      </c>
      <c r="C151" s="7" t="s">
        <v>55</v>
      </c>
      <c r="D151" s="23">
        <v>41609</v>
      </c>
      <c r="E151" s="24">
        <f t="shared" si="0"/>
        <v>12</v>
      </c>
      <c r="F151" s="24" t="s">
        <v>47</v>
      </c>
      <c r="G151" s="7" t="s">
        <v>52</v>
      </c>
      <c r="H151" s="7" t="s">
        <v>49</v>
      </c>
      <c r="I151" s="7" t="s">
        <v>50</v>
      </c>
      <c r="J151" s="25">
        <v>1237760.5548</v>
      </c>
    </row>
    <row r="152" spans="1:10" ht="14.25" customHeight="1" x14ac:dyDescent="0.25">
      <c r="A152" s="7" t="s">
        <v>44</v>
      </c>
      <c r="B152" s="7" t="s">
        <v>45</v>
      </c>
      <c r="C152" s="7" t="s">
        <v>55</v>
      </c>
      <c r="D152" s="23">
        <v>41640</v>
      </c>
      <c r="E152" s="24">
        <f t="shared" si="0"/>
        <v>1</v>
      </c>
      <c r="F152" s="24" t="s">
        <v>47</v>
      </c>
      <c r="G152" s="7" t="s">
        <v>52</v>
      </c>
      <c r="H152" s="7" t="s">
        <v>49</v>
      </c>
      <c r="I152" s="7" t="s">
        <v>50</v>
      </c>
      <c r="J152" s="25">
        <v>1893355.3716</v>
      </c>
    </row>
    <row r="153" spans="1:10" ht="14.25" customHeight="1" x14ac:dyDescent="0.25">
      <c r="A153" s="7" t="s">
        <v>44</v>
      </c>
      <c r="B153" s="7" t="s">
        <v>45</v>
      </c>
      <c r="C153" s="7" t="s">
        <v>55</v>
      </c>
      <c r="D153" s="23">
        <v>41671</v>
      </c>
      <c r="E153" s="24">
        <f t="shared" si="0"/>
        <v>2</v>
      </c>
      <c r="F153" s="24" t="s">
        <v>47</v>
      </c>
      <c r="G153" s="7" t="s">
        <v>52</v>
      </c>
      <c r="H153" s="7" t="s">
        <v>49</v>
      </c>
      <c r="I153" s="7" t="s">
        <v>50</v>
      </c>
      <c r="J153" s="25">
        <v>1928280.8390999998</v>
      </c>
    </row>
    <row r="154" spans="1:10" ht="14.25" customHeight="1" x14ac:dyDescent="0.25">
      <c r="A154" s="7" t="s">
        <v>44</v>
      </c>
      <c r="B154" s="7" t="s">
        <v>45</v>
      </c>
      <c r="C154" s="7" t="s">
        <v>55</v>
      </c>
      <c r="D154" s="23">
        <v>41699</v>
      </c>
      <c r="E154" s="24">
        <f t="shared" si="0"/>
        <v>3</v>
      </c>
      <c r="F154" s="24" t="s">
        <v>47</v>
      </c>
      <c r="G154" s="7" t="s">
        <v>52</v>
      </c>
      <c r="H154" s="7" t="s">
        <v>49</v>
      </c>
      <c r="I154" s="7" t="s">
        <v>50</v>
      </c>
      <c r="J154" s="25">
        <v>1729663.4223</v>
      </c>
    </row>
    <row r="155" spans="1:10" ht="14.25" customHeight="1" x14ac:dyDescent="0.25">
      <c r="A155" s="7" t="s">
        <v>44</v>
      </c>
      <c r="B155" s="7" t="s">
        <v>45</v>
      </c>
      <c r="C155" s="7" t="s">
        <v>55</v>
      </c>
      <c r="D155" s="23">
        <v>41730</v>
      </c>
      <c r="E155" s="24">
        <f t="shared" si="0"/>
        <v>4</v>
      </c>
      <c r="F155" s="24" t="s">
        <v>47</v>
      </c>
      <c r="G155" s="7" t="s">
        <v>52</v>
      </c>
      <c r="H155" s="7" t="s">
        <v>49</v>
      </c>
      <c r="I155" s="7" t="s">
        <v>50</v>
      </c>
      <c r="J155" s="25">
        <v>1834721.9968000001</v>
      </c>
    </row>
    <row r="156" spans="1:10" ht="14.25" customHeight="1" x14ac:dyDescent="0.25">
      <c r="A156" s="7" t="s">
        <v>44</v>
      </c>
      <c r="B156" s="7" t="s">
        <v>45</v>
      </c>
      <c r="C156" s="7" t="s">
        <v>55</v>
      </c>
      <c r="D156" s="23">
        <v>41760</v>
      </c>
      <c r="E156" s="24">
        <f t="shared" si="0"/>
        <v>5</v>
      </c>
      <c r="F156" s="24" t="s">
        <v>47</v>
      </c>
      <c r="G156" s="7" t="s">
        <v>52</v>
      </c>
      <c r="H156" s="7" t="s">
        <v>49</v>
      </c>
      <c r="I156" s="7" t="s">
        <v>50</v>
      </c>
      <c r="J156" s="25">
        <v>1807255.4313000001</v>
      </c>
    </row>
    <row r="157" spans="1:10" ht="14.25" customHeight="1" x14ac:dyDescent="0.25">
      <c r="A157" s="7" t="s">
        <v>44</v>
      </c>
      <c r="B157" s="7" t="s">
        <v>45</v>
      </c>
      <c r="C157" s="7" t="s">
        <v>55</v>
      </c>
      <c r="D157" s="23">
        <v>41791</v>
      </c>
      <c r="E157" s="24">
        <f t="shared" si="0"/>
        <v>6</v>
      </c>
      <c r="F157" s="24" t="s">
        <v>47</v>
      </c>
      <c r="G157" s="7" t="s">
        <v>52</v>
      </c>
      <c r="H157" s="7" t="s">
        <v>49</v>
      </c>
      <c r="I157" s="7" t="s">
        <v>50</v>
      </c>
      <c r="J157" s="25">
        <v>1933594.8929000001</v>
      </c>
    </row>
    <row r="158" spans="1:10" ht="14.25" customHeight="1" x14ac:dyDescent="0.25">
      <c r="A158" s="7" t="s">
        <v>44</v>
      </c>
      <c r="B158" s="7" t="s">
        <v>45</v>
      </c>
      <c r="C158" s="7" t="s">
        <v>55</v>
      </c>
      <c r="D158" s="23">
        <v>41456</v>
      </c>
      <c r="E158" s="24">
        <f t="shared" si="0"/>
        <v>7</v>
      </c>
      <c r="F158" s="24" t="s">
        <v>47</v>
      </c>
      <c r="G158" s="7" t="s">
        <v>52</v>
      </c>
      <c r="H158" s="7" t="s">
        <v>51</v>
      </c>
      <c r="I158" s="7" t="s">
        <v>50</v>
      </c>
      <c r="J158" s="25">
        <v>2825965.9539999999</v>
      </c>
    </row>
    <row r="159" spans="1:10" ht="14.25" customHeight="1" x14ac:dyDescent="0.25">
      <c r="A159" s="7" t="s">
        <v>44</v>
      </c>
      <c r="B159" s="7" t="s">
        <v>45</v>
      </c>
      <c r="C159" s="7" t="s">
        <v>55</v>
      </c>
      <c r="D159" s="23">
        <v>41487</v>
      </c>
      <c r="E159" s="24">
        <f t="shared" si="0"/>
        <v>8</v>
      </c>
      <c r="F159" s="24" t="s">
        <v>47</v>
      </c>
      <c r="G159" s="7" t="s">
        <v>52</v>
      </c>
      <c r="H159" s="7" t="s">
        <v>51</v>
      </c>
      <c r="I159" s="7" t="s">
        <v>50</v>
      </c>
      <c r="J159" s="25">
        <v>2122276.4180000001</v>
      </c>
    </row>
    <row r="160" spans="1:10" ht="14.25" customHeight="1" x14ac:dyDescent="0.25">
      <c r="A160" s="7" t="s">
        <v>44</v>
      </c>
      <c r="B160" s="7" t="s">
        <v>45</v>
      </c>
      <c r="C160" s="7" t="s">
        <v>55</v>
      </c>
      <c r="D160" s="23">
        <v>41518</v>
      </c>
      <c r="E160" s="24">
        <f t="shared" si="0"/>
        <v>9</v>
      </c>
      <c r="F160" s="24" t="s">
        <v>47</v>
      </c>
      <c r="G160" s="7" t="s">
        <v>52</v>
      </c>
      <c r="H160" s="7" t="s">
        <v>51</v>
      </c>
      <c r="I160" s="7" t="s">
        <v>50</v>
      </c>
      <c r="J160" s="25">
        <v>3718993.9819999998</v>
      </c>
    </row>
    <row r="161" spans="1:10" ht="14.25" customHeight="1" x14ac:dyDescent="0.25">
      <c r="A161" s="7" t="s">
        <v>44</v>
      </c>
      <c r="B161" s="7" t="s">
        <v>45</v>
      </c>
      <c r="C161" s="7" t="s">
        <v>55</v>
      </c>
      <c r="D161" s="23">
        <v>41548</v>
      </c>
      <c r="E161" s="24">
        <f t="shared" si="0"/>
        <v>10</v>
      </c>
      <c r="F161" s="24" t="s">
        <v>47</v>
      </c>
      <c r="G161" s="7" t="s">
        <v>52</v>
      </c>
      <c r="H161" s="7" t="s">
        <v>51</v>
      </c>
      <c r="I161" s="7" t="s">
        <v>50</v>
      </c>
      <c r="J161" s="25">
        <v>3403502.7259999998</v>
      </c>
    </row>
    <row r="162" spans="1:10" ht="14.25" customHeight="1" x14ac:dyDescent="0.25">
      <c r="A162" s="7" t="s">
        <v>44</v>
      </c>
      <c r="B162" s="7" t="s">
        <v>45</v>
      </c>
      <c r="C162" s="7" t="s">
        <v>55</v>
      </c>
      <c r="D162" s="23">
        <v>41579</v>
      </c>
      <c r="E162" s="24">
        <f t="shared" si="0"/>
        <v>11</v>
      </c>
      <c r="F162" s="24" t="s">
        <v>47</v>
      </c>
      <c r="G162" s="7" t="s">
        <v>52</v>
      </c>
      <c r="H162" s="7" t="s">
        <v>51</v>
      </c>
      <c r="I162" s="7" t="s">
        <v>50</v>
      </c>
      <c r="J162" s="25">
        <v>2640383.2100000004</v>
      </c>
    </row>
    <row r="163" spans="1:10" ht="14.25" customHeight="1" x14ac:dyDescent="0.25">
      <c r="A163" s="7" t="s">
        <v>44</v>
      </c>
      <c r="B163" s="7" t="s">
        <v>45</v>
      </c>
      <c r="C163" s="7" t="s">
        <v>55</v>
      </c>
      <c r="D163" s="23">
        <v>41609</v>
      </c>
      <c r="E163" s="24">
        <f t="shared" si="0"/>
        <v>12</v>
      </c>
      <c r="F163" s="24" t="s">
        <v>47</v>
      </c>
      <c r="G163" s="7" t="s">
        <v>52</v>
      </c>
      <c r="H163" s="7" t="s">
        <v>51</v>
      </c>
      <c r="I163" s="7" t="s">
        <v>50</v>
      </c>
      <c r="J163" s="25">
        <v>3250473.736</v>
      </c>
    </row>
    <row r="164" spans="1:10" ht="14.25" customHeight="1" x14ac:dyDescent="0.25">
      <c r="A164" s="7" t="s">
        <v>44</v>
      </c>
      <c r="B164" s="7" t="s">
        <v>45</v>
      </c>
      <c r="C164" s="7" t="s">
        <v>55</v>
      </c>
      <c r="D164" s="23">
        <v>41640</v>
      </c>
      <c r="E164" s="24">
        <f t="shared" si="0"/>
        <v>1</v>
      </c>
      <c r="F164" s="24" t="s">
        <v>47</v>
      </c>
      <c r="G164" s="7" t="s">
        <v>52</v>
      </c>
      <c r="H164" s="7" t="s">
        <v>51</v>
      </c>
      <c r="I164" s="7" t="s">
        <v>50</v>
      </c>
      <c r="J164" s="25">
        <v>3442464.3119999999</v>
      </c>
    </row>
    <row r="165" spans="1:10" ht="14.25" customHeight="1" x14ac:dyDescent="0.25">
      <c r="A165" s="7" t="s">
        <v>44</v>
      </c>
      <c r="B165" s="7" t="s">
        <v>45</v>
      </c>
      <c r="C165" s="7" t="s">
        <v>55</v>
      </c>
      <c r="D165" s="23">
        <v>41671</v>
      </c>
      <c r="E165" s="24">
        <f t="shared" si="0"/>
        <v>2</v>
      </c>
      <c r="F165" s="24" t="s">
        <v>47</v>
      </c>
      <c r="G165" s="7" t="s">
        <v>52</v>
      </c>
      <c r="H165" s="7" t="s">
        <v>51</v>
      </c>
      <c r="I165" s="7" t="s">
        <v>50</v>
      </c>
      <c r="J165" s="25">
        <v>3505965.162</v>
      </c>
    </row>
    <row r="166" spans="1:10" ht="14.25" customHeight="1" x14ac:dyDescent="0.25">
      <c r="A166" s="7" t="s">
        <v>44</v>
      </c>
      <c r="B166" s="7" t="s">
        <v>45</v>
      </c>
      <c r="C166" s="7" t="s">
        <v>55</v>
      </c>
      <c r="D166" s="23">
        <v>41699</v>
      </c>
      <c r="E166" s="24">
        <f t="shared" si="0"/>
        <v>3</v>
      </c>
      <c r="F166" s="24" t="s">
        <v>47</v>
      </c>
      <c r="G166" s="7" t="s">
        <v>52</v>
      </c>
      <c r="H166" s="7" t="s">
        <v>51</v>
      </c>
      <c r="I166" s="7" t="s">
        <v>50</v>
      </c>
      <c r="J166" s="25">
        <v>3144842.5860000001</v>
      </c>
    </row>
    <row r="167" spans="1:10" ht="14.25" customHeight="1" x14ac:dyDescent="0.25">
      <c r="A167" s="7" t="s">
        <v>44</v>
      </c>
      <c r="B167" s="7" t="s">
        <v>45</v>
      </c>
      <c r="C167" s="7" t="s">
        <v>55</v>
      </c>
      <c r="D167" s="23">
        <v>41730</v>
      </c>
      <c r="E167" s="24">
        <f t="shared" si="0"/>
        <v>4</v>
      </c>
      <c r="F167" s="24" t="s">
        <v>47</v>
      </c>
      <c r="G167" s="7" t="s">
        <v>52</v>
      </c>
      <c r="H167" s="7" t="s">
        <v>51</v>
      </c>
      <c r="I167" s="7" t="s">
        <v>50</v>
      </c>
      <c r="J167" s="25">
        <v>3335858.1760000004</v>
      </c>
    </row>
    <row r="168" spans="1:10" ht="14.25" customHeight="1" x14ac:dyDescent="0.25">
      <c r="A168" s="7" t="s">
        <v>44</v>
      </c>
      <c r="B168" s="7" t="s">
        <v>45</v>
      </c>
      <c r="C168" s="7" t="s">
        <v>55</v>
      </c>
      <c r="D168" s="23">
        <v>41760</v>
      </c>
      <c r="E168" s="24">
        <f t="shared" si="0"/>
        <v>5</v>
      </c>
      <c r="F168" s="24" t="s">
        <v>47</v>
      </c>
      <c r="G168" s="7" t="s">
        <v>52</v>
      </c>
      <c r="H168" s="7" t="s">
        <v>51</v>
      </c>
      <c r="I168" s="7" t="s">
        <v>50</v>
      </c>
      <c r="J168" s="25">
        <v>3285918.966</v>
      </c>
    </row>
    <row r="169" spans="1:10" ht="14.25" customHeight="1" x14ac:dyDescent="0.25">
      <c r="A169" s="7" t="s">
        <v>44</v>
      </c>
      <c r="B169" s="7" t="s">
        <v>45</v>
      </c>
      <c r="C169" s="7" t="s">
        <v>55</v>
      </c>
      <c r="D169" s="23">
        <v>41791</v>
      </c>
      <c r="E169" s="24">
        <f t="shared" si="0"/>
        <v>6</v>
      </c>
      <c r="F169" s="24" t="s">
        <v>47</v>
      </c>
      <c r="G169" s="7" t="s">
        <v>52</v>
      </c>
      <c r="H169" s="7" t="s">
        <v>51</v>
      </c>
      <c r="I169" s="7" t="s">
        <v>50</v>
      </c>
      <c r="J169" s="25">
        <v>3515627.0780000002</v>
      </c>
    </row>
    <row r="170" spans="1:10" ht="14.25" customHeight="1" x14ac:dyDescent="0.25">
      <c r="A170" s="7" t="s">
        <v>44</v>
      </c>
      <c r="B170" s="7" t="s">
        <v>45</v>
      </c>
      <c r="C170" s="7" t="s">
        <v>55</v>
      </c>
      <c r="D170" s="23">
        <v>41456</v>
      </c>
      <c r="E170" s="24">
        <f t="shared" si="0"/>
        <v>7</v>
      </c>
      <c r="F170" s="24" t="s">
        <v>47</v>
      </c>
      <c r="G170" s="7" t="s">
        <v>53</v>
      </c>
      <c r="H170" s="7" t="s">
        <v>49</v>
      </c>
      <c r="I170" s="7" t="s">
        <v>50</v>
      </c>
      <c r="J170" s="25">
        <v>3037913.400549999</v>
      </c>
    </row>
    <row r="171" spans="1:10" ht="14.25" customHeight="1" x14ac:dyDescent="0.25">
      <c r="A171" s="7" t="s">
        <v>44</v>
      </c>
      <c r="B171" s="7" t="s">
        <v>45</v>
      </c>
      <c r="C171" s="7" t="s">
        <v>55</v>
      </c>
      <c r="D171" s="23">
        <v>41487</v>
      </c>
      <c r="E171" s="24">
        <f t="shared" si="0"/>
        <v>8</v>
      </c>
      <c r="F171" s="24" t="s">
        <v>47</v>
      </c>
      <c r="G171" s="7" t="s">
        <v>53</v>
      </c>
      <c r="H171" s="7" t="s">
        <v>49</v>
      </c>
      <c r="I171" s="7" t="s">
        <v>50</v>
      </c>
      <c r="J171" s="25">
        <v>3356447.1493499991</v>
      </c>
    </row>
    <row r="172" spans="1:10" ht="14.25" customHeight="1" x14ac:dyDescent="0.25">
      <c r="A172" s="7" t="s">
        <v>44</v>
      </c>
      <c r="B172" s="7" t="s">
        <v>45</v>
      </c>
      <c r="C172" s="7" t="s">
        <v>55</v>
      </c>
      <c r="D172" s="23">
        <v>41518</v>
      </c>
      <c r="E172" s="24">
        <f t="shared" si="0"/>
        <v>9</v>
      </c>
      <c r="F172" s="24" t="s">
        <v>47</v>
      </c>
      <c r="G172" s="7" t="s">
        <v>53</v>
      </c>
      <c r="H172" s="7" t="s">
        <v>49</v>
      </c>
      <c r="I172" s="7" t="s">
        <v>50</v>
      </c>
      <c r="J172" s="25">
        <v>2922918.5306499992</v>
      </c>
    </row>
    <row r="173" spans="1:10" ht="14.25" customHeight="1" x14ac:dyDescent="0.25">
      <c r="A173" s="7" t="s">
        <v>44</v>
      </c>
      <c r="B173" s="7" t="s">
        <v>45</v>
      </c>
      <c r="C173" s="7" t="s">
        <v>55</v>
      </c>
      <c r="D173" s="23">
        <v>41548</v>
      </c>
      <c r="E173" s="24">
        <f t="shared" si="0"/>
        <v>10</v>
      </c>
      <c r="F173" s="24" t="s">
        <v>47</v>
      </c>
      <c r="G173" s="7" t="s">
        <v>53</v>
      </c>
      <c r="H173" s="7" t="s">
        <v>49</v>
      </c>
      <c r="I173" s="7" t="s">
        <v>50</v>
      </c>
      <c r="J173" s="25">
        <v>2583765.4304499994</v>
      </c>
    </row>
    <row r="174" spans="1:10" ht="14.25" customHeight="1" x14ac:dyDescent="0.25">
      <c r="A174" s="7" t="s">
        <v>44</v>
      </c>
      <c r="B174" s="7" t="s">
        <v>45</v>
      </c>
      <c r="C174" s="7" t="s">
        <v>55</v>
      </c>
      <c r="D174" s="23">
        <v>41579</v>
      </c>
      <c r="E174" s="24">
        <f t="shared" si="0"/>
        <v>11</v>
      </c>
      <c r="F174" s="24" t="s">
        <v>47</v>
      </c>
      <c r="G174" s="7" t="s">
        <v>53</v>
      </c>
      <c r="H174" s="7" t="s">
        <v>49</v>
      </c>
      <c r="I174" s="7" t="s">
        <v>50</v>
      </c>
      <c r="J174" s="25">
        <v>2838411.9507499994</v>
      </c>
    </row>
    <row r="175" spans="1:10" ht="14.25" customHeight="1" x14ac:dyDescent="0.25">
      <c r="A175" s="7" t="s">
        <v>44</v>
      </c>
      <c r="B175" s="7" t="s">
        <v>45</v>
      </c>
      <c r="C175" s="7" t="s">
        <v>55</v>
      </c>
      <c r="D175" s="23">
        <v>41609</v>
      </c>
      <c r="E175" s="24">
        <f t="shared" si="0"/>
        <v>12</v>
      </c>
      <c r="F175" s="24" t="s">
        <v>47</v>
      </c>
      <c r="G175" s="7" t="s">
        <v>53</v>
      </c>
      <c r="H175" s="7" t="s">
        <v>49</v>
      </c>
      <c r="I175" s="7" t="s">
        <v>50</v>
      </c>
      <c r="J175" s="25">
        <v>2419259.2661999995</v>
      </c>
    </row>
    <row r="176" spans="1:10" ht="14.25" customHeight="1" x14ac:dyDescent="0.25">
      <c r="A176" s="7" t="s">
        <v>44</v>
      </c>
      <c r="B176" s="7" t="s">
        <v>45</v>
      </c>
      <c r="C176" s="7" t="s">
        <v>55</v>
      </c>
      <c r="D176" s="23">
        <v>41640</v>
      </c>
      <c r="E176" s="24">
        <f t="shared" si="0"/>
        <v>1</v>
      </c>
      <c r="F176" s="24" t="s">
        <v>47</v>
      </c>
      <c r="G176" s="7" t="s">
        <v>53</v>
      </c>
      <c r="H176" s="7" t="s">
        <v>49</v>
      </c>
      <c r="I176" s="7" t="s">
        <v>50</v>
      </c>
      <c r="J176" s="25">
        <v>3700649.1353999986</v>
      </c>
    </row>
    <row r="177" spans="1:10" ht="14.25" customHeight="1" x14ac:dyDescent="0.25">
      <c r="A177" s="7" t="s">
        <v>44</v>
      </c>
      <c r="B177" s="7" t="s">
        <v>45</v>
      </c>
      <c r="C177" s="7" t="s">
        <v>55</v>
      </c>
      <c r="D177" s="23">
        <v>41671</v>
      </c>
      <c r="E177" s="24">
        <f t="shared" si="0"/>
        <v>2</v>
      </c>
      <c r="F177" s="24" t="s">
        <v>47</v>
      </c>
      <c r="G177" s="7" t="s">
        <v>53</v>
      </c>
      <c r="H177" s="7" t="s">
        <v>49</v>
      </c>
      <c r="I177" s="7" t="s">
        <v>50</v>
      </c>
      <c r="J177" s="25">
        <v>3768912.5491499985</v>
      </c>
    </row>
    <row r="178" spans="1:10" ht="14.25" customHeight="1" x14ac:dyDescent="0.25">
      <c r="A178" s="7" t="s">
        <v>44</v>
      </c>
      <c r="B178" s="7" t="s">
        <v>45</v>
      </c>
      <c r="C178" s="7" t="s">
        <v>55</v>
      </c>
      <c r="D178" s="23">
        <v>41699</v>
      </c>
      <c r="E178" s="24">
        <f t="shared" si="0"/>
        <v>3</v>
      </c>
      <c r="F178" s="24" t="s">
        <v>47</v>
      </c>
      <c r="G178" s="7" t="s">
        <v>53</v>
      </c>
      <c r="H178" s="7" t="s">
        <v>49</v>
      </c>
      <c r="I178" s="7" t="s">
        <v>50</v>
      </c>
      <c r="J178" s="25">
        <v>3380705.7799499989</v>
      </c>
    </row>
    <row r="179" spans="1:10" ht="14.25" customHeight="1" x14ac:dyDescent="0.25">
      <c r="A179" s="7" t="s">
        <v>44</v>
      </c>
      <c r="B179" s="7" t="s">
        <v>45</v>
      </c>
      <c r="C179" s="7" t="s">
        <v>55</v>
      </c>
      <c r="D179" s="23">
        <v>41730</v>
      </c>
      <c r="E179" s="24">
        <f t="shared" si="0"/>
        <v>4</v>
      </c>
      <c r="F179" s="24" t="s">
        <v>47</v>
      </c>
      <c r="G179" s="7" t="s">
        <v>53</v>
      </c>
      <c r="H179" s="7" t="s">
        <v>49</v>
      </c>
      <c r="I179" s="7" t="s">
        <v>50</v>
      </c>
      <c r="J179" s="25">
        <v>3586047.5391999991</v>
      </c>
    </row>
    <row r="180" spans="1:10" ht="14.25" customHeight="1" x14ac:dyDescent="0.25">
      <c r="A180" s="7" t="s">
        <v>44</v>
      </c>
      <c r="B180" s="7" t="s">
        <v>45</v>
      </c>
      <c r="C180" s="7" t="s">
        <v>55</v>
      </c>
      <c r="D180" s="23">
        <v>41760</v>
      </c>
      <c r="E180" s="24">
        <f t="shared" si="0"/>
        <v>5</v>
      </c>
      <c r="F180" s="24" t="s">
        <v>47</v>
      </c>
      <c r="G180" s="7" t="s">
        <v>53</v>
      </c>
      <c r="H180" s="7" t="s">
        <v>49</v>
      </c>
      <c r="I180" s="7" t="s">
        <v>50</v>
      </c>
      <c r="J180" s="25">
        <v>3032362.88845</v>
      </c>
    </row>
    <row r="181" spans="1:10" ht="14.25" customHeight="1" x14ac:dyDescent="0.25">
      <c r="A181" s="7" t="s">
        <v>44</v>
      </c>
      <c r="B181" s="7" t="s">
        <v>45</v>
      </c>
      <c r="C181" s="7" t="s">
        <v>55</v>
      </c>
      <c r="D181" s="23">
        <v>41791</v>
      </c>
      <c r="E181" s="24">
        <f t="shared" si="0"/>
        <v>6</v>
      </c>
      <c r="F181" s="24" t="s">
        <v>47</v>
      </c>
      <c r="G181" s="7" t="s">
        <v>53</v>
      </c>
      <c r="H181" s="7" t="s">
        <v>49</v>
      </c>
      <c r="I181" s="7" t="s">
        <v>50</v>
      </c>
      <c r="J181" s="25">
        <v>3079299.10885</v>
      </c>
    </row>
    <row r="182" spans="1:10" ht="14.25" customHeight="1" x14ac:dyDescent="0.25">
      <c r="A182" s="7" t="s">
        <v>44</v>
      </c>
      <c r="B182" s="7" t="s">
        <v>56</v>
      </c>
      <c r="C182" s="7" t="s">
        <v>46</v>
      </c>
      <c r="D182" s="23">
        <v>41456</v>
      </c>
      <c r="E182" s="24">
        <f t="shared" si="0"/>
        <v>7</v>
      </c>
      <c r="F182" s="24" t="s">
        <v>57</v>
      </c>
      <c r="G182" s="7" t="s">
        <v>58</v>
      </c>
      <c r="H182" s="7" t="s">
        <v>59</v>
      </c>
      <c r="I182" s="7" t="s">
        <v>50</v>
      </c>
      <c r="J182" s="25">
        <v>593751.84077137313</v>
      </c>
    </row>
    <row r="183" spans="1:10" ht="14.25" customHeight="1" x14ac:dyDescent="0.25">
      <c r="A183" s="7" t="s">
        <v>44</v>
      </c>
      <c r="B183" s="7" t="s">
        <v>56</v>
      </c>
      <c r="C183" s="7" t="s">
        <v>46</v>
      </c>
      <c r="D183" s="23">
        <v>41487</v>
      </c>
      <c r="E183" s="24">
        <f t="shared" si="0"/>
        <v>8</v>
      </c>
      <c r="F183" s="24" t="s">
        <v>57</v>
      </c>
      <c r="G183" s="7" t="s">
        <v>58</v>
      </c>
      <c r="H183" s="7" t="s">
        <v>59</v>
      </c>
      <c r="I183" s="7" t="s">
        <v>50</v>
      </c>
      <c r="J183" s="25">
        <v>820393.03401412489</v>
      </c>
    </row>
    <row r="184" spans="1:10" ht="14.25" customHeight="1" x14ac:dyDescent="0.25">
      <c r="A184" s="7" t="s">
        <v>44</v>
      </c>
      <c r="B184" s="7" t="s">
        <v>56</v>
      </c>
      <c r="C184" s="7" t="s">
        <v>46</v>
      </c>
      <c r="D184" s="23">
        <v>41518</v>
      </c>
      <c r="E184" s="24">
        <f t="shared" si="0"/>
        <v>9</v>
      </c>
      <c r="F184" s="24" t="s">
        <v>57</v>
      </c>
      <c r="G184" s="7" t="s">
        <v>58</v>
      </c>
      <c r="H184" s="7" t="s">
        <v>59</v>
      </c>
      <c r="I184" s="7" t="s">
        <v>50</v>
      </c>
      <c r="J184" s="25">
        <v>642291.58212862327</v>
      </c>
    </row>
    <row r="185" spans="1:10" ht="14.25" customHeight="1" x14ac:dyDescent="0.25">
      <c r="A185" s="7" t="s">
        <v>44</v>
      </c>
      <c r="B185" s="7" t="s">
        <v>56</v>
      </c>
      <c r="C185" s="7" t="s">
        <v>46</v>
      </c>
      <c r="D185" s="23">
        <v>41548</v>
      </c>
      <c r="E185" s="24">
        <f t="shared" si="0"/>
        <v>10</v>
      </c>
      <c r="F185" s="24" t="s">
        <v>57</v>
      </c>
      <c r="G185" s="7" t="s">
        <v>58</v>
      </c>
      <c r="H185" s="7" t="s">
        <v>59</v>
      </c>
      <c r="I185" s="7" t="s">
        <v>50</v>
      </c>
      <c r="J185" s="25">
        <v>609639.97288837493</v>
      </c>
    </row>
    <row r="186" spans="1:10" ht="14.25" customHeight="1" x14ac:dyDescent="0.25">
      <c r="A186" s="7" t="s">
        <v>44</v>
      </c>
      <c r="B186" s="7" t="s">
        <v>56</v>
      </c>
      <c r="C186" s="7" t="s">
        <v>46</v>
      </c>
      <c r="D186" s="23">
        <v>41579</v>
      </c>
      <c r="E186" s="24">
        <f t="shared" si="0"/>
        <v>11</v>
      </c>
      <c r="F186" s="24" t="s">
        <v>57</v>
      </c>
      <c r="G186" s="7" t="s">
        <v>58</v>
      </c>
      <c r="H186" s="7" t="s">
        <v>59</v>
      </c>
      <c r="I186" s="7" t="s">
        <v>50</v>
      </c>
      <c r="J186" s="25">
        <v>626073.16897124995</v>
      </c>
    </row>
    <row r="187" spans="1:10" ht="14.25" customHeight="1" x14ac:dyDescent="0.25">
      <c r="A187" s="7" t="s">
        <v>44</v>
      </c>
      <c r="B187" s="7" t="s">
        <v>56</v>
      </c>
      <c r="C187" s="7" t="s">
        <v>46</v>
      </c>
      <c r="D187" s="23">
        <v>41609</v>
      </c>
      <c r="E187" s="24">
        <f t="shared" si="0"/>
        <v>12</v>
      </c>
      <c r="F187" s="24" t="s">
        <v>57</v>
      </c>
      <c r="G187" s="7" t="s">
        <v>58</v>
      </c>
      <c r="H187" s="7" t="s">
        <v>59</v>
      </c>
      <c r="I187" s="7" t="s">
        <v>50</v>
      </c>
      <c r="J187" s="25">
        <v>602153.37789750006</v>
      </c>
    </row>
    <row r="188" spans="1:10" ht="14.25" customHeight="1" x14ac:dyDescent="0.25">
      <c r="A188" s="7" t="s">
        <v>44</v>
      </c>
      <c r="B188" s="7" t="s">
        <v>56</v>
      </c>
      <c r="C188" s="7" t="s">
        <v>46</v>
      </c>
      <c r="D188" s="23">
        <v>41640</v>
      </c>
      <c r="E188" s="24">
        <f t="shared" si="0"/>
        <v>1</v>
      </c>
      <c r="F188" s="24" t="s">
        <v>57</v>
      </c>
      <c r="G188" s="7" t="s">
        <v>58</v>
      </c>
      <c r="H188" s="7" t="s">
        <v>59</v>
      </c>
      <c r="I188" s="7" t="s">
        <v>50</v>
      </c>
      <c r="J188" s="25">
        <v>1146143.9846999997</v>
      </c>
    </row>
    <row r="189" spans="1:10" ht="14.25" customHeight="1" x14ac:dyDescent="0.25">
      <c r="A189" s="7" t="s">
        <v>44</v>
      </c>
      <c r="B189" s="7" t="s">
        <v>56</v>
      </c>
      <c r="C189" s="7" t="s">
        <v>46</v>
      </c>
      <c r="D189" s="23">
        <v>41671</v>
      </c>
      <c r="E189" s="24">
        <f t="shared" si="0"/>
        <v>2</v>
      </c>
      <c r="F189" s="24" t="s">
        <v>57</v>
      </c>
      <c r="G189" s="7" t="s">
        <v>58</v>
      </c>
      <c r="H189" s="7" t="s">
        <v>59</v>
      </c>
      <c r="I189" s="7" t="s">
        <v>50</v>
      </c>
      <c r="J189" s="25">
        <v>964931.83751249989</v>
      </c>
    </row>
    <row r="190" spans="1:10" ht="14.25" customHeight="1" x14ac:dyDescent="0.25">
      <c r="A190" s="7" t="s">
        <v>44</v>
      </c>
      <c r="B190" s="7" t="s">
        <v>56</v>
      </c>
      <c r="C190" s="7" t="s">
        <v>46</v>
      </c>
      <c r="D190" s="23">
        <v>41699</v>
      </c>
      <c r="E190" s="24">
        <f t="shared" si="0"/>
        <v>3</v>
      </c>
      <c r="F190" s="24" t="s">
        <v>57</v>
      </c>
      <c r="G190" s="7" t="s">
        <v>58</v>
      </c>
      <c r="H190" s="7" t="s">
        <v>59</v>
      </c>
      <c r="I190" s="7" t="s">
        <v>50</v>
      </c>
      <c r="J190" s="25">
        <v>962733.95790000004</v>
      </c>
    </row>
    <row r="191" spans="1:10" ht="14.25" customHeight="1" x14ac:dyDescent="0.25">
      <c r="A191" s="7" t="s">
        <v>44</v>
      </c>
      <c r="B191" s="7" t="s">
        <v>56</v>
      </c>
      <c r="C191" s="7" t="s">
        <v>46</v>
      </c>
      <c r="D191" s="23">
        <v>41730</v>
      </c>
      <c r="E191" s="24">
        <f t="shared" si="0"/>
        <v>4</v>
      </c>
      <c r="F191" s="24" t="s">
        <v>57</v>
      </c>
      <c r="G191" s="7" t="s">
        <v>58</v>
      </c>
      <c r="H191" s="7" t="s">
        <v>59</v>
      </c>
      <c r="I191" s="7" t="s">
        <v>50</v>
      </c>
      <c r="J191" s="25">
        <v>964825.21760624985</v>
      </c>
    </row>
    <row r="192" spans="1:10" ht="14.25" customHeight="1" x14ac:dyDescent="0.25">
      <c r="A192" s="7" t="s">
        <v>44</v>
      </c>
      <c r="B192" s="7" t="s">
        <v>56</v>
      </c>
      <c r="C192" s="7" t="s">
        <v>46</v>
      </c>
      <c r="D192" s="23">
        <v>41760</v>
      </c>
      <c r="E192" s="24">
        <f t="shared" si="0"/>
        <v>5</v>
      </c>
      <c r="F192" s="24" t="s">
        <v>57</v>
      </c>
      <c r="G192" s="7" t="s">
        <v>58</v>
      </c>
      <c r="H192" s="7" t="s">
        <v>59</v>
      </c>
      <c r="I192" s="7" t="s">
        <v>50</v>
      </c>
      <c r="J192" s="25">
        <v>1024534.78359375</v>
      </c>
    </row>
    <row r="193" spans="1:12" ht="14.25" customHeight="1" x14ac:dyDescent="0.25">
      <c r="A193" s="7" t="s">
        <v>44</v>
      </c>
      <c r="B193" s="7" t="s">
        <v>56</v>
      </c>
      <c r="C193" s="7" t="s">
        <v>46</v>
      </c>
      <c r="D193" s="23">
        <v>41791</v>
      </c>
      <c r="E193" s="24">
        <f t="shared" si="0"/>
        <v>6</v>
      </c>
      <c r="F193" s="24" t="s">
        <v>57</v>
      </c>
      <c r="G193" s="7" t="s">
        <v>58</v>
      </c>
      <c r="H193" s="7" t="s">
        <v>59</v>
      </c>
      <c r="I193" s="7" t="s">
        <v>50</v>
      </c>
      <c r="J193" s="25">
        <v>1168045.22566875</v>
      </c>
    </row>
    <row r="194" spans="1:12" ht="14.25" customHeight="1" x14ac:dyDescent="0.25">
      <c r="A194" s="7" t="s">
        <v>44</v>
      </c>
      <c r="B194" s="7" t="s">
        <v>56</v>
      </c>
      <c r="C194" s="7" t="s">
        <v>46</v>
      </c>
      <c r="D194" s="23">
        <v>41456</v>
      </c>
      <c r="E194" s="24">
        <f t="shared" si="0"/>
        <v>7</v>
      </c>
      <c r="F194" s="24" t="s">
        <v>57</v>
      </c>
      <c r="G194" s="7" t="s">
        <v>60</v>
      </c>
      <c r="H194" s="7" t="s">
        <v>61</v>
      </c>
      <c r="I194" s="7" t="s">
        <v>50</v>
      </c>
      <c r="J194" s="25">
        <v>276807.38497499918</v>
      </c>
      <c r="K194" s="26"/>
      <c r="L194" s="26"/>
    </row>
    <row r="195" spans="1:12" ht="14.25" customHeight="1" x14ac:dyDescent="0.25">
      <c r="A195" s="7" t="s">
        <v>44</v>
      </c>
      <c r="B195" s="7" t="s">
        <v>56</v>
      </c>
      <c r="C195" s="7" t="s">
        <v>46</v>
      </c>
      <c r="D195" s="23">
        <v>41487</v>
      </c>
      <c r="E195" s="24">
        <f t="shared" si="0"/>
        <v>8</v>
      </c>
      <c r="F195" s="24" t="s">
        <v>57</v>
      </c>
      <c r="G195" s="7" t="s">
        <v>60</v>
      </c>
      <c r="H195" s="7" t="s">
        <v>61</v>
      </c>
      <c r="I195" s="7" t="s">
        <v>50</v>
      </c>
      <c r="J195" s="25">
        <v>382467.614925</v>
      </c>
      <c r="K195" s="26"/>
      <c r="L195" s="26"/>
    </row>
    <row r="196" spans="1:12" ht="14.25" customHeight="1" x14ac:dyDescent="0.25">
      <c r="A196" s="7" t="s">
        <v>44</v>
      </c>
      <c r="B196" s="7" t="s">
        <v>56</v>
      </c>
      <c r="C196" s="7" t="s">
        <v>46</v>
      </c>
      <c r="D196" s="23">
        <v>41518</v>
      </c>
      <c r="E196" s="24">
        <f t="shared" si="0"/>
        <v>9</v>
      </c>
      <c r="F196" s="24" t="s">
        <v>57</v>
      </c>
      <c r="G196" s="7" t="s">
        <v>60</v>
      </c>
      <c r="H196" s="7" t="s">
        <v>61</v>
      </c>
      <c r="I196" s="7" t="s">
        <v>50</v>
      </c>
      <c r="J196" s="25">
        <v>299436.63502499921</v>
      </c>
      <c r="K196" s="26"/>
      <c r="L196" s="26"/>
    </row>
    <row r="197" spans="1:12" ht="14.25" customHeight="1" x14ac:dyDescent="0.25">
      <c r="A197" s="7" t="s">
        <v>44</v>
      </c>
      <c r="B197" s="7" t="s">
        <v>56</v>
      </c>
      <c r="C197" s="7" t="s">
        <v>46</v>
      </c>
      <c r="D197" s="23">
        <v>41548</v>
      </c>
      <c r="E197" s="24">
        <f t="shared" si="0"/>
        <v>10</v>
      </c>
      <c r="F197" s="24" t="s">
        <v>57</v>
      </c>
      <c r="G197" s="7" t="s">
        <v>60</v>
      </c>
      <c r="H197" s="7" t="s">
        <v>61</v>
      </c>
      <c r="I197" s="7" t="s">
        <v>50</v>
      </c>
      <c r="J197" s="25">
        <v>284214.43957499997</v>
      </c>
      <c r="K197" s="26"/>
      <c r="L197" s="26"/>
    </row>
    <row r="198" spans="1:12" ht="14.25" customHeight="1" x14ac:dyDescent="0.25">
      <c r="A198" s="7" t="s">
        <v>44</v>
      </c>
      <c r="B198" s="7" t="s">
        <v>56</v>
      </c>
      <c r="C198" s="7" t="s">
        <v>46</v>
      </c>
      <c r="D198" s="23">
        <v>41579</v>
      </c>
      <c r="E198" s="24">
        <f t="shared" si="0"/>
        <v>11</v>
      </c>
      <c r="F198" s="24" t="s">
        <v>57</v>
      </c>
      <c r="G198" s="7" t="s">
        <v>60</v>
      </c>
      <c r="H198" s="7" t="s">
        <v>61</v>
      </c>
      <c r="I198" s="7" t="s">
        <v>50</v>
      </c>
      <c r="J198" s="25">
        <v>291875.60325000004</v>
      </c>
      <c r="K198" s="26"/>
      <c r="L198" s="26"/>
    </row>
    <row r="199" spans="1:12" ht="14.25" customHeight="1" x14ac:dyDescent="0.25">
      <c r="A199" s="7" t="s">
        <v>44</v>
      </c>
      <c r="B199" s="7" t="s">
        <v>56</v>
      </c>
      <c r="C199" s="7" t="s">
        <v>46</v>
      </c>
      <c r="D199" s="23">
        <v>41609</v>
      </c>
      <c r="E199" s="24">
        <f t="shared" si="0"/>
        <v>12</v>
      </c>
      <c r="F199" s="24" t="s">
        <v>57</v>
      </c>
      <c r="G199" s="7" t="s">
        <v>60</v>
      </c>
      <c r="H199" s="7" t="s">
        <v>61</v>
      </c>
      <c r="I199" s="7" t="s">
        <v>50</v>
      </c>
      <c r="J199" s="25">
        <v>280724.18550000002</v>
      </c>
      <c r="K199" s="26"/>
      <c r="L199" s="26"/>
    </row>
    <row r="200" spans="1:12" ht="14.25" customHeight="1" x14ac:dyDescent="0.25">
      <c r="A200" s="7" t="s">
        <v>44</v>
      </c>
      <c r="B200" s="7" t="s">
        <v>56</v>
      </c>
      <c r="C200" s="7" t="s">
        <v>46</v>
      </c>
      <c r="D200" s="23">
        <v>41640</v>
      </c>
      <c r="E200" s="24">
        <f t="shared" si="0"/>
        <v>1</v>
      </c>
      <c r="F200" s="24" t="s">
        <v>57</v>
      </c>
      <c r="G200" s="7" t="s">
        <v>60</v>
      </c>
      <c r="H200" s="7" t="s">
        <v>61</v>
      </c>
      <c r="I200" s="7" t="s">
        <v>50</v>
      </c>
      <c r="J200" s="25">
        <v>534332.85999999987</v>
      </c>
    </row>
    <row r="201" spans="1:12" ht="14.25" customHeight="1" x14ac:dyDescent="0.25">
      <c r="A201" s="7" t="s">
        <v>44</v>
      </c>
      <c r="B201" s="7" t="s">
        <v>56</v>
      </c>
      <c r="C201" s="7" t="s">
        <v>46</v>
      </c>
      <c r="D201" s="23">
        <v>41671</v>
      </c>
      <c r="E201" s="24">
        <f t="shared" si="0"/>
        <v>2</v>
      </c>
      <c r="F201" s="24" t="s">
        <v>57</v>
      </c>
      <c r="G201" s="7" t="s">
        <v>60</v>
      </c>
      <c r="H201" s="7" t="s">
        <v>61</v>
      </c>
      <c r="I201" s="7" t="s">
        <v>50</v>
      </c>
      <c r="J201" s="25">
        <v>449851.67249999999</v>
      </c>
    </row>
    <row r="202" spans="1:12" ht="14.25" customHeight="1" x14ac:dyDescent="0.25">
      <c r="A202" s="7" t="s">
        <v>44</v>
      </c>
      <c r="B202" s="7" t="s">
        <v>56</v>
      </c>
      <c r="C202" s="7" t="s">
        <v>46</v>
      </c>
      <c r="D202" s="23">
        <v>41699</v>
      </c>
      <c r="E202" s="24">
        <f t="shared" si="0"/>
        <v>3</v>
      </c>
      <c r="F202" s="24" t="s">
        <v>57</v>
      </c>
      <c r="G202" s="7" t="s">
        <v>60</v>
      </c>
      <c r="H202" s="7" t="s">
        <v>61</v>
      </c>
      <c r="I202" s="7" t="s">
        <v>50</v>
      </c>
      <c r="J202" s="25">
        <v>448827.02</v>
      </c>
    </row>
    <row r="203" spans="1:12" ht="14.25" customHeight="1" x14ac:dyDescent="0.25">
      <c r="A203" s="7" t="s">
        <v>44</v>
      </c>
      <c r="B203" s="7" t="s">
        <v>56</v>
      </c>
      <c r="C203" s="7" t="s">
        <v>46</v>
      </c>
      <c r="D203" s="23">
        <v>41730</v>
      </c>
      <c r="E203" s="24">
        <f t="shared" si="0"/>
        <v>4</v>
      </c>
      <c r="F203" s="24" t="s">
        <v>57</v>
      </c>
      <c r="G203" s="7" t="s">
        <v>60</v>
      </c>
      <c r="H203" s="7" t="s">
        <v>61</v>
      </c>
      <c r="I203" s="7" t="s">
        <v>50</v>
      </c>
      <c r="J203" s="25">
        <v>449801.96625</v>
      </c>
    </row>
    <row r="204" spans="1:12" ht="14.25" customHeight="1" x14ac:dyDescent="0.25">
      <c r="A204" s="7" t="s">
        <v>44</v>
      </c>
      <c r="B204" s="7" t="s">
        <v>56</v>
      </c>
      <c r="C204" s="7" t="s">
        <v>46</v>
      </c>
      <c r="D204" s="23">
        <v>41760</v>
      </c>
      <c r="E204" s="24">
        <f t="shared" si="0"/>
        <v>5</v>
      </c>
      <c r="F204" s="24" t="s">
        <v>57</v>
      </c>
      <c r="G204" s="7" t="s">
        <v>60</v>
      </c>
      <c r="H204" s="7" t="s">
        <v>61</v>
      </c>
      <c r="I204" s="7" t="s">
        <v>50</v>
      </c>
      <c r="J204" s="25">
        <v>477638.59375</v>
      </c>
    </row>
    <row r="205" spans="1:12" ht="14.25" customHeight="1" x14ac:dyDescent="0.25">
      <c r="A205" s="7" t="s">
        <v>44</v>
      </c>
      <c r="B205" s="7" t="s">
        <v>56</v>
      </c>
      <c r="C205" s="7" t="s">
        <v>46</v>
      </c>
      <c r="D205" s="23">
        <v>41791</v>
      </c>
      <c r="E205" s="24">
        <f t="shared" si="0"/>
        <v>6</v>
      </c>
      <c r="F205" s="24" t="s">
        <v>57</v>
      </c>
      <c r="G205" s="7" t="s">
        <v>60</v>
      </c>
      <c r="H205" s="7" t="s">
        <v>61</v>
      </c>
      <c r="I205" s="7" t="s">
        <v>50</v>
      </c>
      <c r="J205" s="25">
        <v>544543.22875000001</v>
      </c>
    </row>
    <row r="206" spans="1:12" ht="14.25" customHeight="1" x14ac:dyDescent="0.25">
      <c r="A206" s="7" t="s">
        <v>44</v>
      </c>
      <c r="B206" s="7" t="s">
        <v>56</v>
      </c>
      <c r="C206" s="7" t="s">
        <v>46</v>
      </c>
      <c r="D206" s="23">
        <v>41456</v>
      </c>
      <c r="E206" s="24">
        <f t="shared" si="0"/>
        <v>7</v>
      </c>
      <c r="F206" s="24" t="s">
        <v>57</v>
      </c>
      <c r="G206" s="7" t="s">
        <v>60</v>
      </c>
      <c r="H206" s="7" t="s">
        <v>62</v>
      </c>
      <c r="I206" s="7" t="s">
        <v>50</v>
      </c>
      <c r="J206" s="25">
        <v>415211.07746249868</v>
      </c>
    </row>
    <row r="207" spans="1:12" ht="14.25" customHeight="1" x14ac:dyDescent="0.25">
      <c r="A207" s="7" t="s">
        <v>44</v>
      </c>
      <c r="B207" s="7" t="s">
        <v>56</v>
      </c>
      <c r="C207" s="7" t="s">
        <v>46</v>
      </c>
      <c r="D207" s="23">
        <v>41487</v>
      </c>
      <c r="E207" s="24">
        <f t="shared" si="0"/>
        <v>8</v>
      </c>
      <c r="F207" s="24" t="s">
        <v>57</v>
      </c>
      <c r="G207" s="7" t="s">
        <v>60</v>
      </c>
      <c r="H207" s="7" t="s">
        <v>62</v>
      </c>
      <c r="I207" s="7" t="s">
        <v>50</v>
      </c>
      <c r="J207" s="25">
        <v>573701.42238750006</v>
      </c>
    </row>
    <row r="208" spans="1:12" ht="14.25" customHeight="1" x14ac:dyDescent="0.25">
      <c r="A208" s="7" t="s">
        <v>44</v>
      </c>
      <c r="B208" s="7" t="s">
        <v>56</v>
      </c>
      <c r="C208" s="7" t="s">
        <v>46</v>
      </c>
      <c r="D208" s="23">
        <v>41518</v>
      </c>
      <c r="E208" s="24">
        <f t="shared" si="0"/>
        <v>9</v>
      </c>
      <c r="F208" s="24" t="s">
        <v>57</v>
      </c>
      <c r="G208" s="7" t="s">
        <v>60</v>
      </c>
      <c r="H208" s="7" t="s">
        <v>62</v>
      </c>
      <c r="I208" s="7" t="s">
        <v>50</v>
      </c>
      <c r="J208" s="25">
        <v>449154.95253749873</v>
      </c>
    </row>
    <row r="209" spans="1:10" ht="14.25" customHeight="1" x14ac:dyDescent="0.25">
      <c r="A209" s="7" t="s">
        <v>44</v>
      </c>
      <c r="B209" s="7" t="s">
        <v>56</v>
      </c>
      <c r="C209" s="7" t="s">
        <v>46</v>
      </c>
      <c r="D209" s="23">
        <v>41548</v>
      </c>
      <c r="E209" s="24">
        <f t="shared" si="0"/>
        <v>10</v>
      </c>
      <c r="F209" s="24" t="s">
        <v>57</v>
      </c>
      <c r="G209" s="7" t="s">
        <v>60</v>
      </c>
      <c r="H209" s="7" t="s">
        <v>62</v>
      </c>
      <c r="I209" s="7" t="s">
        <v>50</v>
      </c>
      <c r="J209" s="25">
        <v>426321.65936249989</v>
      </c>
    </row>
    <row r="210" spans="1:10" ht="14.25" customHeight="1" x14ac:dyDescent="0.25">
      <c r="A210" s="7" t="s">
        <v>44</v>
      </c>
      <c r="B210" s="7" t="s">
        <v>56</v>
      </c>
      <c r="C210" s="7" t="s">
        <v>46</v>
      </c>
      <c r="D210" s="23">
        <v>41579</v>
      </c>
      <c r="E210" s="24">
        <f t="shared" si="0"/>
        <v>11</v>
      </c>
      <c r="F210" s="24" t="s">
        <v>57</v>
      </c>
      <c r="G210" s="7" t="s">
        <v>60</v>
      </c>
      <c r="H210" s="7" t="s">
        <v>62</v>
      </c>
      <c r="I210" s="7" t="s">
        <v>50</v>
      </c>
      <c r="J210" s="25">
        <v>437813.40487499995</v>
      </c>
    </row>
    <row r="211" spans="1:10" ht="14.25" customHeight="1" x14ac:dyDescent="0.25">
      <c r="A211" s="7" t="s">
        <v>44</v>
      </c>
      <c r="B211" s="7" t="s">
        <v>56</v>
      </c>
      <c r="C211" s="7" t="s">
        <v>46</v>
      </c>
      <c r="D211" s="23">
        <v>41609</v>
      </c>
      <c r="E211" s="24">
        <f t="shared" si="0"/>
        <v>12</v>
      </c>
      <c r="F211" s="24" t="s">
        <v>57</v>
      </c>
      <c r="G211" s="7" t="s">
        <v>60</v>
      </c>
      <c r="H211" s="7" t="s">
        <v>62</v>
      </c>
      <c r="I211" s="7" t="s">
        <v>50</v>
      </c>
      <c r="J211" s="25">
        <v>421086.27824999997</v>
      </c>
    </row>
    <row r="212" spans="1:10" ht="14.25" customHeight="1" x14ac:dyDescent="0.25">
      <c r="A212" s="7" t="s">
        <v>44</v>
      </c>
      <c r="B212" s="7" t="s">
        <v>56</v>
      </c>
      <c r="C212" s="7" t="s">
        <v>46</v>
      </c>
      <c r="D212" s="23">
        <v>41640</v>
      </c>
      <c r="E212" s="24">
        <f t="shared" si="0"/>
        <v>1</v>
      </c>
      <c r="F212" s="24" t="s">
        <v>57</v>
      </c>
      <c r="G212" s="7" t="s">
        <v>60</v>
      </c>
      <c r="H212" s="7" t="s">
        <v>62</v>
      </c>
      <c r="I212" s="7" t="s">
        <v>50</v>
      </c>
      <c r="J212" s="25">
        <v>801499.2899999998</v>
      </c>
    </row>
    <row r="213" spans="1:10" ht="14.25" customHeight="1" x14ac:dyDescent="0.25">
      <c r="A213" s="7" t="s">
        <v>44</v>
      </c>
      <c r="B213" s="7" t="s">
        <v>56</v>
      </c>
      <c r="C213" s="7" t="s">
        <v>46</v>
      </c>
      <c r="D213" s="23">
        <v>41671</v>
      </c>
      <c r="E213" s="24">
        <f t="shared" si="0"/>
        <v>2</v>
      </c>
      <c r="F213" s="24" t="s">
        <v>57</v>
      </c>
      <c r="G213" s="7" t="s">
        <v>60</v>
      </c>
      <c r="H213" s="7" t="s">
        <v>62</v>
      </c>
      <c r="I213" s="7" t="s">
        <v>50</v>
      </c>
      <c r="J213" s="25">
        <v>674777.50874999992</v>
      </c>
    </row>
    <row r="214" spans="1:10" ht="14.25" customHeight="1" x14ac:dyDescent="0.25">
      <c r="A214" s="7" t="s">
        <v>44</v>
      </c>
      <c r="B214" s="7" t="s">
        <v>56</v>
      </c>
      <c r="C214" s="7" t="s">
        <v>46</v>
      </c>
      <c r="D214" s="23">
        <v>41699</v>
      </c>
      <c r="E214" s="24">
        <f t="shared" si="0"/>
        <v>3</v>
      </c>
      <c r="F214" s="24" t="s">
        <v>57</v>
      </c>
      <c r="G214" s="7" t="s">
        <v>60</v>
      </c>
      <c r="H214" s="7" t="s">
        <v>62</v>
      </c>
      <c r="I214" s="7" t="s">
        <v>50</v>
      </c>
      <c r="J214" s="25">
        <v>673240.53</v>
      </c>
    </row>
    <row r="215" spans="1:10" ht="14.25" customHeight="1" x14ac:dyDescent="0.25">
      <c r="A215" s="7" t="s">
        <v>44</v>
      </c>
      <c r="B215" s="7" t="s">
        <v>56</v>
      </c>
      <c r="C215" s="7" t="s">
        <v>46</v>
      </c>
      <c r="D215" s="23">
        <v>41730</v>
      </c>
      <c r="E215" s="24">
        <f t="shared" si="0"/>
        <v>4</v>
      </c>
      <c r="F215" s="24" t="s">
        <v>57</v>
      </c>
      <c r="G215" s="7" t="s">
        <v>60</v>
      </c>
      <c r="H215" s="7" t="s">
        <v>62</v>
      </c>
      <c r="I215" s="7" t="s">
        <v>50</v>
      </c>
      <c r="J215" s="25">
        <v>674702.94937499997</v>
      </c>
    </row>
    <row r="216" spans="1:10" ht="14.25" customHeight="1" x14ac:dyDescent="0.25">
      <c r="A216" s="7" t="s">
        <v>44</v>
      </c>
      <c r="B216" s="7" t="s">
        <v>56</v>
      </c>
      <c r="C216" s="7" t="s">
        <v>46</v>
      </c>
      <c r="D216" s="23">
        <v>41760</v>
      </c>
      <c r="E216" s="24">
        <f t="shared" si="0"/>
        <v>5</v>
      </c>
      <c r="F216" s="24" t="s">
        <v>57</v>
      </c>
      <c r="G216" s="7" t="s">
        <v>60</v>
      </c>
      <c r="H216" s="7" t="s">
        <v>62</v>
      </c>
      <c r="I216" s="7" t="s">
        <v>50</v>
      </c>
      <c r="J216" s="25">
        <v>716457.890625</v>
      </c>
    </row>
    <row r="217" spans="1:10" ht="14.25" customHeight="1" x14ac:dyDescent="0.25">
      <c r="A217" s="7" t="s">
        <v>44</v>
      </c>
      <c r="B217" s="7" t="s">
        <v>56</v>
      </c>
      <c r="C217" s="7" t="s">
        <v>46</v>
      </c>
      <c r="D217" s="23">
        <v>41791</v>
      </c>
      <c r="E217" s="24">
        <f t="shared" si="0"/>
        <v>6</v>
      </c>
      <c r="F217" s="24" t="s">
        <v>57</v>
      </c>
      <c r="G217" s="7" t="s">
        <v>60</v>
      </c>
      <c r="H217" s="7" t="s">
        <v>62</v>
      </c>
      <c r="I217" s="7" t="s">
        <v>50</v>
      </c>
      <c r="J217" s="25">
        <v>816814.8431249999</v>
      </c>
    </row>
    <row r="218" spans="1:10" ht="14.25" customHeight="1" x14ac:dyDescent="0.25">
      <c r="A218" s="7" t="s">
        <v>44</v>
      </c>
      <c r="B218" s="7" t="s">
        <v>56</v>
      </c>
      <c r="C218" s="7" t="s">
        <v>46</v>
      </c>
      <c r="D218" s="23">
        <v>41456</v>
      </c>
      <c r="E218" s="24">
        <f t="shared" si="0"/>
        <v>7</v>
      </c>
      <c r="F218" s="24" t="s">
        <v>57</v>
      </c>
      <c r="G218" s="7" t="s">
        <v>63</v>
      </c>
      <c r="H218" s="7" t="s">
        <v>64</v>
      </c>
      <c r="I218" s="7" t="s">
        <v>50</v>
      </c>
      <c r="J218" s="25">
        <v>360688.41072499886</v>
      </c>
    </row>
    <row r="219" spans="1:10" ht="14.25" customHeight="1" x14ac:dyDescent="0.25">
      <c r="A219" s="7" t="s">
        <v>44</v>
      </c>
      <c r="B219" s="7" t="s">
        <v>56</v>
      </c>
      <c r="C219" s="7" t="s">
        <v>46</v>
      </c>
      <c r="D219" s="23">
        <v>41487</v>
      </c>
      <c r="E219" s="24">
        <f t="shared" si="0"/>
        <v>8</v>
      </c>
      <c r="F219" s="24" t="s">
        <v>57</v>
      </c>
      <c r="G219" s="7" t="s">
        <v>63</v>
      </c>
      <c r="H219" s="7" t="s">
        <v>64</v>
      </c>
      <c r="I219" s="7" t="s">
        <v>50</v>
      </c>
      <c r="J219" s="25">
        <v>498366.89217499993</v>
      </c>
    </row>
    <row r="220" spans="1:10" ht="14.25" customHeight="1" x14ac:dyDescent="0.25">
      <c r="A220" s="7" t="s">
        <v>44</v>
      </c>
      <c r="B220" s="7" t="s">
        <v>56</v>
      </c>
      <c r="C220" s="7" t="s">
        <v>46</v>
      </c>
      <c r="D220" s="23">
        <v>41518</v>
      </c>
      <c r="E220" s="24">
        <f t="shared" si="0"/>
        <v>9</v>
      </c>
      <c r="F220" s="24" t="s">
        <v>57</v>
      </c>
      <c r="G220" s="7" t="s">
        <v>63</v>
      </c>
      <c r="H220" s="7" t="s">
        <v>64</v>
      </c>
      <c r="I220" s="7" t="s">
        <v>50</v>
      </c>
      <c r="J220" s="25">
        <v>390175.00927499885</v>
      </c>
    </row>
    <row r="221" spans="1:10" ht="14.25" customHeight="1" x14ac:dyDescent="0.25">
      <c r="A221" s="7" t="s">
        <v>44</v>
      </c>
      <c r="B221" s="7" t="s">
        <v>56</v>
      </c>
      <c r="C221" s="7" t="s">
        <v>46</v>
      </c>
      <c r="D221" s="23">
        <v>41548</v>
      </c>
      <c r="E221" s="24">
        <f t="shared" si="0"/>
        <v>10</v>
      </c>
      <c r="F221" s="24" t="s">
        <v>57</v>
      </c>
      <c r="G221" s="7" t="s">
        <v>63</v>
      </c>
      <c r="H221" s="7" t="s">
        <v>64</v>
      </c>
      <c r="I221" s="7" t="s">
        <v>50</v>
      </c>
      <c r="J221" s="25">
        <v>370340.02732499992</v>
      </c>
    </row>
    <row r="222" spans="1:10" ht="14.25" customHeight="1" x14ac:dyDescent="0.25">
      <c r="A222" s="7" t="s">
        <v>44</v>
      </c>
      <c r="B222" s="7" t="s">
        <v>56</v>
      </c>
      <c r="C222" s="7" t="s">
        <v>46</v>
      </c>
      <c r="D222" s="23">
        <v>41579</v>
      </c>
      <c r="E222" s="24">
        <f t="shared" si="0"/>
        <v>11</v>
      </c>
      <c r="F222" s="24" t="s">
        <v>57</v>
      </c>
      <c r="G222" s="7" t="s">
        <v>63</v>
      </c>
      <c r="H222" s="7" t="s">
        <v>64</v>
      </c>
      <c r="I222" s="7" t="s">
        <v>50</v>
      </c>
      <c r="J222" s="25">
        <v>380322.75574999995</v>
      </c>
    </row>
    <row r="223" spans="1:10" ht="14.25" customHeight="1" x14ac:dyDescent="0.25">
      <c r="A223" s="7" t="s">
        <v>44</v>
      </c>
      <c r="B223" s="7" t="s">
        <v>56</v>
      </c>
      <c r="C223" s="7" t="s">
        <v>46</v>
      </c>
      <c r="D223" s="23">
        <v>41609</v>
      </c>
      <c r="E223" s="24">
        <f t="shared" si="0"/>
        <v>12</v>
      </c>
      <c r="F223" s="24" t="s">
        <v>57</v>
      </c>
      <c r="G223" s="7" t="s">
        <v>63</v>
      </c>
      <c r="H223" s="7" t="s">
        <v>64</v>
      </c>
      <c r="I223" s="7" t="s">
        <v>50</v>
      </c>
      <c r="J223" s="25">
        <v>365792.12049999996</v>
      </c>
    </row>
    <row r="224" spans="1:10" ht="14.25" customHeight="1" x14ac:dyDescent="0.25">
      <c r="A224" s="7" t="s">
        <v>44</v>
      </c>
      <c r="B224" s="7" t="s">
        <v>56</v>
      </c>
      <c r="C224" s="7" t="s">
        <v>46</v>
      </c>
      <c r="D224" s="23">
        <v>41640</v>
      </c>
      <c r="E224" s="24">
        <f t="shared" si="0"/>
        <v>1</v>
      </c>
      <c r="F224" s="24" t="s">
        <v>57</v>
      </c>
      <c r="G224" s="7" t="s">
        <v>63</v>
      </c>
      <c r="H224" s="7" t="s">
        <v>64</v>
      </c>
      <c r="I224" s="7" t="s">
        <v>50</v>
      </c>
      <c r="J224" s="25">
        <v>459526.25959999987</v>
      </c>
    </row>
    <row r="225" spans="1:10" ht="14.25" customHeight="1" x14ac:dyDescent="0.25">
      <c r="A225" s="7" t="s">
        <v>44</v>
      </c>
      <c r="B225" s="7" t="s">
        <v>56</v>
      </c>
      <c r="C225" s="7" t="s">
        <v>46</v>
      </c>
      <c r="D225" s="23">
        <v>41671</v>
      </c>
      <c r="E225" s="24">
        <f t="shared" si="0"/>
        <v>2</v>
      </c>
      <c r="F225" s="24" t="s">
        <v>57</v>
      </c>
      <c r="G225" s="7" t="s">
        <v>63</v>
      </c>
      <c r="H225" s="7" t="s">
        <v>64</v>
      </c>
      <c r="I225" s="7" t="s">
        <v>50</v>
      </c>
      <c r="J225" s="25">
        <v>386872.43834999995</v>
      </c>
    </row>
    <row r="226" spans="1:10" ht="14.25" customHeight="1" x14ac:dyDescent="0.25">
      <c r="A226" s="7" t="s">
        <v>44</v>
      </c>
      <c r="B226" s="7" t="s">
        <v>56</v>
      </c>
      <c r="C226" s="7" t="s">
        <v>46</v>
      </c>
      <c r="D226" s="23">
        <v>41699</v>
      </c>
      <c r="E226" s="24">
        <f t="shared" si="0"/>
        <v>3</v>
      </c>
      <c r="F226" s="24" t="s">
        <v>57</v>
      </c>
      <c r="G226" s="7" t="s">
        <v>63</v>
      </c>
      <c r="H226" s="7" t="s">
        <v>64</v>
      </c>
      <c r="I226" s="7" t="s">
        <v>50</v>
      </c>
      <c r="J226" s="25">
        <v>385991.23719999997</v>
      </c>
    </row>
    <row r="227" spans="1:10" ht="14.25" customHeight="1" x14ac:dyDescent="0.25">
      <c r="A227" s="7" t="s">
        <v>44</v>
      </c>
      <c r="B227" s="7" t="s">
        <v>56</v>
      </c>
      <c r="C227" s="7" t="s">
        <v>46</v>
      </c>
      <c r="D227" s="23">
        <v>41730</v>
      </c>
      <c r="E227" s="24">
        <f t="shared" si="0"/>
        <v>4</v>
      </c>
      <c r="F227" s="24" t="s">
        <v>57</v>
      </c>
      <c r="G227" s="7" t="s">
        <v>63</v>
      </c>
      <c r="H227" s="7" t="s">
        <v>64</v>
      </c>
      <c r="I227" s="7" t="s">
        <v>50</v>
      </c>
      <c r="J227" s="25">
        <v>386829.69097499992</v>
      </c>
    </row>
    <row r="228" spans="1:10" ht="14.25" customHeight="1" x14ac:dyDescent="0.25">
      <c r="A228" s="7" t="s">
        <v>44</v>
      </c>
      <c r="B228" s="7" t="s">
        <v>56</v>
      </c>
      <c r="C228" s="7" t="s">
        <v>46</v>
      </c>
      <c r="D228" s="23">
        <v>41760</v>
      </c>
      <c r="E228" s="24">
        <f t="shared" si="0"/>
        <v>5</v>
      </c>
      <c r="F228" s="24" t="s">
        <v>57</v>
      </c>
      <c r="G228" s="7" t="s">
        <v>63</v>
      </c>
      <c r="H228" s="7" t="s">
        <v>64</v>
      </c>
      <c r="I228" s="7" t="s">
        <v>50</v>
      </c>
      <c r="J228" s="25">
        <v>410769.19062499999</v>
      </c>
    </row>
    <row r="229" spans="1:10" ht="14.25" customHeight="1" x14ac:dyDescent="0.25">
      <c r="A229" s="7" t="s">
        <v>44</v>
      </c>
      <c r="B229" s="7" t="s">
        <v>56</v>
      </c>
      <c r="C229" s="7" t="s">
        <v>46</v>
      </c>
      <c r="D229" s="23">
        <v>41791</v>
      </c>
      <c r="E229" s="24">
        <f t="shared" si="0"/>
        <v>6</v>
      </c>
      <c r="F229" s="24" t="s">
        <v>57</v>
      </c>
      <c r="G229" s="7" t="s">
        <v>63</v>
      </c>
      <c r="H229" s="7" t="s">
        <v>64</v>
      </c>
      <c r="I229" s="7" t="s">
        <v>50</v>
      </c>
      <c r="J229" s="25">
        <v>468307.17672499991</v>
      </c>
    </row>
    <row r="230" spans="1:10" ht="14.25" customHeight="1" x14ac:dyDescent="0.25">
      <c r="A230" s="7" t="s">
        <v>44</v>
      </c>
      <c r="B230" s="7" t="s">
        <v>56</v>
      </c>
      <c r="C230" s="7" t="s">
        <v>46</v>
      </c>
      <c r="D230" s="23">
        <v>41456</v>
      </c>
      <c r="E230" s="24">
        <f t="shared" si="0"/>
        <v>7</v>
      </c>
      <c r="F230" s="24" t="s">
        <v>57</v>
      </c>
      <c r="G230" s="7" t="s">
        <v>63</v>
      </c>
      <c r="H230" s="7" t="s">
        <v>65</v>
      </c>
      <c r="I230" s="7" t="s">
        <v>50</v>
      </c>
      <c r="J230" s="25">
        <v>226478.76952499934</v>
      </c>
    </row>
    <row r="231" spans="1:10" ht="14.25" customHeight="1" x14ac:dyDescent="0.25">
      <c r="A231" s="7" t="s">
        <v>44</v>
      </c>
      <c r="B231" s="7" t="s">
        <v>56</v>
      </c>
      <c r="C231" s="7" t="s">
        <v>46</v>
      </c>
      <c r="D231" s="23">
        <v>41487</v>
      </c>
      <c r="E231" s="24">
        <f t="shared" si="0"/>
        <v>8</v>
      </c>
      <c r="F231" s="24" t="s">
        <v>57</v>
      </c>
      <c r="G231" s="7" t="s">
        <v>63</v>
      </c>
      <c r="H231" s="7" t="s">
        <v>65</v>
      </c>
      <c r="I231" s="7" t="s">
        <v>50</v>
      </c>
      <c r="J231" s="25">
        <v>312928.04857500002</v>
      </c>
    </row>
    <row r="232" spans="1:10" ht="14.25" customHeight="1" x14ac:dyDescent="0.25">
      <c r="A232" s="7" t="s">
        <v>44</v>
      </c>
      <c r="B232" s="7" t="s">
        <v>56</v>
      </c>
      <c r="C232" s="7" t="s">
        <v>46</v>
      </c>
      <c r="D232" s="23">
        <v>41518</v>
      </c>
      <c r="E232" s="24">
        <f t="shared" si="0"/>
        <v>9</v>
      </c>
      <c r="F232" s="24" t="s">
        <v>57</v>
      </c>
      <c r="G232" s="7" t="s">
        <v>63</v>
      </c>
      <c r="H232" s="7" t="s">
        <v>65</v>
      </c>
      <c r="I232" s="7" t="s">
        <v>50</v>
      </c>
      <c r="J232" s="25">
        <v>244993.61047499935</v>
      </c>
    </row>
    <row r="233" spans="1:10" ht="14.25" customHeight="1" x14ac:dyDescent="0.25">
      <c r="A233" s="7" t="s">
        <v>44</v>
      </c>
      <c r="B233" s="7" t="s">
        <v>56</v>
      </c>
      <c r="C233" s="7" t="s">
        <v>46</v>
      </c>
      <c r="D233" s="23">
        <v>41548</v>
      </c>
      <c r="E233" s="24">
        <f t="shared" si="0"/>
        <v>10</v>
      </c>
      <c r="F233" s="24" t="s">
        <v>57</v>
      </c>
      <c r="G233" s="7" t="s">
        <v>63</v>
      </c>
      <c r="H233" s="7" t="s">
        <v>65</v>
      </c>
      <c r="I233" s="7" t="s">
        <v>50</v>
      </c>
      <c r="J233" s="25">
        <v>232539.08692499998</v>
      </c>
    </row>
    <row r="234" spans="1:10" ht="14.25" customHeight="1" x14ac:dyDescent="0.25">
      <c r="A234" s="7" t="s">
        <v>44</v>
      </c>
      <c r="B234" s="7" t="s">
        <v>56</v>
      </c>
      <c r="C234" s="7" t="s">
        <v>46</v>
      </c>
      <c r="D234" s="23">
        <v>41579</v>
      </c>
      <c r="E234" s="24">
        <f t="shared" si="0"/>
        <v>11</v>
      </c>
      <c r="F234" s="24" t="s">
        <v>57</v>
      </c>
      <c r="G234" s="7" t="s">
        <v>63</v>
      </c>
      <c r="H234" s="7" t="s">
        <v>65</v>
      </c>
      <c r="I234" s="7" t="s">
        <v>50</v>
      </c>
      <c r="J234" s="25">
        <v>238807.31175000002</v>
      </c>
    </row>
    <row r="235" spans="1:10" ht="14.25" customHeight="1" x14ac:dyDescent="0.25">
      <c r="A235" s="7" t="s">
        <v>44</v>
      </c>
      <c r="B235" s="7" t="s">
        <v>56</v>
      </c>
      <c r="C235" s="7" t="s">
        <v>46</v>
      </c>
      <c r="D235" s="23">
        <v>41609</v>
      </c>
      <c r="E235" s="24">
        <f t="shared" si="0"/>
        <v>12</v>
      </c>
      <c r="F235" s="24" t="s">
        <v>57</v>
      </c>
      <c r="G235" s="7" t="s">
        <v>63</v>
      </c>
      <c r="H235" s="7" t="s">
        <v>65</v>
      </c>
      <c r="I235" s="7" t="s">
        <v>50</v>
      </c>
      <c r="J235" s="25">
        <v>229683.42450000002</v>
      </c>
    </row>
    <row r="236" spans="1:10" ht="14.25" customHeight="1" x14ac:dyDescent="0.25">
      <c r="A236" s="7" t="s">
        <v>44</v>
      </c>
      <c r="B236" s="7" t="s">
        <v>56</v>
      </c>
      <c r="C236" s="7" t="s">
        <v>46</v>
      </c>
      <c r="D236" s="23">
        <v>41640</v>
      </c>
      <c r="E236" s="24">
        <f t="shared" si="0"/>
        <v>1</v>
      </c>
      <c r="F236" s="24" t="s">
        <v>57</v>
      </c>
      <c r="G236" s="7" t="s">
        <v>63</v>
      </c>
      <c r="H236" s="7" t="s">
        <v>65</v>
      </c>
      <c r="I236" s="7" t="s">
        <v>50</v>
      </c>
      <c r="J236" s="25">
        <v>288539.74439999997</v>
      </c>
    </row>
    <row r="237" spans="1:10" ht="14.25" customHeight="1" x14ac:dyDescent="0.25">
      <c r="A237" s="7" t="s">
        <v>44</v>
      </c>
      <c r="B237" s="7" t="s">
        <v>56</v>
      </c>
      <c r="C237" s="7" t="s">
        <v>46</v>
      </c>
      <c r="D237" s="23">
        <v>41671</v>
      </c>
      <c r="E237" s="24">
        <f t="shared" si="0"/>
        <v>2</v>
      </c>
      <c r="F237" s="24" t="s">
        <v>57</v>
      </c>
      <c r="G237" s="7" t="s">
        <v>63</v>
      </c>
      <c r="H237" s="7" t="s">
        <v>65</v>
      </c>
      <c r="I237" s="7" t="s">
        <v>50</v>
      </c>
      <c r="J237" s="25">
        <v>242919.90315</v>
      </c>
    </row>
    <row r="238" spans="1:10" ht="14.25" customHeight="1" x14ac:dyDescent="0.25">
      <c r="A238" s="7" t="s">
        <v>44</v>
      </c>
      <c r="B238" s="7" t="s">
        <v>56</v>
      </c>
      <c r="C238" s="7" t="s">
        <v>46</v>
      </c>
      <c r="D238" s="23">
        <v>41699</v>
      </c>
      <c r="E238" s="24">
        <f t="shared" si="0"/>
        <v>3</v>
      </c>
      <c r="F238" s="24" t="s">
        <v>57</v>
      </c>
      <c r="G238" s="7" t="s">
        <v>63</v>
      </c>
      <c r="H238" s="7" t="s">
        <v>65</v>
      </c>
      <c r="I238" s="7" t="s">
        <v>50</v>
      </c>
      <c r="J238" s="25">
        <v>242366.59080000003</v>
      </c>
    </row>
    <row r="239" spans="1:10" ht="14.25" customHeight="1" x14ac:dyDescent="0.25">
      <c r="A239" s="7" t="s">
        <v>44</v>
      </c>
      <c r="B239" s="7" t="s">
        <v>56</v>
      </c>
      <c r="C239" s="7" t="s">
        <v>46</v>
      </c>
      <c r="D239" s="23">
        <v>41730</v>
      </c>
      <c r="E239" s="24">
        <f t="shared" si="0"/>
        <v>4</v>
      </c>
      <c r="F239" s="24" t="s">
        <v>57</v>
      </c>
      <c r="G239" s="7" t="s">
        <v>63</v>
      </c>
      <c r="H239" s="7" t="s">
        <v>65</v>
      </c>
      <c r="I239" s="7" t="s">
        <v>50</v>
      </c>
      <c r="J239" s="25">
        <v>242893.06177500001</v>
      </c>
    </row>
    <row r="240" spans="1:10" ht="14.25" customHeight="1" x14ac:dyDescent="0.25">
      <c r="A240" s="7" t="s">
        <v>44</v>
      </c>
      <c r="B240" s="7" t="s">
        <v>56</v>
      </c>
      <c r="C240" s="7" t="s">
        <v>46</v>
      </c>
      <c r="D240" s="23">
        <v>41760</v>
      </c>
      <c r="E240" s="24">
        <f t="shared" si="0"/>
        <v>5</v>
      </c>
      <c r="F240" s="24" t="s">
        <v>57</v>
      </c>
      <c r="G240" s="7" t="s">
        <v>63</v>
      </c>
      <c r="H240" s="7" t="s">
        <v>65</v>
      </c>
      <c r="I240" s="7" t="s">
        <v>50</v>
      </c>
      <c r="J240" s="25">
        <v>257924.84062500004</v>
      </c>
    </row>
    <row r="241" spans="1:10" ht="14.25" customHeight="1" x14ac:dyDescent="0.25">
      <c r="A241" s="7" t="s">
        <v>44</v>
      </c>
      <c r="B241" s="7" t="s">
        <v>56</v>
      </c>
      <c r="C241" s="7" t="s">
        <v>46</v>
      </c>
      <c r="D241" s="23">
        <v>41791</v>
      </c>
      <c r="E241" s="24">
        <f t="shared" si="0"/>
        <v>6</v>
      </c>
      <c r="F241" s="24" t="s">
        <v>57</v>
      </c>
      <c r="G241" s="7" t="s">
        <v>63</v>
      </c>
      <c r="H241" s="7" t="s">
        <v>65</v>
      </c>
      <c r="I241" s="7" t="s">
        <v>50</v>
      </c>
      <c r="J241" s="25">
        <v>294053.34352500003</v>
      </c>
    </row>
    <row r="242" spans="1:10" ht="14.25" customHeight="1" x14ac:dyDescent="0.25">
      <c r="A242" s="7" t="s">
        <v>44</v>
      </c>
      <c r="B242" s="7" t="s">
        <v>56</v>
      </c>
      <c r="C242" s="7" t="s">
        <v>46</v>
      </c>
      <c r="D242" s="23">
        <v>41456</v>
      </c>
      <c r="E242" s="24">
        <f t="shared" si="0"/>
        <v>7</v>
      </c>
      <c r="F242" s="24" t="s">
        <v>57</v>
      </c>
      <c r="G242" s="7" t="s">
        <v>63</v>
      </c>
      <c r="H242" s="7" t="s">
        <v>66</v>
      </c>
      <c r="I242" s="7" t="s">
        <v>50</v>
      </c>
      <c r="J242" s="25">
        <v>255837.1285374992</v>
      </c>
    </row>
    <row r="243" spans="1:10" ht="14.25" customHeight="1" x14ac:dyDescent="0.25">
      <c r="A243" s="7" t="s">
        <v>44</v>
      </c>
      <c r="B243" s="7" t="s">
        <v>56</v>
      </c>
      <c r="C243" s="7" t="s">
        <v>46</v>
      </c>
      <c r="D243" s="23">
        <v>41487</v>
      </c>
      <c r="E243" s="24">
        <f t="shared" si="0"/>
        <v>8</v>
      </c>
      <c r="F243" s="24" t="s">
        <v>57</v>
      </c>
      <c r="G243" s="7" t="s">
        <v>63</v>
      </c>
      <c r="H243" s="7" t="s">
        <v>66</v>
      </c>
      <c r="I243" s="7" t="s">
        <v>50</v>
      </c>
      <c r="J243" s="25">
        <v>353492.79561249999</v>
      </c>
    </row>
    <row r="244" spans="1:10" ht="14.25" customHeight="1" x14ac:dyDescent="0.25">
      <c r="A244" s="7" t="s">
        <v>44</v>
      </c>
      <c r="B244" s="7" t="s">
        <v>56</v>
      </c>
      <c r="C244" s="7" t="s">
        <v>46</v>
      </c>
      <c r="D244" s="23">
        <v>41518</v>
      </c>
      <c r="E244" s="24">
        <f t="shared" si="0"/>
        <v>9</v>
      </c>
      <c r="F244" s="24" t="s">
        <v>57</v>
      </c>
      <c r="G244" s="7" t="s">
        <v>63</v>
      </c>
      <c r="H244" s="7" t="s">
        <v>66</v>
      </c>
      <c r="I244" s="7" t="s">
        <v>50</v>
      </c>
      <c r="J244" s="25">
        <v>276752.04146249924</v>
      </c>
    </row>
    <row r="245" spans="1:10" ht="14.25" customHeight="1" x14ac:dyDescent="0.25">
      <c r="A245" s="7" t="s">
        <v>44</v>
      </c>
      <c r="B245" s="7" t="s">
        <v>56</v>
      </c>
      <c r="C245" s="7" t="s">
        <v>46</v>
      </c>
      <c r="D245" s="23">
        <v>41548</v>
      </c>
      <c r="E245" s="24">
        <f t="shared" si="0"/>
        <v>10</v>
      </c>
      <c r="F245" s="24" t="s">
        <v>57</v>
      </c>
      <c r="G245" s="7" t="s">
        <v>63</v>
      </c>
      <c r="H245" s="7" t="s">
        <v>66</v>
      </c>
      <c r="I245" s="7" t="s">
        <v>50</v>
      </c>
      <c r="J245" s="25">
        <v>262683.04263749992</v>
      </c>
    </row>
    <row r="246" spans="1:10" ht="14.25" customHeight="1" x14ac:dyDescent="0.25">
      <c r="A246" s="7" t="s">
        <v>44</v>
      </c>
      <c r="B246" s="7" t="s">
        <v>56</v>
      </c>
      <c r="C246" s="7" t="s">
        <v>46</v>
      </c>
      <c r="D246" s="23">
        <v>41579</v>
      </c>
      <c r="E246" s="24">
        <f t="shared" si="0"/>
        <v>11</v>
      </c>
      <c r="F246" s="24" t="s">
        <v>57</v>
      </c>
      <c r="G246" s="7" t="s">
        <v>63</v>
      </c>
      <c r="H246" s="7" t="s">
        <v>66</v>
      </c>
      <c r="I246" s="7" t="s">
        <v>50</v>
      </c>
      <c r="J246" s="25">
        <v>269763.81512500002</v>
      </c>
    </row>
    <row r="247" spans="1:10" ht="14.25" customHeight="1" x14ac:dyDescent="0.25">
      <c r="A247" s="7" t="s">
        <v>44</v>
      </c>
      <c r="B247" s="7" t="s">
        <v>56</v>
      </c>
      <c r="C247" s="7" t="s">
        <v>46</v>
      </c>
      <c r="D247" s="23">
        <v>41609</v>
      </c>
      <c r="E247" s="24">
        <f t="shared" si="0"/>
        <v>12</v>
      </c>
      <c r="F247" s="24" t="s">
        <v>57</v>
      </c>
      <c r="G247" s="7" t="s">
        <v>63</v>
      </c>
      <c r="H247" s="7" t="s">
        <v>66</v>
      </c>
      <c r="I247" s="7" t="s">
        <v>50</v>
      </c>
      <c r="J247" s="25">
        <v>259457.20175000001</v>
      </c>
    </row>
    <row r="248" spans="1:10" ht="14.25" customHeight="1" x14ac:dyDescent="0.25">
      <c r="A248" s="7" t="s">
        <v>44</v>
      </c>
      <c r="B248" s="7" t="s">
        <v>56</v>
      </c>
      <c r="C248" s="7" t="s">
        <v>46</v>
      </c>
      <c r="D248" s="23">
        <v>41640</v>
      </c>
      <c r="E248" s="24">
        <f t="shared" si="0"/>
        <v>1</v>
      </c>
      <c r="F248" s="24" t="s">
        <v>57</v>
      </c>
      <c r="G248" s="7" t="s">
        <v>63</v>
      </c>
      <c r="H248" s="7" t="s">
        <v>66</v>
      </c>
      <c r="I248" s="7" t="s">
        <v>50</v>
      </c>
      <c r="J248" s="25">
        <v>325943.04459999991</v>
      </c>
    </row>
    <row r="249" spans="1:10" ht="14.25" customHeight="1" x14ac:dyDescent="0.25">
      <c r="A249" s="7" t="s">
        <v>44</v>
      </c>
      <c r="B249" s="7" t="s">
        <v>56</v>
      </c>
      <c r="C249" s="7" t="s">
        <v>46</v>
      </c>
      <c r="D249" s="23">
        <v>41671</v>
      </c>
      <c r="E249" s="24">
        <f t="shared" si="0"/>
        <v>2</v>
      </c>
      <c r="F249" s="24" t="s">
        <v>57</v>
      </c>
      <c r="G249" s="7" t="s">
        <v>63</v>
      </c>
      <c r="H249" s="7" t="s">
        <v>66</v>
      </c>
      <c r="I249" s="7" t="s">
        <v>50</v>
      </c>
      <c r="J249" s="25">
        <v>274409.52022499999</v>
      </c>
    </row>
    <row r="250" spans="1:10" ht="14.25" customHeight="1" x14ac:dyDescent="0.25">
      <c r="A250" s="7" t="s">
        <v>44</v>
      </c>
      <c r="B250" s="7" t="s">
        <v>56</v>
      </c>
      <c r="C250" s="7" t="s">
        <v>46</v>
      </c>
      <c r="D250" s="23">
        <v>41699</v>
      </c>
      <c r="E250" s="24">
        <f t="shared" si="0"/>
        <v>3</v>
      </c>
      <c r="F250" s="24" t="s">
        <v>57</v>
      </c>
      <c r="G250" s="7" t="s">
        <v>63</v>
      </c>
      <c r="H250" s="7" t="s">
        <v>66</v>
      </c>
      <c r="I250" s="7" t="s">
        <v>50</v>
      </c>
      <c r="J250" s="25">
        <v>273784.48220000003</v>
      </c>
    </row>
    <row r="251" spans="1:10" ht="14.25" customHeight="1" x14ac:dyDescent="0.25">
      <c r="A251" s="7" t="s">
        <v>44</v>
      </c>
      <c r="B251" s="7" t="s">
        <v>56</v>
      </c>
      <c r="C251" s="7" t="s">
        <v>46</v>
      </c>
      <c r="D251" s="23">
        <v>41730</v>
      </c>
      <c r="E251" s="24">
        <f t="shared" si="0"/>
        <v>4</v>
      </c>
      <c r="F251" s="24" t="s">
        <v>57</v>
      </c>
      <c r="G251" s="7" t="s">
        <v>63</v>
      </c>
      <c r="H251" s="7" t="s">
        <v>66</v>
      </c>
      <c r="I251" s="7" t="s">
        <v>50</v>
      </c>
      <c r="J251" s="25">
        <v>274379.19941249996</v>
      </c>
    </row>
    <row r="252" spans="1:10" ht="14.25" customHeight="1" x14ac:dyDescent="0.25">
      <c r="A252" s="7" t="s">
        <v>44</v>
      </c>
      <c r="B252" s="7" t="s">
        <v>56</v>
      </c>
      <c r="C252" s="7" t="s">
        <v>46</v>
      </c>
      <c r="D252" s="23">
        <v>41760</v>
      </c>
      <c r="E252" s="24">
        <f t="shared" si="0"/>
        <v>5</v>
      </c>
      <c r="F252" s="24" t="s">
        <v>57</v>
      </c>
      <c r="G252" s="7" t="s">
        <v>63</v>
      </c>
      <c r="H252" s="7" t="s">
        <v>66</v>
      </c>
      <c r="I252" s="7" t="s">
        <v>50</v>
      </c>
      <c r="J252" s="25">
        <v>291359.54218749999</v>
      </c>
    </row>
    <row r="253" spans="1:10" ht="14.25" customHeight="1" x14ac:dyDescent="0.25">
      <c r="A253" s="7" t="s">
        <v>44</v>
      </c>
      <c r="B253" s="7" t="s">
        <v>56</v>
      </c>
      <c r="C253" s="7" t="s">
        <v>46</v>
      </c>
      <c r="D253" s="23">
        <v>41791</v>
      </c>
      <c r="E253" s="24">
        <f t="shared" si="0"/>
        <v>6</v>
      </c>
      <c r="F253" s="24" t="s">
        <v>57</v>
      </c>
      <c r="G253" s="7" t="s">
        <v>63</v>
      </c>
      <c r="H253" s="7" t="s">
        <v>66</v>
      </c>
      <c r="I253" s="7" t="s">
        <v>50</v>
      </c>
      <c r="J253" s="25">
        <v>332171.36953749997</v>
      </c>
    </row>
    <row r="254" spans="1:10" ht="14.25" customHeight="1" x14ac:dyDescent="0.25">
      <c r="A254" s="7" t="s">
        <v>44</v>
      </c>
      <c r="B254" s="7" t="s">
        <v>56</v>
      </c>
      <c r="C254" s="7" t="s">
        <v>46</v>
      </c>
      <c r="D254" s="23">
        <v>41456</v>
      </c>
      <c r="E254" s="24">
        <f t="shared" si="0"/>
        <v>7</v>
      </c>
      <c r="F254" s="24" t="s">
        <v>57</v>
      </c>
      <c r="G254" s="7" t="s">
        <v>63</v>
      </c>
      <c r="H254" s="7" t="s">
        <v>67</v>
      </c>
      <c r="I254" s="7" t="s">
        <v>50</v>
      </c>
      <c r="J254" s="25">
        <v>176150.15407499947</v>
      </c>
    </row>
    <row r="255" spans="1:10" ht="14.25" customHeight="1" x14ac:dyDescent="0.25">
      <c r="A255" s="7" t="s">
        <v>44</v>
      </c>
      <c r="B255" s="7" t="s">
        <v>56</v>
      </c>
      <c r="C255" s="7" t="s">
        <v>46</v>
      </c>
      <c r="D255" s="23">
        <v>41487</v>
      </c>
      <c r="E255" s="24">
        <f t="shared" si="0"/>
        <v>8</v>
      </c>
      <c r="F255" s="24" t="s">
        <v>57</v>
      </c>
      <c r="G255" s="7" t="s">
        <v>63</v>
      </c>
      <c r="H255" s="7" t="s">
        <v>67</v>
      </c>
      <c r="I255" s="7" t="s">
        <v>50</v>
      </c>
      <c r="J255" s="25">
        <v>243388.48222500001</v>
      </c>
    </row>
    <row r="256" spans="1:10" ht="14.25" customHeight="1" x14ac:dyDescent="0.25">
      <c r="A256" s="7" t="s">
        <v>44</v>
      </c>
      <c r="B256" s="7" t="s">
        <v>56</v>
      </c>
      <c r="C256" s="7" t="s">
        <v>46</v>
      </c>
      <c r="D256" s="23">
        <v>41518</v>
      </c>
      <c r="E256" s="24">
        <f t="shared" si="0"/>
        <v>9</v>
      </c>
      <c r="F256" s="24" t="s">
        <v>57</v>
      </c>
      <c r="G256" s="7" t="s">
        <v>63</v>
      </c>
      <c r="H256" s="7" t="s">
        <v>67</v>
      </c>
      <c r="I256" s="7" t="s">
        <v>50</v>
      </c>
      <c r="J256" s="25">
        <v>190550.58592499947</v>
      </c>
    </row>
    <row r="257" spans="1:10" ht="14.25" customHeight="1" x14ac:dyDescent="0.25">
      <c r="A257" s="7" t="s">
        <v>44</v>
      </c>
      <c r="B257" s="7" t="s">
        <v>56</v>
      </c>
      <c r="C257" s="7" t="s">
        <v>46</v>
      </c>
      <c r="D257" s="23">
        <v>41548</v>
      </c>
      <c r="E257" s="24">
        <f t="shared" ref="E257:E373" si="1">MONTH(D257)</f>
        <v>10</v>
      </c>
      <c r="F257" s="24" t="s">
        <v>57</v>
      </c>
      <c r="G257" s="7" t="s">
        <v>63</v>
      </c>
      <c r="H257" s="7" t="s">
        <v>67</v>
      </c>
      <c r="I257" s="7" t="s">
        <v>50</v>
      </c>
      <c r="J257" s="25">
        <v>180863.73427499997</v>
      </c>
    </row>
    <row r="258" spans="1:10" ht="14.25" customHeight="1" x14ac:dyDescent="0.25">
      <c r="A258" s="7" t="s">
        <v>44</v>
      </c>
      <c r="B258" s="7" t="s">
        <v>56</v>
      </c>
      <c r="C258" s="7" t="s">
        <v>46</v>
      </c>
      <c r="D258" s="23">
        <v>41579</v>
      </c>
      <c r="E258" s="24">
        <f t="shared" si="1"/>
        <v>11</v>
      </c>
      <c r="F258" s="24" t="s">
        <v>57</v>
      </c>
      <c r="G258" s="7" t="s">
        <v>63</v>
      </c>
      <c r="H258" s="7" t="s">
        <v>67</v>
      </c>
      <c r="I258" s="7" t="s">
        <v>50</v>
      </c>
      <c r="J258" s="25">
        <v>185739.02025</v>
      </c>
    </row>
    <row r="259" spans="1:10" ht="14.25" customHeight="1" x14ac:dyDescent="0.25">
      <c r="A259" s="7" t="s">
        <v>44</v>
      </c>
      <c r="B259" s="7" t="s">
        <v>56</v>
      </c>
      <c r="C259" s="7" t="s">
        <v>46</v>
      </c>
      <c r="D259" s="23">
        <v>41609</v>
      </c>
      <c r="E259" s="24">
        <f t="shared" si="1"/>
        <v>12</v>
      </c>
      <c r="F259" s="24" t="s">
        <v>57</v>
      </c>
      <c r="G259" s="7" t="s">
        <v>63</v>
      </c>
      <c r="H259" s="7" t="s">
        <v>67</v>
      </c>
      <c r="I259" s="7" t="s">
        <v>50</v>
      </c>
      <c r="J259" s="25">
        <v>178642.66350000002</v>
      </c>
    </row>
    <row r="260" spans="1:10" ht="14.25" customHeight="1" x14ac:dyDescent="0.25">
      <c r="A260" s="7" t="s">
        <v>44</v>
      </c>
      <c r="B260" s="7" t="s">
        <v>56</v>
      </c>
      <c r="C260" s="7" t="s">
        <v>46</v>
      </c>
      <c r="D260" s="23">
        <v>41640</v>
      </c>
      <c r="E260" s="24">
        <f t="shared" si="1"/>
        <v>1</v>
      </c>
      <c r="F260" s="24" t="s">
        <v>57</v>
      </c>
      <c r="G260" s="7" t="s">
        <v>63</v>
      </c>
      <c r="H260" s="7" t="s">
        <v>67</v>
      </c>
      <c r="I260" s="7" t="s">
        <v>50</v>
      </c>
      <c r="J260" s="25">
        <v>224419.80119999996</v>
      </c>
    </row>
    <row r="261" spans="1:10" ht="14.25" customHeight="1" x14ac:dyDescent="0.25">
      <c r="A261" s="7" t="s">
        <v>44</v>
      </c>
      <c r="B261" s="7" t="s">
        <v>56</v>
      </c>
      <c r="C261" s="7" t="s">
        <v>46</v>
      </c>
      <c r="D261" s="23">
        <v>41671</v>
      </c>
      <c r="E261" s="24">
        <f t="shared" si="1"/>
        <v>2</v>
      </c>
      <c r="F261" s="24" t="s">
        <v>57</v>
      </c>
      <c r="G261" s="7" t="s">
        <v>63</v>
      </c>
      <c r="H261" s="7" t="s">
        <v>67</v>
      </c>
      <c r="I261" s="7" t="s">
        <v>50</v>
      </c>
      <c r="J261" s="25">
        <v>188937.70244999998</v>
      </c>
    </row>
    <row r="262" spans="1:10" ht="14.25" customHeight="1" x14ac:dyDescent="0.25">
      <c r="A262" s="7" t="s">
        <v>44</v>
      </c>
      <c r="B262" s="7" t="s">
        <v>56</v>
      </c>
      <c r="C262" s="7" t="s">
        <v>46</v>
      </c>
      <c r="D262" s="23">
        <v>41699</v>
      </c>
      <c r="E262" s="24">
        <f t="shared" si="1"/>
        <v>3</v>
      </c>
      <c r="F262" s="24" t="s">
        <v>57</v>
      </c>
      <c r="G262" s="7" t="s">
        <v>63</v>
      </c>
      <c r="H262" s="7" t="s">
        <v>67</v>
      </c>
      <c r="I262" s="7" t="s">
        <v>50</v>
      </c>
      <c r="J262" s="25">
        <v>188507.34840000002</v>
      </c>
    </row>
    <row r="263" spans="1:10" ht="14.25" customHeight="1" x14ac:dyDescent="0.25">
      <c r="A263" s="7" t="s">
        <v>44</v>
      </c>
      <c r="B263" s="7" t="s">
        <v>56</v>
      </c>
      <c r="C263" s="7" t="s">
        <v>46</v>
      </c>
      <c r="D263" s="23">
        <v>41730</v>
      </c>
      <c r="E263" s="24">
        <f t="shared" si="1"/>
        <v>4</v>
      </c>
      <c r="F263" s="24" t="s">
        <v>57</v>
      </c>
      <c r="G263" s="7" t="s">
        <v>63</v>
      </c>
      <c r="H263" s="7" t="s">
        <v>67</v>
      </c>
      <c r="I263" s="7" t="s">
        <v>50</v>
      </c>
      <c r="J263" s="25">
        <v>188916.82582500001</v>
      </c>
    </row>
    <row r="264" spans="1:10" ht="14.25" customHeight="1" x14ac:dyDescent="0.25">
      <c r="A264" s="7" t="s">
        <v>44</v>
      </c>
      <c r="B264" s="7" t="s">
        <v>56</v>
      </c>
      <c r="C264" s="7" t="s">
        <v>46</v>
      </c>
      <c r="D264" s="23">
        <v>41760</v>
      </c>
      <c r="E264" s="24">
        <f t="shared" si="1"/>
        <v>5</v>
      </c>
      <c r="F264" s="24" t="s">
        <v>57</v>
      </c>
      <c r="G264" s="7" t="s">
        <v>63</v>
      </c>
      <c r="H264" s="7" t="s">
        <v>67</v>
      </c>
      <c r="I264" s="7" t="s">
        <v>50</v>
      </c>
      <c r="J264" s="25">
        <v>200608.20937500001</v>
      </c>
    </row>
    <row r="265" spans="1:10" ht="14.25" customHeight="1" x14ac:dyDescent="0.25">
      <c r="A265" s="7" t="s">
        <v>44</v>
      </c>
      <c r="B265" s="7" t="s">
        <v>56</v>
      </c>
      <c r="C265" s="7" t="s">
        <v>46</v>
      </c>
      <c r="D265" s="23">
        <v>41791</v>
      </c>
      <c r="E265" s="24">
        <f t="shared" si="1"/>
        <v>6</v>
      </c>
      <c r="F265" s="24" t="s">
        <v>57</v>
      </c>
      <c r="G265" s="7" t="s">
        <v>63</v>
      </c>
      <c r="H265" s="7" t="s">
        <v>67</v>
      </c>
      <c r="I265" s="7" t="s">
        <v>50</v>
      </c>
      <c r="J265" s="25">
        <v>228708.15607500001</v>
      </c>
    </row>
    <row r="266" spans="1:10" ht="14.25" customHeight="1" x14ac:dyDescent="0.25">
      <c r="A266" s="7" t="s">
        <v>44</v>
      </c>
      <c r="B266" s="7" t="s">
        <v>56</v>
      </c>
      <c r="C266" s="7" t="s">
        <v>46</v>
      </c>
      <c r="D266" s="23">
        <v>41456</v>
      </c>
      <c r="E266" s="24">
        <f t="shared" si="1"/>
        <v>7</v>
      </c>
      <c r="F266" s="24" t="s">
        <v>57</v>
      </c>
      <c r="G266" s="7" t="s">
        <v>68</v>
      </c>
      <c r="H266" s="7" t="s">
        <v>69</v>
      </c>
      <c r="I266" s="7" t="s">
        <v>50</v>
      </c>
      <c r="J266" s="25">
        <v>1153364.1040624965</v>
      </c>
    </row>
    <row r="267" spans="1:10" ht="14.25" customHeight="1" x14ac:dyDescent="0.25">
      <c r="A267" s="7" t="s">
        <v>44</v>
      </c>
      <c r="B267" s="7" t="s">
        <v>56</v>
      </c>
      <c r="C267" s="7" t="s">
        <v>46</v>
      </c>
      <c r="D267" s="23">
        <v>41487</v>
      </c>
      <c r="E267" s="24">
        <f t="shared" si="1"/>
        <v>8</v>
      </c>
      <c r="F267" s="24" t="s">
        <v>57</v>
      </c>
      <c r="G267" s="7" t="s">
        <v>68</v>
      </c>
      <c r="H267" s="7" t="s">
        <v>69</v>
      </c>
      <c r="I267" s="7" t="s">
        <v>50</v>
      </c>
      <c r="J267" s="25">
        <v>1593615.0621875001</v>
      </c>
    </row>
    <row r="268" spans="1:10" ht="14.25" customHeight="1" x14ac:dyDescent="0.25">
      <c r="A268" s="7" t="s">
        <v>44</v>
      </c>
      <c r="B268" s="7" t="s">
        <v>56</v>
      </c>
      <c r="C268" s="7" t="s">
        <v>46</v>
      </c>
      <c r="D268" s="23">
        <v>41518</v>
      </c>
      <c r="E268" s="24">
        <f t="shared" si="1"/>
        <v>9</v>
      </c>
      <c r="F268" s="24" t="s">
        <v>57</v>
      </c>
      <c r="G268" s="7" t="s">
        <v>68</v>
      </c>
      <c r="H268" s="7" t="s">
        <v>69</v>
      </c>
      <c r="I268" s="7" t="s">
        <v>50</v>
      </c>
      <c r="J268" s="25">
        <v>1247652.6459374966</v>
      </c>
    </row>
    <row r="269" spans="1:10" ht="14.25" customHeight="1" x14ac:dyDescent="0.25">
      <c r="A269" s="7" t="s">
        <v>44</v>
      </c>
      <c r="B269" s="7" t="s">
        <v>56</v>
      </c>
      <c r="C269" s="7" t="s">
        <v>46</v>
      </c>
      <c r="D269" s="23">
        <v>41548</v>
      </c>
      <c r="E269" s="24">
        <f t="shared" si="1"/>
        <v>10</v>
      </c>
      <c r="F269" s="24" t="s">
        <v>57</v>
      </c>
      <c r="G269" s="7" t="s">
        <v>68</v>
      </c>
      <c r="H269" s="7" t="s">
        <v>69</v>
      </c>
      <c r="I269" s="7" t="s">
        <v>50</v>
      </c>
      <c r="J269" s="25">
        <v>1184226.8315625</v>
      </c>
    </row>
    <row r="270" spans="1:10" ht="14.25" customHeight="1" x14ac:dyDescent="0.25">
      <c r="A270" s="7" t="s">
        <v>44</v>
      </c>
      <c r="B270" s="7" t="s">
        <v>56</v>
      </c>
      <c r="C270" s="7" t="s">
        <v>46</v>
      </c>
      <c r="D270" s="23">
        <v>41579</v>
      </c>
      <c r="E270" s="24">
        <f t="shared" si="1"/>
        <v>11</v>
      </c>
      <c r="F270" s="24" t="s">
        <v>57</v>
      </c>
      <c r="G270" s="7" t="s">
        <v>68</v>
      </c>
      <c r="H270" s="7" t="s">
        <v>69</v>
      </c>
      <c r="I270" s="7" t="s">
        <v>50</v>
      </c>
      <c r="J270" s="25">
        <v>1216148.346875</v>
      </c>
    </row>
    <row r="271" spans="1:10" ht="14.25" customHeight="1" x14ac:dyDescent="0.25">
      <c r="A271" s="7" t="s">
        <v>44</v>
      </c>
      <c r="B271" s="7" t="s">
        <v>56</v>
      </c>
      <c r="C271" s="7" t="s">
        <v>46</v>
      </c>
      <c r="D271" s="23">
        <v>41609</v>
      </c>
      <c r="E271" s="24">
        <f t="shared" si="1"/>
        <v>12</v>
      </c>
      <c r="F271" s="24" t="s">
        <v>57</v>
      </c>
      <c r="G271" s="7" t="s">
        <v>68</v>
      </c>
      <c r="H271" s="7" t="s">
        <v>69</v>
      </c>
      <c r="I271" s="7" t="s">
        <v>50</v>
      </c>
      <c r="J271" s="25">
        <v>1169684.1062500002</v>
      </c>
    </row>
    <row r="272" spans="1:10" ht="14.25" customHeight="1" x14ac:dyDescent="0.25">
      <c r="A272" s="7" t="s">
        <v>44</v>
      </c>
      <c r="B272" s="7" t="s">
        <v>56</v>
      </c>
      <c r="C272" s="7" t="s">
        <v>46</v>
      </c>
      <c r="D272" s="23">
        <v>41640</v>
      </c>
      <c r="E272" s="24">
        <f t="shared" si="1"/>
        <v>1</v>
      </c>
      <c r="F272" s="24" t="s">
        <v>57</v>
      </c>
      <c r="G272" s="7" t="s">
        <v>68</v>
      </c>
      <c r="H272" s="7" t="s">
        <v>69</v>
      </c>
      <c r="I272" s="7" t="s">
        <v>50</v>
      </c>
      <c r="J272" s="25">
        <v>1469415.3649999998</v>
      </c>
    </row>
    <row r="273" spans="1:10" ht="14.25" customHeight="1" x14ac:dyDescent="0.25">
      <c r="A273" s="7" t="s">
        <v>44</v>
      </c>
      <c r="B273" s="7" t="s">
        <v>56</v>
      </c>
      <c r="C273" s="7" t="s">
        <v>46</v>
      </c>
      <c r="D273" s="23">
        <v>41671</v>
      </c>
      <c r="E273" s="24">
        <f t="shared" si="1"/>
        <v>2</v>
      </c>
      <c r="F273" s="24" t="s">
        <v>57</v>
      </c>
      <c r="G273" s="7" t="s">
        <v>68</v>
      </c>
      <c r="H273" s="7" t="s">
        <v>69</v>
      </c>
      <c r="I273" s="7" t="s">
        <v>50</v>
      </c>
      <c r="J273" s="25">
        <v>1237092.099375</v>
      </c>
    </row>
    <row r="274" spans="1:10" ht="14.25" customHeight="1" x14ac:dyDescent="0.25">
      <c r="A274" s="7" t="s">
        <v>44</v>
      </c>
      <c r="B274" s="7" t="s">
        <v>56</v>
      </c>
      <c r="C274" s="7" t="s">
        <v>46</v>
      </c>
      <c r="D274" s="23">
        <v>41699</v>
      </c>
      <c r="E274" s="24">
        <f t="shared" si="1"/>
        <v>3</v>
      </c>
      <c r="F274" s="24" t="s">
        <v>57</v>
      </c>
      <c r="G274" s="7" t="s">
        <v>68</v>
      </c>
      <c r="H274" s="7" t="s">
        <v>69</v>
      </c>
      <c r="I274" s="7" t="s">
        <v>50</v>
      </c>
      <c r="J274" s="25">
        <v>1234274.3050000002</v>
      </c>
    </row>
    <row r="275" spans="1:10" ht="14.25" customHeight="1" x14ac:dyDescent="0.25">
      <c r="A275" s="7" t="s">
        <v>44</v>
      </c>
      <c r="B275" s="7" t="s">
        <v>56</v>
      </c>
      <c r="C275" s="7" t="s">
        <v>46</v>
      </c>
      <c r="D275" s="23">
        <v>41730</v>
      </c>
      <c r="E275" s="24">
        <f t="shared" si="1"/>
        <v>4</v>
      </c>
      <c r="F275" s="24" t="s">
        <v>57</v>
      </c>
      <c r="G275" s="7" t="s">
        <v>68</v>
      </c>
      <c r="H275" s="7" t="s">
        <v>69</v>
      </c>
      <c r="I275" s="7" t="s">
        <v>50</v>
      </c>
      <c r="J275" s="25">
        <v>1236955.4071875</v>
      </c>
    </row>
    <row r="276" spans="1:10" ht="14.25" customHeight="1" x14ac:dyDescent="0.25">
      <c r="A276" s="7" t="s">
        <v>44</v>
      </c>
      <c r="B276" s="7" t="s">
        <v>56</v>
      </c>
      <c r="C276" s="7" t="s">
        <v>46</v>
      </c>
      <c r="D276" s="23">
        <v>41760</v>
      </c>
      <c r="E276" s="24">
        <f t="shared" si="1"/>
        <v>5</v>
      </c>
      <c r="F276" s="24" t="s">
        <v>57</v>
      </c>
      <c r="G276" s="7" t="s">
        <v>68</v>
      </c>
      <c r="H276" s="7" t="s">
        <v>69</v>
      </c>
      <c r="I276" s="7" t="s">
        <v>50</v>
      </c>
      <c r="J276" s="25">
        <v>1313506.1328125</v>
      </c>
    </row>
    <row r="277" spans="1:10" ht="14.25" customHeight="1" x14ac:dyDescent="0.25">
      <c r="A277" s="7" t="s">
        <v>44</v>
      </c>
      <c r="B277" s="7" t="s">
        <v>56</v>
      </c>
      <c r="C277" s="7" t="s">
        <v>46</v>
      </c>
      <c r="D277" s="23">
        <v>41791</v>
      </c>
      <c r="E277" s="24">
        <f t="shared" si="1"/>
        <v>6</v>
      </c>
      <c r="F277" s="24" t="s">
        <v>57</v>
      </c>
      <c r="G277" s="7" t="s">
        <v>68</v>
      </c>
      <c r="H277" s="7" t="s">
        <v>69</v>
      </c>
      <c r="I277" s="7" t="s">
        <v>50</v>
      </c>
      <c r="J277" s="25">
        <v>1497493.8790625001</v>
      </c>
    </row>
    <row r="278" spans="1:10" ht="14.25" customHeight="1" x14ac:dyDescent="0.25">
      <c r="A278" s="7" t="s">
        <v>44</v>
      </c>
      <c r="B278" s="7" t="s">
        <v>56</v>
      </c>
      <c r="C278" s="7" t="s">
        <v>54</v>
      </c>
      <c r="D278" s="23">
        <v>41456</v>
      </c>
      <c r="E278" s="24">
        <f t="shared" si="1"/>
        <v>7</v>
      </c>
      <c r="F278" s="24" t="s">
        <v>57</v>
      </c>
      <c r="G278" s="7" t="s">
        <v>58</v>
      </c>
      <c r="H278" s="7" t="s">
        <v>59</v>
      </c>
      <c r="I278" s="7" t="s">
        <v>50</v>
      </c>
      <c r="J278" s="25">
        <v>2533034.5131168002</v>
      </c>
    </row>
    <row r="279" spans="1:10" ht="14.25" customHeight="1" x14ac:dyDescent="0.25">
      <c r="A279" s="7" t="s">
        <v>44</v>
      </c>
      <c r="B279" s="7" t="s">
        <v>56</v>
      </c>
      <c r="C279" s="7" t="s">
        <v>54</v>
      </c>
      <c r="D279" s="23">
        <v>41487</v>
      </c>
      <c r="E279" s="24">
        <f t="shared" si="1"/>
        <v>8</v>
      </c>
      <c r="F279" s="24" t="s">
        <v>57</v>
      </c>
      <c r="G279" s="7" t="s">
        <v>58</v>
      </c>
      <c r="H279" s="7" t="s">
        <v>59</v>
      </c>
      <c r="I279" s="7" t="s">
        <v>50</v>
      </c>
      <c r="J279" s="25">
        <v>3051574.1625600001</v>
      </c>
    </row>
    <row r="280" spans="1:10" ht="14.25" customHeight="1" x14ac:dyDescent="0.25">
      <c r="A280" s="7" t="s">
        <v>44</v>
      </c>
      <c r="B280" s="7" t="s">
        <v>56</v>
      </c>
      <c r="C280" s="7" t="s">
        <v>54</v>
      </c>
      <c r="D280" s="23">
        <v>41518</v>
      </c>
      <c r="E280" s="24">
        <f t="shared" si="1"/>
        <v>9</v>
      </c>
      <c r="F280" s="24" t="s">
        <v>57</v>
      </c>
      <c r="G280" s="7" t="s">
        <v>58</v>
      </c>
      <c r="H280" s="7" t="s">
        <v>59</v>
      </c>
      <c r="I280" s="7" t="s">
        <v>50</v>
      </c>
      <c r="J280" s="25">
        <v>3084202.7580672004</v>
      </c>
    </row>
    <row r="281" spans="1:10" ht="14.25" customHeight="1" x14ac:dyDescent="0.25">
      <c r="A281" s="7" t="s">
        <v>44</v>
      </c>
      <c r="B281" s="7" t="s">
        <v>56</v>
      </c>
      <c r="C281" s="7" t="s">
        <v>54</v>
      </c>
      <c r="D281" s="23">
        <v>41548</v>
      </c>
      <c r="E281" s="24">
        <f t="shared" si="1"/>
        <v>10</v>
      </c>
      <c r="F281" s="24" t="s">
        <v>57</v>
      </c>
      <c r="G281" s="7" t="s">
        <v>58</v>
      </c>
      <c r="H281" s="7" t="s">
        <v>59</v>
      </c>
      <c r="I281" s="7" t="s">
        <v>50</v>
      </c>
      <c r="J281" s="25">
        <v>4135202.765971201</v>
      </c>
    </row>
    <row r="282" spans="1:10" ht="14.25" customHeight="1" x14ac:dyDescent="0.25">
      <c r="A282" s="7" t="s">
        <v>44</v>
      </c>
      <c r="B282" s="7" t="s">
        <v>56</v>
      </c>
      <c r="C282" s="7" t="s">
        <v>54</v>
      </c>
      <c r="D282" s="23">
        <v>41579</v>
      </c>
      <c r="E282" s="24">
        <f t="shared" si="1"/>
        <v>11</v>
      </c>
      <c r="F282" s="24" t="s">
        <v>57</v>
      </c>
      <c r="G282" s="7" t="s">
        <v>58</v>
      </c>
      <c r="H282" s="7" t="s">
        <v>59</v>
      </c>
      <c r="I282" s="7" t="s">
        <v>50</v>
      </c>
      <c r="J282" s="25">
        <v>4473275.8948415993</v>
      </c>
    </row>
    <row r="283" spans="1:10" ht="14.25" customHeight="1" x14ac:dyDescent="0.25">
      <c r="A283" s="7" t="s">
        <v>44</v>
      </c>
      <c r="B283" s="7" t="s">
        <v>56</v>
      </c>
      <c r="C283" s="7" t="s">
        <v>54</v>
      </c>
      <c r="D283" s="23">
        <v>41609</v>
      </c>
      <c r="E283" s="24">
        <f t="shared" si="1"/>
        <v>12</v>
      </c>
      <c r="F283" s="24" t="s">
        <v>57</v>
      </c>
      <c r="G283" s="7" t="s">
        <v>58</v>
      </c>
      <c r="H283" s="7" t="s">
        <v>59</v>
      </c>
      <c r="I283" s="7" t="s">
        <v>50</v>
      </c>
      <c r="J283" s="25">
        <v>3464957.9260800011</v>
      </c>
    </row>
    <row r="284" spans="1:10" ht="14.25" customHeight="1" x14ac:dyDescent="0.25">
      <c r="A284" s="7" t="s">
        <v>44</v>
      </c>
      <c r="B284" s="7" t="s">
        <v>56</v>
      </c>
      <c r="C284" s="7" t="s">
        <v>54</v>
      </c>
      <c r="D284" s="23">
        <v>41640</v>
      </c>
      <c r="E284" s="24">
        <f t="shared" si="1"/>
        <v>1</v>
      </c>
      <c r="F284" s="24" t="s">
        <v>57</v>
      </c>
      <c r="G284" s="7" t="s">
        <v>58</v>
      </c>
      <c r="H284" s="7" t="s">
        <v>59</v>
      </c>
      <c r="I284" s="7" t="s">
        <v>50</v>
      </c>
      <c r="J284" s="25">
        <v>4049642.8266000003</v>
      </c>
    </row>
    <row r="285" spans="1:10" ht="14.25" customHeight="1" x14ac:dyDescent="0.25">
      <c r="A285" s="7" t="s">
        <v>44</v>
      </c>
      <c r="B285" s="7" t="s">
        <v>56</v>
      </c>
      <c r="C285" s="7" t="s">
        <v>54</v>
      </c>
      <c r="D285" s="23">
        <v>41671</v>
      </c>
      <c r="E285" s="24">
        <f t="shared" si="1"/>
        <v>2</v>
      </c>
      <c r="F285" s="24" t="s">
        <v>57</v>
      </c>
      <c r="G285" s="7" t="s">
        <v>58</v>
      </c>
      <c r="H285" s="7" t="s">
        <v>59</v>
      </c>
      <c r="I285" s="7" t="s">
        <v>50</v>
      </c>
      <c r="J285" s="25">
        <v>4767948.2214000002</v>
      </c>
    </row>
    <row r="286" spans="1:10" ht="14.25" customHeight="1" x14ac:dyDescent="0.25">
      <c r="A286" s="7" t="s">
        <v>44</v>
      </c>
      <c r="B286" s="7" t="s">
        <v>56</v>
      </c>
      <c r="C286" s="7" t="s">
        <v>54</v>
      </c>
      <c r="D286" s="23">
        <v>41699</v>
      </c>
      <c r="E286" s="24">
        <f t="shared" si="1"/>
        <v>3</v>
      </c>
      <c r="F286" s="24" t="s">
        <v>57</v>
      </c>
      <c r="G286" s="7" t="s">
        <v>58</v>
      </c>
      <c r="H286" s="7" t="s">
        <v>59</v>
      </c>
      <c r="I286" s="7" t="s">
        <v>50</v>
      </c>
      <c r="J286" s="25">
        <v>4346722.8083999995</v>
      </c>
    </row>
    <row r="287" spans="1:10" ht="14.25" customHeight="1" x14ac:dyDescent="0.25">
      <c r="A287" s="7" t="s">
        <v>44</v>
      </c>
      <c r="B287" s="7" t="s">
        <v>56</v>
      </c>
      <c r="C287" s="7" t="s">
        <v>54</v>
      </c>
      <c r="D287" s="23">
        <v>41730</v>
      </c>
      <c r="E287" s="24">
        <f t="shared" si="1"/>
        <v>4</v>
      </c>
      <c r="F287" s="24" t="s">
        <v>57</v>
      </c>
      <c r="G287" s="7" t="s">
        <v>58</v>
      </c>
      <c r="H287" s="7" t="s">
        <v>59</v>
      </c>
      <c r="I287" s="7" t="s">
        <v>50</v>
      </c>
      <c r="J287" s="25">
        <v>4671541.1274000006</v>
      </c>
    </row>
    <row r="288" spans="1:10" ht="14.25" customHeight="1" x14ac:dyDescent="0.25">
      <c r="A288" s="7" t="s">
        <v>44</v>
      </c>
      <c r="B288" s="7" t="s">
        <v>56</v>
      </c>
      <c r="C288" s="7" t="s">
        <v>54</v>
      </c>
      <c r="D288" s="23">
        <v>41760</v>
      </c>
      <c r="E288" s="24">
        <f t="shared" si="1"/>
        <v>5</v>
      </c>
      <c r="F288" s="24" t="s">
        <v>57</v>
      </c>
      <c r="G288" s="7" t="s">
        <v>58</v>
      </c>
      <c r="H288" s="7" t="s">
        <v>59</v>
      </c>
      <c r="I288" s="7" t="s">
        <v>50</v>
      </c>
      <c r="J288" s="25">
        <v>5478104.6040000012</v>
      </c>
    </row>
    <row r="289" spans="1:10" ht="14.25" customHeight="1" x14ac:dyDescent="0.25">
      <c r="A289" s="7" t="s">
        <v>44</v>
      </c>
      <c r="B289" s="7" t="s">
        <v>56</v>
      </c>
      <c r="C289" s="7" t="s">
        <v>54</v>
      </c>
      <c r="D289" s="23">
        <v>41791</v>
      </c>
      <c r="E289" s="24">
        <f t="shared" si="1"/>
        <v>6</v>
      </c>
      <c r="F289" s="24" t="s">
        <v>57</v>
      </c>
      <c r="G289" s="7" t="s">
        <v>58</v>
      </c>
      <c r="H289" s="7" t="s">
        <v>59</v>
      </c>
      <c r="I289" s="7" t="s">
        <v>50</v>
      </c>
      <c r="J289" s="25">
        <v>2269805.1667200001</v>
      </c>
    </row>
    <row r="290" spans="1:10" ht="14.25" customHeight="1" x14ac:dyDescent="0.25">
      <c r="A290" s="7" t="s">
        <v>44</v>
      </c>
      <c r="B290" s="7" t="s">
        <v>56</v>
      </c>
      <c r="C290" s="7" t="s">
        <v>54</v>
      </c>
      <c r="D290" s="23">
        <v>41456</v>
      </c>
      <c r="E290" s="24">
        <f t="shared" si="1"/>
        <v>7</v>
      </c>
      <c r="F290" s="24" t="s">
        <v>57</v>
      </c>
      <c r="G290" s="7" t="s">
        <v>60</v>
      </c>
      <c r="H290" s="7" t="s">
        <v>61</v>
      </c>
      <c r="I290" s="7" t="s">
        <v>50</v>
      </c>
      <c r="J290" s="25">
        <v>1266517.2565584001</v>
      </c>
    </row>
    <row r="291" spans="1:10" ht="14.25" customHeight="1" x14ac:dyDescent="0.25">
      <c r="A291" s="7" t="s">
        <v>44</v>
      </c>
      <c r="B291" s="7" t="s">
        <v>56</v>
      </c>
      <c r="C291" s="7" t="s">
        <v>54</v>
      </c>
      <c r="D291" s="23">
        <v>41487</v>
      </c>
      <c r="E291" s="24">
        <f t="shared" si="1"/>
        <v>8</v>
      </c>
      <c r="F291" s="24" t="s">
        <v>57</v>
      </c>
      <c r="G291" s="7" t="s">
        <v>60</v>
      </c>
      <c r="H291" s="7" t="s">
        <v>61</v>
      </c>
      <c r="I291" s="7" t="s">
        <v>50</v>
      </c>
      <c r="J291" s="25">
        <v>1525787.08128</v>
      </c>
    </row>
    <row r="292" spans="1:10" ht="14.25" customHeight="1" x14ac:dyDescent="0.25">
      <c r="A292" s="7" t="s">
        <v>44</v>
      </c>
      <c r="B292" s="7" t="s">
        <v>56</v>
      </c>
      <c r="C292" s="7" t="s">
        <v>54</v>
      </c>
      <c r="D292" s="23">
        <v>41518</v>
      </c>
      <c r="E292" s="24">
        <f t="shared" si="1"/>
        <v>9</v>
      </c>
      <c r="F292" s="24" t="s">
        <v>57</v>
      </c>
      <c r="G292" s="7" t="s">
        <v>60</v>
      </c>
      <c r="H292" s="7" t="s">
        <v>61</v>
      </c>
      <c r="I292" s="7" t="s">
        <v>50</v>
      </c>
      <c r="J292" s="25">
        <v>1542101.3790336002</v>
      </c>
    </row>
    <row r="293" spans="1:10" ht="14.25" customHeight="1" x14ac:dyDescent="0.25">
      <c r="A293" s="7" t="s">
        <v>44</v>
      </c>
      <c r="B293" s="7" t="s">
        <v>56</v>
      </c>
      <c r="C293" s="7" t="s">
        <v>54</v>
      </c>
      <c r="D293" s="23">
        <v>41548</v>
      </c>
      <c r="E293" s="24">
        <f t="shared" si="1"/>
        <v>10</v>
      </c>
      <c r="F293" s="24" t="s">
        <v>57</v>
      </c>
      <c r="G293" s="7" t="s">
        <v>60</v>
      </c>
      <c r="H293" s="7" t="s">
        <v>61</v>
      </c>
      <c r="I293" s="7" t="s">
        <v>50</v>
      </c>
      <c r="J293" s="25">
        <v>2067601.3829856005</v>
      </c>
    </row>
    <row r="294" spans="1:10" ht="14.25" customHeight="1" x14ac:dyDescent="0.25">
      <c r="A294" s="7" t="s">
        <v>44</v>
      </c>
      <c r="B294" s="7" t="s">
        <v>56</v>
      </c>
      <c r="C294" s="7" t="s">
        <v>54</v>
      </c>
      <c r="D294" s="23">
        <v>41579</v>
      </c>
      <c r="E294" s="24">
        <f t="shared" si="1"/>
        <v>11</v>
      </c>
      <c r="F294" s="24" t="s">
        <v>57</v>
      </c>
      <c r="G294" s="7" t="s">
        <v>60</v>
      </c>
      <c r="H294" s="7" t="s">
        <v>61</v>
      </c>
      <c r="I294" s="7" t="s">
        <v>50</v>
      </c>
      <c r="J294" s="25">
        <v>2236637.9474207996</v>
      </c>
    </row>
    <row r="295" spans="1:10" ht="14.25" customHeight="1" x14ac:dyDescent="0.25">
      <c r="A295" s="7" t="s">
        <v>44</v>
      </c>
      <c r="B295" s="7" t="s">
        <v>56</v>
      </c>
      <c r="C295" s="7" t="s">
        <v>54</v>
      </c>
      <c r="D295" s="23">
        <v>41609</v>
      </c>
      <c r="E295" s="24">
        <f t="shared" si="1"/>
        <v>12</v>
      </c>
      <c r="F295" s="24" t="s">
        <v>57</v>
      </c>
      <c r="G295" s="7" t="s">
        <v>60</v>
      </c>
      <c r="H295" s="7" t="s">
        <v>61</v>
      </c>
      <c r="I295" s="7" t="s">
        <v>50</v>
      </c>
      <c r="J295" s="25">
        <v>1732478.9630400005</v>
      </c>
    </row>
    <row r="296" spans="1:10" ht="14.25" customHeight="1" x14ac:dyDescent="0.25">
      <c r="A296" s="7" t="s">
        <v>44</v>
      </c>
      <c r="B296" s="7" t="s">
        <v>56</v>
      </c>
      <c r="C296" s="7" t="s">
        <v>54</v>
      </c>
      <c r="D296" s="23">
        <v>41640</v>
      </c>
      <c r="E296" s="24">
        <f t="shared" si="1"/>
        <v>1</v>
      </c>
      <c r="F296" s="24" t="s">
        <v>57</v>
      </c>
      <c r="G296" s="7" t="s">
        <v>60</v>
      </c>
      <c r="H296" s="7" t="s">
        <v>61</v>
      </c>
      <c r="I296" s="7" t="s">
        <v>50</v>
      </c>
      <c r="J296" s="25">
        <v>2024821.4133000001</v>
      </c>
    </row>
    <row r="297" spans="1:10" ht="14.25" customHeight="1" x14ac:dyDescent="0.25">
      <c r="A297" s="7" t="s">
        <v>44</v>
      </c>
      <c r="B297" s="7" t="s">
        <v>56</v>
      </c>
      <c r="C297" s="7" t="s">
        <v>54</v>
      </c>
      <c r="D297" s="23">
        <v>41671</v>
      </c>
      <c r="E297" s="24">
        <f t="shared" si="1"/>
        <v>2</v>
      </c>
      <c r="F297" s="24" t="s">
        <v>57</v>
      </c>
      <c r="G297" s="7" t="s">
        <v>60</v>
      </c>
      <c r="H297" s="7" t="s">
        <v>61</v>
      </c>
      <c r="I297" s="7" t="s">
        <v>50</v>
      </c>
      <c r="J297" s="25">
        <v>2383974.1107000001</v>
      </c>
    </row>
    <row r="298" spans="1:10" ht="14.25" customHeight="1" x14ac:dyDescent="0.25">
      <c r="A298" s="7" t="s">
        <v>44</v>
      </c>
      <c r="B298" s="7" t="s">
        <v>56</v>
      </c>
      <c r="C298" s="7" t="s">
        <v>54</v>
      </c>
      <c r="D298" s="23">
        <v>41699</v>
      </c>
      <c r="E298" s="24">
        <f t="shared" si="1"/>
        <v>3</v>
      </c>
      <c r="F298" s="24" t="s">
        <v>57</v>
      </c>
      <c r="G298" s="7" t="s">
        <v>60</v>
      </c>
      <c r="H298" s="7" t="s">
        <v>61</v>
      </c>
      <c r="I298" s="7" t="s">
        <v>50</v>
      </c>
      <c r="J298" s="25">
        <v>2173361.4041999998</v>
      </c>
    </row>
    <row r="299" spans="1:10" ht="14.25" customHeight="1" x14ac:dyDescent="0.25">
      <c r="A299" s="7" t="s">
        <v>44</v>
      </c>
      <c r="B299" s="7" t="s">
        <v>56</v>
      </c>
      <c r="C299" s="7" t="s">
        <v>54</v>
      </c>
      <c r="D299" s="23">
        <v>41730</v>
      </c>
      <c r="E299" s="24">
        <f t="shared" si="1"/>
        <v>4</v>
      </c>
      <c r="F299" s="24" t="s">
        <v>57</v>
      </c>
      <c r="G299" s="7" t="s">
        <v>60</v>
      </c>
      <c r="H299" s="7" t="s">
        <v>61</v>
      </c>
      <c r="I299" s="7" t="s">
        <v>50</v>
      </c>
      <c r="J299" s="25">
        <v>2335770.5637000003</v>
      </c>
    </row>
    <row r="300" spans="1:10" ht="14.25" customHeight="1" x14ac:dyDescent="0.25">
      <c r="A300" s="7" t="s">
        <v>44</v>
      </c>
      <c r="B300" s="7" t="s">
        <v>56</v>
      </c>
      <c r="C300" s="7" t="s">
        <v>54</v>
      </c>
      <c r="D300" s="23">
        <v>41760</v>
      </c>
      <c r="E300" s="24">
        <f t="shared" si="1"/>
        <v>5</v>
      </c>
      <c r="F300" s="24" t="s">
        <v>57</v>
      </c>
      <c r="G300" s="7" t="s">
        <v>60</v>
      </c>
      <c r="H300" s="7" t="s">
        <v>61</v>
      </c>
      <c r="I300" s="7" t="s">
        <v>50</v>
      </c>
      <c r="J300" s="25">
        <v>2739052.3020000006</v>
      </c>
    </row>
    <row r="301" spans="1:10" ht="14.25" customHeight="1" x14ac:dyDescent="0.25">
      <c r="A301" s="7" t="s">
        <v>44</v>
      </c>
      <c r="B301" s="7" t="s">
        <v>56</v>
      </c>
      <c r="C301" s="7" t="s">
        <v>54</v>
      </c>
      <c r="D301" s="23">
        <v>41791</v>
      </c>
      <c r="E301" s="24">
        <f t="shared" si="1"/>
        <v>6</v>
      </c>
      <c r="F301" s="24" t="s">
        <v>57</v>
      </c>
      <c r="G301" s="7" t="s">
        <v>60</v>
      </c>
      <c r="H301" s="7" t="s">
        <v>61</v>
      </c>
      <c r="I301" s="7" t="s">
        <v>50</v>
      </c>
      <c r="J301" s="25">
        <v>1134902.58336</v>
      </c>
    </row>
    <row r="302" spans="1:10" ht="14.25" customHeight="1" x14ac:dyDescent="0.25">
      <c r="A302" s="7" t="s">
        <v>44</v>
      </c>
      <c r="B302" s="7" t="s">
        <v>56</v>
      </c>
      <c r="C302" s="7" t="s">
        <v>54</v>
      </c>
      <c r="D302" s="23">
        <v>41456</v>
      </c>
      <c r="E302" s="24">
        <f t="shared" si="1"/>
        <v>7</v>
      </c>
      <c r="F302" s="24" t="s">
        <v>57</v>
      </c>
      <c r="G302" s="7" t="s">
        <v>60</v>
      </c>
      <c r="H302" s="7" t="s">
        <v>62</v>
      </c>
      <c r="I302" s="7" t="s">
        <v>50</v>
      </c>
      <c r="J302" s="25">
        <v>1055431.0471320001</v>
      </c>
    </row>
    <row r="303" spans="1:10" ht="14.25" customHeight="1" x14ac:dyDescent="0.25">
      <c r="A303" s="7" t="s">
        <v>44</v>
      </c>
      <c r="B303" s="7" t="s">
        <v>56</v>
      </c>
      <c r="C303" s="7" t="s">
        <v>54</v>
      </c>
      <c r="D303" s="23">
        <v>41487</v>
      </c>
      <c r="E303" s="24">
        <f t="shared" si="1"/>
        <v>8</v>
      </c>
      <c r="F303" s="24" t="s">
        <v>57</v>
      </c>
      <c r="G303" s="7" t="s">
        <v>60</v>
      </c>
      <c r="H303" s="7" t="s">
        <v>62</v>
      </c>
      <c r="I303" s="7" t="s">
        <v>50</v>
      </c>
      <c r="J303" s="25">
        <v>1271489.2344000002</v>
      </c>
    </row>
    <row r="304" spans="1:10" ht="14.25" customHeight="1" x14ac:dyDescent="0.25">
      <c r="A304" s="7" t="s">
        <v>44</v>
      </c>
      <c r="B304" s="7" t="s">
        <v>56</v>
      </c>
      <c r="C304" s="7" t="s">
        <v>54</v>
      </c>
      <c r="D304" s="23">
        <v>41518</v>
      </c>
      <c r="E304" s="24">
        <f t="shared" si="1"/>
        <v>9</v>
      </c>
      <c r="F304" s="24" t="s">
        <v>57</v>
      </c>
      <c r="G304" s="7" t="s">
        <v>60</v>
      </c>
      <c r="H304" s="7" t="s">
        <v>62</v>
      </c>
      <c r="I304" s="7" t="s">
        <v>50</v>
      </c>
      <c r="J304" s="25">
        <v>1285084.4825280001</v>
      </c>
    </row>
    <row r="305" spans="1:10" ht="14.25" customHeight="1" x14ac:dyDescent="0.25">
      <c r="A305" s="7" t="s">
        <v>44</v>
      </c>
      <c r="B305" s="7" t="s">
        <v>56</v>
      </c>
      <c r="C305" s="7" t="s">
        <v>54</v>
      </c>
      <c r="D305" s="23">
        <v>41548</v>
      </c>
      <c r="E305" s="24">
        <f t="shared" si="1"/>
        <v>10</v>
      </c>
      <c r="F305" s="24" t="s">
        <v>57</v>
      </c>
      <c r="G305" s="7" t="s">
        <v>60</v>
      </c>
      <c r="H305" s="7" t="s">
        <v>62</v>
      </c>
      <c r="I305" s="7" t="s">
        <v>50</v>
      </c>
      <c r="J305" s="25">
        <v>1723001.1524880002</v>
      </c>
    </row>
    <row r="306" spans="1:10" ht="14.25" customHeight="1" x14ac:dyDescent="0.25">
      <c r="A306" s="7" t="s">
        <v>44</v>
      </c>
      <c r="B306" s="7" t="s">
        <v>56</v>
      </c>
      <c r="C306" s="7" t="s">
        <v>54</v>
      </c>
      <c r="D306" s="23">
        <v>41579</v>
      </c>
      <c r="E306" s="24">
        <f t="shared" si="1"/>
        <v>11</v>
      </c>
      <c r="F306" s="24" t="s">
        <v>57</v>
      </c>
      <c r="G306" s="7" t="s">
        <v>60</v>
      </c>
      <c r="H306" s="7" t="s">
        <v>62</v>
      </c>
      <c r="I306" s="7" t="s">
        <v>50</v>
      </c>
      <c r="J306" s="25">
        <v>1863864.9561839998</v>
      </c>
    </row>
    <row r="307" spans="1:10" ht="14.25" customHeight="1" x14ac:dyDescent="0.25">
      <c r="A307" s="7" t="s">
        <v>44</v>
      </c>
      <c r="B307" s="7" t="s">
        <v>56</v>
      </c>
      <c r="C307" s="7" t="s">
        <v>54</v>
      </c>
      <c r="D307" s="23">
        <v>41609</v>
      </c>
      <c r="E307" s="24">
        <f t="shared" si="1"/>
        <v>12</v>
      </c>
      <c r="F307" s="24" t="s">
        <v>57</v>
      </c>
      <c r="G307" s="7" t="s">
        <v>60</v>
      </c>
      <c r="H307" s="7" t="s">
        <v>62</v>
      </c>
      <c r="I307" s="7" t="s">
        <v>50</v>
      </c>
      <c r="J307" s="25">
        <v>1443732.4692000004</v>
      </c>
    </row>
    <row r="308" spans="1:10" ht="14.25" customHeight="1" x14ac:dyDescent="0.25">
      <c r="A308" s="7" t="s">
        <v>44</v>
      </c>
      <c r="B308" s="7" t="s">
        <v>56</v>
      </c>
      <c r="C308" s="7" t="s">
        <v>54</v>
      </c>
      <c r="D308" s="23">
        <v>41640</v>
      </c>
      <c r="E308" s="24">
        <f t="shared" si="1"/>
        <v>1</v>
      </c>
      <c r="F308" s="24" t="s">
        <v>57</v>
      </c>
      <c r="G308" s="7" t="s">
        <v>60</v>
      </c>
      <c r="H308" s="7" t="s">
        <v>62</v>
      </c>
      <c r="I308" s="7" t="s">
        <v>50</v>
      </c>
      <c r="J308" s="25">
        <v>1687351.1777500003</v>
      </c>
    </row>
    <row r="309" spans="1:10" ht="14.25" customHeight="1" x14ac:dyDescent="0.25">
      <c r="A309" s="7" t="s">
        <v>44</v>
      </c>
      <c r="B309" s="7" t="s">
        <v>56</v>
      </c>
      <c r="C309" s="7" t="s">
        <v>54</v>
      </c>
      <c r="D309" s="23">
        <v>41671</v>
      </c>
      <c r="E309" s="24">
        <f t="shared" si="1"/>
        <v>2</v>
      </c>
      <c r="F309" s="24" t="s">
        <v>57</v>
      </c>
      <c r="G309" s="7" t="s">
        <v>60</v>
      </c>
      <c r="H309" s="7" t="s">
        <v>62</v>
      </c>
      <c r="I309" s="7" t="s">
        <v>50</v>
      </c>
      <c r="J309" s="25">
        <v>1986645.0922500002</v>
      </c>
    </row>
    <row r="310" spans="1:10" ht="14.25" customHeight="1" x14ac:dyDescent="0.25">
      <c r="A310" s="7" t="s">
        <v>44</v>
      </c>
      <c r="B310" s="7" t="s">
        <v>56</v>
      </c>
      <c r="C310" s="7" t="s">
        <v>54</v>
      </c>
      <c r="D310" s="23">
        <v>41699</v>
      </c>
      <c r="E310" s="24">
        <f t="shared" si="1"/>
        <v>3</v>
      </c>
      <c r="F310" s="24" t="s">
        <v>57</v>
      </c>
      <c r="G310" s="7" t="s">
        <v>60</v>
      </c>
      <c r="H310" s="7" t="s">
        <v>62</v>
      </c>
      <c r="I310" s="7" t="s">
        <v>50</v>
      </c>
      <c r="J310" s="25">
        <v>1811134.5035000001</v>
      </c>
    </row>
    <row r="311" spans="1:10" ht="14.25" customHeight="1" x14ac:dyDescent="0.25">
      <c r="A311" s="7" t="s">
        <v>44</v>
      </c>
      <c r="B311" s="7" t="s">
        <v>56</v>
      </c>
      <c r="C311" s="7" t="s">
        <v>54</v>
      </c>
      <c r="D311" s="23">
        <v>41730</v>
      </c>
      <c r="E311" s="24">
        <f t="shared" si="1"/>
        <v>4</v>
      </c>
      <c r="F311" s="24" t="s">
        <v>57</v>
      </c>
      <c r="G311" s="7" t="s">
        <v>60</v>
      </c>
      <c r="H311" s="7" t="s">
        <v>62</v>
      </c>
      <c r="I311" s="7" t="s">
        <v>50</v>
      </c>
      <c r="J311" s="25">
        <v>1946475.4697500004</v>
      </c>
    </row>
    <row r="312" spans="1:10" ht="14.25" customHeight="1" x14ac:dyDescent="0.25">
      <c r="A312" s="7" t="s">
        <v>44</v>
      </c>
      <c r="B312" s="7" t="s">
        <v>56</v>
      </c>
      <c r="C312" s="7" t="s">
        <v>54</v>
      </c>
      <c r="D312" s="23">
        <v>41760</v>
      </c>
      <c r="E312" s="24">
        <f t="shared" si="1"/>
        <v>5</v>
      </c>
      <c r="F312" s="24" t="s">
        <v>57</v>
      </c>
      <c r="G312" s="7" t="s">
        <v>60</v>
      </c>
      <c r="H312" s="7" t="s">
        <v>62</v>
      </c>
      <c r="I312" s="7" t="s">
        <v>50</v>
      </c>
      <c r="J312" s="25">
        <v>2282543.5850000004</v>
      </c>
    </row>
    <row r="313" spans="1:10" ht="14.25" customHeight="1" x14ac:dyDescent="0.25">
      <c r="A313" s="7" t="s">
        <v>44</v>
      </c>
      <c r="B313" s="7" t="s">
        <v>56</v>
      </c>
      <c r="C313" s="7" t="s">
        <v>54</v>
      </c>
      <c r="D313" s="23">
        <v>41791</v>
      </c>
      <c r="E313" s="24">
        <f t="shared" si="1"/>
        <v>6</v>
      </c>
      <c r="F313" s="24" t="s">
        <v>57</v>
      </c>
      <c r="G313" s="7" t="s">
        <v>60</v>
      </c>
      <c r="H313" s="7" t="s">
        <v>62</v>
      </c>
      <c r="I313" s="7" t="s">
        <v>50</v>
      </c>
      <c r="J313" s="25">
        <v>945752.15280000004</v>
      </c>
    </row>
    <row r="314" spans="1:10" ht="14.25" customHeight="1" x14ac:dyDescent="0.25">
      <c r="A314" s="7" t="s">
        <v>44</v>
      </c>
      <c r="B314" s="7" t="s">
        <v>56</v>
      </c>
      <c r="C314" s="7" t="s">
        <v>54</v>
      </c>
      <c r="D314" s="23">
        <v>41456</v>
      </c>
      <c r="E314" s="24">
        <f t="shared" si="1"/>
        <v>7</v>
      </c>
      <c r="F314" s="24" t="s">
        <v>57</v>
      </c>
      <c r="G314" s="7" t="s">
        <v>63</v>
      </c>
      <c r="H314" s="7" t="s">
        <v>64</v>
      </c>
      <c r="I314" s="7" t="s">
        <v>50</v>
      </c>
      <c r="J314" s="25">
        <v>996326.908492608</v>
      </c>
    </row>
    <row r="315" spans="1:10" ht="14.25" customHeight="1" x14ac:dyDescent="0.25">
      <c r="A315" s="7" t="s">
        <v>44</v>
      </c>
      <c r="B315" s="7" t="s">
        <v>56</v>
      </c>
      <c r="C315" s="7" t="s">
        <v>54</v>
      </c>
      <c r="D315" s="23">
        <v>41487</v>
      </c>
      <c r="E315" s="24">
        <f t="shared" si="1"/>
        <v>8</v>
      </c>
      <c r="F315" s="24" t="s">
        <v>57</v>
      </c>
      <c r="G315" s="7" t="s">
        <v>63</v>
      </c>
      <c r="H315" s="7" t="s">
        <v>64</v>
      </c>
      <c r="I315" s="7" t="s">
        <v>50</v>
      </c>
      <c r="J315" s="25">
        <v>1200285.8372736</v>
      </c>
    </row>
    <row r="316" spans="1:10" ht="14.25" customHeight="1" x14ac:dyDescent="0.25">
      <c r="A316" s="7" t="s">
        <v>44</v>
      </c>
      <c r="B316" s="7" t="s">
        <v>56</v>
      </c>
      <c r="C316" s="7" t="s">
        <v>54</v>
      </c>
      <c r="D316" s="23">
        <v>41518</v>
      </c>
      <c r="E316" s="24">
        <f t="shared" si="1"/>
        <v>9</v>
      </c>
      <c r="F316" s="24" t="s">
        <v>57</v>
      </c>
      <c r="G316" s="7" t="s">
        <v>63</v>
      </c>
      <c r="H316" s="7" t="s">
        <v>64</v>
      </c>
      <c r="I316" s="7" t="s">
        <v>50</v>
      </c>
      <c r="J316" s="25">
        <v>1213119.7515064322</v>
      </c>
    </row>
    <row r="317" spans="1:10" ht="14.25" customHeight="1" x14ac:dyDescent="0.25">
      <c r="A317" s="7" t="s">
        <v>44</v>
      </c>
      <c r="B317" s="7" t="s">
        <v>56</v>
      </c>
      <c r="C317" s="7" t="s">
        <v>54</v>
      </c>
      <c r="D317" s="23">
        <v>41548</v>
      </c>
      <c r="E317" s="24">
        <f t="shared" si="1"/>
        <v>10</v>
      </c>
      <c r="F317" s="24" t="s">
        <v>57</v>
      </c>
      <c r="G317" s="7" t="s">
        <v>63</v>
      </c>
      <c r="H317" s="7" t="s">
        <v>64</v>
      </c>
      <c r="I317" s="7" t="s">
        <v>50</v>
      </c>
      <c r="J317" s="25">
        <v>1626513.0879486722</v>
      </c>
    </row>
    <row r="318" spans="1:10" ht="14.25" customHeight="1" x14ac:dyDescent="0.25">
      <c r="A318" s="7" t="s">
        <v>44</v>
      </c>
      <c r="B318" s="7" t="s">
        <v>56</v>
      </c>
      <c r="C318" s="7" t="s">
        <v>54</v>
      </c>
      <c r="D318" s="23">
        <v>41579</v>
      </c>
      <c r="E318" s="24">
        <f t="shared" si="1"/>
        <v>11</v>
      </c>
      <c r="F318" s="24" t="s">
        <v>57</v>
      </c>
      <c r="G318" s="7" t="s">
        <v>63</v>
      </c>
      <c r="H318" s="7" t="s">
        <v>64</v>
      </c>
      <c r="I318" s="7" t="s">
        <v>50</v>
      </c>
      <c r="J318" s="25">
        <v>1759488.5186376958</v>
      </c>
    </row>
    <row r="319" spans="1:10" ht="14.25" customHeight="1" x14ac:dyDescent="0.25">
      <c r="A319" s="7" t="s">
        <v>44</v>
      </c>
      <c r="B319" s="7" t="s">
        <v>56</v>
      </c>
      <c r="C319" s="7" t="s">
        <v>54</v>
      </c>
      <c r="D319" s="23">
        <v>41609</v>
      </c>
      <c r="E319" s="24">
        <f t="shared" si="1"/>
        <v>12</v>
      </c>
      <c r="F319" s="24" t="s">
        <v>57</v>
      </c>
      <c r="G319" s="7" t="s">
        <v>63</v>
      </c>
      <c r="H319" s="7" t="s">
        <v>64</v>
      </c>
      <c r="I319" s="7" t="s">
        <v>50</v>
      </c>
      <c r="J319" s="25">
        <v>1362883.4509248002</v>
      </c>
    </row>
    <row r="320" spans="1:10" ht="14.25" customHeight="1" x14ac:dyDescent="0.25">
      <c r="A320" s="7" t="s">
        <v>44</v>
      </c>
      <c r="B320" s="7" t="s">
        <v>56</v>
      </c>
      <c r="C320" s="7" t="s">
        <v>54</v>
      </c>
      <c r="D320" s="23">
        <v>41640</v>
      </c>
      <c r="E320" s="24">
        <f t="shared" si="1"/>
        <v>1</v>
      </c>
      <c r="F320" s="24" t="s">
        <v>57</v>
      </c>
      <c r="G320" s="7" t="s">
        <v>63</v>
      </c>
      <c r="H320" s="7" t="s">
        <v>64</v>
      </c>
      <c r="I320" s="7" t="s">
        <v>50</v>
      </c>
      <c r="J320" s="25">
        <v>1592859.5117959999</v>
      </c>
    </row>
    <row r="321" spans="1:10" ht="14.25" customHeight="1" x14ac:dyDescent="0.25">
      <c r="A321" s="7" t="s">
        <v>44</v>
      </c>
      <c r="B321" s="7" t="s">
        <v>56</v>
      </c>
      <c r="C321" s="7" t="s">
        <v>54</v>
      </c>
      <c r="D321" s="23">
        <v>41671</v>
      </c>
      <c r="E321" s="24">
        <f t="shared" si="1"/>
        <v>2</v>
      </c>
      <c r="F321" s="24" t="s">
        <v>57</v>
      </c>
      <c r="G321" s="7" t="s">
        <v>63</v>
      </c>
      <c r="H321" s="7" t="s">
        <v>64</v>
      </c>
      <c r="I321" s="7" t="s">
        <v>50</v>
      </c>
      <c r="J321" s="25">
        <v>1875392.9670840001</v>
      </c>
    </row>
    <row r="322" spans="1:10" ht="14.25" customHeight="1" x14ac:dyDescent="0.25">
      <c r="A322" s="7" t="s">
        <v>44</v>
      </c>
      <c r="B322" s="7" t="s">
        <v>56</v>
      </c>
      <c r="C322" s="7" t="s">
        <v>54</v>
      </c>
      <c r="D322" s="23">
        <v>41699</v>
      </c>
      <c r="E322" s="24">
        <f t="shared" si="1"/>
        <v>3</v>
      </c>
      <c r="F322" s="24" t="s">
        <v>57</v>
      </c>
      <c r="G322" s="7" t="s">
        <v>63</v>
      </c>
      <c r="H322" s="7" t="s">
        <v>64</v>
      </c>
      <c r="I322" s="7" t="s">
        <v>50</v>
      </c>
      <c r="J322" s="25">
        <v>1709710.9713039999</v>
      </c>
    </row>
    <row r="323" spans="1:10" ht="14.25" customHeight="1" x14ac:dyDescent="0.25">
      <c r="A323" s="7" t="s">
        <v>44</v>
      </c>
      <c r="B323" s="7" t="s">
        <v>56</v>
      </c>
      <c r="C323" s="7" t="s">
        <v>54</v>
      </c>
      <c r="D323" s="23">
        <v>41730</v>
      </c>
      <c r="E323" s="24">
        <f t="shared" si="1"/>
        <v>4</v>
      </c>
      <c r="F323" s="24" t="s">
        <v>57</v>
      </c>
      <c r="G323" s="7" t="s">
        <v>63</v>
      </c>
      <c r="H323" s="7" t="s">
        <v>64</v>
      </c>
      <c r="I323" s="7" t="s">
        <v>50</v>
      </c>
      <c r="J323" s="25">
        <v>1837472.8434440002</v>
      </c>
    </row>
    <row r="324" spans="1:10" ht="14.25" customHeight="1" x14ac:dyDescent="0.25">
      <c r="A324" s="7" t="s">
        <v>44</v>
      </c>
      <c r="B324" s="7" t="s">
        <v>56</v>
      </c>
      <c r="C324" s="7" t="s">
        <v>54</v>
      </c>
      <c r="D324" s="23">
        <v>41760</v>
      </c>
      <c r="E324" s="24">
        <f t="shared" si="1"/>
        <v>5</v>
      </c>
      <c r="F324" s="24" t="s">
        <v>57</v>
      </c>
      <c r="G324" s="7" t="s">
        <v>63</v>
      </c>
      <c r="H324" s="7" t="s">
        <v>64</v>
      </c>
      <c r="I324" s="7" t="s">
        <v>50</v>
      </c>
      <c r="J324" s="25">
        <v>2154721.1442400003</v>
      </c>
    </row>
    <row r="325" spans="1:10" ht="14.25" customHeight="1" x14ac:dyDescent="0.25">
      <c r="A325" s="7" t="s">
        <v>44</v>
      </c>
      <c r="B325" s="7" t="s">
        <v>56</v>
      </c>
      <c r="C325" s="7" t="s">
        <v>54</v>
      </c>
      <c r="D325" s="23">
        <v>41791</v>
      </c>
      <c r="E325" s="24">
        <f t="shared" si="1"/>
        <v>6</v>
      </c>
      <c r="F325" s="24" t="s">
        <v>57</v>
      </c>
      <c r="G325" s="7" t="s">
        <v>63</v>
      </c>
      <c r="H325" s="7" t="s">
        <v>64</v>
      </c>
      <c r="I325" s="7" t="s">
        <v>50</v>
      </c>
      <c r="J325" s="25">
        <v>892790.0322432</v>
      </c>
    </row>
    <row r="326" spans="1:10" ht="14.25" customHeight="1" x14ac:dyDescent="0.25">
      <c r="A326" s="7" t="s">
        <v>44</v>
      </c>
      <c r="B326" s="7" t="s">
        <v>56</v>
      </c>
      <c r="C326" s="7" t="s">
        <v>54</v>
      </c>
      <c r="D326" s="23">
        <v>41456</v>
      </c>
      <c r="E326" s="24">
        <f t="shared" si="1"/>
        <v>7</v>
      </c>
      <c r="F326" s="24" t="s">
        <v>57</v>
      </c>
      <c r="G326" s="7" t="s">
        <v>63</v>
      </c>
      <c r="H326" s="7" t="s">
        <v>65</v>
      </c>
      <c r="I326" s="7" t="s">
        <v>50</v>
      </c>
      <c r="J326" s="25">
        <v>869931.04490880016</v>
      </c>
    </row>
    <row r="327" spans="1:10" ht="14.25" customHeight="1" x14ac:dyDescent="0.25">
      <c r="A327" s="7" t="s">
        <v>44</v>
      </c>
      <c r="B327" s="7" t="s">
        <v>56</v>
      </c>
      <c r="C327" s="7" t="s">
        <v>54</v>
      </c>
      <c r="D327" s="23">
        <v>41487</v>
      </c>
      <c r="E327" s="24">
        <f t="shared" si="1"/>
        <v>8</v>
      </c>
      <c r="F327" s="24" t="s">
        <v>57</v>
      </c>
      <c r="G327" s="7" t="s">
        <v>63</v>
      </c>
      <c r="H327" s="7" t="s">
        <v>65</v>
      </c>
      <c r="I327" s="7" t="s">
        <v>50</v>
      </c>
      <c r="J327" s="25">
        <v>1048015.3689600001</v>
      </c>
    </row>
    <row r="328" spans="1:10" ht="14.25" customHeight="1" x14ac:dyDescent="0.25">
      <c r="A328" s="7" t="s">
        <v>44</v>
      </c>
      <c r="B328" s="7" t="s">
        <v>56</v>
      </c>
      <c r="C328" s="7" t="s">
        <v>54</v>
      </c>
      <c r="D328" s="23">
        <v>41518</v>
      </c>
      <c r="E328" s="24">
        <f t="shared" si="1"/>
        <v>9</v>
      </c>
      <c r="F328" s="24" t="s">
        <v>57</v>
      </c>
      <c r="G328" s="7" t="s">
        <v>63</v>
      </c>
      <c r="H328" s="7" t="s">
        <v>65</v>
      </c>
      <c r="I328" s="7" t="s">
        <v>50</v>
      </c>
      <c r="J328" s="25">
        <v>1059221.1492352001</v>
      </c>
    </row>
    <row r="329" spans="1:10" ht="14.25" customHeight="1" x14ac:dyDescent="0.25">
      <c r="A329" s="7" t="s">
        <v>44</v>
      </c>
      <c r="B329" s="7" t="s">
        <v>56</v>
      </c>
      <c r="C329" s="7" t="s">
        <v>54</v>
      </c>
      <c r="D329" s="23">
        <v>41548</v>
      </c>
      <c r="E329" s="24">
        <f t="shared" si="1"/>
        <v>10</v>
      </c>
      <c r="F329" s="24" t="s">
        <v>57</v>
      </c>
      <c r="G329" s="7" t="s">
        <v>63</v>
      </c>
      <c r="H329" s="7" t="s">
        <v>65</v>
      </c>
      <c r="I329" s="7" t="s">
        <v>50</v>
      </c>
      <c r="J329" s="25">
        <v>1420170.6468992003</v>
      </c>
    </row>
    <row r="330" spans="1:10" ht="14.25" customHeight="1" x14ac:dyDescent="0.25">
      <c r="A330" s="7" t="s">
        <v>44</v>
      </c>
      <c r="B330" s="7" t="s">
        <v>56</v>
      </c>
      <c r="C330" s="7" t="s">
        <v>54</v>
      </c>
      <c r="D330" s="23">
        <v>41579</v>
      </c>
      <c r="E330" s="24">
        <f t="shared" si="1"/>
        <v>11</v>
      </c>
      <c r="F330" s="24" t="s">
        <v>57</v>
      </c>
      <c r="G330" s="7" t="s">
        <v>63</v>
      </c>
      <c r="H330" s="7" t="s">
        <v>65</v>
      </c>
      <c r="I330" s="7" t="s">
        <v>50</v>
      </c>
      <c r="J330" s="25">
        <v>1536276.5699455999</v>
      </c>
    </row>
    <row r="331" spans="1:10" ht="14.25" customHeight="1" x14ac:dyDescent="0.25">
      <c r="A331" s="7" t="s">
        <v>44</v>
      </c>
      <c r="B331" s="7" t="s">
        <v>56</v>
      </c>
      <c r="C331" s="7" t="s">
        <v>54</v>
      </c>
      <c r="D331" s="23">
        <v>41609</v>
      </c>
      <c r="E331" s="24">
        <f t="shared" si="1"/>
        <v>12</v>
      </c>
      <c r="F331" s="24" t="s">
        <v>57</v>
      </c>
      <c r="G331" s="7" t="s">
        <v>63</v>
      </c>
      <c r="H331" s="7" t="s">
        <v>65</v>
      </c>
      <c r="I331" s="7" t="s">
        <v>50</v>
      </c>
      <c r="J331" s="25">
        <v>785390.46324480022</v>
      </c>
    </row>
    <row r="332" spans="1:10" ht="14.25" customHeight="1" x14ac:dyDescent="0.25">
      <c r="A332" s="7" t="s">
        <v>44</v>
      </c>
      <c r="B332" s="7" t="s">
        <v>56</v>
      </c>
      <c r="C332" s="7" t="s">
        <v>54</v>
      </c>
      <c r="D332" s="23">
        <v>41640</v>
      </c>
      <c r="E332" s="24">
        <f t="shared" si="1"/>
        <v>1</v>
      </c>
      <c r="F332" s="24" t="s">
        <v>57</v>
      </c>
      <c r="G332" s="7" t="s">
        <v>63</v>
      </c>
      <c r="H332" s="7" t="s">
        <v>65</v>
      </c>
      <c r="I332" s="7" t="s">
        <v>50</v>
      </c>
      <c r="J332" s="25">
        <v>734335.23255680013</v>
      </c>
    </row>
    <row r="333" spans="1:10" ht="14.25" customHeight="1" x14ac:dyDescent="0.25">
      <c r="A333" s="7" t="s">
        <v>44</v>
      </c>
      <c r="B333" s="7" t="s">
        <v>56</v>
      </c>
      <c r="C333" s="7" t="s">
        <v>54</v>
      </c>
      <c r="D333" s="23">
        <v>41671</v>
      </c>
      <c r="E333" s="24">
        <f t="shared" si="1"/>
        <v>2</v>
      </c>
      <c r="F333" s="24" t="s">
        <v>57</v>
      </c>
      <c r="G333" s="7" t="s">
        <v>63</v>
      </c>
      <c r="H333" s="7" t="s">
        <v>65</v>
      </c>
      <c r="I333" s="7" t="s">
        <v>50</v>
      </c>
      <c r="J333" s="25">
        <v>864587.94414720009</v>
      </c>
    </row>
    <row r="334" spans="1:10" ht="14.25" customHeight="1" x14ac:dyDescent="0.25">
      <c r="A334" s="7" t="s">
        <v>44</v>
      </c>
      <c r="B334" s="7" t="s">
        <v>56</v>
      </c>
      <c r="C334" s="7" t="s">
        <v>54</v>
      </c>
      <c r="D334" s="23">
        <v>41699</v>
      </c>
      <c r="E334" s="24">
        <f t="shared" si="1"/>
        <v>3</v>
      </c>
      <c r="F334" s="24" t="s">
        <v>57</v>
      </c>
      <c r="G334" s="7" t="s">
        <v>63</v>
      </c>
      <c r="H334" s="7" t="s">
        <v>65</v>
      </c>
      <c r="I334" s="7" t="s">
        <v>50</v>
      </c>
      <c r="J334" s="25">
        <v>788205.73592320003</v>
      </c>
    </row>
    <row r="335" spans="1:10" ht="14.25" customHeight="1" x14ac:dyDescent="0.25">
      <c r="A335" s="7" t="s">
        <v>44</v>
      </c>
      <c r="B335" s="7" t="s">
        <v>56</v>
      </c>
      <c r="C335" s="7" t="s">
        <v>54</v>
      </c>
      <c r="D335" s="23">
        <v>41730</v>
      </c>
      <c r="E335" s="24">
        <f t="shared" si="1"/>
        <v>4</v>
      </c>
      <c r="F335" s="24" t="s">
        <v>57</v>
      </c>
      <c r="G335" s="7" t="s">
        <v>63</v>
      </c>
      <c r="H335" s="7" t="s">
        <v>65</v>
      </c>
      <c r="I335" s="7" t="s">
        <v>50</v>
      </c>
      <c r="J335" s="25">
        <v>847106.12443520024</v>
      </c>
    </row>
    <row r="336" spans="1:10" ht="14.25" customHeight="1" x14ac:dyDescent="0.25">
      <c r="A336" s="7" t="s">
        <v>44</v>
      </c>
      <c r="B336" s="7" t="s">
        <v>56</v>
      </c>
      <c r="C336" s="7" t="s">
        <v>54</v>
      </c>
      <c r="D336" s="23">
        <v>41760</v>
      </c>
      <c r="E336" s="24">
        <f t="shared" si="1"/>
        <v>5</v>
      </c>
      <c r="F336" s="24" t="s">
        <v>57</v>
      </c>
      <c r="G336" s="7" t="s">
        <v>63</v>
      </c>
      <c r="H336" s="7" t="s">
        <v>65</v>
      </c>
      <c r="I336" s="7" t="s">
        <v>50</v>
      </c>
      <c r="J336" s="25">
        <v>993362.96819200017</v>
      </c>
    </row>
    <row r="337" spans="1:10" ht="14.25" customHeight="1" x14ac:dyDescent="0.25">
      <c r="A337" s="7" t="s">
        <v>44</v>
      </c>
      <c r="B337" s="7" t="s">
        <v>56</v>
      </c>
      <c r="C337" s="7" t="s">
        <v>54</v>
      </c>
      <c r="D337" s="23">
        <v>41791</v>
      </c>
      <c r="E337" s="24">
        <f t="shared" si="1"/>
        <v>6</v>
      </c>
      <c r="F337" s="24" t="s">
        <v>57</v>
      </c>
      <c r="G337" s="7" t="s">
        <v>63</v>
      </c>
      <c r="H337" s="7" t="s">
        <v>65</v>
      </c>
      <c r="I337" s="7" t="s">
        <v>50</v>
      </c>
      <c r="J337" s="25">
        <v>514489.17112320004</v>
      </c>
    </row>
    <row r="338" spans="1:10" ht="14.25" customHeight="1" x14ac:dyDescent="0.25">
      <c r="A338" s="7" t="s">
        <v>44</v>
      </c>
      <c r="B338" s="7" t="s">
        <v>56</v>
      </c>
      <c r="C338" s="7" t="s">
        <v>54</v>
      </c>
      <c r="D338" s="23">
        <v>41456</v>
      </c>
      <c r="E338" s="24">
        <f t="shared" si="1"/>
        <v>7</v>
      </c>
      <c r="F338" s="24" t="s">
        <v>57</v>
      </c>
      <c r="G338" s="7" t="s">
        <v>63</v>
      </c>
      <c r="H338" s="7" t="s">
        <v>66</v>
      </c>
      <c r="I338" s="7" t="s">
        <v>50</v>
      </c>
      <c r="J338" s="25">
        <v>921103.45931519999</v>
      </c>
    </row>
    <row r="339" spans="1:10" ht="14.25" customHeight="1" x14ac:dyDescent="0.25">
      <c r="A339" s="7" t="s">
        <v>44</v>
      </c>
      <c r="B339" s="7" t="s">
        <v>56</v>
      </c>
      <c r="C339" s="7" t="s">
        <v>54</v>
      </c>
      <c r="D339" s="23">
        <v>41487</v>
      </c>
      <c r="E339" s="24">
        <f t="shared" si="1"/>
        <v>8</v>
      </c>
      <c r="F339" s="24" t="s">
        <v>57</v>
      </c>
      <c r="G339" s="7" t="s">
        <v>63</v>
      </c>
      <c r="H339" s="7" t="s">
        <v>66</v>
      </c>
      <c r="I339" s="7" t="s">
        <v>50</v>
      </c>
      <c r="J339" s="25">
        <v>1109663.3318399999</v>
      </c>
    </row>
    <row r="340" spans="1:10" ht="14.25" customHeight="1" x14ac:dyDescent="0.25">
      <c r="A340" s="7" t="s">
        <v>44</v>
      </c>
      <c r="B340" s="7" t="s">
        <v>56</v>
      </c>
      <c r="C340" s="7" t="s">
        <v>54</v>
      </c>
      <c r="D340" s="23">
        <v>41518</v>
      </c>
      <c r="E340" s="24">
        <f t="shared" si="1"/>
        <v>9</v>
      </c>
      <c r="F340" s="24" t="s">
        <v>57</v>
      </c>
      <c r="G340" s="7" t="s">
        <v>63</v>
      </c>
      <c r="H340" s="7" t="s">
        <v>66</v>
      </c>
      <c r="I340" s="7" t="s">
        <v>50</v>
      </c>
      <c r="J340" s="25">
        <v>1121528.2756608</v>
      </c>
    </row>
    <row r="341" spans="1:10" ht="14.25" customHeight="1" x14ac:dyDescent="0.25">
      <c r="A341" s="7" t="s">
        <v>44</v>
      </c>
      <c r="B341" s="7" t="s">
        <v>56</v>
      </c>
      <c r="C341" s="7" t="s">
        <v>54</v>
      </c>
      <c r="D341" s="23">
        <v>41548</v>
      </c>
      <c r="E341" s="24">
        <f t="shared" si="1"/>
        <v>10</v>
      </c>
      <c r="F341" s="24" t="s">
        <v>57</v>
      </c>
      <c r="G341" s="7" t="s">
        <v>63</v>
      </c>
      <c r="H341" s="7" t="s">
        <v>66</v>
      </c>
      <c r="I341" s="7" t="s">
        <v>50</v>
      </c>
      <c r="J341" s="25">
        <v>1503710.0967168</v>
      </c>
    </row>
    <row r="342" spans="1:10" ht="14.25" customHeight="1" x14ac:dyDescent="0.25">
      <c r="A342" s="7" t="s">
        <v>44</v>
      </c>
      <c r="B342" s="7" t="s">
        <v>56</v>
      </c>
      <c r="C342" s="7" t="s">
        <v>54</v>
      </c>
      <c r="D342" s="23">
        <v>41579</v>
      </c>
      <c r="E342" s="24">
        <f t="shared" si="1"/>
        <v>11</v>
      </c>
      <c r="F342" s="24" t="s">
        <v>57</v>
      </c>
      <c r="G342" s="7" t="s">
        <v>63</v>
      </c>
      <c r="H342" s="7" t="s">
        <v>66</v>
      </c>
      <c r="I342" s="7" t="s">
        <v>50</v>
      </c>
      <c r="J342" s="25">
        <v>1626645.7799423998</v>
      </c>
    </row>
    <row r="343" spans="1:10" ht="14.25" customHeight="1" x14ac:dyDescent="0.25">
      <c r="A343" s="7" t="s">
        <v>44</v>
      </c>
      <c r="B343" s="7" t="s">
        <v>56</v>
      </c>
      <c r="C343" s="7" t="s">
        <v>54</v>
      </c>
      <c r="D343" s="23">
        <v>41609</v>
      </c>
      <c r="E343" s="24">
        <f t="shared" si="1"/>
        <v>12</v>
      </c>
      <c r="F343" s="24" t="s">
        <v>57</v>
      </c>
      <c r="G343" s="7" t="s">
        <v>63</v>
      </c>
      <c r="H343" s="7" t="s">
        <v>66</v>
      </c>
      <c r="I343" s="7" t="s">
        <v>50</v>
      </c>
      <c r="J343" s="25">
        <v>831589.90225920011</v>
      </c>
    </row>
    <row r="344" spans="1:10" ht="14.25" customHeight="1" x14ac:dyDescent="0.25">
      <c r="A344" s="7" t="s">
        <v>44</v>
      </c>
      <c r="B344" s="7" t="s">
        <v>56</v>
      </c>
      <c r="C344" s="7" t="s">
        <v>54</v>
      </c>
      <c r="D344" s="23">
        <v>41640</v>
      </c>
      <c r="E344" s="24">
        <f t="shared" si="1"/>
        <v>1</v>
      </c>
      <c r="F344" s="24" t="s">
        <v>57</v>
      </c>
      <c r="G344" s="7" t="s">
        <v>63</v>
      </c>
      <c r="H344" s="7" t="s">
        <v>66</v>
      </c>
      <c r="I344" s="7" t="s">
        <v>50</v>
      </c>
      <c r="J344" s="25">
        <v>777531.42270720005</v>
      </c>
    </row>
    <row r="345" spans="1:10" ht="14.25" customHeight="1" x14ac:dyDescent="0.25">
      <c r="A345" s="7" t="s">
        <v>44</v>
      </c>
      <c r="B345" s="7" t="s">
        <v>56</v>
      </c>
      <c r="C345" s="7" t="s">
        <v>54</v>
      </c>
      <c r="D345" s="23">
        <v>41671</v>
      </c>
      <c r="E345" s="24">
        <f t="shared" si="1"/>
        <v>2</v>
      </c>
      <c r="F345" s="24" t="s">
        <v>57</v>
      </c>
      <c r="G345" s="7" t="s">
        <v>63</v>
      </c>
      <c r="H345" s="7" t="s">
        <v>66</v>
      </c>
      <c r="I345" s="7" t="s">
        <v>50</v>
      </c>
      <c r="J345" s="25">
        <v>915446.05850879999</v>
      </c>
    </row>
    <row r="346" spans="1:10" ht="14.25" customHeight="1" x14ac:dyDescent="0.25">
      <c r="A346" s="7" t="s">
        <v>44</v>
      </c>
      <c r="B346" s="7" t="s">
        <v>56</v>
      </c>
      <c r="C346" s="7" t="s">
        <v>54</v>
      </c>
      <c r="D346" s="23">
        <v>41699</v>
      </c>
      <c r="E346" s="24">
        <f t="shared" si="1"/>
        <v>3</v>
      </c>
      <c r="F346" s="24" t="s">
        <v>57</v>
      </c>
      <c r="G346" s="7" t="s">
        <v>63</v>
      </c>
      <c r="H346" s="7" t="s">
        <v>66</v>
      </c>
      <c r="I346" s="7" t="s">
        <v>50</v>
      </c>
      <c r="J346" s="25">
        <v>834570.77921279997</v>
      </c>
    </row>
    <row r="347" spans="1:10" ht="14.25" customHeight="1" x14ac:dyDescent="0.25">
      <c r="A347" s="7" t="s">
        <v>44</v>
      </c>
      <c r="B347" s="7" t="s">
        <v>56</v>
      </c>
      <c r="C347" s="7" t="s">
        <v>54</v>
      </c>
      <c r="D347" s="23">
        <v>41730</v>
      </c>
      <c r="E347" s="24">
        <f t="shared" si="1"/>
        <v>4</v>
      </c>
      <c r="F347" s="24" t="s">
        <v>57</v>
      </c>
      <c r="G347" s="7" t="s">
        <v>63</v>
      </c>
      <c r="H347" s="7" t="s">
        <v>66</v>
      </c>
      <c r="I347" s="7" t="s">
        <v>50</v>
      </c>
      <c r="J347" s="25">
        <v>896935.89646080008</v>
      </c>
    </row>
    <row r="348" spans="1:10" ht="14.25" customHeight="1" x14ac:dyDescent="0.25">
      <c r="A348" s="7" t="s">
        <v>44</v>
      </c>
      <c r="B348" s="7" t="s">
        <v>56</v>
      </c>
      <c r="C348" s="7" t="s">
        <v>54</v>
      </c>
      <c r="D348" s="23">
        <v>41760</v>
      </c>
      <c r="E348" s="24">
        <f t="shared" si="1"/>
        <v>5</v>
      </c>
      <c r="F348" s="24" t="s">
        <v>57</v>
      </c>
      <c r="G348" s="7" t="s">
        <v>63</v>
      </c>
      <c r="H348" s="7" t="s">
        <v>66</v>
      </c>
      <c r="I348" s="7" t="s">
        <v>50</v>
      </c>
      <c r="J348" s="25">
        <v>1051796.083968</v>
      </c>
    </row>
    <row r="349" spans="1:10" ht="14.25" customHeight="1" x14ac:dyDescent="0.25">
      <c r="A349" s="7" t="s">
        <v>44</v>
      </c>
      <c r="B349" s="7" t="s">
        <v>56</v>
      </c>
      <c r="C349" s="7" t="s">
        <v>54</v>
      </c>
      <c r="D349" s="23">
        <v>41791</v>
      </c>
      <c r="E349" s="24">
        <f t="shared" si="1"/>
        <v>6</v>
      </c>
      <c r="F349" s="24" t="s">
        <v>57</v>
      </c>
      <c r="G349" s="7" t="s">
        <v>63</v>
      </c>
      <c r="H349" s="7" t="s">
        <v>66</v>
      </c>
      <c r="I349" s="7" t="s">
        <v>50</v>
      </c>
      <c r="J349" s="25">
        <v>544753.24001279997</v>
      </c>
    </row>
    <row r="350" spans="1:10" ht="14.25" customHeight="1" x14ac:dyDescent="0.25">
      <c r="A350" s="7" t="s">
        <v>44</v>
      </c>
      <c r="B350" s="7" t="s">
        <v>56</v>
      </c>
      <c r="C350" s="7" t="s">
        <v>54</v>
      </c>
      <c r="D350" s="23">
        <v>41456</v>
      </c>
      <c r="E350" s="24">
        <f t="shared" si="1"/>
        <v>7</v>
      </c>
      <c r="F350" s="24" t="s">
        <v>57</v>
      </c>
      <c r="G350" s="7" t="s">
        <v>63</v>
      </c>
      <c r="H350" s="7" t="s">
        <v>67</v>
      </c>
      <c r="I350" s="7" t="s">
        <v>50</v>
      </c>
      <c r="J350" s="25">
        <v>498931.04046240001</v>
      </c>
    </row>
    <row r="351" spans="1:10" ht="14.25" customHeight="1" x14ac:dyDescent="0.25">
      <c r="A351" s="7" t="s">
        <v>44</v>
      </c>
      <c r="B351" s="7" t="s">
        <v>56</v>
      </c>
      <c r="C351" s="7" t="s">
        <v>54</v>
      </c>
      <c r="D351" s="23">
        <v>41487</v>
      </c>
      <c r="E351" s="24">
        <f t="shared" si="1"/>
        <v>8</v>
      </c>
      <c r="F351" s="24" t="s">
        <v>57</v>
      </c>
      <c r="G351" s="7" t="s">
        <v>63</v>
      </c>
      <c r="H351" s="7" t="s">
        <v>67</v>
      </c>
      <c r="I351" s="7" t="s">
        <v>50</v>
      </c>
      <c r="J351" s="25">
        <v>601067.63808000006</v>
      </c>
    </row>
    <row r="352" spans="1:10" ht="14.25" customHeight="1" x14ac:dyDescent="0.25">
      <c r="A352" s="7" t="s">
        <v>44</v>
      </c>
      <c r="B352" s="7" t="s">
        <v>56</v>
      </c>
      <c r="C352" s="7" t="s">
        <v>54</v>
      </c>
      <c r="D352" s="23">
        <v>41518</v>
      </c>
      <c r="E352" s="24">
        <f t="shared" si="1"/>
        <v>9</v>
      </c>
      <c r="F352" s="24" t="s">
        <v>57</v>
      </c>
      <c r="G352" s="7" t="s">
        <v>63</v>
      </c>
      <c r="H352" s="7" t="s">
        <v>67</v>
      </c>
      <c r="I352" s="7" t="s">
        <v>50</v>
      </c>
      <c r="J352" s="25">
        <v>607494.48264960002</v>
      </c>
    </row>
    <row r="353" spans="1:10" ht="14.25" customHeight="1" x14ac:dyDescent="0.25">
      <c r="A353" s="7" t="s">
        <v>44</v>
      </c>
      <c r="B353" s="7" t="s">
        <v>56</v>
      </c>
      <c r="C353" s="7" t="s">
        <v>54</v>
      </c>
      <c r="D353" s="23">
        <v>41548</v>
      </c>
      <c r="E353" s="24">
        <f t="shared" si="1"/>
        <v>10</v>
      </c>
      <c r="F353" s="24" t="s">
        <v>57</v>
      </c>
      <c r="G353" s="7" t="s">
        <v>63</v>
      </c>
      <c r="H353" s="7" t="s">
        <v>67</v>
      </c>
      <c r="I353" s="7" t="s">
        <v>50</v>
      </c>
      <c r="J353" s="25">
        <v>814509.63572160015</v>
      </c>
    </row>
    <row r="354" spans="1:10" ht="14.25" customHeight="1" x14ac:dyDescent="0.25">
      <c r="A354" s="7" t="s">
        <v>44</v>
      </c>
      <c r="B354" s="7" t="s">
        <v>56</v>
      </c>
      <c r="C354" s="7" t="s">
        <v>54</v>
      </c>
      <c r="D354" s="23">
        <v>41579</v>
      </c>
      <c r="E354" s="24">
        <f t="shared" si="1"/>
        <v>11</v>
      </c>
      <c r="F354" s="24" t="s">
        <v>57</v>
      </c>
      <c r="G354" s="7" t="s">
        <v>63</v>
      </c>
      <c r="H354" s="7" t="s">
        <v>67</v>
      </c>
      <c r="I354" s="7" t="s">
        <v>50</v>
      </c>
      <c r="J354" s="25">
        <v>881099.79746879986</v>
      </c>
    </row>
    <row r="355" spans="1:10" ht="14.25" customHeight="1" x14ac:dyDescent="0.25">
      <c r="A355" s="7" t="s">
        <v>44</v>
      </c>
      <c r="B355" s="7" t="s">
        <v>56</v>
      </c>
      <c r="C355" s="7" t="s">
        <v>54</v>
      </c>
      <c r="D355" s="23">
        <v>41609</v>
      </c>
      <c r="E355" s="24">
        <f t="shared" si="1"/>
        <v>12</v>
      </c>
      <c r="F355" s="24" t="s">
        <v>57</v>
      </c>
      <c r="G355" s="7" t="s">
        <v>63</v>
      </c>
      <c r="H355" s="7" t="s">
        <v>67</v>
      </c>
      <c r="I355" s="7" t="s">
        <v>50</v>
      </c>
      <c r="J355" s="25">
        <v>450444.53039040015</v>
      </c>
    </row>
    <row r="356" spans="1:10" ht="14.25" customHeight="1" x14ac:dyDescent="0.25">
      <c r="A356" s="7" t="s">
        <v>44</v>
      </c>
      <c r="B356" s="7" t="s">
        <v>56</v>
      </c>
      <c r="C356" s="7" t="s">
        <v>54</v>
      </c>
      <c r="D356" s="23">
        <v>41640</v>
      </c>
      <c r="E356" s="24">
        <f t="shared" si="1"/>
        <v>1</v>
      </c>
      <c r="F356" s="24" t="s">
        <v>57</v>
      </c>
      <c r="G356" s="7" t="s">
        <v>63</v>
      </c>
      <c r="H356" s="7" t="s">
        <v>67</v>
      </c>
      <c r="I356" s="7" t="s">
        <v>50</v>
      </c>
      <c r="J356" s="25">
        <v>421162.85396640003</v>
      </c>
    </row>
    <row r="357" spans="1:10" ht="14.25" customHeight="1" x14ac:dyDescent="0.25">
      <c r="A357" s="7" t="s">
        <v>44</v>
      </c>
      <c r="B357" s="7" t="s">
        <v>56</v>
      </c>
      <c r="C357" s="7" t="s">
        <v>54</v>
      </c>
      <c r="D357" s="23">
        <v>41671</v>
      </c>
      <c r="E357" s="24">
        <f t="shared" si="1"/>
        <v>2</v>
      </c>
      <c r="F357" s="24" t="s">
        <v>57</v>
      </c>
      <c r="G357" s="7" t="s">
        <v>63</v>
      </c>
      <c r="H357" s="7" t="s">
        <v>67</v>
      </c>
      <c r="I357" s="7" t="s">
        <v>50</v>
      </c>
      <c r="J357" s="25">
        <v>495866.61502560001</v>
      </c>
    </row>
    <row r="358" spans="1:10" ht="14.25" customHeight="1" x14ac:dyDescent="0.25">
      <c r="A358" s="7" t="s">
        <v>44</v>
      </c>
      <c r="B358" s="7" t="s">
        <v>56</v>
      </c>
      <c r="C358" s="7" t="s">
        <v>54</v>
      </c>
      <c r="D358" s="23">
        <v>41699</v>
      </c>
      <c r="E358" s="24">
        <f t="shared" si="1"/>
        <v>3</v>
      </c>
      <c r="F358" s="24" t="s">
        <v>57</v>
      </c>
      <c r="G358" s="7" t="s">
        <v>63</v>
      </c>
      <c r="H358" s="7" t="s">
        <v>67</v>
      </c>
      <c r="I358" s="7" t="s">
        <v>50</v>
      </c>
      <c r="J358" s="25">
        <v>452059.1720736</v>
      </c>
    </row>
    <row r="359" spans="1:10" ht="14.25" customHeight="1" x14ac:dyDescent="0.25">
      <c r="A359" s="7" t="s">
        <v>44</v>
      </c>
      <c r="B359" s="7" t="s">
        <v>56</v>
      </c>
      <c r="C359" s="7" t="s">
        <v>54</v>
      </c>
      <c r="D359" s="23">
        <v>41730</v>
      </c>
      <c r="E359" s="24">
        <f t="shared" si="1"/>
        <v>4</v>
      </c>
      <c r="F359" s="24" t="s">
        <v>57</v>
      </c>
      <c r="G359" s="7" t="s">
        <v>63</v>
      </c>
      <c r="H359" s="7" t="s">
        <v>67</v>
      </c>
      <c r="I359" s="7" t="s">
        <v>50</v>
      </c>
      <c r="J359" s="25">
        <v>485840.2772496001</v>
      </c>
    </row>
    <row r="360" spans="1:10" ht="14.25" customHeight="1" x14ac:dyDescent="0.25">
      <c r="A360" s="7" t="s">
        <v>44</v>
      </c>
      <c r="B360" s="7" t="s">
        <v>56</v>
      </c>
      <c r="C360" s="7" t="s">
        <v>54</v>
      </c>
      <c r="D360" s="23">
        <v>41760</v>
      </c>
      <c r="E360" s="24">
        <f t="shared" si="1"/>
        <v>5</v>
      </c>
      <c r="F360" s="24" t="s">
        <v>57</v>
      </c>
      <c r="G360" s="7" t="s">
        <v>63</v>
      </c>
      <c r="H360" s="7" t="s">
        <v>67</v>
      </c>
      <c r="I360" s="7" t="s">
        <v>50</v>
      </c>
      <c r="J360" s="25">
        <v>569722.87881600007</v>
      </c>
    </row>
    <row r="361" spans="1:10" ht="14.25" customHeight="1" x14ac:dyDescent="0.25">
      <c r="A361" s="7" t="s">
        <v>44</v>
      </c>
      <c r="B361" s="7" t="s">
        <v>56</v>
      </c>
      <c r="C361" s="7" t="s">
        <v>54</v>
      </c>
      <c r="D361" s="23">
        <v>41791</v>
      </c>
      <c r="E361" s="24">
        <f t="shared" si="1"/>
        <v>6</v>
      </c>
      <c r="F361" s="24" t="s">
        <v>57</v>
      </c>
      <c r="G361" s="7" t="s">
        <v>63</v>
      </c>
      <c r="H361" s="7" t="s">
        <v>67</v>
      </c>
      <c r="I361" s="7" t="s">
        <v>50</v>
      </c>
      <c r="J361" s="25">
        <v>295074.67167360004</v>
      </c>
    </row>
    <row r="362" spans="1:10" ht="14.25" customHeight="1" x14ac:dyDescent="0.25">
      <c r="A362" s="7" t="s">
        <v>44</v>
      </c>
      <c r="B362" s="7" t="s">
        <v>56</v>
      </c>
      <c r="C362" s="7" t="s">
        <v>54</v>
      </c>
      <c r="D362" s="23">
        <v>41456</v>
      </c>
      <c r="E362" s="24">
        <f t="shared" si="1"/>
        <v>7</v>
      </c>
      <c r="F362" s="24" t="s">
        <v>57</v>
      </c>
      <c r="G362" s="7" t="s">
        <v>68</v>
      </c>
      <c r="H362" s="7" t="s">
        <v>69</v>
      </c>
      <c r="I362" s="7" t="s">
        <v>50</v>
      </c>
      <c r="J362" s="25">
        <v>3198275.9004000002</v>
      </c>
    </row>
    <row r="363" spans="1:10" ht="14.25" customHeight="1" x14ac:dyDescent="0.25">
      <c r="A363" s="7" t="s">
        <v>44</v>
      </c>
      <c r="B363" s="7" t="s">
        <v>56</v>
      </c>
      <c r="C363" s="7" t="s">
        <v>54</v>
      </c>
      <c r="D363" s="23">
        <v>41487</v>
      </c>
      <c r="E363" s="24">
        <f t="shared" si="1"/>
        <v>8</v>
      </c>
      <c r="F363" s="24" t="s">
        <v>57</v>
      </c>
      <c r="G363" s="7" t="s">
        <v>68</v>
      </c>
      <c r="H363" s="7" t="s">
        <v>69</v>
      </c>
      <c r="I363" s="7" t="s">
        <v>50</v>
      </c>
      <c r="J363" s="25">
        <v>3852997.68</v>
      </c>
    </row>
    <row r="364" spans="1:10" ht="14.25" customHeight="1" x14ac:dyDescent="0.25">
      <c r="A364" s="7" t="s">
        <v>44</v>
      </c>
      <c r="B364" s="7" t="s">
        <v>56</v>
      </c>
      <c r="C364" s="7" t="s">
        <v>54</v>
      </c>
      <c r="D364" s="23">
        <v>41518</v>
      </c>
      <c r="E364" s="24">
        <f t="shared" si="1"/>
        <v>9</v>
      </c>
      <c r="F364" s="24" t="s">
        <v>57</v>
      </c>
      <c r="G364" s="7" t="s">
        <v>68</v>
      </c>
      <c r="H364" s="7" t="s">
        <v>69</v>
      </c>
      <c r="I364" s="7" t="s">
        <v>50</v>
      </c>
      <c r="J364" s="25">
        <v>3894195.4016000004</v>
      </c>
    </row>
    <row r="365" spans="1:10" ht="14.25" customHeight="1" x14ac:dyDescent="0.25">
      <c r="A365" s="7" t="s">
        <v>44</v>
      </c>
      <c r="B365" s="7" t="s">
        <v>56</v>
      </c>
      <c r="C365" s="7" t="s">
        <v>54</v>
      </c>
      <c r="D365" s="23">
        <v>41548</v>
      </c>
      <c r="E365" s="24">
        <f t="shared" si="1"/>
        <v>10</v>
      </c>
      <c r="F365" s="24" t="s">
        <v>57</v>
      </c>
      <c r="G365" s="7" t="s">
        <v>68</v>
      </c>
      <c r="H365" s="7" t="s">
        <v>69</v>
      </c>
      <c r="I365" s="7" t="s">
        <v>50</v>
      </c>
      <c r="J365" s="25">
        <v>5221215.6136000007</v>
      </c>
    </row>
    <row r="366" spans="1:10" ht="14.25" customHeight="1" x14ac:dyDescent="0.25">
      <c r="A366" s="7" t="s">
        <v>44</v>
      </c>
      <c r="B366" s="7" t="s">
        <v>56</v>
      </c>
      <c r="C366" s="7" t="s">
        <v>54</v>
      </c>
      <c r="D366" s="23">
        <v>41579</v>
      </c>
      <c r="E366" s="24">
        <f t="shared" si="1"/>
        <v>11</v>
      </c>
      <c r="F366" s="24" t="s">
        <v>57</v>
      </c>
      <c r="G366" s="7" t="s">
        <v>68</v>
      </c>
      <c r="H366" s="7" t="s">
        <v>69</v>
      </c>
      <c r="I366" s="7" t="s">
        <v>50</v>
      </c>
      <c r="J366" s="25">
        <v>5648075.6247999994</v>
      </c>
    </row>
    <row r="367" spans="1:10" ht="14.25" customHeight="1" x14ac:dyDescent="0.25">
      <c r="A367" s="7" t="s">
        <v>44</v>
      </c>
      <c r="B367" s="7" t="s">
        <v>56</v>
      </c>
      <c r="C367" s="7" t="s">
        <v>54</v>
      </c>
      <c r="D367" s="23">
        <v>41609</v>
      </c>
      <c r="E367" s="24">
        <f t="shared" si="1"/>
        <v>12</v>
      </c>
      <c r="F367" s="24" t="s">
        <v>57</v>
      </c>
      <c r="G367" s="7" t="s">
        <v>68</v>
      </c>
      <c r="H367" s="7" t="s">
        <v>69</v>
      </c>
      <c r="I367" s="7" t="s">
        <v>50</v>
      </c>
      <c r="J367" s="25">
        <v>2887464.9384000008</v>
      </c>
    </row>
    <row r="368" spans="1:10" ht="14.25" customHeight="1" x14ac:dyDescent="0.25">
      <c r="A368" s="7" t="s">
        <v>44</v>
      </c>
      <c r="B368" s="7" t="s">
        <v>56</v>
      </c>
      <c r="C368" s="7" t="s">
        <v>54</v>
      </c>
      <c r="D368" s="23">
        <v>41640</v>
      </c>
      <c r="E368" s="24">
        <f t="shared" si="1"/>
        <v>1</v>
      </c>
      <c r="F368" s="24" t="s">
        <v>57</v>
      </c>
      <c r="G368" s="7" t="s">
        <v>68</v>
      </c>
      <c r="H368" s="7" t="s">
        <v>69</v>
      </c>
      <c r="I368" s="7" t="s">
        <v>50</v>
      </c>
      <c r="J368" s="25">
        <v>2699761.8844000003</v>
      </c>
    </row>
    <row r="369" spans="1:10" ht="14.25" customHeight="1" x14ac:dyDescent="0.25">
      <c r="A369" s="7" t="s">
        <v>44</v>
      </c>
      <c r="B369" s="7" t="s">
        <v>56</v>
      </c>
      <c r="C369" s="7" t="s">
        <v>54</v>
      </c>
      <c r="D369" s="23">
        <v>41671</v>
      </c>
      <c r="E369" s="24">
        <f t="shared" si="1"/>
        <v>2</v>
      </c>
      <c r="F369" s="24" t="s">
        <v>57</v>
      </c>
      <c r="G369" s="7" t="s">
        <v>68</v>
      </c>
      <c r="H369" s="7" t="s">
        <v>69</v>
      </c>
      <c r="I369" s="7" t="s">
        <v>50</v>
      </c>
      <c r="J369" s="25">
        <v>3178632.1476000003</v>
      </c>
    </row>
    <row r="370" spans="1:10" ht="14.25" customHeight="1" x14ac:dyDescent="0.25">
      <c r="A370" s="7" t="s">
        <v>44</v>
      </c>
      <c r="B370" s="7" t="s">
        <v>56</v>
      </c>
      <c r="C370" s="7" t="s">
        <v>54</v>
      </c>
      <c r="D370" s="23">
        <v>41699</v>
      </c>
      <c r="E370" s="24">
        <f t="shared" si="1"/>
        <v>3</v>
      </c>
      <c r="F370" s="24" t="s">
        <v>57</v>
      </c>
      <c r="G370" s="7" t="s">
        <v>68</v>
      </c>
      <c r="H370" s="7" t="s">
        <v>69</v>
      </c>
      <c r="I370" s="7" t="s">
        <v>50</v>
      </c>
      <c r="J370" s="25">
        <v>2897815.2056</v>
      </c>
    </row>
    <row r="371" spans="1:10" ht="14.25" customHeight="1" x14ac:dyDescent="0.25">
      <c r="A371" s="7" t="s">
        <v>44</v>
      </c>
      <c r="B371" s="7" t="s">
        <v>56</v>
      </c>
      <c r="C371" s="7" t="s">
        <v>54</v>
      </c>
      <c r="D371" s="23">
        <v>41730</v>
      </c>
      <c r="E371" s="24">
        <f t="shared" si="1"/>
        <v>4</v>
      </c>
      <c r="F371" s="24" t="s">
        <v>57</v>
      </c>
      <c r="G371" s="7" t="s">
        <v>68</v>
      </c>
      <c r="H371" s="7" t="s">
        <v>69</v>
      </c>
      <c r="I371" s="7" t="s">
        <v>50</v>
      </c>
      <c r="J371" s="25">
        <v>3114360.7516000005</v>
      </c>
    </row>
    <row r="372" spans="1:10" ht="14.25" customHeight="1" x14ac:dyDescent="0.25">
      <c r="A372" s="7" t="s">
        <v>44</v>
      </c>
      <c r="B372" s="7" t="s">
        <v>56</v>
      </c>
      <c r="C372" s="7" t="s">
        <v>54</v>
      </c>
      <c r="D372" s="23">
        <v>41760</v>
      </c>
      <c r="E372" s="24">
        <f t="shared" si="1"/>
        <v>5</v>
      </c>
      <c r="F372" s="24" t="s">
        <v>57</v>
      </c>
      <c r="G372" s="7" t="s">
        <v>68</v>
      </c>
      <c r="H372" s="7" t="s">
        <v>69</v>
      </c>
      <c r="I372" s="7" t="s">
        <v>50</v>
      </c>
      <c r="J372" s="25">
        <v>3652069.7360000005</v>
      </c>
    </row>
    <row r="373" spans="1:10" ht="14.25" customHeight="1" x14ac:dyDescent="0.25">
      <c r="A373" s="7" t="s">
        <v>44</v>
      </c>
      <c r="B373" s="7" t="s">
        <v>56</v>
      </c>
      <c r="C373" s="7" t="s">
        <v>54</v>
      </c>
      <c r="D373" s="23">
        <v>41791</v>
      </c>
      <c r="E373" s="24">
        <f t="shared" si="1"/>
        <v>6</v>
      </c>
      <c r="F373" s="24" t="s">
        <v>57</v>
      </c>
      <c r="G373" s="7" t="s">
        <v>68</v>
      </c>
      <c r="H373" s="7" t="s">
        <v>69</v>
      </c>
      <c r="I373" s="7" t="s">
        <v>50</v>
      </c>
      <c r="J373" s="25">
        <v>1891504.3056000001</v>
      </c>
    </row>
    <row r="374" spans="1:10" ht="14.25" customHeight="1" x14ac:dyDescent="0.25">
      <c r="A374" s="7" t="s">
        <v>44</v>
      </c>
      <c r="B374" s="7" t="s">
        <v>56</v>
      </c>
      <c r="C374" s="7" t="s">
        <v>55</v>
      </c>
      <c r="D374" s="23">
        <v>41456</v>
      </c>
      <c r="E374" s="7">
        <v>7</v>
      </c>
      <c r="F374" s="7" t="s">
        <v>57</v>
      </c>
      <c r="G374" s="7" t="s">
        <v>58</v>
      </c>
      <c r="H374" s="7" t="s">
        <v>59</v>
      </c>
      <c r="I374" s="7" t="s">
        <v>50</v>
      </c>
      <c r="J374" s="25">
        <v>1625596.3356633</v>
      </c>
    </row>
    <row r="375" spans="1:10" ht="14.25" customHeight="1" x14ac:dyDescent="0.25">
      <c r="A375" s="7" t="s">
        <v>44</v>
      </c>
      <c r="B375" s="7" t="s">
        <v>56</v>
      </c>
      <c r="C375" s="7" t="s">
        <v>55</v>
      </c>
      <c r="D375" s="23">
        <v>41487</v>
      </c>
      <c r="E375" s="7">
        <v>8</v>
      </c>
      <c r="F375" s="7" t="s">
        <v>57</v>
      </c>
      <c r="G375" s="7" t="s">
        <v>58</v>
      </c>
      <c r="H375" s="7" t="s">
        <v>59</v>
      </c>
      <c r="I375" s="7" t="s">
        <v>50</v>
      </c>
      <c r="J375" s="25">
        <v>1295067.8472731998</v>
      </c>
    </row>
    <row r="376" spans="1:10" ht="14.25" customHeight="1" x14ac:dyDescent="0.25">
      <c r="A376" s="7" t="s">
        <v>44</v>
      </c>
      <c r="B376" s="7" t="s">
        <v>56</v>
      </c>
      <c r="C376" s="7" t="s">
        <v>55</v>
      </c>
      <c r="D376" s="23">
        <v>41518</v>
      </c>
      <c r="E376" s="7">
        <v>9</v>
      </c>
      <c r="F376" s="7" t="s">
        <v>57</v>
      </c>
      <c r="G376" s="7" t="s">
        <v>58</v>
      </c>
      <c r="H376" s="7" t="s">
        <v>59</v>
      </c>
      <c r="I376" s="7" t="s">
        <v>50</v>
      </c>
      <c r="J376" s="25">
        <v>1750624.8818057997</v>
      </c>
    </row>
    <row r="377" spans="1:10" ht="14.25" customHeight="1" x14ac:dyDescent="0.25">
      <c r="A377" s="7" t="s">
        <v>44</v>
      </c>
      <c r="B377" s="7" t="s">
        <v>56</v>
      </c>
      <c r="C377" s="7" t="s">
        <v>55</v>
      </c>
      <c r="D377" s="23">
        <v>41548</v>
      </c>
      <c r="E377" s="7">
        <v>10</v>
      </c>
      <c r="F377" s="7" t="s">
        <v>57</v>
      </c>
      <c r="G377" s="7" t="s">
        <v>58</v>
      </c>
      <c r="H377" s="7" t="s">
        <v>59</v>
      </c>
      <c r="I377" s="7" t="s">
        <v>50</v>
      </c>
      <c r="J377" s="25">
        <v>1472529.3869285996</v>
      </c>
    </row>
    <row r="378" spans="1:10" ht="14.25" customHeight="1" x14ac:dyDescent="0.25">
      <c r="A378" s="7" t="s">
        <v>44</v>
      </c>
      <c r="B378" s="7" t="s">
        <v>56</v>
      </c>
      <c r="C378" s="7" t="s">
        <v>55</v>
      </c>
      <c r="D378" s="23">
        <v>41579</v>
      </c>
      <c r="E378" s="7">
        <v>11</v>
      </c>
      <c r="F378" s="7" t="s">
        <v>57</v>
      </c>
      <c r="G378" s="7" t="s">
        <v>58</v>
      </c>
      <c r="H378" s="7" t="s">
        <v>59</v>
      </c>
      <c r="I378" s="7" t="s">
        <v>50</v>
      </c>
      <c r="J378" s="25">
        <v>1252200.4923928501</v>
      </c>
    </row>
    <row r="379" spans="1:10" ht="14.25" customHeight="1" x14ac:dyDescent="0.25">
      <c r="A379" s="7" t="s">
        <v>44</v>
      </c>
      <c r="B379" s="7" t="s">
        <v>56</v>
      </c>
      <c r="C379" s="7" t="s">
        <v>55</v>
      </c>
      <c r="D379" s="23">
        <v>41609</v>
      </c>
      <c r="E379" s="7">
        <v>12</v>
      </c>
      <c r="F379" s="7" t="s">
        <v>57</v>
      </c>
      <c r="G379" s="7" t="s">
        <v>58</v>
      </c>
      <c r="H379" s="7" t="s">
        <v>59</v>
      </c>
      <c r="I379" s="7" t="s">
        <v>50</v>
      </c>
      <c r="J379" s="25">
        <v>1406782.6738875001</v>
      </c>
    </row>
    <row r="380" spans="1:10" ht="14.25" customHeight="1" x14ac:dyDescent="0.25">
      <c r="A380" s="7" t="s">
        <v>44</v>
      </c>
      <c r="B380" s="7" t="s">
        <v>56</v>
      </c>
      <c r="C380" s="7" t="s">
        <v>55</v>
      </c>
      <c r="D380" s="23">
        <v>41640</v>
      </c>
      <c r="E380" s="7">
        <v>1</v>
      </c>
      <c r="F380" s="7" t="s">
        <v>57</v>
      </c>
      <c r="G380" s="7" t="s">
        <v>58</v>
      </c>
      <c r="H380" s="7" t="s">
        <v>59</v>
      </c>
      <c r="I380" s="7" t="s">
        <v>50</v>
      </c>
      <c r="J380" s="25">
        <v>1877449.5046125001</v>
      </c>
    </row>
    <row r="381" spans="1:10" ht="14.25" customHeight="1" x14ac:dyDescent="0.25">
      <c r="A381" s="7" t="s">
        <v>44</v>
      </c>
      <c r="B381" s="7" t="s">
        <v>56</v>
      </c>
      <c r="C381" s="7" t="s">
        <v>55</v>
      </c>
      <c r="D381" s="23">
        <v>41671</v>
      </c>
      <c r="E381" s="7">
        <v>2</v>
      </c>
      <c r="F381" s="7" t="s">
        <v>57</v>
      </c>
      <c r="G381" s="7" t="s">
        <v>58</v>
      </c>
      <c r="H381" s="7" t="s">
        <v>59</v>
      </c>
      <c r="I381" s="7" t="s">
        <v>50</v>
      </c>
      <c r="J381" s="25">
        <v>1912219.1750437501</v>
      </c>
    </row>
    <row r="382" spans="1:10" ht="14.25" customHeight="1" x14ac:dyDescent="0.25">
      <c r="A382" s="7" t="s">
        <v>44</v>
      </c>
      <c r="B382" s="7" t="s">
        <v>56</v>
      </c>
      <c r="C382" s="7" t="s">
        <v>55</v>
      </c>
      <c r="D382" s="23">
        <v>41699</v>
      </c>
      <c r="E382" s="7">
        <v>3</v>
      </c>
      <c r="F382" s="7" t="s">
        <v>57</v>
      </c>
      <c r="G382" s="7" t="s">
        <v>58</v>
      </c>
      <c r="H382" s="7" t="s">
        <v>59</v>
      </c>
      <c r="I382" s="7" t="s">
        <v>50</v>
      </c>
      <c r="J382" s="25">
        <v>2266625.1980531253</v>
      </c>
    </row>
    <row r="383" spans="1:10" ht="14.25" customHeight="1" x14ac:dyDescent="0.25">
      <c r="A383" s="7" t="s">
        <v>44</v>
      </c>
      <c r="B383" s="7" t="s">
        <v>56</v>
      </c>
      <c r="C383" s="7" t="s">
        <v>55</v>
      </c>
      <c r="D383" s="23">
        <v>41730</v>
      </c>
      <c r="E383" s="7">
        <v>4</v>
      </c>
      <c r="F383" s="7" t="s">
        <v>57</v>
      </c>
      <c r="G383" s="7" t="s">
        <v>58</v>
      </c>
      <c r="H383" s="7" t="s">
        <v>59</v>
      </c>
      <c r="I383" s="7" t="s">
        <v>50</v>
      </c>
      <c r="J383" s="25">
        <v>2234200.5744250002</v>
      </c>
    </row>
    <row r="384" spans="1:10" ht="14.25" customHeight="1" x14ac:dyDescent="0.25">
      <c r="A384" s="7" t="s">
        <v>44</v>
      </c>
      <c r="B384" s="7" t="s">
        <v>56</v>
      </c>
      <c r="C384" s="7" t="s">
        <v>55</v>
      </c>
      <c r="D384" s="23">
        <v>41760</v>
      </c>
      <c r="E384" s="7">
        <v>5</v>
      </c>
      <c r="F384" s="7" t="s">
        <v>57</v>
      </c>
      <c r="G384" s="7" t="s">
        <v>58</v>
      </c>
      <c r="H384" s="7" t="s">
        <v>59</v>
      </c>
      <c r="I384" s="7" t="s">
        <v>50</v>
      </c>
      <c r="J384" s="25">
        <v>2593715.6428375002</v>
      </c>
    </row>
    <row r="385" spans="1:10" ht="14.25" customHeight="1" x14ac:dyDescent="0.25">
      <c r="A385" s="7" t="s">
        <v>44</v>
      </c>
      <c r="B385" s="7" t="s">
        <v>56</v>
      </c>
      <c r="C385" s="7" t="s">
        <v>55</v>
      </c>
      <c r="D385" s="23">
        <v>41791</v>
      </c>
      <c r="E385" s="7">
        <v>6</v>
      </c>
      <c r="F385" s="7" t="s">
        <v>57</v>
      </c>
      <c r="G385" s="7" t="s">
        <v>58</v>
      </c>
      <c r="H385" s="7" t="s">
        <v>59</v>
      </c>
      <c r="I385" s="7" t="s">
        <v>50</v>
      </c>
      <c r="J385" s="25">
        <v>2274807.7859325004</v>
      </c>
    </row>
    <row r="386" spans="1:10" ht="14.25" customHeight="1" x14ac:dyDescent="0.25">
      <c r="A386" s="7" t="s">
        <v>44</v>
      </c>
      <c r="B386" s="7" t="s">
        <v>56</v>
      </c>
      <c r="C386" s="7" t="s">
        <v>55</v>
      </c>
      <c r="D386" s="23">
        <v>41456</v>
      </c>
      <c r="E386" s="7">
        <v>7</v>
      </c>
      <c r="F386" s="7" t="s">
        <v>57</v>
      </c>
      <c r="G386" s="7" t="s">
        <v>60</v>
      </c>
      <c r="H386" s="7" t="s">
        <v>61</v>
      </c>
      <c r="I386" s="7" t="s">
        <v>50</v>
      </c>
      <c r="J386" s="25">
        <v>895736.75638589996</v>
      </c>
    </row>
    <row r="387" spans="1:10" ht="14.25" customHeight="1" x14ac:dyDescent="0.25">
      <c r="A387" s="7" t="s">
        <v>44</v>
      </c>
      <c r="B387" s="7" t="s">
        <v>56</v>
      </c>
      <c r="C387" s="7" t="s">
        <v>55</v>
      </c>
      <c r="D387" s="23">
        <v>41487</v>
      </c>
      <c r="E387" s="7">
        <v>8</v>
      </c>
      <c r="F387" s="7" t="s">
        <v>57</v>
      </c>
      <c r="G387" s="7" t="s">
        <v>60</v>
      </c>
      <c r="H387" s="7" t="s">
        <v>61</v>
      </c>
      <c r="I387" s="7" t="s">
        <v>50</v>
      </c>
      <c r="J387" s="25">
        <v>713608.81380359991</v>
      </c>
    </row>
    <row r="388" spans="1:10" ht="14.25" customHeight="1" x14ac:dyDescent="0.25">
      <c r="A388" s="7" t="s">
        <v>44</v>
      </c>
      <c r="B388" s="7" t="s">
        <v>56</v>
      </c>
      <c r="C388" s="7" t="s">
        <v>55</v>
      </c>
      <c r="D388" s="23">
        <v>41518</v>
      </c>
      <c r="E388" s="7">
        <v>9</v>
      </c>
      <c r="F388" s="7" t="s">
        <v>57</v>
      </c>
      <c r="G388" s="7" t="s">
        <v>60</v>
      </c>
      <c r="H388" s="7" t="s">
        <v>61</v>
      </c>
      <c r="I388" s="7" t="s">
        <v>50</v>
      </c>
      <c r="J388" s="25">
        <v>964630.03691340005</v>
      </c>
    </row>
    <row r="389" spans="1:10" ht="14.25" customHeight="1" x14ac:dyDescent="0.25">
      <c r="A389" s="7" t="s">
        <v>44</v>
      </c>
      <c r="B389" s="7" t="s">
        <v>56</v>
      </c>
      <c r="C389" s="7" t="s">
        <v>55</v>
      </c>
      <c r="D389" s="23">
        <v>41548</v>
      </c>
      <c r="E389" s="7">
        <v>10</v>
      </c>
      <c r="F389" s="7" t="s">
        <v>57</v>
      </c>
      <c r="G389" s="7" t="s">
        <v>60</v>
      </c>
      <c r="H389" s="7" t="s">
        <v>61</v>
      </c>
      <c r="I389" s="7" t="s">
        <v>50</v>
      </c>
      <c r="J389" s="25">
        <v>811393.74381779996</v>
      </c>
    </row>
    <row r="390" spans="1:10" ht="14.25" customHeight="1" x14ac:dyDescent="0.25">
      <c r="A390" s="7" t="s">
        <v>44</v>
      </c>
      <c r="B390" s="7" t="s">
        <v>56</v>
      </c>
      <c r="C390" s="7" t="s">
        <v>55</v>
      </c>
      <c r="D390" s="23">
        <v>41579</v>
      </c>
      <c r="E390" s="7">
        <v>11</v>
      </c>
      <c r="F390" s="7" t="s">
        <v>57</v>
      </c>
      <c r="G390" s="7" t="s">
        <v>60</v>
      </c>
      <c r="H390" s="7" t="s">
        <v>61</v>
      </c>
      <c r="I390" s="7" t="s">
        <v>50</v>
      </c>
      <c r="J390" s="25">
        <v>689988.02642055007</v>
      </c>
    </row>
    <row r="391" spans="1:10" ht="14.25" customHeight="1" x14ac:dyDescent="0.25">
      <c r="A391" s="7" t="s">
        <v>44</v>
      </c>
      <c r="B391" s="7" t="s">
        <v>56</v>
      </c>
      <c r="C391" s="7" t="s">
        <v>55</v>
      </c>
      <c r="D391" s="23">
        <v>41609</v>
      </c>
      <c r="E391" s="7">
        <v>12</v>
      </c>
      <c r="F391" s="7" t="s">
        <v>57</v>
      </c>
      <c r="G391" s="7" t="s">
        <v>60</v>
      </c>
      <c r="H391" s="7" t="s">
        <v>61</v>
      </c>
      <c r="I391" s="7" t="s">
        <v>50</v>
      </c>
      <c r="J391" s="25">
        <v>775165.96316250006</v>
      </c>
    </row>
    <row r="392" spans="1:10" ht="14.25" customHeight="1" x14ac:dyDescent="0.25">
      <c r="A392" s="7" t="s">
        <v>44</v>
      </c>
      <c r="B392" s="7" t="s">
        <v>56</v>
      </c>
      <c r="C392" s="7" t="s">
        <v>55</v>
      </c>
      <c r="D392" s="23">
        <v>41640</v>
      </c>
      <c r="E392" s="7">
        <v>1</v>
      </c>
      <c r="F392" s="7" t="s">
        <v>57</v>
      </c>
      <c r="G392" s="7" t="s">
        <v>60</v>
      </c>
      <c r="H392" s="7" t="s">
        <v>61</v>
      </c>
      <c r="I392" s="7" t="s">
        <v>50</v>
      </c>
      <c r="J392" s="25">
        <v>1034512.9923375</v>
      </c>
    </row>
    <row r="393" spans="1:10" ht="14.25" customHeight="1" x14ac:dyDescent="0.25">
      <c r="A393" s="7" t="s">
        <v>44</v>
      </c>
      <c r="B393" s="7" t="s">
        <v>56</v>
      </c>
      <c r="C393" s="7" t="s">
        <v>55</v>
      </c>
      <c r="D393" s="23">
        <v>41671</v>
      </c>
      <c r="E393" s="7">
        <v>2</v>
      </c>
      <c r="F393" s="7" t="s">
        <v>57</v>
      </c>
      <c r="G393" s="7" t="s">
        <v>60</v>
      </c>
      <c r="H393" s="7" t="s">
        <v>61</v>
      </c>
      <c r="I393" s="7" t="s">
        <v>50</v>
      </c>
      <c r="J393" s="25">
        <v>888365.66788124992</v>
      </c>
    </row>
    <row r="394" spans="1:10" ht="14.25" customHeight="1" x14ac:dyDescent="0.25">
      <c r="A394" s="7" t="s">
        <v>44</v>
      </c>
      <c r="B394" s="7" t="s">
        <v>56</v>
      </c>
      <c r="C394" s="7" t="s">
        <v>55</v>
      </c>
      <c r="D394" s="23">
        <v>41699</v>
      </c>
      <c r="E394" s="7">
        <v>3</v>
      </c>
      <c r="F394" s="7" t="s">
        <v>57</v>
      </c>
      <c r="G394" s="7" t="s">
        <v>60</v>
      </c>
      <c r="H394" s="7" t="s">
        <v>61</v>
      </c>
      <c r="I394" s="7" t="s">
        <v>50</v>
      </c>
      <c r="J394" s="25">
        <v>1248956.7417843752</v>
      </c>
    </row>
    <row r="395" spans="1:10" ht="14.25" customHeight="1" x14ac:dyDescent="0.25">
      <c r="A395" s="7" t="s">
        <v>44</v>
      </c>
      <c r="B395" s="7" t="s">
        <v>56</v>
      </c>
      <c r="C395" s="7" t="s">
        <v>55</v>
      </c>
      <c r="D395" s="23">
        <v>41730</v>
      </c>
      <c r="E395" s="7">
        <v>4</v>
      </c>
      <c r="F395" s="7" t="s">
        <v>57</v>
      </c>
      <c r="G395" s="7" t="s">
        <v>60</v>
      </c>
      <c r="H395" s="7" t="s">
        <v>61</v>
      </c>
      <c r="I395" s="7" t="s">
        <v>50</v>
      </c>
      <c r="J395" s="25">
        <v>680069.70427499991</v>
      </c>
    </row>
    <row r="396" spans="1:10" ht="14.25" customHeight="1" x14ac:dyDescent="0.25">
      <c r="A396" s="7" t="s">
        <v>44</v>
      </c>
      <c r="B396" s="7" t="s">
        <v>56</v>
      </c>
      <c r="C396" s="7" t="s">
        <v>55</v>
      </c>
      <c r="D396" s="23">
        <v>41760</v>
      </c>
      <c r="E396" s="7">
        <v>5</v>
      </c>
      <c r="F396" s="7" t="s">
        <v>57</v>
      </c>
      <c r="G396" s="7" t="s">
        <v>60</v>
      </c>
      <c r="H396" s="7" t="s">
        <v>61</v>
      </c>
      <c r="I396" s="7" t="s">
        <v>50</v>
      </c>
      <c r="J396" s="25">
        <v>878169.84401249979</v>
      </c>
    </row>
    <row r="397" spans="1:10" ht="14.25" customHeight="1" x14ac:dyDescent="0.25">
      <c r="A397" s="7" t="s">
        <v>44</v>
      </c>
      <c r="B397" s="7" t="s">
        <v>56</v>
      </c>
      <c r="C397" s="7" t="s">
        <v>55</v>
      </c>
      <c r="D397" s="23">
        <v>41791</v>
      </c>
      <c r="E397" s="7">
        <v>6</v>
      </c>
      <c r="F397" s="7" t="s">
        <v>57</v>
      </c>
      <c r="G397" s="7" t="s">
        <v>60</v>
      </c>
      <c r="H397" s="7" t="s">
        <v>61</v>
      </c>
      <c r="I397" s="7" t="s">
        <v>50</v>
      </c>
      <c r="J397" s="25">
        <v>1253465.5146975003</v>
      </c>
    </row>
    <row r="398" spans="1:10" ht="14.25" customHeight="1" x14ac:dyDescent="0.25">
      <c r="A398" s="7" t="s">
        <v>44</v>
      </c>
      <c r="B398" s="7" t="s">
        <v>56</v>
      </c>
      <c r="C398" s="7" t="s">
        <v>55</v>
      </c>
      <c r="D398" s="23">
        <v>41456</v>
      </c>
      <c r="E398" s="7">
        <v>7</v>
      </c>
      <c r="F398" s="7" t="s">
        <v>57</v>
      </c>
      <c r="G398" s="7" t="s">
        <v>60</v>
      </c>
      <c r="H398" s="7" t="s">
        <v>62</v>
      </c>
      <c r="I398" s="7" t="s">
        <v>50</v>
      </c>
      <c r="J398" s="25">
        <v>829385.88554250007</v>
      </c>
    </row>
    <row r="399" spans="1:10" ht="14.25" customHeight="1" x14ac:dyDescent="0.25">
      <c r="A399" s="7" t="s">
        <v>44</v>
      </c>
      <c r="B399" s="7" t="s">
        <v>56</v>
      </c>
      <c r="C399" s="7" t="s">
        <v>55</v>
      </c>
      <c r="D399" s="23">
        <v>41487</v>
      </c>
      <c r="E399" s="7">
        <v>8</v>
      </c>
      <c r="F399" s="7" t="s">
        <v>57</v>
      </c>
      <c r="G399" s="7" t="s">
        <v>60</v>
      </c>
      <c r="H399" s="7" t="s">
        <v>62</v>
      </c>
      <c r="I399" s="7" t="s">
        <v>50</v>
      </c>
      <c r="J399" s="25">
        <v>660748.90166999993</v>
      </c>
    </row>
    <row r="400" spans="1:10" ht="14.25" customHeight="1" x14ac:dyDescent="0.25">
      <c r="A400" s="7" t="s">
        <v>44</v>
      </c>
      <c r="B400" s="7" t="s">
        <v>56</v>
      </c>
      <c r="C400" s="7" t="s">
        <v>55</v>
      </c>
      <c r="D400" s="23">
        <v>41518</v>
      </c>
      <c r="E400" s="7">
        <v>9</v>
      </c>
      <c r="F400" s="7" t="s">
        <v>57</v>
      </c>
      <c r="G400" s="7" t="s">
        <v>60</v>
      </c>
      <c r="H400" s="7" t="s">
        <v>62</v>
      </c>
      <c r="I400" s="7" t="s">
        <v>50</v>
      </c>
      <c r="J400" s="25">
        <v>893175.96010499995</v>
      </c>
    </row>
    <row r="401" spans="1:10" ht="14.25" customHeight="1" x14ac:dyDescent="0.25">
      <c r="A401" s="7" t="s">
        <v>44</v>
      </c>
      <c r="B401" s="7" t="s">
        <v>56</v>
      </c>
      <c r="C401" s="7" t="s">
        <v>55</v>
      </c>
      <c r="D401" s="23">
        <v>41548</v>
      </c>
      <c r="E401" s="7">
        <v>10</v>
      </c>
      <c r="F401" s="7" t="s">
        <v>57</v>
      </c>
      <c r="G401" s="7" t="s">
        <v>60</v>
      </c>
      <c r="H401" s="7" t="s">
        <v>62</v>
      </c>
      <c r="I401" s="7" t="s">
        <v>50</v>
      </c>
      <c r="J401" s="25">
        <v>751290.50353499991</v>
      </c>
    </row>
    <row r="402" spans="1:10" ht="14.25" customHeight="1" x14ac:dyDescent="0.25">
      <c r="A402" s="7" t="s">
        <v>44</v>
      </c>
      <c r="B402" s="7" t="s">
        <v>56</v>
      </c>
      <c r="C402" s="7" t="s">
        <v>55</v>
      </c>
      <c r="D402" s="23">
        <v>41579</v>
      </c>
      <c r="E402" s="7">
        <v>11</v>
      </c>
      <c r="F402" s="7" t="s">
        <v>57</v>
      </c>
      <c r="G402" s="7" t="s">
        <v>60</v>
      </c>
      <c r="H402" s="7" t="s">
        <v>62</v>
      </c>
      <c r="I402" s="7" t="s">
        <v>50</v>
      </c>
      <c r="J402" s="25">
        <v>638877.80224125006</v>
      </c>
    </row>
    <row r="403" spans="1:10" ht="14.25" customHeight="1" x14ac:dyDescent="0.25">
      <c r="A403" s="7" t="s">
        <v>44</v>
      </c>
      <c r="B403" s="7" t="s">
        <v>56</v>
      </c>
      <c r="C403" s="7" t="s">
        <v>55</v>
      </c>
      <c r="D403" s="23">
        <v>41609</v>
      </c>
      <c r="E403" s="7">
        <v>12</v>
      </c>
      <c r="F403" s="7" t="s">
        <v>57</v>
      </c>
      <c r="G403" s="7" t="s">
        <v>60</v>
      </c>
      <c r="H403" s="7" t="s">
        <v>62</v>
      </c>
      <c r="I403" s="7" t="s">
        <v>50</v>
      </c>
      <c r="J403" s="25">
        <v>717746.26218750002</v>
      </c>
    </row>
    <row r="404" spans="1:10" ht="14.25" customHeight="1" x14ac:dyDescent="0.25">
      <c r="A404" s="7" t="s">
        <v>44</v>
      </c>
      <c r="B404" s="7" t="s">
        <v>56</v>
      </c>
      <c r="C404" s="7" t="s">
        <v>55</v>
      </c>
      <c r="D404" s="23">
        <v>41640</v>
      </c>
      <c r="E404" s="7">
        <v>1</v>
      </c>
      <c r="F404" s="7" t="s">
        <v>57</v>
      </c>
      <c r="G404" s="7" t="s">
        <v>60</v>
      </c>
      <c r="H404" s="7" t="s">
        <v>62</v>
      </c>
      <c r="I404" s="7" t="s">
        <v>50</v>
      </c>
      <c r="J404" s="25">
        <v>957882.40031249996</v>
      </c>
    </row>
    <row r="405" spans="1:10" ht="14.25" customHeight="1" x14ac:dyDescent="0.25">
      <c r="A405" s="7" t="s">
        <v>44</v>
      </c>
      <c r="B405" s="7" t="s">
        <v>56</v>
      </c>
      <c r="C405" s="7" t="s">
        <v>55</v>
      </c>
      <c r="D405" s="23">
        <v>41671</v>
      </c>
      <c r="E405" s="7">
        <v>2</v>
      </c>
      <c r="F405" s="7" t="s">
        <v>57</v>
      </c>
      <c r="G405" s="7" t="s">
        <v>60</v>
      </c>
      <c r="H405" s="7" t="s">
        <v>62</v>
      </c>
      <c r="I405" s="7" t="s">
        <v>50</v>
      </c>
      <c r="J405" s="25">
        <v>822560.80359374988</v>
      </c>
    </row>
    <row r="406" spans="1:10" ht="14.25" customHeight="1" x14ac:dyDescent="0.25">
      <c r="A406" s="7" t="s">
        <v>44</v>
      </c>
      <c r="B406" s="7" t="s">
        <v>56</v>
      </c>
      <c r="C406" s="7" t="s">
        <v>55</v>
      </c>
      <c r="D406" s="23">
        <v>41699</v>
      </c>
      <c r="E406" s="7">
        <v>3</v>
      </c>
      <c r="F406" s="7" t="s">
        <v>57</v>
      </c>
      <c r="G406" s="7" t="s">
        <v>60</v>
      </c>
      <c r="H406" s="7" t="s">
        <v>62</v>
      </c>
      <c r="I406" s="7" t="s">
        <v>50</v>
      </c>
      <c r="J406" s="25">
        <v>1156441.4275781249</v>
      </c>
    </row>
    <row r="407" spans="1:10" ht="14.25" customHeight="1" x14ac:dyDescent="0.25">
      <c r="A407" s="7" t="s">
        <v>44</v>
      </c>
      <c r="B407" s="7" t="s">
        <v>56</v>
      </c>
      <c r="C407" s="7" t="s">
        <v>55</v>
      </c>
      <c r="D407" s="23">
        <v>41730</v>
      </c>
      <c r="E407" s="7">
        <v>4</v>
      </c>
      <c r="F407" s="7" t="s">
        <v>57</v>
      </c>
      <c r="G407" s="7" t="s">
        <v>60</v>
      </c>
      <c r="H407" s="7" t="s">
        <v>62</v>
      </c>
      <c r="I407" s="7" t="s">
        <v>50</v>
      </c>
      <c r="J407" s="25">
        <v>629694.17062500003</v>
      </c>
    </row>
    <row r="408" spans="1:10" ht="14.25" customHeight="1" x14ac:dyDescent="0.25">
      <c r="A408" s="7" t="s">
        <v>44</v>
      </c>
      <c r="B408" s="7" t="s">
        <v>56</v>
      </c>
      <c r="C408" s="7" t="s">
        <v>55</v>
      </c>
      <c r="D408" s="23">
        <v>41760</v>
      </c>
      <c r="E408" s="7">
        <v>5</v>
      </c>
      <c r="F408" s="7" t="s">
        <v>57</v>
      </c>
      <c r="G408" s="7" t="s">
        <v>60</v>
      </c>
      <c r="H408" s="7" t="s">
        <v>62</v>
      </c>
      <c r="I408" s="7" t="s">
        <v>50</v>
      </c>
      <c r="J408" s="25">
        <v>813120.22593749978</v>
      </c>
    </row>
    <row r="409" spans="1:10" ht="14.25" customHeight="1" x14ac:dyDescent="0.25">
      <c r="A409" s="7" t="s">
        <v>44</v>
      </c>
      <c r="B409" s="7" t="s">
        <v>56</v>
      </c>
      <c r="C409" s="7" t="s">
        <v>55</v>
      </c>
      <c r="D409" s="23">
        <v>41791</v>
      </c>
      <c r="E409" s="7">
        <v>6</v>
      </c>
      <c r="F409" s="7" t="s">
        <v>57</v>
      </c>
      <c r="G409" s="7" t="s">
        <v>60</v>
      </c>
      <c r="H409" s="7" t="s">
        <v>62</v>
      </c>
      <c r="I409" s="7" t="s">
        <v>50</v>
      </c>
      <c r="J409" s="25">
        <v>1160616.2173125001</v>
      </c>
    </row>
    <row r="410" spans="1:10" ht="14.25" customHeight="1" x14ac:dyDescent="0.25">
      <c r="A410" s="7" t="s">
        <v>44</v>
      </c>
      <c r="B410" s="7" t="s">
        <v>56</v>
      </c>
      <c r="C410" s="7" t="s">
        <v>55</v>
      </c>
      <c r="D410" s="23">
        <v>41456</v>
      </c>
      <c r="E410" s="7">
        <v>7</v>
      </c>
      <c r="F410" s="7" t="s">
        <v>57</v>
      </c>
      <c r="G410" s="7" t="s">
        <v>63</v>
      </c>
      <c r="H410" s="7" t="s">
        <v>64</v>
      </c>
      <c r="I410" s="7" t="s">
        <v>50</v>
      </c>
      <c r="J410" s="25">
        <v>716589.40510871995</v>
      </c>
    </row>
    <row r="411" spans="1:10" ht="14.25" customHeight="1" x14ac:dyDescent="0.25">
      <c r="A411" s="7" t="s">
        <v>44</v>
      </c>
      <c r="B411" s="7" t="s">
        <v>56</v>
      </c>
      <c r="C411" s="7" t="s">
        <v>55</v>
      </c>
      <c r="D411" s="23">
        <v>41487</v>
      </c>
      <c r="E411" s="7">
        <v>8</v>
      </c>
      <c r="F411" s="7" t="s">
        <v>57</v>
      </c>
      <c r="G411" s="7" t="s">
        <v>63</v>
      </c>
      <c r="H411" s="7" t="s">
        <v>64</v>
      </c>
      <c r="I411" s="7" t="s">
        <v>50</v>
      </c>
      <c r="J411" s="25">
        <v>570887.05104287993</v>
      </c>
    </row>
    <row r="412" spans="1:10" ht="14.25" customHeight="1" x14ac:dyDescent="0.25">
      <c r="A412" s="7" t="s">
        <v>44</v>
      </c>
      <c r="B412" s="7" t="s">
        <v>56</v>
      </c>
      <c r="C412" s="7" t="s">
        <v>55</v>
      </c>
      <c r="D412" s="23">
        <v>41518</v>
      </c>
      <c r="E412" s="7">
        <v>9</v>
      </c>
      <c r="F412" s="7" t="s">
        <v>57</v>
      </c>
      <c r="G412" s="7" t="s">
        <v>63</v>
      </c>
      <c r="H412" s="7" t="s">
        <v>64</v>
      </c>
      <c r="I412" s="7" t="s">
        <v>50</v>
      </c>
      <c r="J412" s="25">
        <v>771704.02953071985</v>
      </c>
    </row>
    <row r="413" spans="1:10" ht="14.25" customHeight="1" x14ac:dyDescent="0.25">
      <c r="A413" s="7" t="s">
        <v>44</v>
      </c>
      <c r="B413" s="7" t="s">
        <v>56</v>
      </c>
      <c r="C413" s="7" t="s">
        <v>55</v>
      </c>
      <c r="D413" s="23">
        <v>41548</v>
      </c>
      <c r="E413" s="7">
        <v>10</v>
      </c>
      <c r="F413" s="7" t="s">
        <v>57</v>
      </c>
      <c r="G413" s="7" t="s">
        <v>63</v>
      </c>
      <c r="H413" s="7" t="s">
        <v>64</v>
      </c>
      <c r="I413" s="7" t="s">
        <v>50</v>
      </c>
      <c r="J413" s="25">
        <v>649114.99505423987</v>
      </c>
    </row>
    <row r="414" spans="1:10" ht="14.25" customHeight="1" x14ac:dyDescent="0.25">
      <c r="A414" s="7" t="s">
        <v>44</v>
      </c>
      <c r="B414" s="7" t="s">
        <v>56</v>
      </c>
      <c r="C414" s="7" t="s">
        <v>55</v>
      </c>
      <c r="D414" s="23">
        <v>41579</v>
      </c>
      <c r="E414" s="7">
        <v>11</v>
      </c>
      <c r="F414" s="7" t="s">
        <v>57</v>
      </c>
      <c r="G414" s="7" t="s">
        <v>63</v>
      </c>
      <c r="H414" s="7" t="s">
        <v>64</v>
      </c>
      <c r="I414" s="7" t="s">
        <v>50</v>
      </c>
      <c r="J414" s="25">
        <v>551990.42113644001</v>
      </c>
    </row>
    <row r="415" spans="1:10" ht="14.25" customHeight="1" x14ac:dyDescent="0.25">
      <c r="A415" s="7" t="s">
        <v>44</v>
      </c>
      <c r="B415" s="7" t="s">
        <v>56</v>
      </c>
      <c r="C415" s="7" t="s">
        <v>55</v>
      </c>
      <c r="D415" s="23">
        <v>41609</v>
      </c>
      <c r="E415" s="7">
        <v>12</v>
      </c>
      <c r="F415" s="7" t="s">
        <v>57</v>
      </c>
      <c r="G415" s="7" t="s">
        <v>63</v>
      </c>
      <c r="H415" s="7" t="s">
        <v>64</v>
      </c>
      <c r="I415" s="7" t="s">
        <v>50</v>
      </c>
      <c r="J415" s="25">
        <v>620132.77052999998</v>
      </c>
    </row>
    <row r="416" spans="1:10" ht="14.25" customHeight="1" x14ac:dyDescent="0.25">
      <c r="A416" s="7" t="s">
        <v>44</v>
      </c>
      <c r="B416" s="7" t="s">
        <v>56</v>
      </c>
      <c r="C416" s="7" t="s">
        <v>55</v>
      </c>
      <c r="D416" s="23">
        <v>41640</v>
      </c>
      <c r="E416" s="7">
        <v>1</v>
      </c>
      <c r="F416" s="7" t="s">
        <v>57</v>
      </c>
      <c r="G416" s="7" t="s">
        <v>63</v>
      </c>
      <c r="H416" s="7" t="s">
        <v>64</v>
      </c>
      <c r="I416" s="7" t="s">
        <v>50</v>
      </c>
      <c r="J416" s="25">
        <v>827610.39387000003</v>
      </c>
    </row>
    <row r="417" spans="1:10" ht="14.25" customHeight="1" x14ac:dyDescent="0.25">
      <c r="A417" s="7" t="s">
        <v>44</v>
      </c>
      <c r="B417" s="7" t="s">
        <v>56</v>
      </c>
      <c r="C417" s="7" t="s">
        <v>55</v>
      </c>
      <c r="D417" s="23">
        <v>41671</v>
      </c>
      <c r="E417" s="7">
        <v>2</v>
      </c>
      <c r="F417" s="7" t="s">
        <v>57</v>
      </c>
      <c r="G417" s="7" t="s">
        <v>63</v>
      </c>
      <c r="H417" s="7" t="s">
        <v>64</v>
      </c>
      <c r="I417" s="7" t="s">
        <v>50</v>
      </c>
      <c r="J417" s="25">
        <v>710692.53430499986</v>
      </c>
    </row>
    <row r="418" spans="1:10" ht="14.25" customHeight="1" x14ac:dyDescent="0.25">
      <c r="A418" s="7" t="s">
        <v>44</v>
      </c>
      <c r="B418" s="7" t="s">
        <v>56</v>
      </c>
      <c r="C418" s="7" t="s">
        <v>55</v>
      </c>
      <c r="D418" s="23">
        <v>41699</v>
      </c>
      <c r="E418" s="7">
        <v>3</v>
      </c>
      <c r="F418" s="7" t="s">
        <v>57</v>
      </c>
      <c r="G418" s="7" t="s">
        <v>63</v>
      </c>
      <c r="H418" s="7" t="s">
        <v>64</v>
      </c>
      <c r="I418" s="7" t="s">
        <v>50</v>
      </c>
      <c r="J418" s="25">
        <v>999165.39342749992</v>
      </c>
    </row>
    <row r="419" spans="1:10" ht="14.25" customHeight="1" x14ac:dyDescent="0.25">
      <c r="A419" s="7" t="s">
        <v>44</v>
      </c>
      <c r="B419" s="7" t="s">
        <v>56</v>
      </c>
      <c r="C419" s="7" t="s">
        <v>55</v>
      </c>
      <c r="D419" s="23">
        <v>41730</v>
      </c>
      <c r="E419" s="7">
        <v>4</v>
      </c>
      <c r="F419" s="7" t="s">
        <v>57</v>
      </c>
      <c r="G419" s="7" t="s">
        <v>63</v>
      </c>
      <c r="H419" s="7" t="s">
        <v>64</v>
      </c>
      <c r="I419" s="7" t="s">
        <v>50</v>
      </c>
      <c r="J419" s="25">
        <v>544055.76341999997</v>
      </c>
    </row>
    <row r="420" spans="1:10" ht="14.25" customHeight="1" x14ac:dyDescent="0.25">
      <c r="A420" s="7" t="s">
        <v>44</v>
      </c>
      <c r="B420" s="7" t="s">
        <v>56</v>
      </c>
      <c r="C420" s="7" t="s">
        <v>55</v>
      </c>
      <c r="D420" s="23">
        <v>41760</v>
      </c>
      <c r="E420" s="7">
        <v>5</v>
      </c>
      <c r="F420" s="7" t="s">
        <v>57</v>
      </c>
      <c r="G420" s="7" t="s">
        <v>63</v>
      </c>
      <c r="H420" s="7" t="s">
        <v>64</v>
      </c>
      <c r="I420" s="7" t="s">
        <v>50</v>
      </c>
      <c r="J420" s="25">
        <v>702535.87520999974</v>
      </c>
    </row>
    <row r="421" spans="1:10" ht="14.25" customHeight="1" x14ac:dyDescent="0.25">
      <c r="A421" s="7" t="s">
        <v>44</v>
      </c>
      <c r="B421" s="7" t="s">
        <v>56</v>
      </c>
      <c r="C421" s="7" t="s">
        <v>55</v>
      </c>
      <c r="D421" s="23">
        <v>41791</v>
      </c>
      <c r="E421" s="7">
        <v>6</v>
      </c>
      <c r="F421" s="7" t="s">
        <v>57</v>
      </c>
      <c r="G421" s="7" t="s">
        <v>63</v>
      </c>
      <c r="H421" s="7" t="s">
        <v>64</v>
      </c>
      <c r="I421" s="7" t="s">
        <v>50</v>
      </c>
      <c r="J421" s="25">
        <v>1002772.411758</v>
      </c>
    </row>
    <row r="422" spans="1:10" ht="14.25" customHeight="1" x14ac:dyDescent="0.25">
      <c r="A422" s="7" t="s">
        <v>44</v>
      </c>
      <c r="B422" s="7" t="s">
        <v>56</v>
      </c>
      <c r="C422" s="7" t="s">
        <v>55</v>
      </c>
      <c r="D422" s="23">
        <v>41456</v>
      </c>
      <c r="E422" s="7">
        <v>7</v>
      </c>
      <c r="F422" s="7" t="s">
        <v>57</v>
      </c>
      <c r="G422" s="7" t="s">
        <v>63</v>
      </c>
      <c r="H422" s="7" t="s">
        <v>65</v>
      </c>
      <c r="I422" s="7" t="s">
        <v>50</v>
      </c>
      <c r="J422" s="25">
        <v>251329.05622500001</v>
      </c>
    </row>
    <row r="423" spans="1:10" ht="14.25" customHeight="1" x14ac:dyDescent="0.25">
      <c r="A423" s="7" t="s">
        <v>44</v>
      </c>
      <c r="B423" s="7" t="s">
        <v>56</v>
      </c>
      <c r="C423" s="7" t="s">
        <v>55</v>
      </c>
      <c r="D423" s="23">
        <v>41487</v>
      </c>
      <c r="E423" s="7">
        <v>8</v>
      </c>
      <c r="F423" s="7" t="s">
        <v>57</v>
      </c>
      <c r="G423" s="7" t="s">
        <v>63</v>
      </c>
      <c r="H423" s="7" t="s">
        <v>65</v>
      </c>
      <c r="I423" s="7" t="s">
        <v>50</v>
      </c>
      <c r="J423" s="25">
        <v>200226.9399</v>
      </c>
    </row>
    <row r="424" spans="1:10" ht="14.25" customHeight="1" x14ac:dyDescent="0.25">
      <c r="A424" s="7" t="s">
        <v>44</v>
      </c>
      <c r="B424" s="7" t="s">
        <v>56</v>
      </c>
      <c r="C424" s="7" t="s">
        <v>55</v>
      </c>
      <c r="D424" s="23">
        <v>41518</v>
      </c>
      <c r="E424" s="7">
        <v>9</v>
      </c>
      <c r="F424" s="7" t="s">
        <v>57</v>
      </c>
      <c r="G424" s="7" t="s">
        <v>63</v>
      </c>
      <c r="H424" s="7" t="s">
        <v>65</v>
      </c>
      <c r="I424" s="7" t="s">
        <v>50</v>
      </c>
      <c r="J424" s="25">
        <v>270659.38184999995</v>
      </c>
    </row>
    <row r="425" spans="1:10" ht="14.25" customHeight="1" x14ac:dyDescent="0.25">
      <c r="A425" s="7" t="s">
        <v>44</v>
      </c>
      <c r="B425" s="7" t="s">
        <v>56</v>
      </c>
      <c r="C425" s="7" t="s">
        <v>55</v>
      </c>
      <c r="D425" s="23">
        <v>41548</v>
      </c>
      <c r="E425" s="7">
        <v>10</v>
      </c>
      <c r="F425" s="7" t="s">
        <v>57</v>
      </c>
      <c r="G425" s="7" t="s">
        <v>63</v>
      </c>
      <c r="H425" s="7" t="s">
        <v>65</v>
      </c>
      <c r="I425" s="7" t="s">
        <v>50</v>
      </c>
      <c r="J425" s="25">
        <v>227663.78894999996</v>
      </c>
    </row>
    <row r="426" spans="1:10" ht="14.25" customHeight="1" x14ac:dyDescent="0.25">
      <c r="A426" s="7" t="s">
        <v>44</v>
      </c>
      <c r="B426" s="7" t="s">
        <v>56</v>
      </c>
      <c r="C426" s="7" t="s">
        <v>55</v>
      </c>
      <c r="D426" s="23">
        <v>41579</v>
      </c>
      <c r="E426" s="7">
        <v>11</v>
      </c>
      <c r="F426" s="7" t="s">
        <v>57</v>
      </c>
      <c r="G426" s="7" t="s">
        <v>63</v>
      </c>
      <c r="H426" s="7" t="s">
        <v>65</v>
      </c>
      <c r="I426" s="7" t="s">
        <v>50</v>
      </c>
      <c r="J426" s="25">
        <v>193599.33401250001</v>
      </c>
    </row>
    <row r="427" spans="1:10" ht="14.25" customHeight="1" x14ac:dyDescent="0.25">
      <c r="A427" s="7" t="s">
        <v>44</v>
      </c>
      <c r="B427" s="7" t="s">
        <v>56</v>
      </c>
      <c r="C427" s="7" t="s">
        <v>55</v>
      </c>
      <c r="D427" s="23">
        <v>41609</v>
      </c>
      <c r="E427" s="7">
        <v>12</v>
      </c>
      <c r="F427" s="7" t="s">
        <v>57</v>
      </c>
      <c r="G427" s="7" t="s">
        <v>63</v>
      </c>
      <c r="H427" s="7" t="s">
        <v>65</v>
      </c>
      <c r="I427" s="7" t="s">
        <v>50</v>
      </c>
      <c r="J427" s="25">
        <v>143549.25243750002</v>
      </c>
    </row>
    <row r="428" spans="1:10" ht="14.25" customHeight="1" x14ac:dyDescent="0.25">
      <c r="A428" s="7" t="s">
        <v>44</v>
      </c>
      <c r="B428" s="7" t="s">
        <v>56</v>
      </c>
      <c r="C428" s="7" t="s">
        <v>55</v>
      </c>
      <c r="D428" s="23">
        <v>41640</v>
      </c>
      <c r="E428" s="7">
        <v>1</v>
      </c>
      <c r="F428" s="7" t="s">
        <v>57</v>
      </c>
      <c r="G428" s="7" t="s">
        <v>63</v>
      </c>
      <c r="H428" s="7" t="s">
        <v>65</v>
      </c>
      <c r="I428" s="7" t="s">
        <v>50</v>
      </c>
      <c r="J428" s="25">
        <v>153261.18405000001</v>
      </c>
    </row>
    <row r="429" spans="1:10" ht="14.25" customHeight="1" x14ac:dyDescent="0.25">
      <c r="A429" s="7" t="s">
        <v>44</v>
      </c>
      <c r="B429" s="7" t="s">
        <v>56</v>
      </c>
      <c r="C429" s="7" t="s">
        <v>55</v>
      </c>
      <c r="D429" s="23">
        <v>41671</v>
      </c>
      <c r="E429" s="7">
        <v>2</v>
      </c>
      <c r="F429" s="7" t="s">
        <v>57</v>
      </c>
      <c r="G429" s="7" t="s">
        <v>63</v>
      </c>
      <c r="H429" s="7" t="s">
        <v>65</v>
      </c>
      <c r="I429" s="7" t="s">
        <v>50</v>
      </c>
      <c r="J429" s="25">
        <v>131609.72857499999</v>
      </c>
    </row>
    <row r="430" spans="1:10" ht="14.25" customHeight="1" x14ac:dyDescent="0.25">
      <c r="A430" s="7" t="s">
        <v>44</v>
      </c>
      <c r="B430" s="7" t="s">
        <v>56</v>
      </c>
      <c r="C430" s="7" t="s">
        <v>55</v>
      </c>
      <c r="D430" s="23">
        <v>41699</v>
      </c>
      <c r="E430" s="7">
        <v>3</v>
      </c>
      <c r="F430" s="7" t="s">
        <v>57</v>
      </c>
      <c r="G430" s="7" t="s">
        <v>63</v>
      </c>
      <c r="H430" s="7" t="s">
        <v>65</v>
      </c>
      <c r="I430" s="7" t="s">
        <v>50</v>
      </c>
      <c r="J430" s="25">
        <v>185030.62841250002</v>
      </c>
    </row>
    <row r="431" spans="1:10" ht="14.25" customHeight="1" x14ac:dyDescent="0.25">
      <c r="A431" s="7" t="s">
        <v>44</v>
      </c>
      <c r="B431" s="7" t="s">
        <v>56</v>
      </c>
      <c r="C431" s="7" t="s">
        <v>55</v>
      </c>
      <c r="D431" s="23">
        <v>41730</v>
      </c>
      <c r="E431" s="7">
        <v>4</v>
      </c>
      <c r="F431" s="7" t="s">
        <v>57</v>
      </c>
      <c r="G431" s="7" t="s">
        <v>63</v>
      </c>
      <c r="H431" s="7" t="s">
        <v>65</v>
      </c>
      <c r="I431" s="7" t="s">
        <v>50</v>
      </c>
      <c r="J431" s="25">
        <v>100751.0673</v>
      </c>
    </row>
    <row r="432" spans="1:10" ht="14.25" customHeight="1" x14ac:dyDescent="0.25">
      <c r="A432" s="7" t="s">
        <v>44</v>
      </c>
      <c r="B432" s="7" t="s">
        <v>56</v>
      </c>
      <c r="C432" s="7" t="s">
        <v>55</v>
      </c>
      <c r="D432" s="23">
        <v>41760</v>
      </c>
      <c r="E432" s="7">
        <v>5</v>
      </c>
      <c r="F432" s="7" t="s">
        <v>57</v>
      </c>
      <c r="G432" s="7" t="s">
        <v>63</v>
      </c>
      <c r="H432" s="7" t="s">
        <v>65</v>
      </c>
      <c r="I432" s="7" t="s">
        <v>50</v>
      </c>
      <c r="J432" s="25">
        <v>130099.23614999997</v>
      </c>
    </row>
    <row r="433" spans="1:10" ht="14.25" customHeight="1" x14ac:dyDescent="0.25">
      <c r="A433" s="7" t="s">
        <v>44</v>
      </c>
      <c r="B433" s="7" t="s">
        <v>56</v>
      </c>
      <c r="C433" s="7" t="s">
        <v>55</v>
      </c>
      <c r="D433" s="23">
        <v>41791</v>
      </c>
      <c r="E433" s="7">
        <v>6</v>
      </c>
      <c r="F433" s="7" t="s">
        <v>57</v>
      </c>
      <c r="G433" s="7" t="s">
        <v>63</v>
      </c>
      <c r="H433" s="7" t="s">
        <v>65</v>
      </c>
      <c r="I433" s="7" t="s">
        <v>50</v>
      </c>
      <c r="J433" s="25">
        <v>232123.24346250005</v>
      </c>
    </row>
    <row r="434" spans="1:10" ht="14.25" customHeight="1" x14ac:dyDescent="0.25">
      <c r="A434" s="7" t="s">
        <v>44</v>
      </c>
      <c r="B434" s="7" t="s">
        <v>56</v>
      </c>
      <c r="C434" s="7" t="s">
        <v>55</v>
      </c>
      <c r="D434" s="23">
        <v>41456</v>
      </c>
      <c r="E434" s="7">
        <v>7</v>
      </c>
      <c r="F434" s="7" t="s">
        <v>57</v>
      </c>
      <c r="G434" s="7" t="s">
        <v>63</v>
      </c>
      <c r="H434" s="7" t="s">
        <v>66</v>
      </c>
      <c r="I434" s="7" t="s">
        <v>50</v>
      </c>
      <c r="J434" s="25">
        <v>623296.05943799997</v>
      </c>
    </row>
    <row r="435" spans="1:10" ht="14.25" customHeight="1" x14ac:dyDescent="0.25">
      <c r="A435" s="7" t="s">
        <v>44</v>
      </c>
      <c r="B435" s="7" t="s">
        <v>56</v>
      </c>
      <c r="C435" s="7" t="s">
        <v>55</v>
      </c>
      <c r="D435" s="23">
        <v>41487</v>
      </c>
      <c r="E435" s="7">
        <v>8</v>
      </c>
      <c r="F435" s="7" t="s">
        <v>57</v>
      </c>
      <c r="G435" s="7" t="s">
        <v>63</v>
      </c>
      <c r="H435" s="7" t="s">
        <v>66</v>
      </c>
      <c r="I435" s="7" t="s">
        <v>50</v>
      </c>
      <c r="J435" s="25">
        <v>496562.81095199991</v>
      </c>
    </row>
    <row r="436" spans="1:10" ht="14.25" customHeight="1" x14ac:dyDescent="0.25">
      <c r="A436" s="7" t="s">
        <v>44</v>
      </c>
      <c r="B436" s="7" t="s">
        <v>56</v>
      </c>
      <c r="C436" s="7" t="s">
        <v>55</v>
      </c>
      <c r="D436" s="23">
        <v>41518</v>
      </c>
      <c r="E436" s="7">
        <v>9</v>
      </c>
      <c r="F436" s="7" t="s">
        <v>57</v>
      </c>
      <c r="G436" s="7" t="s">
        <v>63</v>
      </c>
      <c r="H436" s="7" t="s">
        <v>66</v>
      </c>
      <c r="I436" s="7" t="s">
        <v>50</v>
      </c>
      <c r="J436" s="25">
        <v>671235.2669879999</v>
      </c>
    </row>
    <row r="437" spans="1:10" ht="14.25" customHeight="1" x14ac:dyDescent="0.25">
      <c r="A437" s="7" t="s">
        <v>44</v>
      </c>
      <c r="B437" s="7" t="s">
        <v>56</v>
      </c>
      <c r="C437" s="7" t="s">
        <v>55</v>
      </c>
      <c r="D437" s="23">
        <v>41548</v>
      </c>
      <c r="E437" s="7">
        <v>10</v>
      </c>
      <c r="F437" s="7" t="s">
        <v>57</v>
      </c>
      <c r="G437" s="7" t="s">
        <v>63</v>
      </c>
      <c r="H437" s="7" t="s">
        <v>66</v>
      </c>
      <c r="I437" s="7" t="s">
        <v>50</v>
      </c>
      <c r="J437" s="25">
        <v>564606.19659599988</v>
      </c>
    </row>
    <row r="438" spans="1:10" ht="14.25" customHeight="1" x14ac:dyDescent="0.25">
      <c r="A438" s="7" t="s">
        <v>44</v>
      </c>
      <c r="B438" s="7" t="s">
        <v>56</v>
      </c>
      <c r="C438" s="7" t="s">
        <v>55</v>
      </c>
      <c r="D438" s="23">
        <v>41579</v>
      </c>
      <c r="E438" s="7">
        <v>11</v>
      </c>
      <c r="F438" s="7" t="s">
        <v>57</v>
      </c>
      <c r="G438" s="7" t="s">
        <v>63</v>
      </c>
      <c r="H438" s="7" t="s">
        <v>66</v>
      </c>
      <c r="I438" s="7" t="s">
        <v>50</v>
      </c>
      <c r="J438" s="25">
        <v>480126.34835100005</v>
      </c>
    </row>
    <row r="439" spans="1:10" ht="14.25" customHeight="1" x14ac:dyDescent="0.25">
      <c r="A439" s="7" t="s">
        <v>44</v>
      </c>
      <c r="B439" s="7" t="s">
        <v>56</v>
      </c>
      <c r="C439" s="7" t="s">
        <v>55</v>
      </c>
      <c r="D439" s="23">
        <v>41609</v>
      </c>
      <c r="E439" s="7">
        <v>12</v>
      </c>
      <c r="F439" s="7" t="s">
        <v>57</v>
      </c>
      <c r="G439" s="7" t="s">
        <v>63</v>
      </c>
      <c r="H439" s="7" t="s">
        <v>66</v>
      </c>
      <c r="I439" s="7" t="s">
        <v>50</v>
      </c>
      <c r="J439" s="25">
        <v>356002.146045</v>
      </c>
    </row>
    <row r="440" spans="1:10" ht="14.25" customHeight="1" x14ac:dyDescent="0.25">
      <c r="A440" s="7" t="s">
        <v>44</v>
      </c>
      <c r="B440" s="7" t="s">
        <v>56</v>
      </c>
      <c r="C440" s="7" t="s">
        <v>55</v>
      </c>
      <c r="D440" s="23">
        <v>41640</v>
      </c>
      <c r="E440" s="7">
        <v>1</v>
      </c>
      <c r="F440" s="7" t="s">
        <v>57</v>
      </c>
      <c r="G440" s="7" t="s">
        <v>63</v>
      </c>
      <c r="H440" s="7" t="s">
        <v>66</v>
      </c>
      <c r="I440" s="7" t="s">
        <v>50</v>
      </c>
      <c r="J440" s="25">
        <v>380087.73644399998</v>
      </c>
    </row>
    <row r="441" spans="1:10" ht="14.25" customHeight="1" x14ac:dyDescent="0.25">
      <c r="A441" s="7" t="s">
        <v>44</v>
      </c>
      <c r="B441" s="7" t="s">
        <v>56</v>
      </c>
      <c r="C441" s="7" t="s">
        <v>55</v>
      </c>
      <c r="D441" s="23">
        <v>41671</v>
      </c>
      <c r="E441" s="7">
        <v>2</v>
      </c>
      <c r="F441" s="7" t="s">
        <v>57</v>
      </c>
      <c r="G441" s="7" t="s">
        <v>63</v>
      </c>
      <c r="H441" s="7" t="s">
        <v>66</v>
      </c>
      <c r="I441" s="7" t="s">
        <v>50</v>
      </c>
      <c r="J441" s="25">
        <v>326392.12686599995</v>
      </c>
    </row>
    <row r="442" spans="1:10" ht="14.25" customHeight="1" x14ac:dyDescent="0.25">
      <c r="A442" s="7" t="s">
        <v>44</v>
      </c>
      <c r="B442" s="7" t="s">
        <v>56</v>
      </c>
      <c r="C442" s="7" t="s">
        <v>55</v>
      </c>
      <c r="D442" s="23">
        <v>41699</v>
      </c>
      <c r="E442" s="7">
        <v>3</v>
      </c>
      <c r="F442" s="7" t="s">
        <v>57</v>
      </c>
      <c r="G442" s="7" t="s">
        <v>63</v>
      </c>
      <c r="H442" s="7" t="s">
        <v>66</v>
      </c>
      <c r="I442" s="7" t="s">
        <v>50</v>
      </c>
      <c r="J442" s="25">
        <v>458875.95846300002</v>
      </c>
    </row>
    <row r="443" spans="1:10" ht="14.25" customHeight="1" x14ac:dyDescent="0.25">
      <c r="A443" s="7" t="s">
        <v>44</v>
      </c>
      <c r="B443" s="7" t="s">
        <v>56</v>
      </c>
      <c r="C443" s="7" t="s">
        <v>55</v>
      </c>
      <c r="D443" s="23">
        <v>41730</v>
      </c>
      <c r="E443" s="7">
        <v>4</v>
      </c>
      <c r="F443" s="7" t="s">
        <v>57</v>
      </c>
      <c r="G443" s="7" t="s">
        <v>63</v>
      </c>
      <c r="H443" s="7" t="s">
        <v>66</v>
      </c>
      <c r="I443" s="7" t="s">
        <v>50</v>
      </c>
      <c r="J443" s="25">
        <v>249862.64690399999</v>
      </c>
    </row>
    <row r="444" spans="1:10" ht="14.25" customHeight="1" x14ac:dyDescent="0.25">
      <c r="A444" s="7" t="s">
        <v>44</v>
      </c>
      <c r="B444" s="7" t="s">
        <v>56</v>
      </c>
      <c r="C444" s="7" t="s">
        <v>55</v>
      </c>
      <c r="D444" s="23">
        <v>41760</v>
      </c>
      <c r="E444" s="7">
        <v>5</v>
      </c>
      <c r="F444" s="7" t="s">
        <v>57</v>
      </c>
      <c r="G444" s="7" t="s">
        <v>63</v>
      </c>
      <c r="H444" s="7" t="s">
        <v>66</v>
      </c>
      <c r="I444" s="7" t="s">
        <v>50</v>
      </c>
      <c r="J444" s="25">
        <v>322646.10565199988</v>
      </c>
    </row>
    <row r="445" spans="1:10" ht="14.25" customHeight="1" x14ac:dyDescent="0.25">
      <c r="A445" s="7" t="s">
        <v>44</v>
      </c>
      <c r="B445" s="7" t="s">
        <v>56</v>
      </c>
      <c r="C445" s="7" t="s">
        <v>55</v>
      </c>
      <c r="D445" s="23">
        <v>41791</v>
      </c>
      <c r="E445" s="7">
        <v>6</v>
      </c>
      <c r="F445" s="7" t="s">
        <v>57</v>
      </c>
      <c r="G445" s="7" t="s">
        <v>63</v>
      </c>
      <c r="H445" s="7" t="s">
        <v>66</v>
      </c>
      <c r="I445" s="7" t="s">
        <v>50</v>
      </c>
      <c r="J445" s="25">
        <v>575665.6437870001</v>
      </c>
    </row>
    <row r="446" spans="1:10" ht="14.25" customHeight="1" x14ac:dyDescent="0.25">
      <c r="A446" s="7" t="s">
        <v>44</v>
      </c>
      <c r="B446" s="7" t="s">
        <v>56</v>
      </c>
      <c r="C446" s="7" t="s">
        <v>55</v>
      </c>
      <c r="D446" s="23">
        <v>41456</v>
      </c>
      <c r="E446" s="7">
        <v>7</v>
      </c>
      <c r="F446" s="7" t="s">
        <v>57</v>
      </c>
      <c r="G446" s="7" t="s">
        <v>63</v>
      </c>
      <c r="H446" s="7" t="s">
        <v>67</v>
      </c>
      <c r="I446" s="7" t="s">
        <v>50</v>
      </c>
      <c r="J446" s="25">
        <v>211116.407229</v>
      </c>
    </row>
    <row r="447" spans="1:10" ht="14.25" customHeight="1" x14ac:dyDescent="0.25">
      <c r="A447" s="7" t="s">
        <v>44</v>
      </c>
      <c r="B447" s="7" t="s">
        <v>56</v>
      </c>
      <c r="C447" s="7" t="s">
        <v>55</v>
      </c>
      <c r="D447" s="23">
        <v>41487</v>
      </c>
      <c r="E447" s="7">
        <v>8</v>
      </c>
      <c r="F447" s="7" t="s">
        <v>57</v>
      </c>
      <c r="G447" s="7" t="s">
        <v>63</v>
      </c>
      <c r="H447" s="7" t="s">
        <v>67</v>
      </c>
      <c r="I447" s="7" t="s">
        <v>50</v>
      </c>
      <c r="J447" s="25">
        <v>168190.62951599999</v>
      </c>
    </row>
    <row r="448" spans="1:10" ht="14.25" customHeight="1" x14ac:dyDescent="0.25">
      <c r="A448" s="7" t="s">
        <v>44</v>
      </c>
      <c r="B448" s="7" t="s">
        <v>56</v>
      </c>
      <c r="C448" s="7" t="s">
        <v>55</v>
      </c>
      <c r="D448" s="23">
        <v>41518</v>
      </c>
      <c r="E448" s="7">
        <v>9</v>
      </c>
      <c r="F448" s="7" t="s">
        <v>57</v>
      </c>
      <c r="G448" s="7" t="s">
        <v>63</v>
      </c>
      <c r="H448" s="7" t="s">
        <v>67</v>
      </c>
      <c r="I448" s="7" t="s">
        <v>50</v>
      </c>
      <c r="J448" s="25">
        <v>227353.88075399998</v>
      </c>
    </row>
    <row r="449" spans="1:10" ht="14.25" customHeight="1" x14ac:dyDescent="0.25">
      <c r="A449" s="7" t="s">
        <v>44</v>
      </c>
      <c r="B449" s="7" t="s">
        <v>56</v>
      </c>
      <c r="C449" s="7" t="s">
        <v>55</v>
      </c>
      <c r="D449" s="23">
        <v>41548</v>
      </c>
      <c r="E449" s="7">
        <v>10</v>
      </c>
      <c r="F449" s="7" t="s">
        <v>57</v>
      </c>
      <c r="G449" s="7" t="s">
        <v>63</v>
      </c>
      <c r="H449" s="7" t="s">
        <v>67</v>
      </c>
      <c r="I449" s="7" t="s">
        <v>50</v>
      </c>
      <c r="J449" s="25">
        <v>191237.58271799999</v>
      </c>
    </row>
    <row r="450" spans="1:10" ht="14.25" customHeight="1" x14ac:dyDescent="0.25">
      <c r="A450" s="7" t="s">
        <v>44</v>
      </c>
      <c r="B450" s="7" t="s">
        <v>56</v>
      </c>
      <c r="C450" s="7" t="s">
        <v>55</v>
      </c>
      <c r="D450" s="23">
        <v>41579</v>
      </c>
      <c r="E450" s="7">
        <v>11</v>
      </c>
      <c r="F450" s="7" t="s">
        <v>57</v>
      </c>
      <c r="G450" s="7" t="s">
        <v>63</v>
      </c>
      <c r="H450" s="7" t="s">
        <v>67</v>
      </c>
      <c r="I450" s="7" t="s">
        <v>50</v>
      </c>
      <c r="J450" s="25">
        <v>162623.44057050001</v>
      </c>
    </row>
    <row r="451" spans="1:10" ht="14.25" customHeight="1" x14ac:dyDescent="0.25">
      <c r="A451" s="7" t="s">
        <v>44</v>
      </c>
      <c r="B451" s="7" t="s">
        <v>56</v>
      </c>
      <c r="C451" s="7" t="s">
        <v>55</v>
      </c>
      <c r="D451" s="23">
        <v>41609</v>
      </c>
      <c r="E451" s="7">
        <v>12</v>
      </c>
      <c r="F451" s="7" t="s">
        <v>57</v>
      </c>
      <c r="G451" s="7" t="s">
        <v>63</v>
      </c>
      <c r="H451" s="7" t="s">
        <v>67</v>
      </c>
      <c r="I451" s="7" t="s">
        <v>50</v>
      </c>
      <c r="J451" s="25">
        <v>120581.37204750002</v>
      </c>
    </row>
    <row r="452" spans="1:10" ht="14.25" customHeight="1" x14ac:dyDescent="0.25">
      <c r="A452" s="7" t="s">
        <v>44</v>
      </c>
      <c r="B452" s="7" t="s">
        <v>56</v>
      </c>
      <c r="C452" s="7" t="s">
        <v>55</v>
      </c>
      <c r="D452" s="23">
        <v>41640</v>
      </c>
      <c r="E452" s="7">
        <v>1</v>
      </c>
      <c r="F452" s="7" t="s">
        <v>57</v>
      </c>
      <c r="G452" s="7" t="s">
        <v>63</v>
      </c>
      <c r="H452" s="7" t="s">
        <v>67</v>
      </c>
      <c r="I452" s="7" t="s">
        <v>50</v>
      </c>
      <c r="J452" s="25">
        <v>128739.394602</v>
      </c>
    </row>
    <row r="453" spans="1:10" ht="14.25" customHeight="1" x14ac:dyDescent="0.25">
      <c r="A453" s="7" t="s">
        <v>44</v>
      </c>
      <c r="B453" s="7" t="s">
        <v>56</v>
      </c>
      <c r="C453" s="7" t="s">
        <v>55</v>
      </c>
      <c r="D453" s="23">
        <v>41671</v>
      </c>
      <c r="E453" s="7">
        <v>2</v>
      </c>
      <c r="F453" s="7" t="s">
        <v>57</v>
      </c>
      <c r="G453" s="7" t="s">
        <v>63</v>
      </c>
      <c r="H453" s="7" t="s">
        <v>67</v>
      </c>
      <c r="I453" s="7" t="s">
        <v>50</v>
      </c>
      <c r="J453" s="25">
        <v>110552.17200299999</v>
      </c>
    </row>
    <row r="454" spans="1:10" ht="14.25" customHeight="1" x14ac:dyDescent="0.25">
      <c r="A454" s="7" t="s">
        <v>44</v>
      </c>
      <c r="B454" s="7" t="s">
        <v>56</v>
      </c>
      <c r="C454" s="7" t="s">
        <v>55</v>
      </c>
      <c r="D454" s="23">
        <v>41699</v>
      </c>
      <c r="E454" s="7">
        <v>3</v>
      </c>
      <c r="F454" s="7" t="s">
        <v>57</v>
      </c>
      <c r="G454" s="7" t="s">
        <v>63</v>
      </c>
      <c r="H454" s="7" t="s">
        <v>67</v>
      </c>
      <c r="I454" s="7" t="s">
        <v>50</v>
      </c>
      <c r="J454" s="25">
        <v>155425.7278665</v>
      </c>
    </row>
    <row r="455" spans="1:10" ht="14.25" customHeight="1" x14ac:dyDescent="0.25">
      <c r="A455" s="7" t="s">
        <v>44</v>
      </c>
      <c r="B455" s="7" t="s">
        <v>56</v>
      </c>
      <c r="C455" s="7" t="s">
        <v>55</v>
      </c>
      <c r="D455" s="23">
        <v>41730</v>
      </c>
      <c r="E455" s="7">
        <v>4</v>
      </c>
      <c r="F455" s="7" t="s">
        <v>57</v>
      </c>
      <c r="G455" s="7" t="s">
        <v>63</v>
      </c>
      <c r="H455" s="7" t="s">
        <v>67</v>
      </c>
      <c r="I455" s="7" t="s">
        <v>50</v>
      </c>
      <c r="J455" s="25">
        <v>84630.896531999999</v>
      </c>
    </row>
    <row r="456" spans="1:10" ht="14.25" customHeight="1" x14ac:dyDescent="0.25">
      <c r="A456" s="7" t="s">
        <v>44</v>
      </c>
      <c r="B456" s="7" t="s">
        <v>56</v>
      </c>
      <c r="C456" s="7" t="s">
        <v>55</v>
      </c>
      <c r="D456" s="23">
        <v>41760</v>
      </c>
      <c r="E456" s="7">
        <v>5</v>
      </c>
      <c r="F456" s="7" t="s">
        <v>57</v>
      </c>
      <c r="G456" s="7" t="s">
        <v>63</v>
      </c>
      <c r="H456" s="7" t="s">
        <v>67</v>
      </c>
      <c r="I456" s="7" t="s">
        <v>50</v>
      </c>
      <c r="J456" s="25">
        <v>109283.35836599997</v>
      </c>
    </row>
    <row r="457" spans="1:10" ht="14.25" customHeight="1" x14ac:dyDescent="0.25">
      <c r="A457" s="7" t="s">
        <v>44</v>
      </c>
      <c r="B457" s="7" t="s">
        <v>56</v>
      </c>
      <c r="C457" s="7" t="s">
        <v>55</v>
      </c>
      <c r="D457" s="23">
        <v>41791</v>
      </c>
      <c r="E457" s="7">
        <v>6</v>
      </c>
      <c r="F457" s="7" t="s">
        <v>57</v>
      </c>
      <c r="G457" s="7" t="s">
        <v>63</v>
      </c>
      <c r="H457" s="7" t="s">
        <v>67</v>
      </c>
      <c r="I457" s="7" t="s">
        <v>50</v>
      </c>
      <c r="J457" s="25">
        <v>194983.52450850004</v>
      </c>
    </row>
    <row r="458" spans="1:10" ht="14.25" customHeight="1" x14ac:dyDescent="0.25">
      <c r="A458" s="7" t="s">
        <v>44</v>
      </c>
      <c r="B458" s="7" t="s">
        <v>56</v>
      </c>
      <c r="C458" s="7" t="s">
        <v>55</v>
      </c>
      <c r="D458" s="23">
        <v>41456</v>
      </c>
      <c r="E458" s="7">
        <v>7</v>
      </c>
      <c r="F458" s="7" t="s">
        <v>57</v>
      </c>
      <c r="G458" s="7" t="s">
        <v>68</v>
      </c>
      <c r="H458" s="7" t="s">
        <v>69</v>
      </c>
      <c r="I458" s="7" t="s">
        <v>50</v>
      </c>
      <c r="J458" s="25">
        <v>3015948.6746999999</v>
      </c>
    </row>
    <row r="459" spans="1:10" ht="14.25" customHeight="1" x14ac:dyDescent="0.25">
      <c r="A459" s="7" t="s">
        <v>44</v>
      </c>
      <c r="B459" s="7" t="s">
        <v>56</v>
      </c>
      <c r="C459" s="7" t="s">
        <v>55</v>
      </c>
      <c r="D459" s="23">
        <v>41487</v>
      </c>
      <c r="E459" s="7">
        <v>8</v>
      </c>
      <c r="F459" s="7" t="s">
        <v>57</v>
      </c>
      <c r="G459" s="7" t="s">
        <v>68</v>
      </c>
      <c r="H459" s="7" t="s">
        <v>69</v>
      </c>
      <c r="I459" s="7" t="s">
        <v>50</v>
      </c>
      <c r="J459" s="25">
        <v>2402723.2787999995</v>
      </c>
    </row>
    <row r="460" spans="1:10" ht="14.25" customHeight="1" x14ac:dyDescent="0.25">
      <c r="A460" s="7" t="s">
        <v>44</v>
      </c>
      <c r="B460" s="7" t="s">
        <v>56</v>
      </c>
      <c r="C460" s="7" t="s">
        <v>55</v>
      </c>
      <c r="D460" s="23">
        <v>41518</v>
      </c>
      <c r="E460" s="7">
        <v>9</v>
      </c>
      <c r="F460" s="7" t="s">
        <v>57</v>
      </c>
      <c r="G460" s="7" t="s">
        <v>68</v>
      </c>
      <c r="H460" s="7" t="s">
        <v>69</v>
      </c>
      <c r="I460" s="7" t="s">
        <v>50</v>
      </c>
      <c r="J460" s="25">
        <v>3247912.5821999996</v>
      </c>
    </row>
    <row r="461" spans="1:10" ht="14.25" customHeight="1" x14ac:dyDescent="0.25">
      <c r="A461" s="7" t="s">
        <v>44</v>
      </c>
      <c r="B461" s="7" t="s">
        <v>56</v>
      </c>
      <c r="C461" s="7" t="s">
        <v>55</v>
      </c>
      <c r="D461" s="23">
        <v>41548</v>
      </c>
      <c r="E461" s="7">
        <v>10</v>
      </c>
      <c r="F461" s="7" t="s">
        <v>57</v>
      </c>
      <c r="G461" s="7" t="s">
        <v>68</v>
      </c>
      <c r="H461" s="7" t="s">
        <v>69</v>
      </c>
      <c r="I461" s="7" t="s">
        <v>50</v>
      </c>
      <c r="J461" s="25">
        <v>2731965.4673999995</v>
      </c>
    </row>
    <row r="462" spans="1:10" ht="14.25" customHeight="1" x14ac:dyDescent="0.25">
      <c r="A462" s="7" t="s">
        <v>44</v>
      </c>
      <c r="B462" s="7" t="s">
        <v>56</v>
      </c>
      <c r="C462" s="7" t="s">
        <v>55</v>
      </c>
      <c r="D462" s="23">
        <v>41579</v>
      </c>
      <c r="E462" s="7">
        <v>11</v>
      </c>
      <c r="F462" s="7" t="s">
        <v>57</v>
      </c>
      <c r="G462" s="7" t="s">
        <v>68</v>
      </c>
      <c r="H462" s="7" t="s">
        <v>69</v>
      </c>
      <c r="I462" s="7" t="s">
        <v>50</v>
      </c>
      <c r="J462" s="25">
        <v>2323192.0081500001</v>
      </c>
    </row>
    <row r="463" spans="1:10" ht="14.25" customHeight="1" x14ac:dyDescent="0.25">
      <c r="A463" s="7" t="s">
        <v>44</v>
      </c>
      <c r="B463" s="7" t="s">
        <v>56</v>
      </c>
      <c r="C463" s="7" t="s">
        <v>55</v>
      </c>
      <c r="D463" s="23">
        <v>41609</v>
      </c>
      <c r="E463" s="7">
        <v>12</v>
      </c>
      <c r="F463" s="7" t="s">
        <v>57</v>
      </c>
      <c r="G463" s="7" t="s">
        <v>68</v>
      </c>
      <c r="H463" s="7" t="s">
        <v>69</v>
      </c>
      <c r="I463" s="7" t="s">
        <v>50</v>
      </c>
      <c r="J463" s="25">
        <v>1722591.0292499999</v>
      </c>
    </row>
    <row r="464" spans="1:10" ht="14.25" customHeight="1" x14ac:dyDescent="0.25">
      <c r="A464" s="7" t="s">
        <v>44</v>
      </c>
      <c r="B464" s="7" t="s">
        <v>56</v>
      </c>
      <c r="C464" s="7" t="s">
        <v>55</v>
      </c>
      <c r="D464" s="23">
        <v>41640</v>
      </c>
      <c r="E464" s="7">
        <v>1</v>
      </c>
      <c r="F464" s="7" t="s">
        <v>57</v>
      </c>
      <c r="G464" s="7" t="s">
        <v>68</v>
      </c>
      <c r="H464" s="7" t="s">
        <v>69</v>
      </c>
      <c r="I464" s="7" t="s">
        <v>50</v>
      </c>
      <c r="J464" s="25">
        <v>1839134.2085999998</v>
      </c>
    </row>
    <row r="465" spans="1:10" ht="14.25" customHeight="1" x14ac:dyDescent="0.25">
      <c r="A465" s="7" t="s">
        <v>44</v>
      </c>
      <c r="B465" s="7" t="s">
        <v>56</v>
      </c>
      <c r="C465" s="7" t="s">
        <v>55</v>
      </c>
      <c r="D465" s="23">
        <v>41671</v>
      </c>
      <c r="E465" s="7">
        <v>2</v>
      </c>
      <c r="F465" s="7" t="s">
        <v>57</v>
      </c>
      <c r="G465" s="7" t="s">
        <v>68</v>
      </c>
      <c r="H465" s="7" t="s">
        <v>69</v>
      </c>
      <c r="I465" s="7" t="s">
        <v>50</v>
      </c>
      <c r="J465" s="25">
        <v>2579316.7429</v>
      </c>
    </row>
    <row r="466" spans="1:10" ht="14.25" customHeight="1" x14ac:dyDescent="0.25">
      <c r="A466" s="7" t="s">
        <v>44</v>
      </c>
      <c r="B466" s="7" t="s">
        <v>56</v>
      </c>
      <c r="C466" s="7" t="s">
        <v>55</v>
      </c>
      <c r="D466" s="23">
        <v>41699</v>
      </c>
      <c r="E466" s="7">
        <v>3</v>
      </c>
      <c r="F466" s="7" t="s">
        <v>57</v>
      </c>
      <c r="G466" s="7" t="s">
        <v>68</v>
      </c>
      <c r="H466" s="7" t="s">
        <v>69</v>
      </c>
      <c r="I466" s="7" t="s">
        <v>50</v>
      </c>
      <c r="J466" s="25">
        <v>2220367.5409499998</v>
      </c>
    </row>
    <row r="467" spans="1:10" ht="14.25" customHeight="1" x14ac:dyDescent="0.25">
      <c r="A467" s="7" t="s">
        <v>44</v>
      </c>
      <c r="B467" s="7" t="s">
        <v>56</v>
      </c>
      <c r="C467" s="7" t="s">
        <v>55</v>
      </c>
      <c r="D467" s="23">
        <v>41730</v>
      </c>
      <c r="E467" s="7">
        <v>4</v>
      </c>
      <c r="F467" s="7" t="s">
        <v>57</v>
      </c>
      <c r="G467" s="7" t="s">
        <v>68</v>
      </c>
      <c r="H467" s="7" t="s">
        <v>69</v>
      </c>
      <c r="I467" s="7" t="s">
        <v>50</v>
      </c>
      <c r="J467" s="25">
        <v>2209012.8075999999</v>
      </c>
    </row>
    <row r="468" spans="1:10" ht="14.25" customHeight="1" x14ac:dyDescent="0.25">
      <c r="A468" s="7" t="s">
        <v>44</v>
      </c>
      <c r="B468" s="7" t="s">
        <v>56</v>
      </c>
      <c r="C468" s="7" t="s">
        <v>55</v>
      </c>
      <c r="D468" s="23">
        <v>41760</v>
      </c>
      <c r="E468" s="7">
        <v>5</v>
      </c>
      <c r="F468" s="7" t="s">
        <v>57</v>
      </c>
      <c r="G468" s="7" t="s">
        <v>68</v>
      </c>
      <c r="H468" s="7" t="s">
        <v>69</v>
      </c>
      <c r="I468" s="7" t="s">
        <v>50</v>
      </c>
      <c r="J468" s="25">
        <v>2561190.8338000001</v>
      </c>
    </row>
    <row r="469" spans="1:10" ht="14.25" customHeight="1" x14ac:dyDescent="0.25">
      <c r="A469" s="7" t="s">
        <v>44</v>
      </c>
      <c r="B469" s="7" t="s">
        <v>56</v>
      </c>
      <c r="C469" s="7" t="s">
        <v>55</v>
      </c>
      <c r="D469" s="23">
        <v>41791</v>
      </c>
      <c r="E469" s="7">
        <v>6</v>
      </c>
      <c r="F469" s="7" t="s">
        <v>57</v>
      </c>
      <c r="G469" s="7" t="s">
        <v>68</v>
      </c>
      <c r="H469" s="7" t="s">
        <v>69</v>
      </c>
      <c r="I469" s="7" t="s">
        <v>50</v>
      </c>
      <c r="J469" s="25">
        <v>2785478.9215500001</v>
      </c>
    </row>
    <row r="470" spans="1:10" ht="14.25" customHeight="1" x14ac:dyDescent="0.25">
      <c r="A470" s="7" t="s">
        <v>70</v>
      </c>
      <c r="B470" s="7" t="s">
        <v>71</v>
      </c>
      <c r="C470" s="7" t="s">
        <v>46</v>
      </c>
      <c r="D470" s="23">
        <v>41456</v>
      </c>
      <c r="E470" s="7">
        <v>7</v>
      </c>
      <c r="F470" s="7" t="s">
        <v>71</v>
      </c>
      <c r="G470" s="7" t="s">
        <v>71</v>
      </c>
      <c r="H470" s="7" t="s">
        <v>71</v>
      </c>
      <c r="I470" s="7" t="s">
        <v>72</v>
      </c>
      <c r="J470" s="27">
        <v>181.933291</v>
      </c>
    </row>
    <row r="471" spans="1:10" ht="14.25" customHeight="1" x14ac:dyDescent="0.25">
      <c r="A471" s="7" t="s">
        <v>70</v>
      </c>
      <c r="B471" s="7" t="s">
        <v>71</v>
      </c>
      <c r="C471" s="7" t="s">
        <v>46</v>
      </c>
      <c r="D471" s="23">
        <v>41487</v>
      </c>
      <c r="E471" s="7">
        <v>8</v>
      </c>
      <c r="F471" s="7" t="s">
        <v>71</v>
      </c>
      <c r="G471" s="7" t="s">
        <v>71</v>
      </c>
      <c r="H471" s="7" t="s">
        <v>71</v>
      </c>
      <c r="I471" s="7" t="s">
        <v>72</v>
      </c>
      <c r="J471" s="28">
        <v>187.44394299999999</v>
      </c>
    </row>
    <row r="472" spans="1:10" ht="14.25" customHeight="1" x14ac:dyDescent="0.25">
      <c r="A472" s="7" t="s">
        <v>70</v>
      </c>
      <c r="B472" s="7" t="s">
        <v>71</v>
      </c>
      <c r="C472" s="7" t="s">
        <v>46</v>
      </c>
      <c r="D472" s="23">
        <v>41518</v>
      </c>
      <c r="E472" s="7">
        <v>9</v>
      </c>
      <c r="F472" s="7" t="s">
        <v>71</v>
      </c>
      <c r="G472" s="7" t="s">
        <v>71</v>
      </c>
      <c r="H472" s="7" t="s">
        <v>71</v>
      </c>
      <c r="I472" s="7" t="s">
        <v>72</v>
      </c>
      <c r="J472" s="28">
        <v>184.77365699999999</v>
      </c>
    </row>
    <row r="473" spans="1:10" ht="14.25" customHeight="1" x14ac:dyDescent="0.25">
      <c r="A473" s="7" t="s">
        <v>70</v>
      </c>
      <c r="B473" s="7" t="s">
        <v>71</v>
      </c>
      <c r="C473" s="7" t="s">
        <v>46</v>
      </c>
      <c r="D473" s="23">
        <v>41548</v>
      </c>
      <c r="E473" s="7">
        <v>10</v>
      </c>
      <c r="F473" s="7" t="s">
        <v>71</v>
      </c>
      <c r="G473" s="7" t="s">
        <v>71</v>
      </c>
      <c r="H473" s="7" t="s">
        <v>71</v>
      </c>
      <c r="I473" s="7" t="s">
        <v>72</v>
      </c>
      <c r="J473" s="28">
        <v>191.54109299999999</v>
      </c>
    </row>
    <row r="474" spans="1:10" ht="14.25" customHeight="1" x14ac:dyDescent="0.25">
      <c r="A474" s="7" t="s">
        <v>70</v>
      </c>
      <c r="B474" s="7" t="s">
        <v>71</v>
      </c>
      <c r="C474" s="7" t="s">
        <v>46</v>
      </c>
      <c r="D474" s="23">
        <v>41579</v>
      </c>
      <c r="E474" s="7">
        <v>11</v>
      </c>
      <c r="F474" s="7" t="s">
        <v>71</v>
      </c>
      <c r="G474" s="7" t="s">
        <v>71</v>
      </c>
      <c r="H474" s="7" t="s">
        <v>71</v>
      </c>
      <c r="I474" s="7" t="s">
        <v>72</v>
      </c>
      <c r="J474" s="28">
        <v>98.096062000000003</v>
      </c>
    </row>
    <row r="475" spans="1:10" ht="14.25" customHeight="1" x14ac:dyDescent="0.25">
      <c r="A475" s="7" t="s">
        <v>70</v>
      </c>
      <c r="B475" s="7" t="s">
        <v>71</v>
      </c>
      <c r="C475" s="7" t="s">
        <v>46</v>
      </c>
      <c r="D475" s="23">
        <v>41609</v>
      </c>
      <c r="E475" s="7">
        <v>12</v>
      </c>
      <c r="F475" s="7" t="s">
        <v>71</v>
      </c>
      <c r="G475" s="7" t="s">
        <v>71</v>
      </c>
      <c r="H475" s="7" t="s">
        <v>71</v>
      </c>
      <c r="I475" s="7" t="s">
        <v>72</v>
      </c>
      <c r="J475" s="28">
        <v>185.30685299999999</v>
      </c>
    </row>
    <row r="476" spans="1:10" ht="14.25" customHeight="1" x14ac:dyDescent="0.25">
      <c r="A476" s="7" t="s">
        <v>70</v>
      </c>
      <c r="B476" s="7" t="s">
        <v>71</v>
      </c>
      <c r="C476" s="7" t="s">
        <v>46</v>
      </c>
      <c r="D476" s="23">
        <v>41640</v>
      </c>
      <c r="E476" s="7">
        <v>1</v>
      </c>
      <c r="F476" s="7" t="s">
        <v>71</v>
      </c>
      <c r="G476" s="7" t="s">
        <v>71</v>
      </c>
      <c r="H476" s="7" t="s">
        <v>71</v>
      </c>
      <c r="I476" s="7" t="s">
        <v>72</v>
      </c>
      <c r="J476" s="28">
        <v>186.90143900000001</v>
      </c>
    </row>
    <row r="477" spans="1:10" ht="14.25" customHeight="1" x14ac:dyDescent="0.25">
      <c r="A477" s="7" t="s">
        <v>70</v>
      </c>
      <c r="B477" s="7" t="s">
        <v>71</v>
      </c>
      <c r="C477" s="7" t="s">
        <v>46</v>
      </c>
      <c r="D477" s="23">
        <v>41671</v>
      </c>
      <c r="E477" s="7">
        <v>2</v>
      </c>
      <c r="F477" s="7" t="s">
        <v>71</v>
      </c>
      <c r="G477" s="7" t="s">
        <v>71</v>
      </c>
      <c r="H477" s="7" t="s">
        <v>71</v>
      </c>
      <c r="I477" s="7" t="s">
        <v>72</v>
      </c>
      <c r="J477" s="28">
        <v>158.58676500000001</v>
      </c>
    </row>
    <row r="478" spans="1:10" ht="14.25" customHeight="1" x14ac:dyDescent="0.25">
      <c r="A478" s="7" t="s">
        <v>70</v>
      </c>
      <c r="B478" s="7" t="s">
        <v>71</v>
      </c>
      <c r="C478" s="7" t="s">
        <v>46</v>
      </c>
      <c r="D478" s="23">
        <v>41699</v>
      </c>
      <c r="E478" s="7">
        <v>3</v>
      </c>
      <c r="F478" s="7" t="s">
        <v>71</v>
      </c>
      <c r="G478" s="7" t="s">
        <v>71</v>
      </c>
      <c r="H478" s="7" t="s">
        <v>71</v>
      </c>
      <c r="I478" s="7" t="s">
        <v>72</v>
      </c>
      <c r="J478" s="28">
        <v>191.40367599999999</v>
      </c>
    </row>
    <row r="479" spans="1:10" ht="14.25" customHeight="1" x14ac:dyDescent="0.25">
      <c r="A479" s="7" t="s">
        <v>70</v>
      </c>
      <c r="B479" s="7" t="s">
        <v>71</v>
      </c>
      <c r="C479" s="7" t="s">
        <v>46</v>
      </c>
      <c r="D479" s="23">
        <v>41730</v>
      </c>
      <c r="E479" s="7">
        <v>4</v>
      </c>
      <c r="F479" s="7" t="s">
        <v>71</v>
      </c>
      <c r="G479" s="7" t="s">
        <v>71</v>
      </c>
      <c r="H479" s="7" t="s">
        <v>71</v>
      </c>
      <c r="I479" s="7" t="s">
        <v>72</v>
      </c>
      <c r="J479" s="28">
        <v>171.057864</v>
      </c>
    </row>
    <row r="480" spans="1:10" ht="14.25" customHeight="1" x14ac:dyDescent="0.25">
      <c r="A480" s="7" t="s">
        <v>70</v>
      </c>
      <c r="B480" s="7" t="s">
        <v>71</v>
      </c>
      <c r="C480" s="7" t="s">
        <v>46</v>
      </c>
      <c r="D480" s="23">
        <v>41760</v>
      </c>
      <c r="E480" s="7">
        <v>5</v>
      </c>
      <c r="F480" s="7" t="s">
        <v>71</v>
      </c>
      <c r="G480" s="7" t="s">
        <v>71</v>
      </c>
      <c r="H480" s="7" t="s">
        <v>71</v>
      </c>
      <c r="I480" s="7" t="s">
        <v>72</v>
      </c>
      <c r="J480" s="28">
        <v>169.28699900000001</v>
      </c>
    </row>
    <row r="481" spans="1:10" ht="14.25" customHeight="1" x14ac:dyDescent="0.25">
      <c r="A481" s="7" t="s">
        <v>70</v>
      </c>
      <c r="B481" s="7" t="s">
        <v>71</v>
      </c>
      <c r="C481" s="7" t="s">
        <v>46</v>
      </c>
      <c r="D481" s="23">
        <v>41791</v>
      </c>
      <c r="E481" s="7">
        <v>6</v>
      </c>
      <c r="F481" s="7" t="s">
        <v>71</v>
      </c>
      <c r="G481" s="7" t="s">
        <v>71</v>
      </c>
      <c r="H481" s="7" t="s">
        <v>71</v>
      </c>
      <c r="I481" s="7" t="s">
        <v>72</v>
      </c>
      <c r="J481" s="28">
        <v>142.50871699999999</v>
      </c>
    </row>
    <row r="482" spans="1:10" ht="14.25" customHeight="1" x14ac:dyDescent="0.25">
      <c r="A482" s="7" t="s">
        <v>70</v>
      </c>
      <c r="B482" s="7" t="s">
        <v>71</v>
      </c>
      <c r="C482" s="7" t="s">
        <v>54</v>
      </c>
      <c r="D482" s="23">
        <v>41456</v>
      </c>
      <c r="E482" s="7">
        <v>7</v>
      </c>
      <c r="F482" s="7" t="s">
        <v>71</v>
      </c>
      <c r="G482" s="7" t="s">
        <v>71</v>
      </c>
      <c r="H482" s="7" t="s">
        <v>71</v>
      </c>
      <c r="I482" s="7" t="s">
        <v>72</v>
      </c>
      <c r="J482" s="27">
        <v>214.968999</v>
      </c>
    </row>
    <row r="483" spans="1:10" ht="14.25" customHeight="1" x14ac:dyDescent="0.25">
      <c r="A483" s="7" t="s">
        <v>70</v>
      </c>
      <c r="B483" s="7" t="s">
        <v>71</v>
      </c>
      <c r="C483" s="7" t="s">
        <v>54</v>
      </c>
      <c r="D483" s="23">
        <v>41487</v>
      </c>
      <c r="E483" s="7">
        <v>8</v>
      </c>
      <c r="F483" s="7" t="s">
        <v>71</v>
      </c>
      <c r="G483" s="7" t="s">
        <v>71</v>
      </c>
      <c r="H483" s="7" t="s">
        <v>71</v>
      </c>
      <c r="I483" s="7" t="s">
        <v>72</v>
      </c>
      <c r="J483" s="27">
        <v>228.199051</v>
      </c>
    </row>
    <row r="484" spans="1:10" ht="14.25" customHeight="1" x14ac:dyDescent="0.25">
      <c r="A484" s="7" t="s">
        <v>70</v>
      </c>
      <c r="B484" s="7" t="s">
        <v>71</v>
      </c>
      <c r="C484" s="7" t="s">
        <v>54</v>
      </c>
      <c r="D484" s="23">
        <v>41518</v>
      </c>
      <c r="E484" s="7">
        <v>9</v>
      </c>
      <c r="F484" s="7" t="s">
        <v>71</v>
      </c>
      <c r="G484" s="7" t="s">
        <v>71</v>
      </c>
      <c r="H484" s="7" t="s">
        <v>71</v>
      </c>
      <c r="I484" s="7" t="s">
        <v>72</v>
      </c>
      <c r="J484" s="27">
        <v>216.53646700000002</v>
      </c>
    </row>
    <row r="485" spans="1:10" ht="14.25" customHeight="1" x14ac:dyDescent="0.25">
      <c r="A485" s="7" t="s">
        <v>70</v>
      </c>
      <c r="B485" s="7" t="s">
        <v>71</v>
      </c>
      <c r="C485" s="7" t="s">
        <v>54</v>
      </c>
      <c r="D485" s="23">
        <v>41548</v>
      </c>
      <c r="E485" s="7">
        <v>10</v>
      </c>
      <c r="F485" s="7" t="s">
        <v>71</v>
      </c>
      <c r="G485" s="7" t="s">
        <v>71</v>
      </c>
      <c r="H485" s="7" t="s">
        <v>71</v>
      </c>
      <c r="I485" s="7" t="s">
        <v>72</v>
      </c>
      <c r="J485" s="27">
        <v>236.760276</v>
      </c>
    </row>
    <row r="486" spans="1:10" ht="14.25" customHeight="1" x14ac:dyDescent="0.25">
      <c r="A486" s="7" t="s">
        <v>70</v>
      </c>
      <c r="B486" s="7" t="s">
        <v>71</v>
      </c>
      <c r="C486" s="7" t="s">
        <v>54</v>
      </c>
      <c r="D486" s="23">
        <v>41579</v>
      </c>
      <c r="E486" s="7">
        <v>11</v>
      </c>
      <c r="F486" s="7" t="s">
        <v>71</v>
      </c>
      <c r="G486" s="7" t="s">
        <v>71</v>
      </c>
      <c r="H486" s="7" t="s">
        <v>71</v>
      </c>
      <c r="I486" s="7" t="s">
        <v>72</v>
      </c>
      <c r="J486" s="27">
        <v>232.052864</v>
      </c>
    </row>
    <row r="487" spans="1:10" ht="14.25" customHeight="1" x14ac:dyDescent="0.25">
      <c r="A487" s="7" t="s">
        <v>70</v>
      </c>
      <c r="B487" s="7" t="s">
        <v>71</v>
      </c>
      <c r="C487" s="7" t="s">
        <v>54</v>
      </c>
      <c r="D487" s="23">
        <v>41609</v>
      </c>
      <c r="E487" s="7">
        <v>12</v>
      </c>
      <c r="F487" s="7" t="s">
        <v>71</v>
      </c>
      <c r="G487" s="7" t="s">
        <v>71</v>
      </c>
      <c r="H487" s="7" t="s">
        <v>71</v>
      </c>
      <c r="I487" s="7" t="s">
        <v>72</v>
      </c>
      <c r="J487" s="27">
        <v>240.21016</v>
      </c>
    </row>
    <row r="488" spans="1:10" ht="14.25" customHeight="1" x14ac:dyDescent="0.25">
      <c r="A488" s="7" t="s">
        <v>70</v>
      </c>
      <c r="B488" s="7" t="s">
        <v>71</v>
      </c>
      <c r="C488" s="7" t="s">
        <v>54</v>
      </c>
      <c r="D488" s="23">
        <v>41640</v>
      </c>
      <c r="E488" s="7">
        <v>1</v>
      </c>
      <c r="F488" s="7" t="s">
        <v>71</v>
      </c>
      <c r="G488" s="7" t="s">
        <v>71</v>
      </c>
      <c r="H488" s="7" t="s">
        <v>71</v>
      </c>
      <c r="I488" s="7" t="s">
        <v>72</v>
      </c>
      <c r="J488" s="27">
        <v>288.160549</v>
      </c>
    </row>
    <row r="489" spans="1:10" ht="14.25" customHeight="1" x14ac:dyDescent="0.25">
      <c r="A489" s="7" t="s">
        <v>70</v>
      </c>
      <c r="B489" s="7" t="s">
        <v>71</v>
      </c>
      <c r="C489" s="7" t="s">
        <v>54</v>
      </c>
      <c r="D489" s="23">
        <v>41671</v>
      </c>
      <c r="E489" s="7">
        <v>2</v>
      </c>
      <c r="F489" s="7" t="s">
        <v>71</v>
      </c>
      <c r="G489" s="7" t="s">
        <v>71</v>
      </c>
      <c r="H489" s="7" t="s">
        <v>71</v>
      </c>
      <c r="I489" s="7" t="s">
        <v>72</v>
      </c>
      <c r="J489" s="27">
        <v>306.884524</v>
      </c>
    </row>
    <row r="490" spans="1:10" ht="14.25" customHeight="1" x14ac:dyDescent="0.25">
      <c r="A490" s="7" t="s">
        <v>70</v>
      </c>
      <c r="B490" s="7" t="s">
        <v>71</v>
      </c>
      <c r="C490" s="7" t="s">
        <v>54</v>
      </c>
      <c r="D490" s="23">
        <v>41699</v>
      </c>
      <c r="E490" s="7">
        <v>3</v>
      </c>
      <c r="F490" s="7" t="s">
        <v>71</v>
      </c>
      <c r="G490" s="7" t="s">
        <v>71</v>
      </c>
      <c r="H490" s="7" t="s">
        <v>71</v>
      </c>
      <c r="I490" s="7" t="s">
        <v>72</v>
      </c>
      <c r="J490" s="27">
        <v>367.65100600000005</v>
      </c>
    </row>
    <row r="491" spans="1:10" ht="14.25" customHeight="1" x14ac:dyDescent="0.25">
      <c r="A491" s="7" t="s">
        <v>70</v>
      </c>
      <c r="B491" s="7" t="s">
        <v>71</v>
      </c>
      <c r="C491" s="7" t="s">
        <v>54</v>
      </c>
      <c r="D491" s="23">
        <v>41730</v>
      </c>
      <c r="E491" s="7">
        <v>4</v>
      </c>
      <c r="F491" s="7" t="s">
        <v>71</v>
      </c>
      <c r="G491" s="7" t="s">
        <v>71</v>
      </c>
      <c r="H491" s="7" t="s">
        <v>71</v>
      </c>
      <c r="I491" s="7" t="s">
        <v>72</v>
      </c>
      <c r="J491" s="27">
        <v>351.99016599999999</v>
      </c>
    </row>
    <row r="492" spans="1:10" ht="14.25" customHeight="1" x14ac:dyDescent="0.25">
      <c r="A492" s="7" t="s">
        <v>70</v>
      </c>
      <c r="B492" s="7" t="s">
        <v>71</v>
      </c>
      <c r="C492" s="7" t="s">
        <v>54</v>
      </c>
      <c r="D492" s="23">
        <v>41760</v>
      </c>
      <c r="E492" s="7">
        <v>5</v>
      </c>
      <c r="F492" s="7" t="s">
        <v>71</v>
      </c>
      <c r="G492" s="7" t="s">
        <v>71</v>
      </c>
      <c r="H492" s="7" t="s">
        <v>71</v>
      </c>
      <c r="I492" s="7" t="s">
        <v>72</v>
      </c>
      <c r="J492" s="27">
        <v>362.822</v>
      </c>
    </row>
    <row r="493" spans="1:10" ht="14.25" customHeight="1" x14ac:dyDescent="0.25">
      <c r="A493" s="7" t="s">
        <v>70</v>
      </c>
      <c r="B493" s="7" t="s">
        <v>71</v>
      </c>
      <c r="C493" s="7" t="s">
        <v>54</v>
      </c>
      <c r="D493" s="23">
        <v>41791</v>
      </c>
      <c r="E493" s="7">
        <v>6</v>
      </c>
      <c r="F493" s="7" t="s">
        <v>71</v>
      </c>
      <c r="G493" s="7" t="s">
        <v>71</v>
      </c>
      <c r="H493" s="7" t="s">
        <v>71</v>
      </c>
      <c r="I493" s="7" t="s">
        <v>72</v>
      </c>
      <c r="J493" s="27">
        <v>260.31229999999999</v>
      </c>
    </row>
    <row r="494" spans="1:10" ht="14.25" customHeight="1" x14ac:dyDescent="0.25">
      <c r="A494" s="7" t="s">
        <v>70</v>
      </c>
      <c r="B494" s="7" t="s">
        <v>71</v>
      </c>
      <c r="C494" s="7" t="s">
        <v>55</v>
      </c>
      <c r="D494" s="23">
        <v>41456</v>
      </c>
      <c r="E494" s="7">
        <v>7</v>
      </c>
      <c r="F494" s="7" t="s">
        <v>71</v>
      </c>
      <c r="G494" s="7" t="s">
        <v>71</v>
      </c>
      <c r="H494" s="7" t="s">
        <v>71</v>
      </c>
      <c r="I494" s="7" t="s">
        <v>72</v>
      </c>
      <c r="J494" s="29">
        <v>250.24199099999998</v>
      </c>
    </row>
    <row r="495" spans="1:10" ht="14.25" customHeight="1" x14ac:dyDescent="0.25">
      <c r="A495" s="7" t="s">
        <v>70</v>
      </c>
      <c r="B495" s="7" t="s">
        <v>71</v>
      </c>
      <c r="C495" s="7" t="s">
        <v>55</v>
      </c>
      <c r="D495" s="23">
        <v>41487</v>
      </c>
      <c r="E495" s="7">
        <v>8</v>
      </c>
      <c r="F495" s="7" t="s">
        <v>71</v>
      </c>
      <c r="G495" s="7" t="s">
        <v>71</v>
      </c>
      <c r="H495" s="7" t="s">
        <v>71</v>
      </c>
      <c r="I495" s="7" t="s">
        <v>72</v>
      </c>
      <c r="J495" s="30">
        <v>206.740703</v>
      </c>
    </row>
    <row r="496" spans="1:10" ht="14.25" customHeight="1" x14ac:dyDescent="0.25">
      <c r="A496" s="7" t="s">
        <v>70</v>
      </c>
      <c r="B496" s="7" t="s">
        <v>71</v>
      </c>
      <c r="C496" s="7" t="s">
        <v>55</v>
      </c>
      <c r="D496" s="23">
        <v>41518</v>
      </c>
      <c r="E496" s="7">
        <v>9</v>
      </c>
      <c r="F496" s="7" t="s">
        <v>71</v>
      </c>
      <c r="G496" s="7" t="s">
        <v>71</v>
      </c>
      <c r="H496" s="7" t="s">
        <v>71</v>
      </c>
      <c r="I496" s="7" t="s">
        <v>72</v>
      </c>
      <c r="J496" s="30">
        <v>201.23546099999996</v>
      </c>
    </row>
    <row r="497" spans="1:10" ht="14.25" customHeight="1" x14ac:dyDescent="0.25">
      <c r="A497" s="7" t="s">
        <v>70</v>
      </c>
      <c r="B497" s="7" t="s">
        <v>71</v>
      </c>
      <c r="C497" s="7" t="s">
        <v>55</v>
      </c>
      <c r="D497" s="23">
        <v>41548</v>
      </c>
      <c r="E497" s="7">
        <v>10</v>
      </c>
      <c r="F497" s="7" t="s">
        <v>71</v>
      </c>
      <c r="G497" s="7" t="s">
        <v>71</v>
      </c>
      <c r="H497" s="7" t="s">
        <v>71</v>
      </c>
      <c r="I497" s="7" t="s">
        <v>72</v>
      </c>
      <c r="J497" s="30">
        <v>174.36956599999999</v>
      </c>
    </row>
    <row r="498" spans="1:10" ht="14.25" customHeight="1" x14ac:dyDescent="0.25">
      <c r="A498" s="7" t="s">
        <v>70</v>
      </c>
      <c r="B498" s="7" t="s">
        <v>71</v>
      </c>
      <c r="C498" s="7" t="s">
        <v>55</v>
      </c>
      <c r="D498" s="23">
        <v>41579</v>
      </c>
      <c r="E498" s="7">
        <v>11</v>
      </c>
      <c r="F498" s="7" t="s">
        <v>71</v>
      </c>
      <c r="G498" s="7" t="s">
        <v>71</v>
      </c>
      <c r="H498" s="7" t="s">
        <v>71</v>
      </c>
      <c r="I498" s="7" t="s">
        <v>72</v>
      </c>
      <c r="J498" s="30">
        <v>204.09105</v>
      </c>
    </row>
    <row r="499" spans="1:10" ht="14.25" customHeight="1" x14ac:dyDescent="0.25">
      <c r="A499" s="7" t="s">
        <v>70</v>
      </c>
      <c r="B499" s="7" t="s">
        <v>71</v>
      </c>
      <c r="C499" s="7" t="s">
        <v>55</v>
      </c>
      <c r="D499" s="23">
        <v>41609</v>
      </c>
      <c r="E499" s="7">
        <v>12</v>
      </c>
      <c r="F499" s="7" t="s">
        <v>71</v>
      </c>
      <c r="G499" s="7" t="s">
        <v>71</v>
      </c>
      <c r="H499" s="7" t="s">
        <v>71</v>
      </c>
      <c r="I499" s="7" t="s">
        <v>72</v>
      </c>
      <c r="J499" s="30">
        <v>146.35666599999999</v>
      </c>
    </row>
    <row r="500" spans="1:10" ht="14.25" customHeight="1" x14ac:dyDescent="0.25">
      <c r="A500" s="7" t="s">
        <v>70</v>
      </c>
      <c r="B500" s="7" t="s">
        <v>71</v>
      </c>
      <c r="C500" s="7" t="s">
        <v>55</v>
      </c>
      <c r="D500" s="23">
        <v>41640</v>
      </c>
      <c r="E500" s="7">
        <v>1</v>
      </c>
      <c r="F500" s="7" t="s">
        <v>71</v>
      </c>
      <c r="G500" s="7" t="s">
        <v>71</v>
      </c>
      <c r="H500" s="7" t="s">
        <v>71</v>
      </c>
      <c r="I500" s="7" t="s">
        <v>72</v>
      </c>
      <c r="J500" s="30">
        <v>204.20249700000002</v>
      </c>
    </row>
    <row r="501" spans="1:10" ht="14.25" customHeight="1" x14ac:dyDescent="0.25">
      <c r="A501" s="7" t="s">
        <v>70</v>
      </c>
      <c r="B501" s="7" t="s">
        <v>71</v>
      </c>
      <c r="C501" s="7" t="s">
        <v>55</v>
      </c>
      <c r="D501" s="23">
        <v>41671</v>
      </c>
      <c r="E501" s="7">
        <v>2</v>
      </c>
      <c r="F501" s="7" t="s">
        <v>71</v>
      </c>
      <c r="G501" s="7" t="s">
        <v>71</v>
      </c>
      <c r="H501" s="7" t="s">
        <v>71</v>
      </c>
      <c r="I501" s="7" t="s">
        <v>72</v>
      </c>
      <c r="J501" s="30">
        <v>217.43019900000002</v>
      </c>
    </row>
    <row r="502" spans="1:10" ht="14.25" customHeight="1" x14ac:dyDescent="0.25">
      <c r="A502" s="7" t="s">
        <v>70</v>
      </c>
      <c r="B502" s="7" t="s">
        <v>71</v>
      </c>
      <c r="C502" s="7" t="s">
        <v>55</v>
      </c>
      <c r="D502" s="23">
        <v>41699</v>
      </c>
      <c r="E502" s="7">
        <v>3</v>
      </c>
      <c r="F502" s="7" t="s">
        <v>71</v>
      </c>
      <c r="G502" s="7" t="s">
        <v>71</v>
      </c>
      <c r="H502" s="7" t="s">
        <v>71</v>
      </c>
      <c r="I502" s="7" t="s">
        <v>72</v>
      </c>
      <c r="J502" s="30">
        <v>230.98220000000001</v>
      </c>
    </row>
    <row r="503" spans="1:10" ht="14.25" customHeight="1" x14ac:dyDescent="0.25">
      <c r="A503" s="7" t="s">
        <v>70</v>
      </c>
      <c r="B503" s="7" t="s">
        <v>71</v>
      </c>
      <c r="C503" s="7" t="s">
        <v>55</v>
      </c>
      <c r="D503" s="23">
        <v>41730</v>
      </c>
      <c r="E503" s="7">
        <v>4</v>
      </c>
      <c r="F503" s="7" t="s">
        <v>71</v>
      </c>
      <c r="G503" s="7" t="s">
        <v>71</v>
      </c>
      <c r="H503" s="7" t="s">
        <v>71</v>
      </c>
      <c r="I503" s="7" t="s">
        <v>72</v>
      </c>
      <c r="J503" s="30">
        <v>236.441136</v>
      </c>
    </row>
    <row r="504" spans="1:10" ht="14.25" customHeight="1" x14ac:dyDescent="0.25">
      <c r="A504" s="7" t="s">
        <v>70</v>
      </c>
      <c r="B504" s="7" t="s">
        <v>71</v>
      </c>
      <c r="C504" s="7" t="s">
        <v>55</v>
      </c>
      <c r="D504" s="23">
        <v>41760</v>
      </c>
      <c r="E504" s="7">
        <v>5</v>
      </c>
      <c r="F504" s="7" t="s">
        <v>71</v>
      </c>
      <c r="G504" s="7" t="s">
        <v>71</v>
      </c>
      <c r="H504" s="7" t="s">
        <v>71</v>
      </c>
      <c r="I504" s="7" t="s">
        <v>72</v>
      </c>
      <c r="J504" s="30">
        <v>241.40736899999999</v>
      </c>
    </row>
    <row r="505" spans="1:10" ht="14.25" customHeight="1" x14ac:dyDescent="0.25">
      <c r="A505" s="7" t="s">
        <v>70</v>
      </c>
      <c r="B505" s="7" t="s">
        <v>71</v>
      </c>
      <c r="C505" s="7" t="s">
        <v>55</v>
      </c>
      <c r="D505" s="23">
        <v>41791</v>
      </c>
      <c r="E505" s="7">
        <v>6</v>
      </c>
      <c r="F505" s="7" t="s">
        <v>71</v>
      </c>
      <c r="G505" s="7" t="s">
        <v>71</v>
      </c>
      <c r="H505" s="7" t="s">
        <v>71</v>
      </c>
      <c r="I505" s="7" t="s">
        <v>72</v>
      </c>
      <c r="J505" s="30">
        <v>220.380334</v>
      </c>
    </row>
    <row r="506" spans="1:10" ht="14.25" customHeight="1" x14ac:dyDescent="0.25">
      <c r="B506" s="13"/>
    </row>
    <row r="507" spans="1:10" ht="14.25" customHeight="1" x14ac:dyDescent="0.25"/>
    <row r="508" spans="1:10" ht="14.25" customHeight="1" x14ac:dyDescent="0.25"/>
    <row r="509" spans="1:10" ht="14.25" customHeight="1" x14ac:dyDescent="0.25"/>
    <row r="510" spans="1:10" ht="14.25" customHeight="1" x14ac:dyDescent="0.25"/>
    <row r="511" spans="1:10" ht="14.25" customHeight="1" x14ac:dyDescent="0.25"/>
    <row r="512" spans="1:10"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autoFilter ref="A1:L505" xr:uid="{00000000-0009-0000-0000-000001000000}"/>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5B"/>
  </sheetPr>
  <dimension ref="A1:Z1461"/>
  <sheetViews>
    <sheetView workbookViewId="0">
      <selection activeCell="C4" sqref="C4"/>
    </sheetView>
  </sheetViews>
  <sheetFormatPr defaultColWidth="14.42578125" defaultRowHeight="15" customHeight="1" x14ac:dyDescent="0.25"/>
  <cols>
    <col min="1" max="1" width="20.85546875" customWidth="1"/>
    <col min="2" max="2" width="34.85546875" customWidth="1"/>
    <col min="3" max="3" width="29.42578125" customWidth="1"/>
    <col min="4" max="4" width="13.140625" customWidth="1"/>
    <col min="5" max="5" width="8.7109375" customWidth="1"/>
    <col min="6" max="6" width="10.85546875" customWidth="1"/>
    <col min="7" max="26" width="8.7109375" customWidth="1"/>
  </cols>
  <sheetData>
    <row r="1" spans="1:26" ht="14.25" customHeight="1" x14ac:dyDescent="0.25">
      <c r="A1" s="106" t="s">
        <v>30</v>
      </c>
      <c r="B1" s="106" t="s">
        <v>32</v>
      </c>
      <c r="C1" s="106" t="s">
        <v>34</v>
      </c>
      <c r="D1" s="109" t="s">
        <v>18</v>
      </c>
      <c r="E1" s="112" t="s">
        <v>37</v>
      </c>
      <c r="F1" s="111"/>
      <c r="G1" s="111"/>
      <c r="H1" s="111"/>
      <c r="I1" s="111"/>
      <c r="J1" s="111"/>
      <c r="K1" s="111"/>
      <c r="L1" s="111"/>
      <c r="M1" s="111"/>
      <c r="N1" s="111"/>
      <c r="O1" s="111"/>
      <c r="P1" s="111"/>
      <c r="Q1" s="111"/>
      <c r="R1" s="111"/>
      <c r="S1" s="111"/>
      <c r="T1" s="111"/>
      <c r="U1" s="111"/>
      <c r="V1" s="111"/>
      <c r="W1" s="111"/>
      <c r="X1" s="111"/>
      <c r="Y1" s="111"/>
      <c r="Z1" s="111"/>
    </row>
    <row r="2" spans="1:26" ht="14.25" customHeight="1" x14ac:dyDescent="0.25">
      <c r="A2" s="31">
        <v>41640</v>
      </c>
      <c r="B2" s="32">
        <v>2674.4304999999999</v>
      </c>
      <c r="C2" s="33">
        <v>89.334249999999997</v>
      </c>
      <c r="D2" s="4">
        <f t="shared" ref="D2:D256" si="0">MONTH(A2)</f>
        <v>1</v>
      </c>
      <c r="E2" s="4" t="s">
        <v>73</v>
      </c>
      <c r="F2" s="34"/>
    </row>
    <row r="3" spans="1:26" ht="14.25" customHeight="1" x14ac:dyDescent="0.25">
      <c r="A3" s="31">
        <v>41640.5</v>
      </c>
      <c r="B3" s="32">
        <v>2576.1278333333298</v>
      </c>
      <c r="C3" s="33">
        <v>61.945999999999998</v>
      </c>
      <c r="D3" s="4">
        <f t="shared" si="0"/>
        <v>1</v>
      </c>
      <c r="E3" s="4" t="s">
        <v>73</v>
      </c>
      <c r="F3" s="34"/>
    </row>
    <row r="4" spans="1:26" ht="14.25" customHeight="1" x14ac:dyDescent="0.25">
      <c r="A4" s="31">
        <v>41641</v>
      </c>
      <c r="B4" s="32">
        <v>2131.9819583333301</v>
      </c>
      <c r="C4" s="33">
        <v>45.9017499999999</v>
      </c>
      <c r="D4" s="4">
        <f t="shared" si="0"/>
        <v>1</v>
      </c>
      <c r="E4" s="4" t="s">
        <v>73</v>
      </c>
      <c r="F4" s="34"/>
    </row>
    <row r="5" spans="1:26" ht="14.25" customHeight="1" x14ac:dyDescent="0.25">
      <c r="A5" s="31">
        <v>41641.5</v>
      </c>
      <c r="B5" s="32">
        <v>2772.0559583333302</v>
      </c>
      <c r="C5" s="33">
        <v>80.858249999999998</v>
      </c>
      <c r="D5" s="4">
        <f t="shared" si="0"/>
        <v>1</v>
      </c>
      <c r="E5" s="4" t="s">
        <v>73</v>
      </c>
      <c r="F5" s="34"/>
    </row>
    <row r="6" spans="1:26" ht="14.25" customHeight="1" x14ac:dyDescent="0.25">
      <c r="A6" s="31">
        <v>41642</v>
      </c>
      <c r="B6" s="32">
        <v>2143.486625</v>
      </c>
      <c r="C6" s="33">
        <v>55.961833333333303</v>
      </c>
      <c r="D6" s="4">
        <f t="shared" si="0"/>
        <v>1</v>
      </c>
      <c r="E6" s="4" t="s">
        <v>73</v>
      </c>
      <c r="F6" s="34"/>
    </row>
    <row r="7" spans="1:26" ht="14.25" customHeight="1" x14ac:dyDescent="0.25">
      <c r="A7" s="31">
        <v>41642.5</v>
      </c>
      <c r="B7" s="32">
        <v>2682.031125</v>
      </c>
      <c r="C7" s="33">
        <v>101.094833333333</v>
      </c>
      <c r="D7" s="4">
        <f t="shared" si="0"/>
        <v>1</v>
      </c>
      <c r="E7" s="4" t="s">
        <v>73</v>
      </c>
      <c r="F7" s="34"/>
    </row>
    <row r="8" spans="1:26" ht="14.25" customHeight="1" x14ac:dyDescent="0.25">
      <c r="A8" s="31">
        <v>41643</v>
      </c>
      <c r="B8" s="32">
        <v>1788.07475</v>
      </c>
      <c r="C8" s="33">
        <v>26.664999999999999</v>
      </c>
      <c r="D8" s="4">
        <f t="shared" si="0"/>
        <v>1</v>
      </c>
      <c r="E8" s="4" t="s">
        <v>73</v>
      </c>
      <c r="F8" s="34"/>
    </row>
    <row r="9" spans="1:26" ht="14.25" customHeight="1" x14ac:dyDescent="0.25">
      <c r="A9" s="31">
        <v>41643.5</v>
      </c>
      <c r="B9" s="32">
        <v>2082.8450909090898</v>
      </c>
      <c r="C9" s="33">
        <v>38.894545454545401</v>
      </c>
      <c r="D9" s="4">
        <f t="shared" si="0"/>
        <v>1</v>
      </c>
      <c r="E9" s="4" t="s">
        <v>73</v>
      </c>
      <c r="F9" s="34"/>
    </row>
    <row r="10" spans="1:26" ht="14.25" customHeight="1" x14ac:dyDescent="0.25">
      <c r="A10" s="31">
        <v>41644</v>
      </c>
      <c r="B10" s="32">
        <v>1815.8505</v>
      </c>
      <c r="C10" s="33">
        <v>46.715000000000003</v>
      </c>
      <c r="D10" s="4">
        <f t="shared" si="0"/>
        <v>1</v>
      </c>
      <c r="E10" s="4" t="s">
        <v>73</v>
      </c>
      <c r="F10" s="34"/>
    </row>
    <row r="11" spans="1:26" ht="14.25" customHeight="1" x14ac:dyDescent="0.25">
      <c r="A11" s="31">
        <v>41644.5</v>
      </c>
      <c r="B11" s="32">
        <v>2219.27536363636</v>
      </c>
      <c r="C11" s="33">
        <v>46.208636363636302</v>
      </c>
      <c r="D11" s="4">
        <f t="shared" si="0"/>
        <v>1</v>
      </c>
      <c r="E11" s="4" t="s">
        <v>73</v>
      </c>
      <c r="F11" s="34"/>
    </row>
    <row r="12" spans="1:26" ht="14.25" customHeight="1" x14ac:dyDescent="0.25">
      <c r="A12" s="31">
        <v>41645</v>
      </c>
      <c r="B12" s="32">
        <v>2142.3453</v>
      </c>
      <c r="C12" s="33">
        <v>41.856000000000002</v>
      </c>
      <c r="D12" s="4">
        <f t="shared" si="0"/>
        <v>1</v>
      </c>
      <c r="E12" s="4" t="s">
        <v>73</v>
      </c>
      <c r="F12" s="34"/>
    </row>
    <row r="13" spans="1:26" ht="14.25" customHeight="1" x14ac:dyDescent="0.25">
      <c r="A13" s="31">
        <v>41645.5</v>
      </c>
      <c r="B13" s="32">
        <v>2169.7437083333298</v>
      </c>
      <c r="C13" s="33">
        <v>46.013749999999902</v>
      </c>
      <c r="D13" s="4">
        <f t="shared" si="0"/>
        <v>1</v>
      </c>
      <c r="E13" s="4" t="s">
        <v>73</v>
      </c>
      <c r="F13" s="34"/>
    </row>
    <row r="14" spans="1:26" ht="14.25" customHeight="1" x14ac:dyDescent="0.25">
      <c r="A14" s="31">
        <v>41646</v>
      </c>
      <c r="B14" s="32">
        <v>2228.9214999999999</v>
      </c>
      <c r="C14" s="33">
        <v>34.894374999999997</v>
      </c>
      <c r="D14" s="4">
        <f t="shared" si="0"/>
        <v>1</v>
      </c>
      <c r="E14" s="4" t="s">
        <v>73</v>
      </c>
      <c r="F14" s="34"/>
    </row>
    <row r="15" spans="1:26" ht="14.25" customHeight="1" x14ac:dyDescent="0.25">
      <c r="A15" s="31">
        <v>41646.5</v>
      </c>
      <c r="B15" s="32">
        <v>2289.4490000000001</v>
      </c>
      <c r="C15" s="33">
        <v>53.312916666666602</v>
      </c>
      <c r="D15" s="4">
        <f t="shared" si="0"/>
        <v>1</v>
      </c>
      <c r="E15" s="4" t="s">
        <v>73</v>
      </c>
      <c r="F15" s="34"/>
    </row>
    <row r="16" spans="1:26" ht="14.25" customHeight="1" x14ac:dyDescent="0.25">
      <c r="A16" s="31">
        <v>41647</v>
      </c>
      <c r="B16" s="32">
        <v>1966.19391666666</v>
      </c>
      <c r="C16" s="33">
        <v>70.307083333333296</v>
      </c>
      <c r="D16" s="4">
        <f t="shared" si="0"/>
        <v>1</v>
      </c>
      <c r="E16" s="4" t="s">
        <v>73</v>
      </c>
      <c r="F16" s="34"/>
    </row>
    <row r="17" spans="1:6" ht="14.25" customHeight="1" x14ac:dyDescent="0.25">
      <c r="A17" s="31">
        <v>41647.5</v>
      </c>
      <c r="B17" s="32">
        <v>2222.9840416666598</v>
      </c>
      <c r="C17" s="33">
        <v>64.552916666666604</v>
      </c>
      <c r="D17" s="4">
        <f t="shared" si="0"/>
        <v>1</v>
      </c>
      <c r="E17" s="4" t="s">
        <v>73</v>
      </c>
      <c r="F17" s="34"/>
    </row>
    <row r="18" spans="1:6" ht="14.25" customHeight="1" x14ac:dyDescent="0.25">
      <c r="A18" s="31">
        <v>41648</v>
      </c>
      <c r="B18" s="32">
        <v>1651.58858333333</v>
      </c>
      <c r="C18" s="33">
        <v>49.776249999999997</v>
      </c>
      <c r="D18" s="4">
        <f t="shared" si="0"/>
        <v>1</v>
      </c>
      <c r="E18" s="4" t="s">
        <v>73</v>
      </c>
      <c r="F18" s="34"/>
    </row>
    <row r="19" spans="1:6" ht="14.25" customHeight="1" x14ac:dyDescent="0.25">
      <c r="A19" s="31">
        <v>41648.5</v>
      </c>
      <c r="B19" s="32">
        <v>1957.57495833333</v>
      </c>
      <c r="C19" s="33">
        <v>61.483333333333299</v>
      </c>
      <c r="D19" s="4">
        <f t="shared" si="0"/>
        <v>1</v>
      </c>
      <c r="E19" s="4" t="s">
        <v>73</v>
      </c>
      <c r="F19" s="34"/>
    </row>
    <row r="20" spans="1:6" ht="14.25" customHeight="1" x14ac:dyDescent="0.25">
      <c r="A20" s="31">
        <v>41649</v>
      </c>
      <c r="B20" s="32">
        <v>1865.0249999999901</v>
      </c>
      <c r="C20" s="33">
        <v>56.407083333333297</v>
      </c>
      <c r="D20" s="4">
        <f t="shared" si="0"/>
        <v>1</v>
      </c>
      <c r="E20" s="4" t="s">
        <v>73</v>
      </c>
      <c r="F20" s="34"/>
    </row>
    <row r="21" spans="1:6" ht="14.25" customHeight="1" x14ac:dyDescent="0.25">
      <c r="A21" s="31">
        <v>41649.5</v>
      </c>
      <c r="B21" s="32">
        <v>2157.2933333333299</v>
      </c>
      <c r="C21" s="33">
        <v>69.813749999999999</v>
      </c>
      <c r="D21" s="4">
        <f t="shared" si="0"/>
        <v>1</v>
      </c>
      <c r="E21" s="4" t="s">
        <v>73</v>
      </c>
      <c r="F21" s="34"/>
    </row>
    <row r="22" spans="1:6" ht="14.25" customHeight="1" x14ac:dyDescent="0.25">
      <c r="A22" s="31">
        <v>41650</v>
      </c>
      <c r="B22" s="32">
        <v>1933.9007916666601</v>
      </c>
      <c r="C22" s="33">
        <v>53.609583333333298</v>
      </c>
      <c r="D22" s="4">
        <f t="shared" si="0"/>
        <v>1</v>
      </c>
      <c r="E22" s="4" t="s">
        <v>73</v>
      </c>
      <c r="F22" s="34"/>
    </row>
    <row r="23" spans="1:6" ht="14.25" customHeight="1" x14ac:dyDescent="0.25">
      <c r="A23" s="31">
        <v>41650.5</v>
      </c>
      <c r="B23" s="32">
        <v>2161.194375</v>
      </c>
      <c r="C23" s="33">
        <v>53.2916666666666</v>
      </c>
      <c r="D23" s="4">
        <f t="shared" si="0"/>
        <v>1</v>
      </c>
      <c r="E23" s="4" t="s">
        <v>73</v>
      </c>
      <c r="F23" s="34"/>
    </row>
    <row r="24" spans="1:6" ht="14.25" customHeight="1" x14ac:dyDescent="0.25">
      <c r="A24" s="31">
        <v>41651</v>
      </c>
      <c r="B24" s="32">
        <v>1672.51316666666</v>
      </c>
      <c r="C24" s="33">
        <v>53.844583333333297</v>
      </c>
      <c r="D24" s="4">
        <f t="shared" si="0"/>
        <v>1</v>
      </c>
      <c r="E24" s="4" t="s">
        <v>73</v>
      </c>
      <c r="F24" s="34"/>
    </row>
    <row r="25" spans="1:6" ht="14.25" customHeight="1" x14ac:dyDescent="0.25">
      <c r="A25" s="31">
        <v>41651.5</v>
      </c>
      <c r="B25" s="32">
        <v>1928.0590416666601</v>
      </c>
      <c r="C25" s="33">
        <v>53.347916666666599</v>
      </c>
      <c r="D25" s="4">
        <f t="shared" si="0"/>
        <v>1</v>
      </c>
      <c r="E25" s="4" t="s">
        <v>73</v>
      </c>
      <c r="F25" s="34"/>
    </row>
    <row r="26" spans="1:6" ht="14.25" customHeight="1" x14ac:dyDescent="0.25">
      <c r="A26" s="31">
        <v>41652</v>
      </c>
      <c r="B26" s="32">
        <v>1863.6369999999899</v>
      </c>
      <c r="C26" s="33">
        <v>55.712166666666597</v>
      </c>
      <c r="D26" s="4">
        <f t="shared" si="0"/>
        <v>1</v>
      </c>
      <c r="E26" s="4" t="s">
        <v>73</v>
      </c>
      <c r="F26" s="34"/>
    </row>
    <row r="27" spans="1:6" ht="14.25" customHeight="1" x14ac:dyDescent="0.25">
      <c r="A27" s="31">
        <v>41652.5</v>
      </c>
      <c r="B27" s="32">
        <v>2185.68658333333</v>
      </c>
      <c r="C27" s="33">
        <v>66.450833333333307</v>
      </c>
      <c r="D27" s="4">
        <f t="shared" si="0"/>
        <v>1</v>
      </c>
      <c r="E27" s="4" t="s">
        <v>73</v>
      </c>
      <c r="F27" s="34"/>
    </row>
    <row r="28" spans="1:6" ht="14.25" customHeight="1" x14ac:dyDescent="0.25">
      <c r="A28" s="31">
        <v>41653</v>
      </c>
      <c r="B28" s="32">
        <v>2185.5760416666599</v>
      </c>
      <c r="C28" s="33">
        <v>78.998583333333301</v>
      </c>
      <c r="D28" s="4">
        <f t="shared" si="0"/>
        <v>1</v>
      </c>
      <c r="E28" s="4" t="s">
        <v>73</v>
      </c>
      <c r="F28" s="34"/>
    </row>
    <row r="29" spans="1:6" ht="14.25" customHeight="1" x14ac:dyDescent="0.25">
      <c r="A29" s="31">
        <v>41653.5</v>
      </c>
      <c r="B29" s="32">
        <v>3175.2769166666599</v>
      </c>
      <c r="C29" s="33">
        <v>159.797333333333</v>
      </c>
      <c r="D29" s="4">
        <f t="shared" si="0"/>
        <v>1</v>
      </c>
      <c r="E29" s="4" t="s">
        <v>73</v>
      </c>
      <c r="F29" s="34"/>
    </row>
    <row r="30" spans="1:6" ht="14.25" customHeight="1" x14ac:dyDescent="0.25">
      <c r="A30" s="31">
        <v>41654</v>
      </c>
      <c r="B30" s="32">
        <v>2648.79408333333</v>
      </c>
      <c r="C30" s="33">
        <v>108.42100000000001</v>
      </c>
      <c r="D30" s="4">
        <f t="shared" si="0"/>
        <v>1</v>
      </c>
      <c r="E30" s="4" t="s">
        <v>73</v>
      </c>
      <c r="F30" s="34"/>
    </row>
    <row r="31" spans="1:6" ht="14.25" customHeight="1" x14ac:dyDescent="0.25">
      <c r="A31" s="31">
        <v>41654.5</v>
      </c>
      <c r="B31" s="32">
        <v>3164.5167499999998</v>
      </c>
      <c r="C31" s="33">
        <v>132.91399999999999</v>
      </c>
      <c r="D31" s="4">
        <f t="shared" si="0"/>
        <v>1</v>
      </c>
      <c r="E31" s="4" t="s">
        <v>73</v>
      </c>
      <c r="F31" s="34"/>
    </row>
    <row r="32" spans="1:6" ht="14.25" customHeight="1" x14ac:dyDescent="0.25">
      <c r="A32" s="31">
        <v>41655</v>
      </c>
      <c r="B32" s="32">
        <v>2308.0395416666602</v>
      </c>
      <c r="C32" s="33">
        <v>68.866583333333296</v>
      </c>
      <c r="D32" s="4">
        <f t="shared" si="0"/>
        <v>1</v>
      </c>
      <c r="E32" s="4" t="s">
        <v>73</v>
      </c>
      <c r="F32" s="34"/>
    </row>
    <row r="33" spans="1:6" ht="14.25" customHeight="1" x14ac:dyDescent="0.25">
      <c r="A33" s="31">
        <v>41655.5</v>
      </c>
      <c r="B33" s="32">
        <v>2417.7790416666599</v>
      </c>
      <c r="C33" s="33">
        <v>50.487499999999997</v>
      </c>
      <c r="D33" s="4">
        <f t="shared" si="0"/>
        <v>1</v>
      </c>
      <c r="E33" s="4" t="s">
        <v>73</v>
      </c>
      <c r="F33" s="34"/>
    </row>
    <row r="34" spans="1:6" ht="14.25" customHeight="1" x14ac:dyDescent="0.25">
      <c r="A34" s="31">
        <v>41656</v>
      </c>
      <c r="B34" s="32">
        <v>1961.419625</v>
      </c>
      <c r="C34" s="33">
        <v>47.181833333333302</v>
      </c>
      <c r="D34" s="4">
        <f t="shared" si="0"/>
        <v>1</v>
      </c>
      <c r="E34" s="4" t="s">
        <v>73</v>
      </c>
      <c r="F34" s="34"/>
    </row>
    <row r="35" spans="1:6" ht="14.25" customHeight="1" x14ac:dyDescent="0.25">
      <c r="A35" s="31">
        <v>41656.5</v>
      </c>
      <c r="B35" s="32">
        <v>2127.0714583333302</v>
      </c>
      <c r="C35" s="33">
        <v>43.937833333333302</v>
      </c>
      <c r="D35" s="4">
        <f t="shared" si="0"/>
        <v>1</v>
      </c>
      <c r="E35" s="4" t="s">
        <v>73</v>
      </c>
      <c r="F35" s="34"/>
    </row>
    <row r="36" spans="1:6" ht="14.25" customHeight="1" x14ac:dyDescent="0.25">
      <c r="A36" s="31">
        <v>41657</v>
      </c>
      <c r="B36" s="32">
        <v>2004.6923124999901</v>
      </c>
      <c r="C36" s="33">
        <v>50.634124999999997</v>
      </c>
      <c r="D36" s="4">
        <f t="shared" si="0"/>
        <v>1</v>
      </c>
      <c r="E36" s="4" t="s">
        <v>73</v>
      </c>
      <c r="F36" s="34"/>
    </row>
    <row r="37" spans="1:6" ht="14.25" customHeight="1" x14ac:dyDescent="0.25">
      <c r="A37" s="31">
        <v>41657.5</v>
      </c>
      <c r="B37" s="32">
        <v>2200.4989999999998</v>
      </c>
      <c r="C37" s="33">
        <v>50.1071666666666</v>
      </c>
      <c r="D37" s="4">
        <f t="shared" si="0"/>
        <v>1</v>
      </c>
      <c r="E37" s="4" t="s">
        <v>73</v>
      </c>
      <c r="F37" s="34"/>
    </row>
    <row r="38" spans="1:6" ht="14.25" customHeight="1" x14ac:dyDescent="0.25">
      <c r="A38" s="31">
        <v>41658</v>
      </c>
      <c r="B38" s="32">
        <v>1839.5621428571401</v>
      </c>
      <c r="C38" s="33">
        <v>43.767999999999901</v>
      </c>
      <c r="D38" s="4">
        <f t="shared" si="0"/>
        <v>1</v>
      </c>
      <c r="E38" s="4" t="s">
        <v>73</v>
      </c>
      <c r="F38" s="34"/>
    </row>
    <row r="39" spans="1:6" ht="14.25" customHeight="1" x14ac:dyDescent="0.25">
      <c r="A39" s="31">
        <v>41658.5</v>
      </c>
      <c r="B39" s="32">
        <v>2184.156125</v>
      </c>
      <c r="C39" s="33">
        <v>72.031833333333296</v>
      </c>
      <c r="D39" s="4">
        <f t="shared" si="0"/>
        <v>1</v>
      </c>
      <c r="E39" s="4" t="s">
        <v>73</v>
      </c>
      <c r="F39" s="34"/>
    </row>
    <row r="40" spans="1:6" ht="14.25" customHeight="1" x14ac:dyDescent="0.25">
      <c r="A40" s="31">
        <v>41659</v>
      </c>
      <c r="B40" s="32">
        <v>1748.4124999999999</v>
      </c>
      <c r="C40" s="33">
        <v>44.526333333333298</v>
      </c>
      <c r="D40" s="4">
        <f t="shared" si="0"/>
        <v>1</v>
      </c>
      <c r="E40" s="4" t="s">
        <v>73</v>
      </c>
      <c r="F40" s="34"/>
    </row>
    <row r="41" spans="1:6" ht="14.25" customHeight="1" x14ac:dyDescent="0.25">
      <c r="A41" s="31">
        <v>41659.5</v>
      </c>
      <c r="B41" s="32">
        <v>2417.6507083333299</v>
      </c>
      <c r="C41" s="33">
        <v>65.881833333333304</v>
      </c>
      <c r="D41" s="4">
        <f t="shared" si="0"/>
        <v>1</v>
      </c>
      <c r="E41" s="4" t="s">
        <v>73</v>
      </c>
      <c r="F41" s="34"/>
    </row>
    <row r="42" spans="1:6" ht="14.25" customHeight="1" x14ac:dyDescent="0.25">
      <c r="A42" s="31">
        <v>41660</v>
      </c>
      <c r="B42" s="32">
        <v>2067.5482916666601</v>
      </c>
      <c r="C42" s="33">
        <v>47.251666666666601</v>
      </c>
      <c r="D42" s="4">
        <f t="shared" si="0"/>
        <v>1</v>
      </c>
      <c r="E42" s="4" t="s">
        <v>73</v>
      </c>
      <c r="F42" s="34"/>
    </row>
    <row r="43" spans="1:6" ht="14.25" customHeight="1" x14ac:dyDescent="0.25">
      <c r="A43" s="31">
        <v>41660.5</v>
      </c>
      <c r="B43" s="32">
        <v>2572.71675</v>
      </c>
      <c r="C43" s="33">
        <v>63.338166666666602</v>
      </c>
      <c r="D43" s="4">
        <f t="shared" si="0"/>
        <v>1</v>
      </c>
      <c r="E43" s="4" t="s">
        <v>73</v>
      </c>
      <c r="F43" s="34"/>
    </row>
    <row r="44" spans="1:6" ht="14.25" customHeight="1" x14ac:dyDescent="0.25">
      <c r="A44" s="31">
        <v>41661</v>
      </c>
      <c r="B44" s="32">
        <v>2070.56383333333</v>
      </c>
      <c r="C44" s="33">
        <v>49.39425</v>
      </c>
      <c r="D44" s="4">
        <f t="shared" si="0"/>
        <v>1</v>
      </c>
      <c r="E44" s="4" t="s">
        <v>73</v>
      </c>
      <c r="F44" s="34"/>
    </row>
    <row r="45" spans="1:6" ht="14.25" customHeight="1" x14ac:dyDescent="0.25">
      <c r="A45" s="31">
        <v>41661.5</v>
      </c>
      <c r="B45" s="32">
        <v>2702.1071666666599</v>
      </c>
      <c r="C45" s="33">
        <v>77.915249999999901</v>
      </c>
      <c r="D45" s="4">
        <f t="shared" si="0"/>
        <v>1</v>
      </c>
      <c r="E45" s="4" t="s">
        <v>73</v>
      </c>
      <c r="F45" s="34"/>
    </row>
    <row r="46" spans="1:6" ht="14.25" customHeight="1" x14ac:dyDescent="0.25">
      <c r="A46" s="31">
        <v>41662</v>
      </c>
      <c r="B46" s="32">
        <v>2155.5055416666601</v>
      </c>
      <c r="C46" s="33">
        <v>48.651249999999997</v>
      </c>
      <c r="D46" s="4">
        <f t="shared" si="0"/>
        <v>1</v>
      </c>
      <c r="E46" s="4" t="s">
        <v>73</v>
      </c>
      <c r="F46" s="34"/>
    </row>
    <row r="47" spans="1:6" ht="14.25" customHeight="1" x14ac:dyDescent="0.25">
      <c r="A47" s="31">
        <v>41662.5</v>
      </c>
      <c r="B47" s="32">
        <v>2449.9735416666599</v>
      </c>
      <c r="C47" s="33">
        <v>59.662916666666597</v>
      </c>
      <c r="D47" s="4">
        <f t="shared" si="0"/>
        <v>1</v>
      </c>
      <c r="E47" s="4" t="s">
        <v>73</v>
      </c>
      <c r="F47" s="34"/>
    </row>
    <row r="48" spans="1:6" ht="14.25" customHeight="1" x14ac:dyDescent="0.25">
      <c r="A48" s="31">
        <v>41663</v>
      </c>
      <c r="B48" s="32">
        <v>1994.9894545454499</v>
      </c>
      <c r="C48" s="33">
        <v>44.107909090908997</v>
      </c>
      <c r="D48" s="4">
        <f t="shared" si="0"/>
        <v>1</v>
      </c>
      <c r="E48" s="4" t="s">
        <v>73</v>
      </c>
      <c r="F48" s="34"/>
    </row>
    <row r="49" spans="1:6" ht="14.25" customHeight="1" x14ac:dyDescent="0.25">
      <c r="A49" s="31">
        <v>41663.5</v>
      </c>
      <c r="B49" s="32">
        <v>2281.8349166666599</v>
      </c>
      <c r="C49" s="33">
        <v>45.838749999999997</v>
      </c>
      <c r="D49" s="4">
        <f t="shared" si="0"/>
        <v>1</v>
      </c>
      <c r="E49" s="4" t="s">
        <v>73</v>
      </c>
      <c r="F49" s="34"/>
    </row>
    <row r="50" spans="1:6" ht="14.25" customHeight="1" x14ac:dyDescent="0.25">
      <c r="A50" s="31">
        <v>41664</v>
      </c>
      <c r="B50" s="32">
        <v>1951.5263333333301</v>
      </c>
      <c r="C50" s="33">
        <v>51.144583333333301</v>
      </c>
      <c r="D50" s="4">
        <f t="shared" si="0"/>
        <v>1</v>
      </c>
      <c r="E50" s="4" t="s">
        <v>73</v>
      </c>
      <c r="F50" s="34"/>
    </row>
    <row r="51" spans="1:6" ht="14.25" customHeight="1" x14ac:dyDescent="0.25">
      <c r="A51" s="31">
        <v>41664.5</v>
      </c>
      <c r="B51" s="32">
        <v>2341.0592916666601</v>
      </c>
      <c r="C51" s="33">
        <v>73.990499999999997</v>
      </c>
      <c r="D51" s="4">
        <f t="shared" si="0"/>
        <v>1</v>
      </c>
      <c r="E51" s="4" t="s">
        <v>73</v>
      </c>
      <c r="F51" s="34"/>
    </row>
    <row r="52" spans="1:6" ht="14.25" customHeight="1" x14ac:dyDescent="0.25">
      <c r="A52" s="31">
        <v>41665</v>
      </c>
      <c r="B52" s="32">
        <v>1823.6909166666601</v>
      </c>
      <c r="C52" s="33">
        <v>49.5535833333333</v>
      </c>
      <c r="D52" s="4">
        <f t="shared" si="0"/>
        <v>1</v>
      </c>
      <c r="E52" s="4" t="s">
        <v>73</v>
      </c>
      <c r="F52" s="34"/>
    </row>
    <row r="53" spans="1:6" ht="14.25" customHeight="1" x14ac:dyDescent="0.25">
      <c r="A53" s="31">
        <v>41665.5</v>
      </c>
      <c r="B53" s="32">
        <v>2288.3790416666602</v>
      </c>
      <c r="C53" s="33">
        <v>69.318416666666593</v>
      </c>
      <c r="D53" s="4">
        <f t="shared" si="0"/>
        <v>1</v>
      </c>
      <c r="E53" s="4" t="s">
        <v>73</v>
      </c>
      <c r="F53" s="34"/>
    </row>
    <row r="54" spans="1:6" ht="14.25" customHeight="1" x14ac:dyDescent="0.25">
      <c r="A54" s="31">
        <v>41666</v>
      </c>
      <c r="B54" s="32">
        <v>1833.969625</v>
      </c>
      <c r="C54" s="33">
        <v>59.5356666666666</v>
      </c>
      <c r="D54" s="4">
        <f t="shared" si="0"/>
        <v>1</v>
      </c>
      <c r="E54" s="4" t="s">
        <v>73</v>
      </c>
      <c r="F54" s="34"/>
    </row>
    <row r="55" spans="1:6" ht="14.25" customHeight="1" x14ac:dyDescent="0.25">
      <c r="A55" s="31">
        <v>41666.5</v>
      </c>
      <c r="B55" s="32">
        <v>2465.6632500000001</v>
      </c>
      <c r="C55" s="33">
        <v>87.515000000000001</v>
      </c>
      <c r="D55" s="4">
        <f t="shared" si="0"/>
        <v>1</v>
      </c>
      <c r="E55" s="4" t="s">
        <v>73</v>
      </c>
      <c r="F55" s="34"/>
    </row>
    <row r="56" spans="1:6" ht="14.25" customHeight="1" x14ac:dyDescent="0.25">
      <c r="A56" s="31">
        <v>41667</v>
      </c>
      <c r="B56" s="32">
        <v>1844.722</v>
      </c>
      <c r="C56" s="33">
        <v>47.820250000000001</v>
      </c>
      <c r="D56" s="4">
        <f t="shared" si="0"/>
        <v>1</v>
      </c>
      <c r="E56" s="4" t="s">
        <v>73</v>
      </c>
      <c r="F56" s="34"/>
    </row>
    <row r="57" spans="1:6" ht="14.25" customHeight="1" x14ac:dyDescent="0.25">
      <c r="A57" s="31">
        <v>41667.5</v>
      </c>
      <c r="B57" s="32">
        <v>2259.0371666666601</v>
      </c>
      <c r="C57" s="33">
        <v>70.217833333333303</v>
      </c>
      <c r="D57" s="4">
        <f t="shared" si="0"/>
        <v>1</v>
      </c>
      <c r="E57" s="4" t="s">
        <v>73</v>
      </c>
      <c r="F57" s="34"/>
    </row>
    <row r="58" spans="1:6" ht="14.25" customHeight="1" x14ac:dyDescent="0.25">
      <c r="A58" s="31">
        <v>41668</v>
      </c>
      <c r="B58" s="32">
        <v>1988.9660833333301</v>
      </c>
      <c r="C58" s="33">
        <v>63.731333333333303</v>
      </c>
      <c r="D58" s="4">
        <f t="shared" si="0"/>
        <v>1</v>
      </c>
      <c r="E58" s="4" t="s">
        <v>73</v>
      </c>
      <c r="F58" s="34"/>
    </row>
    <row r="59" spans="1:6" ht="14.25" customHeight="1" x14ac:dyDescent="0.25">
      <c r="A59" s="31">
        <v>41668.5</v>
      </c>
      <c r="B59" s="32">
        <v>2498.4301666666602</v>
      </c>
      <c r="C59" s="33">
        <v>81.990916666666607</v>
      </c>
      <c r="D59" s="4">
        <f t="shared" si="0"/>
        <v>1</v>
      </c>
      <c r="E59" s="4" t="s">
        <v>73</v>
      </c>
      <c r="F59" s="34"/>
    </row>
    <row r="60" spans="1:6" ht="14.25" customHeight="1" x14ac:dyDescent="0.25">
      <c r="A60" s="31">
        <v>41669</v>
      </c>
      <c r="B60" s="32">
        <v>2064.4832499999902</v>
      </c>
      <c r="C60" s="33">
        <v>60.905833333333298</v>
      </c>
      <c r="D60" s="4">
        <f t="shared" si="0"/>
        <v>1</v>
      </c>
      <c r="E60" s="4" t="s">
        <v>73</v>
      </c>
      <c r="F60" s="34"/>
    </row>
    <row r="61" spans="1:6" ht="14.25" customHeight="1" x14ac:dyDescent="0.25">
      <c r="A61" s="31">
        <v>41669.5</v>
      </c>
      <c r="B61" s="32">
        <v>2629.6935416666602</v>
      </c>
      <c r="C61" s="33">
        <v>73.409333333333294</v>
      </c>
      <c r="D61" s="4">
        <f t="shared" si="0"/>
        <v>1</v>
      </c>
      <c r="E61" s="4" t="s">
        <v>73</v>
      </c>
      <c r="F61" s="34"/>
    </row>
    <row r="62" spans="1:6" ht="14.25" customHeight="1" x14ac:dyDescent="0.25">
      <c r="A62" s="31">
        <v>41670</v>
      </c>
      <c r="B62" s="32">
        <v>2088.8087500000001</v>
      </c>
      <c r="C62" s="33">
        <v>48.490666666666598</v>
      </c>
      <c r="D62" s="4">
        <f t="shared" si="0"/>
        <v>1</v>
      </c>
      <c r="E62" s="4" t="s">
        <v>73</v>
      </c>
      <c r="F62" s="34"/>
    </row>
    <row r="63" spans="1:6" ht="14.25" customHeight="1" x14ac:dyDescent="0.25">
      <c r="A63" s="31">
        <v>41670.5</v>
      </c>
      <c r="B63" s="32">
        <v>2670.88983333333</v>
      </c>
      <c r="C63" s="33">
        <v>92.988999999999905</v>
      </c>
      <c r="D63" s="4">
        <f t="shared" si="0"/>
        <v>1</v>
      </c>
      <c r="E63" s="4" t="s">
        <v>73</v>
      </c>
      <c r="F63" s="34"/>
    </row>
    <row r="64" spans="1:6" ht="14.25" customHeight="1" x14ac:dyDescent="0.25">
      <c r="A64" s="31">
        <v>41671</v>
      </c>
      <c r="B64" s="32">
        <v>2061.80587499999</v>
      </c>
      <c r="C64" s="33">
        <v>56.500749999999996</v>
      </c>
      <c r="D64" s="4">
        <f t="shared" si="0"/>
        <v>2</v>
      </c>
      <c r="E64" s="4" t="s">
        <v>73</v>
      </c>
      <c r="F64" s="34"/>
    </row>
    <row r="65" spans="1:6" ht="14.25" customHeight="1" x14ac:dyDescent="0.25">
      <c r="A65" s="31">
        <v>41671.5</v>
      </c>
      <c r="B65" s="32">
        <v>2388.2006249999999</v>
      </c>
      <c r="C65" s="33">
        <v>66.637916666666598</v>
      </c>
      <c r="D65" s="4">
        <f t="shared" si="0"/>
        <v>2</v>
      </c>
      <c r="E65" s="4" t="s">
        <v>73</v>
      </c>
      <c r="F65" s="34"/>
    </row>
    <row r="66" spans="1:6" ht="14.25" customHeight="1" x14ac:dyDescent="0.25">
      <c r="A66" s="31">
        <v>41672</v>
      </c>
      <c r="B66" s="32">
        <v>2012.0826666666601</v>
      </c>
      <c r="C66" s="33">
        <v>41.845666666666602</v>
      </c>
      <c r="D66" s="4">
        <f t="shared" si="0"/>
        <v>2</v>
      </c>
      <c r="E66" s="4" t="s">
        <v>73</v>
      </c>
      <c r="F66" s="34"/>
    </row>
    <row r="67" spans="1:6" ht="14.25" customHeight="1" x14ac:dyDescent="0.25">
      <c r="A67" s="31">
        <v>41672.5</v>
      </c>
      <c r="B67" s="32">
        <v>2765.58395833333</v>
      </c>
      <c r="C67" s="33">
        <v>86.525333333333293</v>
      </c>
      <c r="D67" s="4">
        <f t="shared" si="0"/>
        <v>2</v>
      </c>
      <c r="E67" s="4" t="s">
        <v>73</v>
      </c>
      <c r="F67" s="34"/>
    </row>
    <row r="68" spans="1:6" ht="14.25" customHeight="1" x14ac:dyDescent="0.25">
      <c r="A68" s="31">
        <v>41673</v>
      </c>
      <c r="B68" s="32">
        <v>1877.6705833333299</v>
      </c>
      <c r="C68" s="33">
        <v>58.5831666666666</v>
      </c>
      <c r="D68" s="4">
        <f t="shared" si="0"/>
        <v>2</v>
      </c>
      <c r="E68" s="4" t="s">
        <v>73</v>
      </c>
      <c r="F68" s="34"/>
    </row>
    <row r="69" spans="1:6" ht="14.25" customHeight="1" x14ac:dyDescent="0.25">
      <c r="A69" s="31">
        <v>41673.5</v>
      </c>
      <c r="B69" s="32">
        <v>2193.5964166666599</v>
      </c>
      <c r="C69" s="33">
        <v>60.772916666666603</v>
      </c>
      <c r="D69" s="4">
        <f t="shared" si="0"/>
        <v>2</v>
      </c>
      <c r="E69" s="4" t="s">
        <v>73</v>
      </c>
      <c r="F69" s="34"/>
    </row>
    <row r="70" spans="1:6" ht="14.25" customHeight="1" x14ac:dyDescent="0.25">
      <c r="A70" s="31">
        <v>41674</v>
      </c>
      <c r="B70" s="32">
        <v>2175.5892142857101</v>
      </c>
      <c r="C70" s="33">
        <v>42.946428571428498</v>
      </c>
      <c r="D70" s="4">
        <f t="shared" si="0"/>
        <v>2</v>
      </c>
      <c r="E70" s="4" t="s">
        <v>73</v>
      </c>
      <c r="F70" s="34"/>
    </row>
    <row r="71" spans="1:6" ht="14.25" customHeight="1" x14ac:dyDescent="0.25">
      <c r="A71" s="31">
        <v>41674.5</v>
      </c>
      <c r="B71" s="32">
        <v>2378.2999583333299</v>
      </c>
      <c r="C71" s="33">
        <v>55.469166666666602</v>
      </c>
      <c r="D71" s="4">
        <f t="shared" si="0"/>
        <v>2</v>
      </c>
      <c r="E71" s="4" t="s">
        <v>73</v>
      </c>
      <c r="F71" s="34"/>
    </row>
    <row r="72" spans="1:6" ht="14.25" customHeight="1" x14ac:dyDescent="0.25">
      <c r="A72" s="31">
        <v>41675</v>
      </c>
      <c r="B72" s="32">
        <v>2051.6291428571399</v>
      </c>
      <c r="C72" s="33">
        <v>48.9171428571428</v>
      </c>
      <c r="D72" s="4">
        <f t="shared" si="0"/>
        <v>2</v>
      </c>
      <c r="E72" s="4" t="s">
        <v>73</v>
      </c>
      <c r="F72" s="34"/>
    </row>
    <row r="73" spans="1:6" ht="14.25" customHeight="1" x14ac:dyDescent="0.25">
      <c r="A73" s="31">
        <v>41675.5</v>
      </c>
      <c r="B73" s="32">
        <v>2120.0478750000002</v>
      </c>
      <c r="C73" s="33">
        <v>45.340416666666599</v>
      </c>
      <c r="D73" s="4">
        <f t="shared" si="0"/>
        <v>2</v>
      </c>
      <c r="E73" s="4" t="s">
        <v>73</v>
      </c>
      <c r="F73" s="34"/>
    </row>
    <row r="74" spans="1:6" ht="14.25" customHeight="1" x14ac:dyDescent="0.25">
      <c r="A74" s="31">
        <v>41676</v>
      </c>
      <c r="B74" s="32">
        <v>1760.261375</v>
      </c>
      <c r="C74" s="33">
        <v>39.444583333333298</v>
      </c>
      <c r="D74" s="4">
        <f t="shared" si="0"/>
        <v>2</v>
      </c>
      <c r="E74" s="4" t="s">
        <v>73</v>
      </c>
      <c r="F74" s="34"/>
    </row>
    <row r="75" spans="1:6" ht="14.25" customHeight="1" x14ac:dyDescent="0.25">
      <c r="A75" s="31">
        <v>41676.5</v>
      </c>
      <c r="B75" s="32">
        <v>2111.6414583333299</v>
      </c>
      <c r="C75" s="33">
        <v>43.482500000000002</v>
      </c>
      <c r="D75" s="4">
        <f t="shared" si="0"/>
        <v>2</v>
      </c>
      <c r="E75" s="4" t="s">
        <v>73</v>
      </c>
      <c r="F75" s="34"/>
    </row>
    <row r="76" spans="1:6" ht="14.25" customHeight="1" x14ac:dyDescent="0.25">
      <c r="A76" s="31">
        <v>41677</v>
      </c>
      <c r="B76" s="32">
        <v>2026.5122916666601</v>
      </c>
      <c r="C76" s="33">
        <v>42.508749999999999</v>
      </c>
      <c r="D76" s="4">
        <f t="shared" si="0"/>
        <v>2</v>
      </c>
      <c r="E76" s="4" t="s">
        <v>73</v>
      </c>
      <c r="F76" s="34"/>
    </row>
    <row r="77" spans="1:6" ht="14.25" customHeight="1" x14ac:dyDescent="0.25">
      <c r="A77" s="31">
        <v>41677.5</v>
      </c>
      <c r="B77" s="32">
        <v>2289.0562083333298</v>
      </c>
      <c r="C77" s="33">
        <v>53.663749999999901</v>
      </c>
      <c r="D77" s="4">
        <f t="shared" si="0"/>
        <v>2</v>
      </c>
      <c r="E77" s="4" t="s">
        <v>73</v>
      </c>
      <c r="F77" s="34"/>
    </row>
    <row r="78" spans="1:6" ht="14.25" customHeight="1" x14ac:dyDescent="0.25">
      <c r="A78" s="31">
        <v>41678</v>
      </c>
      <c r="B78" s="32">
        <v>1996.34679166666</v>
      </c>
      <c r="C78" s="33">
        <v>66.761250000000004</v>
      </c>
      <c r="D78" s="4">
        <f t="shared" si="0"/>
        <v>2</v>
      </c>
      <c r="E78" s="4" t="s">
        <v>73</v>
      </c>
      <c r="F78" s="34"/>
    </row>
    <row r="79" spans="1:6" ht="14.25" customHeight="1" x14ac:dyDescent="0.25">
      <c r="A79" s="31">
        <v>41678.5</v>
      </c>
      <c r="B79" s="32">
        <v>2194.7312916666601</v>
      </c>
      <c r="C79" s="33">
        <v>61.345416666666601</v>
      </c>
      <c r="D79" s="4">
        <f t="shared" si="0"/>
        <v>2</v>
      </c>
      <c r="E79" s="4" t="s">
        <v>73</v>
      </c>
      <c r="F79" s="34"/>
    </row>
    <row r="80" spans="1:6" ht="14.25" customHeight="1" x14ac:dyDescent="0.25">
      <c r="A80" s="31">
        <v>41679</v>
      </c>
      <c r="B80" s="32">
        <v>1922.08879166666</v>
      </c>
      <c r="C80" s="33">
        <v>67.138750000000002</v>
      </c>
      <c r="D80" s="4">
        <f t="shared" si="0"/>
        <v>2</v>
      </c>
      <c r="E80" s="4" t="s">
        <v>73</v>
      </c>
      <c r="F80" s="34"/>
    </row>
    <row r="81" spans="1:6" ht="14.25" customHeight="1" x14ac:dyDescent="0.25">
      <c r="A81" s="31">
        <v>41679.5</v>
      </c>
      <c r="B81" s="32">
        <v>2188.2592916666599</v>
      </c>
      <c r="C81" s="33">
        <v>76.004583333333301</v>
      </c>
      <c r="D81" s="4">
        <f t="shared" si="0"/>
        <v>2</v>
      </c>
      <c r="E81" s="4" t="s">
        <v>73</v>
      </c>
      <c r="F81" s="34"/>
    </row>
    <row r="82" spans="1:6" ht="14.25" customHeight="1" x14ac:dyDescent="0.25">
      <c r="A82" s="31">
        <v>41680</v>
      </c>
      <c r="B82" s="32">
        <v>1805.3314583333299</v>
      </c>
      <c r="C82" s="33">
        <v>43.415833333333303</v>
      </c>
      <c r="D82" s="4">
        <f t="shared" si="0"/>
        <v>2</v>
      </c>
      <c r="E82" s="4" t="s">
        <v>73</v>
      </c>
      <c r="F82" s="34"/>
    </row>
    <row r="83" spans="1:6" ht="14.25" customHeight="1" x14ac:dyDescent="0.25">
      <c r="A83" s="31">
        <v>41680.5</v>
      </c>
      <c r="B83" s="32">
        <v>1953.63308333333</v>
      </c>
      <c r="C83" s="33">
        <v>49.037500000000001</v>
      </c>
      <c r="D83" s="4">
        <f t="shared" si="0"/>
        <v>2</v>
      </c>
      <c r="E83" s="4" t="s">
        <v>73</v>
      </c>
      <c r="F83" s="34"/>
    </row>
    <row r="84" spans="1:6" ht="14.25" customHeight="1" x14ac:dyDescent="0.25">
      <c r="A84" s="31">
        <v>41681</v>
      </c>
      <c r="B84" s="32">
        <v>1709.93233333333</v>
      </c>
      <c r="C84" s="33">
        <v>37.9716666666666</v>
      </c>
      <c r="D84" s="4">
        <f t="shared" si="0"/>
        <v>2</v>
      </c>
      <c r="E84" s="4" t="s">
        <v>73</v>
      </c>
      <c r="F84" s="34"/>
    </row>
    <row r="85" spans="1:6" ht="14.25" customHeight="1" x14ac:dyDescent="0.25">
      <c r="A85" s="31">
        <v>41681.5</v>
      </c>
      <c r="B85" s="32">
        <v>2004.21187499999</v>
      </c>
      <c r="C85" s="33">
        <v>50.853749999999998</v>
      </c>
      <c r="D85" s="4">
        <f t="shared" si="0"/>
        <v>2</v>
      </c>
      <c r="E85" s="4" t="s">
        <v>73</v>
      </c>
      <c r="F85" s="34"/>
    </row>
    <row r="86" spans="1:6" ht="14.25" customHeight="1" x14ac:dyDescent="0.25">
      <c r="A86" s="31">
        <v>41682</v>
      </c>
      <c r="B86" s="32">
        <v>1882.4137083333301</v>
      </c>
      <c r="C86" s="33">
        <v>45.630416666666598</v>
      </c>
      <c r="D86" s="4">
        <f t="shared" si="0"/>
        <v>2</v>
      </c>
      <c r="E86" s="4" t="s">
        <v>73</v>
      </c>
      <c r="F86" s="34"/>
    </row>
    <row r="87" spans="1:6" ht="14.25" customHeight="1" x14ac:dyDescent="0.25">
      <c r="A87" s="31">
        <v>41682.5</v>
      </c>
      <c r="B87" s="32">
        <v>2126.41379166666</v>
      </c>
      <c r="C87" s="33">
        <v>44.034999999999997</v>
      </c>
      <c r="D87" s="4">
        <f t="shared" si="0"/>
        <v>2</v>
      </c>
      <c r="E87" s="4" t="s">
        <v>73</v>
      </c>
      <c r="F87" s="34"/>
    </row>
    <row r="88" spans="1:6" ht="14.25" customHeight="1" x14ac:dyDescent="0.25">
      <c r="A88" s="31">
        <v>41683</v>
      </c>
      <c r="B88" s="32">
        <v>2547.8222500000002</v>
      </c>
      <c r="C88" s="33">
        <v>174.000916666666</v>
      </c>
      <c r="D88" s="4">
        <f t="shared" si="0"/>
        <v>2</v>
      </c>
      <c r="E88" s="4" t="s">
        <v>73</v>
      </c>
      <c r="F88" s="34"/>
    </row>
    <row r="89" spans="1:6" ht="14.25" customHeight="1" x14ac:dyDescent="0.25">
      <c r="A89" s="31">
        <v>41683.5</v>
      </c>
      <c r="B89" s="32">
        <v>3266.0770833333299</v>
      </c>
      <c r="C89" s="33">
        <v>187.01124999999999</v>
      </c>
      <c r="D89" s="4">
        <f t="shared" si="0"/>
        <v>2</v>
      </c>
      <c r="E89" s="4" t="s">
        <v>73</v>
      </c>
      <c r="F89" s="34"/>
    </row>
    <row r="90" spans="1:6" ht="14.25" customHeight="1" x14ac:dyDescent="0.25">
      <c r="A90" s="31">
        <v>41684</v>
      </c>
      <c r="B90" s="32">
        <v>2419.2827499999999</v>
      </c>
      <c r="C90" s="33">
        <v>62.771833333333298</v>
      </c>
      <c r="D90" s="4">
        <f t="shared" si="0"/>
        <v>2</v>
      </c>
      <c r="E90" s="4" t="s">
        <v>73</v>
      </c>
      <c r="F90" s="34"/>
    </row>
    <row r="91" spans="1:6" ht="14.25" customHeight="1" x14ac:dyDescent="0.25">
      <c r="A91" s="31">
        <v>41684.5</v>
      </c>
      <c r="B91" s="32">
        <v>2691.4539999999902</v>
      </c>
      <c r="C91" s="33">
        <v>63.741250000000001</v>
      </c>
      <c r="D91" s="4">
        <f t="shared" si="0"/>
        <v>2</v>
      </c>
      <c r="E91" s="4" t="s">
        <v>73</v>
      </c>
      <c r="F91" s="34"/>
    </row>
    <row r="92" spans="1:6" ht="14.25" customHeight="1" x14ac:dyDescent="0.25">
      <c r="A92" s="31">
        <v>41685</v>
      </c>
      <c r="B92" s="32">
        <v>2256.8607499999998</v>
      </c>
      <c r="C92" s="33">
        <v>53.0446666666666</v>
      </c>
      <c r="D92" s="4">
        <f t="shared" si="0"/>
        <v>2</v>
      </c>
      <c r="E92" s="4" t="s">
        <v>73</v>
      </c>
      <c r="F92" s="34"/>
    </row>
    <row r="93" spans="1:6" ht="14.25" customHeight="1" x14ac:dyDescent="0.25">
      <c r="A93" s="31">
        <v>41685.5</v>
      </c>
      <c r="B93" s="32">
        <v>2775.1006666666599</v>
      </c>
      <c r="C93" s="33">
        <v>68.599166666666605</v>
      </c>
      <c r="D93" s="4">
        <f t="shared" si="0"/>
        <v>2</v>
      </c>
      <c r="E93" s="4" t="s">
        <v>73</v>
      </c>
      <c r="F93" s="34"/>
    </row>
    <row r="94" spans="1:6" ht="14.25" customHeight="1" x14ac:dyDescent="0.25">
      <c r="A94" s="31">
        <v>41686</v>
      </c>
      <c r="B94" s="32">
        <v>2142.8525833333301</v>
      </c>
      <c r="C94" s="33">
        <v>49.878666666666597</v>
      </c>
      <c r="D94" s="4">
        <f t="shared" si="0"/>
        <v>2</v>
      </c>
      <c r="E94" s="4" t="s">
        <v>73</v>
      </c>
      <c r="F94" s="34"/>
    </row>
    <row r="95" spans="1:6" ht="14.25" customHeight="1" x14ac:dyDescent="0.25">
      <c r="A95" s="31">
        <v>41686.5</v>
      </c>
      <c r="B95" s="32">
        <v>2670.6450833333301</v>
      </c>
      <c r="C95" s="33">
        <v>83.341833333333298</v>
      </c>
      <c r="D95" s="4">
        <f t="shared" si="0"/>
        <v>2</v>
      </c>
      <c r="E95" s="4" t="s">
        <v>73</v>
      </c>
      <c r="F95" s="34"/>
    </row>
    <row r="96" spans="1:6" ht="14.25" customHeight="1" x14ac:dyDescent="0.25">
      <c r="A96" s="31">
        <v>41687</v>
      </c>
      <c r="B96" s="32">
        <v>1874.96795833333</v>
      </c>
      <c r="C96" s="33">
        <v>48.240416666666597</v>
      </c>
      <c r="D96" s="4">
        <f t="shared" si="0"/>
        <v>2</v>
      </c>
      <c r="E96" s="4" t="s">
        <v>73</v>
      </c>
      <c r="F96" s="34"/>
    </row>
    <row r="97" spans="1:6" ht="14.25" customHeight="1" x14ac:dyDescent="0.25">
      <c r="A97" s="31">
        <v>41687.5</v>
      </c>
      <c r="B97" s="32">
        <v>2058.6119166666599</v>
      </c>
      <c r="C97" s="33">
        <v>40.656666666666602</v>
      </c>
      <c r="D97" s="4">
        <f t="shared" si="0"/>
        <v>2</v>
      </c>
      <c r="E97" s="4" t="s">
        <v>73</v>
      </c>
      <c r="F97" s="34"/>
    </row>
    <row r="98" spans="1:6" ht="14.25" customHeight="1" x14ac:dyDescent="0.25">
      <c r="A98" s="31">
        <v>41688</v>
      </c>
      <c r="B98" s="32">
        <v>1985.4231</v>
      </c>
      <c r="C98" s="33">
        <v>34.2363</v>
      </c>
      <c r="D98" s="4">
        <f t="shared" si="0"/>
        <v>2</v>
      </c>
      <c r="E98" s="4" t="s">
        <v>73</v>
      </c>
      <c r="F98" s="34"/>
    </row>
    <row r="99" spans="1:6" ht="14.25" customHeight="1" x14ac:dyDescent="0.25">
      <c r="A99" s="31">
        <v>41688.5</v>
      </c>
      <c r="B99" s="32">
        <v>2291.04</v>
      </c>
      <c r="C99" s="33">
        <v>41.783000000000001</v>
      </c>
      <c r="D99" s="4">
        <f t="shared" si="0"/>
        <v>2</v>
      </c>
      <c r="E99" s="4" t="s">
        <v>73</v>
      </c>
      <c r="F99" s="34"/>
    </row>
    <row r="100" spans="1:6" ht="14.25" customHeight="1" x14ac:dyDescent="0.25">
      <c r="A100" s="31">
        <v>41689</v>
      </c>
      <c r="B100" s="32">
        <v>2199.879625</v>
      </c>
      <c r="C100" s="33">
        <v>38.522624999999998</v>
      </c>
      <c r="D100" s="4">
        <f t="shared" si="0"/>
        <v>2</v>
      </c>
      <c r="E100" s="4" t="s">
        <v>73</v>
      </c>
      <c r="F100" s="34"/>
    </row>
    <row r="101" spans="1:6" ht="14.25" customHeight="1" x14ac:dyDescent="0.25">
      <c r="A101" s="31">
        <v>41689.5</v>
      </c>
      <c r="B101" s="32">
        <v>2610.51429166666</v>
      </c>
      <c r="C101" s="33">
        <v>66.541749999999993</v>
      </c>
      <c r="D101" s="4">
        <f t="shared" si="0"/>
        <v>2</v>
      </c>
      <c r="E101" s="4" t="s">
        <v>73</v>
      </c>
      <c r="F101" s="34"/>
    </row>
    <row r="102" spans="1:6" ht="14.25" customHeight="1" x14ac:dyDescent="0.25">
      <c r="A102" s="31">
        <v>41690</v>
      </c>
      <c r="B102" s="32">
        <v>2211.9007083333299</v>
      </c>
      <c r="C102" s="33">
        <v>46.525416666666601</v>
      </c>
      <c r="D102" s="4">
        <f t="shared" si="0"/>
        <v>2</v>
      </c>
      <c r="E102" s="4" t="s">
        <v>73</v>
      </c>
      <c r="F102" s="34"/>
    </row>
    <row r="103" spans="1:6" ht="14.25" customHeight="1" x14ac:dyDescent="0.25">
      <c r="A103" s="31">
        <v>41690.5</v>
      </c>
      <c r="B103" s="32">
        <v>3203.9935833333302</v>
      </c>
      <c r="C103" s="33">
        <v>153.26474999999999</v>
      </c>
      <c r="D103" s="4">
        <f t="shared" si="0"/>
        <v>2</v>
      </c>
      <c r="E103" s="4" t="s">
        <v>73</v>
      </c>
      <c r="F103" s="34"/>
    </row>
    <row r="104" spans="1:6" ht="14.25" customHeight="1" x14ac:dyDescent="0.25">
      <c r="A104" s="31">
        <v>41691</v>
      </c>
      <c r="B104" s="32">
        <v>2531.7787499999999</v>
      </c>
      <c r="C104" s="33">
        <v>58.492249999999899</v>
      </c>
      <c r="D104" s="4">
        <f t="shared" si="0"/>
        <v>2</v>
      </c>
      <c r="E104" s="4" t="s">
        <v>73</v>
      </c>
      <c r="F104" s="34"/>
    </row>
    <row r="105" spans="1:6" ht="14.25" customHeight="1" x14ac:dyDescent="0.25">
      <c r="A105" s="31">
        <v>41691.5</v>
      </c>
      <c r="B105" s="32">
        <v>3296.54145833333</v>
      </c>
      <c r="C105" s="33">
        <v>102.680583333333</v>
      </c>
      <c r="D105" s="4">
        <f t="shared" si="0"/>
        <v>2</v>
      </c>
      <c r="E105" s="4" t="s">
        <v>73</v>
      </c>
      <c r="F105" s="34"/>
    </row>
    <row r="106" spans="1:6" ht="14.25" customHeight="1" x14ac:dyDescent="0.25">
      <c r="A106" s="31">
        <v>41692</v>
      </c>
      <c r="B106" s="32">
        <v>2438.7048749999999</v>
      </c>
      <c r="C106" s="33">
        <v>60.428666666666601</v>
      </c>
      <c r="D106" s="4">
        <f t="shared" si="0"/>
        <v>2</v>
      </c>
      <c r="E106" s="4" t="s">
        <v>73</v>
      </c>
      <c r="F106" s="34"/>
    </row>
    <row r="107" spans="1:6" ht="14.25" customHeight="1" x14ac:dyDescent="0.25">
      <c r="A107" s="31">
        <v>41692.5</v>
      </c>
      <c r="B107" s="32">
        <v>2403.74920833333</v>
      </c>
      <c r="C107" s="33">
        <v>44.075749999999999</v>
      </c>
      <c r="D107" s="4">
        <f t="shared" si="0"/>
        <v>2</v>
      </c>
      <c r="E107" s="4" t="s">
        <v>73</v>
      </c>
      <c r="F107" s="34"/>
    </row>
    <row r="108" spans="1:6" ht="14.25" customHeight="1" x14ac:dyDescent="0.25">
      <c r="A108" s="31">
        <v>41693</v>
      </c>
      <c r="B108" s="32">
        <v>1741.94345833333</v>
      </c>
      <c r="C108" s="33">
        <v>41.518250000000002</v>
      </c>
      <c r="D108" s="4">
        <f t="shared" si="0"/>
        <v>2</v>
      </c>
      <c r="E108" s="4" t="s">
        <v>73</v>
      </c>
      <c r="F108" s="34"/>
    </row>
    <row r="109" spans="1:6" ht="14.25" customHeight="1" x14ac:dyDescent="0.25">
      <c r="A109" s="31">
        <v>41693.5</v>
      </c>
      <c r="B109" s="32">
        <v>1985.7389583333299</v>
      </c>
      <c r="C109" s="33">
        <v>53.703000000000003</v>
      </c>
      <c r="D109" s="4">
        <f t="shared" si="0"/>
        <v>2</v>
      </c>
      <c r="E109" s="4" t="s">
        <v>73</v>
      </c>
      <c r="F109" s="34"/>
    </row>
    <row r="110" spans="1:6" ht="14.25" customHeight="1" x14ac:dyDescent="0.25">
      <c r="A110" s="31">
        <v>41694</v>
      </c>
      <c r="B110" s="32">
        <v>1658.6374166666601</v>
      </c>
      <c r="C110" s="33">
        <v>48.485166666666601</v>
      </c>
      <c r="D110" s="4">
        <f t="shared" si="0"/>
        <v>2</v>
      </c>
      <c r="E110" s="4" t="s">
        <v>73</v>
      </c>
      <c r="F110" s="34"/>
    </row>
    <row r="111" spans="1:6" ht="14.25" customHeight="1" x14ac:dyDescent="0.25">
      <c r="A111" s="31">
        <v>41694.5</v>
      </c>
      <c r="B111" s="32">
        <v>2032.0067083333299</v>
      </c>
      <c r="C111" s="33">
        <v>51.238500000000002</v>
      </c>
      <c r="D111" s="4">
        <f t="shared" si="0"/>
        <v>2</v>
      </c>
      <c r="E111" s="4" t="s">
        <v>73</v>
      </c>
      <c r="F111" s="34"/>
    </row>
    <row r="112" spans="1:6" ht="14.25" customHeight="1" x14ac:dyDescent="0.25">
      <c r="A112" s="31">
        <v>41695</v>
      </c>
      <c r="B112" s="32">
        <v>2014.1435833333301</v>
      </c>
      <c r="C112" s="33">
        <v>45.216000000000001</v>
      </c>
      <c r="D112" s="4">
        <f t="shared" si="0"/>
        <v>2</v>
      </c>
      <c r="E112" s="4" t="s">
        <v>73</v>
      </c>
      <c r="F112" s="34"/>
    </row>
    <row r="113" spans="1:6" ht="14.25" customHeight="1" x14ac:dyDescent="0.25">
      <c r="A113" s="31">
        <v>41695.5</v>
      </c>
      <c r="B113" s="32">
        <v>2763.3914999999902</v>
      </c>
      <c r="C113" s="33">
        <v>80.2231666666666</v>
      </c>
      <c r="D113" s="4">
        <f t="shared" si="0"/>
        <v>2</v>
      </c>
      <c r="E113" s="4" t="s">
        <v>73</v>
      </c>
      <c r="F113" s="34"/>
    </row>
    <row r="114" spans="1:6" ht="14.25" customHeight="1" x14ac:dyDescent="0.25">
      <c r="A114" s="31">
        <v>41696</v>
      </c>
      <c r="B114" s="32">
        <v>2260.07733333333</v>
      </c>
      <c r="C114" s="33">
        <v>59.268833333333298</v>
      </c>
      <c r="D114" s="4">
        <f t="shared" si="0"/>
        <v>2</v>
      </c>
      <c r="E114" s="4" t="s">
        <v>73</v>
      </c>
      <c r="F114" s="34"/>
    </row>
    <row r="115" spans="1:6" ht="14.25" customHeight="1" x14ac:dyDescent="0.25">
      <c r="A115" s="31">
        <v>41696.5</v>
      </c>
      <c r="B115" s="32">
        <v>3089.39804166666</v>
      </c>
      <c r="C115" s="33">
        <v>122.02416666666601</v>
      </c>
      <c r="D115" s="4">
        <f t="shared" si="0"/>
        <v>2</v>
      </c>
      <c r="E115" s="4" t="s">
        <v>73</v>
      </c>
      <c r="F115" s="34"/>
    </row>
    <row r="116" spans="1:6" ht="14.25" customHeight="1" x14ac:dyDescent="0.25">
      <c r="A116" s="31">
        <v>41697</v>
      </c>
      <c r="B116" s="32">
        <v>2268.41604166666</v>
      </c>
      <c r="C116" s="33">
        <v>52.375166666666601</v>
      </c>
      <c r="D116" s="4">
        <f t="shared" si="0"/>
        <v>2</v>
      </c>
      <c r="E116" s="4" t="s">
        <v>73</v>
      </c>
      <c r="F116" s="34"/>
    </row>
    <row r="117" spans="1:6" ht="14.25" customHeight="1" x14ac:dyDescent="0.25">
      <c r="A117" s="31">
        <v>41697.5</v>
      </c>
      <c r="B117" s="32">
        <v>2928.5041249999999</v>
      </c>
      <c r="C117" s="33">
        <v>86.003166666666601</v>
      </c>
      <c r="D117" s="4">
        <f t="shared" si="0"/>
        <v>2</v>
      </c>
      <c r="E117" s="4" t="s">
        <v>73</v>
      </c>
      <c r="F117" s="34"/>
    </row>
    <row r="118" spans="1:6" ht="14.25" customHeight="1" x14ac:dyDescent="0.25">
      <c r="A118" s="31">
        <v>41698</v>
      </c>
      <c r="B118" s="32">
        <v>2219.0850833333302</v>
      </c>
      <c r="C118" s="33">
        <v>46.148416666666598</v>
      </c>
      <c r="D118" s="4">
        <f t="shared" si="0"/>
        <v>2</v>
      </c>
      <c r="E118" s="4" t="s">
        <v>73</v>
      </c>
      <c r="F118" s="34"/>
    </row>
    <row r="119" spans="1:6" ht="14.25" customHeight="1" x14ac:dyDescent="0.25">
      <c r="A119" s="31">
        <v>41698.5</v>
      </c>
      <c r="B119" s="32">
        <v>2785.3510000000001</v>
      </c>
      <c r="C119" s="33">
        <v>80.905249999999995</v>
      </c>
      <c r="D119" s="4">
        <f t="shared" si="0"/>
        <v>2</v>
      </c>
      <c r="E119" s="4" t="s">
        <v>73</v>
      </c>
      <c r="F119" s="34"/>
    </row>
    <row r="120" spans="1:6" ht="14.25" customHeight="1" x14ac:dyDescent="0.25">
      <c r="A120" s="31">
        <v>41699</v>
      </c>
      <c r="B120" s="32">
        <v>2022.3139166666599</v>
      </c>
      <c r="C120" s="33">
        <v>69.394666666666595</v>
      </c>
      <c r="D120" s="4">
        <f t="shared" si="0"/>
        <v>3</v>
      </c>
      <c r="E120" s="4" t="s">
        <v>73</v>
      </c>
      <c r="F120" s="34"/>
    </row>
    <row r="121" spans="1:6" ht="14.25" customHeight="1" x14ac:dyDescent="0.25">
      <c r="A121" s="31">
        <v>41699.5</v>
      </c>
      <c r="B121" s="32">
        <v>2246.1746250000001</v>
      </c>
      <c r="C121" s="33">
        <v>52.200499999999998</v>
      </c>
      <c r="D121" s="4">
        <f t="shared" si="0"/>
        <v>3</v>
      </c>
      <c r="E121" s="4" t="s">
        <v>73</v>
      </c>
      <c r="F121" s="34"/>
    </row>
    <row r="122" spans="1:6" ht="14.25" customHeight="1" x14ac:dyDescent="0.25">
      <c r="A122" s="31">
        <v>41700</v>
      </c>
      <c r="B122" s="32">
        <v>1955.92941666666</v>
      </c>
      <c r="C122" s="33">
        <v>51.469666666666598</v>
      </c>
      <c r="D122" s="4">
        <f t="shared" si="0"/>
        <v>3</v>
      </c>
      <c r="E122" s="4" t="s">
        <v>73</v>
      </c>
      <c r="F122" s="34"/>
    </row>
    <row r="123" spans="1:6" ht="14.25" customHeight="1" x14ac:dyDescent="0.25">
      <c r="A123" s="31">
        <v>41700.5</v>
      </c>
      <c r="B123" s="32">
        <v>2746.7552083333298</v>
      </c>
      <c r="C123" s="33">
        <v>80.457083333333301</v>
      </c>
      <c r="D123" s="4">
        <f t="shared" si="0"/>
        <v>3</v>
      </c>
      <c r="E123" s="4" t="s">
        <v>73</v>
      </c>
      <c r="F123" s="34"/>
    </row>
    <row r="124" spans="1:6" ht="14.25" customHeight="1" x14ac:dyDescent="0.25">
      <c r="A124" s="31">
        <v>41701</v>
      </c>
      <c r="B124" s="32">
        <v>1767.7171249999999</v>
      </c>
      <c r="C124" s="33">
        <v>63.776000000000003</v>
      </c>
      <c r="D124" s="4">
        <f t="shared" si="0"/>
        <v>3</v>
      </c>
      <c r="E124" s="4" t="s">
        <v>73</v>
      </c>
      <c r="F124" s="34"/>
    </row>
    <row r="125" spans="1:6" ht="14.25" customHeight="1" x14ac:dyDescent="0.25">
      <c r="A125" s="31">
        <v>41701.5</v>
      </c>
      <c r="B125" s="32">
        <v>2275.6261666666601</v>
      </c>
      <c r="C125" s="33">
        <v>79.9641666666666</v>
      </c>
      <c r="D125" s="4">
        <f t="shared" si="0"/>
        <v>3</v>
      </c>
      <c r="E125" s="4" t="s">
        <v>73</v>
      </c>
      <c r="F125" s="34"/>
    </row>
    <row r="126" spans="1:6" ht="14.25" customHeight="1" x14ac:dyDescent="0.25">
      <c r="A126" s="31">
        <v>41702</v>
      </c>
      <c r="B126" s="32">
        <v>2016.70516666666</v>
      </c>
      <c r="C126" s="33">
        <v>48.149166666666602</v>
      </c>
      <c r="D126" s="4">
        <f t="shared" si="0"/>
        <v>3</v>
      </c>
      <c r="E126" s="4" t="s">
        <v>73</v>
      </c>
      <c r="F126" s="34"/>
    </row>
    <row r="127" spans="1:6" ht="14.25" customHeight="1" x14ac:dyDescent="0.25">
      <c r="A127" s="31">
        <v>41702.5</v>
      </c>
      <c r="B127" s="32">
        <v>2550.7890000000002</v>
      </c>
      <c r="C127" s="33">
        <v>72.476249999999993</v>
      </c>
      <c r="D127" s="4">
        <f t="shared" si="0"/>
        <v>3</v>
      </c>
      <c r="E127" s="4" t="s">
        <v>73</v>
      </c>
      <c r="F127" s="34"/>
    </row>
    <row r="128" spans="1:6" ht="14.25" customHeight="1" x14ac:dyDescent="0.25">
      <c r="A128" s="31">
        <v>41703</v>
      </c>
      <c r="B128" s="32">
        <v>1815.8290833333299</v>
      </c>
      <c r="C128" s="33">
        <v>50.1383333333333</v>
      </c>
      <c r="D128" s="4">
        <f t="shared" si="0"/>
        <v>3</v>
      </c>
      <c r="E128" s="4" t="s">
        <v>73</v>
      </c>
      <c r="F128" s="34"/>
    </row>
    <row r="129" spans="1:6" ht="14.25" customHeight="1" x14ac:dyDescent="0.25">
      <c r="A129" s="31">
        <v>41703.5</v>
      </c>
      <c r="B129" s="32">
        <v>2059.78404166666</v>
      </c>
      <c r="C129" s="33">
        <v>43.467083333333299</v>
      </c>
      <c r="D129" s="4">
        <f t="shared" si="0"/>
        <v>3</v>
      </c>
      <c r="E129" s="4" t="s">
        <v>73</v>
      </c>
      <c r="F129" s="34"/>
    </row>
    <row r="130" spans="1:6" ht="14.25" customHeight="1" x14ac:dyDescent="0.25">
      <c r="A130" s="31">
        <v>41704</v>
      </c>
      <c r="B130" s="32">
        <v>1758.11533333333</v>
      </c>
      <c r="C130" s="33">
        <v>35.828333333333298</v>
      </c>
      <c r="D130" s="4">
        <f t="shared" si="0"/>
        <v>3</v>
      </c>
      <c r="E130" s="4" t="s">
        <v>73</v>
      </c>
      <c r="F130" s="34"/>
    </row>
    <row r="131" spans="1:6" ht="14.25" customHeight="1" x14ac:dyDescent="0.25">
      <c r="A131" s="31">
        <v>41704.5</v>
      </c>
      <c r="B131" s="32">
        <v>2062.8898749999998</v>
      </c>
      <c r="C131" s="33">
        <v>44.240833333333299</v>
      </c>
      <c r="D131" s="4">
        <f t="shared" si="0"/>
        <v>3</v>
      </c>
      <c r="E131" s="4" t="s">
        <v>73</v>
      </c>
      <c r="F131" s="34"/>
    </row>
    <row r="132" spans="1:6" ht="14.25" customHeight="1" x14ac:dyDescent="0.25">
      <c r="A132" s="31">
        <v>41705</v>
      </c>
      <c r="B132" s="32">
        <v>2008.6056249999999</v>
      </c>
      <c r="C132" s="33">
        <v>48.47625</v>
      </c>
      <c r="D132" s="4">
        <f t="shared" si="0"/>
        <v>3</v>
      </c>
      <c r="E132" s="4" t="s">
        <v>73</v>
      </c>
      <c r="F132" s="34"/>
    </row>
    <row r="133" spans="1:6" ht="14.25" customHeight="1" x14ac:dyDescent="0.25">
      <c r="A133" s="31">
        <v>41705.5</v>
      </c>
      <c r="B133" s="32">
        <v>2403.17054166666</v>
      </c>
      <c r="C133" s="33">
        <v>64.392083333333304</v>
      </c>
      <c r="D133" s="4">
        <f t="shared" si="0"/>
        <v>3</v>
      </c>
      <c r="E133" s="4" t="s">
        <v>73</v>
      </c>
      <c r="F133" s="34"/>
    </row>
    <row r="134" spans="1:6" ht="14.25" customHeight="1" x14ac:dyDescent="0.25">
      <c r="A134" s="31">
        <v>41706</v>
      </c>
      <c r="B134" s="32">
        <v>1802.7807499999999</v>
      </c>
      <c r="C134" s="33">
        <v>57.506666666666597</v>
      </c>
      <c r="D134" s="4">
        <f t="shared" si="0"/>
        <v>3</v>
      </c>
      <c r="E134" s="4" t="s">
        <v>73</v>
      </c>
      <c r="F134" s="34"/>
    </row>
    <row r="135" spans="1:6" ht="14.25" customHeight="1" x14ac:dyDescent="0.25">
      <c r="A135" s="31">
        <v>41706.5</v>
      </c>
      <c r="B135" s="32">
        <v>2012.3384166666599</v>
      </c>
      <c r="C135" s="33">
        <v>60.60125</v>
      </c>
      <c r="D135" s="4">
        <f t="shared" si="0"/>
        <v>3</v>
      </c>
      <c r="E135" s="4" t="s">
        <v>73</v>
      </c>
      <c r="F135" s="34"/>
    </row>
    <row r="136" spans="1:6" ht="14.25" customHeight="1" x14ac:dyDescent="0.25">
      <c r="A136" s="31">
        <v>41707</v>
      </c>
      <c r="B136" s="32">
        <v>1925.6469583333301</v>
      </c>
      <c r="C136" s="33">
        <v>59.695416666666603</v>
      </c>
      <c r="D136" s="4">
        <f t="shared" si="0"/>
        <v>3</v>
      </c>
      <c r="E136" s="4" t="s">
        <v>73</v>
      </c>
      <c r="F136" s="34"/>
    </row>
    <row r="137" spans="1:6" ht="14.25" customHeight="1" x14ac:dyDescent="0.25">
      <c r="A137" s="31">
        <v>41707.5</v>
      </c>
      <c r="B137" s="32">
        <v>2278.7637083333302</v>
      </c>
      <c r="C137" s="33">
        <v>63.4149999999999</v>
      </c>
      <c r="D137" s="4">
        <f t="shared" si="0"/>
        <v>3</v>
      </c>
      <c r="E137" s="4" t="s">
        <v>73</v>
      </c>
      <c r="F137" s="34"/>
    </row>
    <row r="138" spans="1:6" ht="14.25" customHeight="1" x14ac:dyDescent="0.25">
      <c r="A138" s="31">
        <v>41708</v>
      </c>
      <c r="B138" s="32">
        <v>2003.20657142857</v>
      </c>
      <c r="C138" s="33">
        <v>40.586428571428499</v>
      </c>
      <c r="D138" s="4">
        <f t="shared" si="0"/>
        <v>3</v>
      </c>
      <c r="E138" s="4" t="s">
        <v>73</v>
      </c>
      <c r="F138" s="34"/>
    </row>
    <row r="139" spans="1:6" ht="14.25" customHeight="1" x14ac:dyDescent="0.25">
      <c r="A139" s="31">
        <v>41708.5</v>
      </c>
      <c r="B139" s="32">
        <v>2089.9385833333299</v>
      </c>
      <c r="C139" s="33">
        <v>51.212499999999999</v>
      </c>
      <c r="D139" s="4">
        <f t="shared" si="0"/>
        <v>3</v>
      </c>
      <c r="E139" s="4" t="s">
        <v>73</v>
      </c>
      <c r="F139" s="34"/>
    </row>
    <row r="140" spans="1:6" ht="14.25" customHeight="1" x14ac:dyDescent="0.25">
      <c r="A140" s="31">
        <v>41709</v>
      </c>
      <c r="B140" s="32">
        <v>1675.94927272727</v>
      </c>
      <c r="C140" s="33">
        <v>32.070454545454503</v>
      </c>
      <c r="D140" s="4">
        <f t="shared" si="0"/>
        <v>3</v>
      </c>
      <c r="E140" s="4" t="s">
        <v>73</v>
      </c>
      <c r="F140" s="34"/>
    </row>
    <row r="141" spans="1:6" ht="14.25" customHeight="1" x14ac:dyDescent="0.25">
      <c r="A141" s="31">
        <v>41709.5</v>
      </c>
      <c r="B141" s="32">
        <v>2098.6694583333301</v>
      </c>
      <c r="C141" s="33">
        <v>57.2349999999999</v>
      </c>
      <c r="D141" s="4">
        <f t="shared" si="0"/>
        <v>3</v>
      </c>
      <c r="E141" s="4" t="s">
        <v>73</v>
      </c>
      <c r="F141" s="34"/>
    </row>
    <row r="142" spans="1:6" ht="14.25" customHeight="1" x14ac:dyDescent="0.25">
      <c r="A142" s="31">
        <v>41710</v>
      </c>
      <c r="B142" s="32">
        <v>1905.87735</v>
      </c>
      <c r="C142" s="33">
        <v>40.739999999999903</v>
      </c>
      <c r="D142" s="4">
        <f t="shared" si="0"/>
        <v>3</v>
      </c>
      <c r="E142" s="4" t="s">
        <v>73</v>
      </c>
      <c r="F142" s="34"/>
    </row>
    <row r="143" spans="1:6" ht="14.25" customHeight="1" x14ac:dyDescent="0.25">
      <c r="A143" s="31">
        <v>41710.5</v>
      </c>
      <c r="B143" s="32">
        <v>2054.7722916666598</v>
      </c>
      <c r="C143" s="33">
        <v>46.875833333333297</v>
      </c>
      <c r="D143" s="4">
        <f t="shared" si="0"/>
        <v>3</v>
      </c>
      <c r="E143" s="4" t="s">
        <v>73</v>
      </c>
      <c r="F143" s="34"/>
    </row>
    <row r="144" spans="1:6" ht="14.25" customHeight="1" x14ac:dyDescent="0.25">
      <c r="A144" s="31">
        <v>41711</v>
      </c>
      <c r="B144" s="32">
        <v>1897.8969090909</v>
      </c>
      <c r="C144" s="33">
        <v>35.6323636363636</v>
      </c>
      <c r="D144" s="4">
        <f t="shared" si="0"/>
        <v>3</v>
      </c>
      <c r="E144" s="4" t="s">
        <v>73</v>
      </c>
      <c r="F144" s="34"/>
    </row>
    <row r="145" spans="1:6" ht="14.25" customHeight="1" x14ac:dyDescent="0.25">
      <c r="A145" s="31">
        <v>41711.5</v>
      </c>
      <c r="B145" s="32">
        <v>2157.9027500000002</v>
      </c>
      <c r="C145" s="33">
        <v>49.200416666666598</v>
      </c>
      <c r="D145" s="4">
        <f t="shared" si="0"/>
        <v>3</v>
      </c>
      <c r="E145" s="4" t="s">
        <v>73</v>
      </c>
      <c r="F145" s="34"/>
    </row>
    <row r="146" spans="1:6" ht="14.25" customHeight="1" x14ac:dyDescent="0.25">
      <c r="A146" s="31">
        <v>41712</v>
      </c>
      <c r="B146" s="32">
        <v>2109.0095000000001</v>
      </c>
      <c r="C146" s="33">
        <v>50.580750000000002</v>
      </c>
      <c r="D146" s="4">
        <f t="shared" si="0"/>
        <v>3</v>
      </c>
      <c r="E146" s="4" t="s">
        <v>73</v>
      </c>
      <c r="F146" s="34"/>
    </row>
    <row r="147" spans="1:6" ht="14.25" customHeight="1" x14ac:dyDescent="0.25">
      <c r="A147" s="31">
        <v>41712.5</v>
      </c>
      <c r="B147" s="32">
        <v>2259.53731818181</v>
      </c>
      <c r="C147" s="33">
        <v>47.971090909090897</v>
      </c>
      <c r="D147" s="4">
        <f t="shared" si="0"/>
        <v>3</v>
      </c>
      <c r="E147" s="4" t="s">
        <v>73</v>
      </c>
      <c r="F147" s="34"/>
    </row>
    <row r="148" spans="1:6" ht="14.25" customHeight="1" x14ac:dyDescent="0.25">
      <c r="A148" s="31">
        <v>41713</v>
      </c>
      <c r="B148" s="32">
        <v>2036.0522000000001</v>
      </c>
      <c r="C148" s="33">
        <v>56.944499999999998</v>
      </c>
      <c r="D148" s="4">
        <f t="shared" si="0"/>
        <v>3</v>
      </c>
      <c r="E148" s="4" t="s">
        <v>73</v>
      </c>
      <c r="F148" s="34"/>
    </row>
    <row r="149" spans="1:6" ht="14.25" customHeight="1" x14ac:dyDescent="0.25">
      <c r="A149" s="31">
        <v>41713.5</v>
      </c>
      <c r="B149" s="32">
        <v>2303.133875</v>
      </c>
      <c r="C149" s="33">
        <v>55.517916666666601</v>
      </c>
      <c r="D149" s="4">
        <f t="shared" si="0"/>
        <v>3</v>
      </c>
      <c r="E149" s="4" t="s">
        <v>73</v>
      </c>
      <c r="F149" s="34"/>
    </row>
    <row r="150" spans="1:6" ht="14.25" customHeight="1" x14ac:dyDescent="0.25">
      <c r="A150" s="31">
        <v>41714</v>
      </c>
      <c r="B150" s="32">
        <v>1791.6844999999901</v>
      </c>
      <c r="C150" s="33">
        <v>42.779142857142801</v>
      </c>
      <c r="D150" s="4">
        <f t="shared" si="0"/>
        <v>3</v>
      </c>
      <c r="E150" s="4" t="s">
        <v>73</v>
      </c>
      <c r="F150" s="34"/>
    </row>
    <row r="151" spans="1:6" ht="14.25" customHeight="1" x14ac:dyDescent="0.25">
      <c r="A151" s="31">
        <v>41714.5</v>
      </c>
      <c r="B151" s="32">
        <v>2076.2275</v>
      </c>
      <c r="C151" s="33">
        <v>50.096333333333298</v>
      </c>
      <c r="D151" s="4">
        <f t="shared" si="0"/>
        <v>3</v>
      </c>
      <c r="E151" s="4" t="s">
        <v>73</v>
      </c>
      <c r="F151" s="34"/>
    </row>
    <row r="152" spans="1:6" ht="14.25" customHeight="1" x14ac:dyDescent="0.25">
      <c r="A152" s="31">
        <v>41715</v>
      </c>
      <c r="B152" s="32">
        <v>1771.01158333333</v>
      </c>
      <c r="C152" s="33">
        <v>56.752999999999901</v>
      </c>
      <c r="D152" s="4">
        <f t="shared" si="0"/>
        <v>3</v>
      </c>
      <c r="E152" s="4" t="s">
        <v>73</v>
      </c>
      <c r="F152" s="34"/>
    </row>
    <row r="153" spans="1:6" ht="14.25" customHeight="1" x14ac:dyDescent="0.25">
      <c r="A153" s="31">
        <v>41715.5</v>
      </c>
      <c r="B153" s="32">
        <v>2304.1829583333301</v>
      </c>
      <c r="C153" s="33">
        <v>62.233666666666601</v>
      </c>
      <c r="D153" s="4">
        <f t="shared" si="0"/>
        <v>3</v>
      </c>
      <c r="E153" s="4" t="s">
        <v>73</v>
      </c>
      <c r="F153" s="34"/>
    </row>
    <row r="154" spans="1:6" ht="14.25" customHeight="1" x14ac:dyDescent="0.25">
      <c r="A154" s="31">
        <v>41716</v>
      </c>
      <c r="B154" s="32">
        <v>2108.3857083333301</v>
      </c>
      <c r="C154" s="33">
        <v>58.376583333333301</v>
      </c>
      <c r="D154" s="4">
        <f t="shared" si="0"/>
        <v>3</v>
      </c>
      <c r="E154" s="4" t="s">
        <v>73</v>
      </c>
      <c r="F154" s="34"/>
    </row>
    <row r="155" spans="1:6" ht="14.25" customHeight="1" x14ac:dyDescent="0.25">
      <c r="A155" s="31">
        <v>41716.5</v>
      </c>
      <c r="B155" s="32">
        <v>2577.1646249999999</v>
      </c>
      <c r="C155" s="33">
        <v>76.446166666666599</v>
      </c>
      <c r="D155" s="4">
        <f t="shared" si="0"/>
        <v>3</v>
      </c>
      <c r="E155" s="4" t="s">
        <v>73</v>
      </c>
      <c r="F155" s="34"/>
    </row>
    <row r="156" spans="1:6" ht="14.25" customHeight="1" x14ac:dyDescent="0.25">
      <c r="A156" s="31">
        <v>41717</v>
      </c>
      <c r="B156" s="32">
        <v>2107.1595833333299</v>
      </c>
      <c r="C156" s="33">
        <v>59.417250000000003</v>
      </c>
      <c r="D156" s="4">
        <f t="shared" si="0"/>
        <v>3</v>
      </c>
      <c r="E156" s="4" t="s">
        <v>73</v>
      </c>
      <c r="F156" s="34"/>
    </row>
    <row r="157" spans="1:6" ht="14.25" customHeight="1" x14ac:dyDescent="0.25">
      <c r="A157" s="31">
        <v>41717.5</v>
      </c>
      <c r="B157" s="32">
        <v>2527.9144166666601</v>
      </c>
      <c r="C157" s="33">
        <v>77.689083333333301</v>
      </c>
      <c r="D157" s="4">
        <f t="shared" si="0"/>
        <v>3</v>
      </c>
      <c r="E157" s="4" t="s">
        <v>73</v>
      </c>
      <c r="F157" s="34"/>
    </row>
    <row r="158" spans="1:6" ht="14.25" customHeight="1" x14ac:dyDescent="0.25">
      <c r="A158" s="31">
        <v>41718</v>
      </c>
      <c r="B158" s="32">
        <v>2046.2037499999999</v>
      </c>
      <c r="C158" s="33">
        <v>60.7068333333333</v>
      </c>
      <c r="D158" s="4">
        <f t="shared" si="0"/>
        <v>3</v>
      </c>
      <c r="E158" s="4" t="s">
        <v>73</v>
      </c>
      <c r="F158" s="34"/>
    </row>
    <row r="159" spans="1:6" ht="14.25" customHeight="1" x14ac:dyDescent="0.25">
      <c r="A159" s="31">
        <v>41718.5</v>
      </c>
      <c r="B159" s="32">
        <v>2268.3677916666602</v>
      </c>
      <c r="C159" s="33">
        <v>54.075499999999998</v>
      </c>
      <c r="D159" s="4">
        <f t="shared" si="0"/>
        <v>3</v>
      </c>
      <c r="E159" s="4" t="s">
        <v>73</v>
      </c>
      <c r="F159" s="34"/>
    </row>
    <row r="160" spans="1:6" ht="14.25" customHeight="1" x14ac:dyDescent="0.25">
      <c r="A160" s="31">
        <v>41719</v>
      </c>
      <c r="B160" s="32">
        <v>1968.2440909090899</v>
      </c>
      <c r="C160" s="33">
        <v>58.074090909090899</v>
      </c>
      <c r="D160" s="4">
        <f t="shared" si="0"/>
        <v>3</v>
      </c>
      <c r="E160" s="4" t="s">
        <v>73</v>
      </c>
      <c r="F160" s="34"/>
    </row>
    <row r="161" spans="1:6" ht="14.25" customHeight="1" x14ac:dyDescent="0.25">
      <c r="A161" s="31">
        <v>41719.5</v>
      </c>
      <c r="B161" s="32">
        <v>2173.0286249999999</v>
      </c>
      <c r="C161" s="33">
        <v>58.947666666666599</v>
      </c>
      <c r="D161" s="4">
        <f t="shared" si="0"/>
        <v>3</v>
      </c>
      <c r="E161" s="4" t="s">
        <v>73</v>
      </c>
      <c r="F161" s="34"/>
    </row>
    <row r="162" spans="1:6" ht="14.25" customHeight="1" x14ac:dyDescent="0.25">
      <c r="A162" s="31">
        <v>41720</v>
      </c>
      <c r="B162" s="32">
        <v>2010.4895555555499</v>
      </c>
      <c r="C162" s="33">
        <v>50.550444444444402</v>
      </c>
      <c r="D162" s="4">
        <f t="shared" si="0"/>
        <v>3</v>
      </c>
      <c r="E162" s="4" t="s">
        <v>73</v>
      </c>
      <c r="F162" s="34"/>
    </row>
    <row r="163" spans="1:6" ht="14.25" customHeight="1" x14ac:dyDescent="0.25">
      <c r="A163" s="31">
        <v>41720.5</v>
      </c>
      <c r="B163" s="32">
        <v>2118.1903750000001</v>
      </c>
      <c r="C163" s="33">
        <v>54.709249999999997</v>
      </c>
      <c r="D163" s="4">
        <f t="shared" si="0"/>
        <v>3</v>
      </c>
      <c r="E163" s="4" t="s">
        <v>73</v>
      </c>
      <c r="F163" s="34"/>
    </row>
    <row r="164" spans="1:6" ht="14.25" customHeight="1" x14ac:dyDescent="0.25">
      <c r="A164" s="31">
        <v>41721</v>
      </c>
      <c r="B164" s="32">
        <v>1785.1503749999899</v>
      </c>
      <c r="C164" s="33">
        <v>44.055250000000001</v>
      </c>
      <c r="D164" s="4">
        <f t="shared" si="0"/>
        <v>3</v>
      </c>
      <c r="E164" s="4" t="s">
        <v>73</v>
      </c>
      <c r="F164" s="34"/>
    </row>
    <row r="165" spans="1:6" ht="14.25" customHeight="1" x14ac:dyDescent="0.25">
      <c r="A165" s="31">
        <v>41721.5</v>
      </c>
      <c r="B165" s="32">
        <v>1962.36544999999</v>
      </c>
      <c r="C165" s="33">
        <v>52.375399999999999</v>
      </c>
      <c r="D165" s="4">
        <f t="shared" si="0"/>
        <v>3</v>
      </c>
      <c r="E165" s="4" t="s">
        <v>73</v>
      </c>
      <c r="F165" s="34"/>
    </row>
    <row r="166" spans="1:6" ht="14.25" customHeight="1" x14ac:dyDescent="0.25">
      <c r="A166" s="31">
        <v>41722</v>
      </c>
      <c r="B166" s="32">
        <v>1752.3128999999999</v>
      </c>
      <c r="C166" s="33">
        <v>56.051000000000002</v>
      </c>
      <c r="D166" s="4">
        <f t="shared" si="0"/>
        <v>3</v>
      </c>
      <c r="E166" s="4" t="s">
        <v>73</v>
      </c>
      <c r="F166" s="34"/>
    </row>
    <row r="167" spans="1:6" ht="14.25" customHeight="1" x14ac:dyDescent="0.25">
      <c r="A167" s="31">
        <v>41722.5</v>
      </c>
      <c r="B167" s="32">
        <v>1970.0640454545401</v>
      </c>
      <c r="C167" s="33">
        <v>49.247363636363602</v>
      </c>
      <c r="D167" s="4">
        <f t="shared" si="0"/>
        <v>3</v>
      </c>
      <c r="E167" s="4" t="s">
        <v>73</v>
      </c>
      <c r="F167" s="34"/>
    </row>
    <row r="168" spans="1:6" ht="14.25" customHeight="1" x14ac:dyDescent="0.25">
      <c r="A168" s="31">
        <v>41723</v>
      </c>
      <c r="B168" s="32">
        <v>2105.8021250000002</v>
      </c>
      <c r="C168" s="33">
        <v>51.720125000000003</v>
      </c>
      <c r="D168" s="4">
        <f t="shared" si="0"/>
        <v>3</v>
      </c>
      <c r="E168" s="4" t="s">
        <v>73</v>
      </c>
      <c r="F168" s="34"/>
    </row>
    <row r="169" spans="1:6" ht="14.25" customHeight="1" x14ac:dyDescent="0.25">
      <c r="A169" s="31">
        <v>41723.5</v>
      </c>
      <c r="B169" s="32">
        <v>2244.6122083333298</v>
      </c>
      <c r="C169" s="33">
        <v>58.361166666666598</v>
      </c>
      <c r="D169" s="4">
        <f t="shared" si="0"/>
        <v>3</v>
      </c>
      <c r="E169" s="4" t="s">
        <v>73</v>
      </c>
      <c r="F169" s="34"/>
    </row>
    <row r="170" spans="1:6" ht="14.25" customHeight="1" x14ac:dyDescent="0.25">
      <c r="A170" s="31">
        <v>41724</v>
      </c>
      <c r="B170" s="32">
        <v>2130.4705714285701</v>
      </c>
      <c r="C170" s="33">
        <v>39.493714285714198</v>
      </c>
      <c r="D170" s="4">
        <f t="shared" si="0"/>
        <v>3</v>
      </c>
      <c r="E170" s="4" t="s">
        <v>73</v>
      </c>
      <c r="F170" s="34"/>
    </row>
    <row r="171" spans="1:6" ht="14.25" customHeight="1" x14ac:dyDescent="0.25">
      <c r="A171" s="31">
        <v>41724.5</v>
      </c>
      <c r="B171" s="32">
        <v>2107.2345416666599</v>
      </c>
      <c r="C171" s="33">
        <v>49.298749999999998</v>
      </c>
      <c r="D171" s="4">
        <f t="shared" si="0"/>
        <v>3</v>
      </c>
      <c r="E171" s="4" t="s">
        <v>73</v>
      </c>
      <c r="F171" s="34"/>
    </row>
    <row r="172" spans="1:6" ht="14.25" customHeight="1" x14ac:dyDescent="0.25">
      <c r="A172" s="31">
        <v>41725</v>
      </c>
      <c r="B172" s="32">
        <v>1890.0461250000001</v>
      </c>
      <c r="C172" s="33">
        <v>56.920916666666599</v>
      </c>
      <c r="D172" s="4">
        <f t="shared" si="0"/>
        <v>3</v>
      </c>
      <c r="E172" s="4" t="s">
        <v>73</v>
      </c>
      <c r="F172" s="34"/>
    </row>
    <row r="173" spans="1:6" ht="14.25" customHeight="1" x14ac:dyDescent="0.25">
      <c r="A173" s="31">
        <v>41725.5</v>
      </c>
      <c r="B173" s="32">
        <v>2064.86241666666</v>
      </c>
      <c r="C173" s="33">
        <v>47.455500000000001</v>
      </c>
      <c r="D173" s="4">
        <f t="shared" si="0"/>
        <v>3</v>
      </c>
      <c r="E173" s="4" t="s">
        <v>73</v>
      </c>
      <c r="F173" s="34"/>
    </row>
    <row r="174" spans="1:6" ht="14.25" customHeight="1" x14ac:dyDescent="0.25">
      <c r="A174" s="31">
        <v>41726</v>
      </c>
      <c r="B174" s="32">
        <v>1992.3972777777699</v>
      </c>
      <c r="C174" s="33">
        <v>35.969888888888804</v>
      </c>
      <c r="D174" s="4">
        <f t="shared" si="0"/>
        <v>3</v>
      </c>
      <c r="E174" s="4" t="s">
        <v>73</v>
      </c>
      <c r="F174" s="34"/>
    </row>
    <row r="175" spans="1:6" ht="14.25" customHeight="1" x14ac:dyDescent="0.25">
      <c r="A175" s="31">
        <v>41726.5</v>
      </c>
      <c r="B175" s="32">
        <v>2193.5958333333301</v>
      </c>
      <c r="C175" s="33">
        <v>42.944777777777702</v>
      </c>
      <c r="D175" s="4">
        <f t="shared" si="0"/>
        <v>3</v>
      </c>
      <c r="E175" s="4" t="s">
        <v>73</v>
      </c>
      <c r="F175" s="34"/>
    </row>
    <row r="176" spans="1:6" ht="14.25" customHeight="1" x14ac:dyDescent="0.25">
      <c r="A176" s="31">
        <v>41727</v>
      </c>
      <c r="B176" s="32">
        <v>1713.057875</v>
      </c>
      <c r="C176" s="33">
        <v>36.922249999999998</v>
      </c>
      <c r="D176" s="4">
        <f t="shared" si="0"/>
        <v>3</v>
      </c>
      <c r="E176" s="4" t="s">
        <v>73</v>
      </c>
      <c r="F176" s="34"/>
    </row>
    <row r="177" spans="1:6" ht="14.25" customHeight="1" x14ac:dyDescent="0.25">
      <c r="A177" s="31">
        <v>41727.5</v>
      </c>
      <c r="B177" s="32">
        <v>1844.6421111111099</v>
      </c>
      <c r="C177" s="33">
        <v>36.546333333333301</v>
      </c>
      <c r="D177" s="4">
        <f t="shared" si="0"/>
        <v>3</v>
      </c>
      <c r="E177" s="4" t="s">
        <v>73</v>
      </c>
      <c r="F177" s="34"/>
    </row>
    <row r="178" spans="1:6" ht="14.25" customHeight="1" x14ac:dyDescent="0.25">
      <c r="A178" s="31">
        <v>41728</v>
      </c>
      <c r="B178" s="32">
        <v>1794.3062</v>
      </c>
      <c r="C178" s="33">
        <v>37.124400000000001</v>
      </c>
      <c r="D178" s="4">
        <f t="shared" si="0"/>
        <v>3</v>
      </c>
      <c r="E178" s="4" t="s">
        <v>73</v>
      </c>
      <c r="F178" s="34"/>
    </row>
    <row r="179" spans="1:6" ht="14.25" customHeight="1" x14ac:dyDescent="0.25">
      <c r="A179" s="31">
        <v>41728.5</v>
      </c>
      <c r="B179" s="32">
        <v>1879.9822222222199</v>
      </c>
      <c r="C179" s="33">
        <v>42.941666666666599</v>
      </c>
      <c r="D179" s="4">
        <f t="shared" si="0"/>
        <v>3</v>
      </c>
      <c r="E179" s="4" t="s">
        <v>73</v>
      </c>
      <c r="F179" s="34"/>
    </row>
    <row r="180" spans="1:6" ht="14.25" customHeight="1" x14ac:dyDescent="0.25">
      <c r="A180" s="31">
        <v>41729</v>
      </c>
      <c r="B180" s="32">
        <v>1726.2678333333299</v>
      </c>
      <c r="C180" s="33">
        <v>31.945999999999898</v>
      </c>
      <c r="D180" s="4">
        <f t="shared" si="0"/>
        <v>3</v>
      </c>
      <c r="E180" s="4" t="s">
        <v>73</v>
      </c>
      <c r="F180" s="34"/>
    </row>
    <row r="181" spans="1:6" ht="14.25" customHeight="1" x14ac:dyDescent="0.25">
      <c r="A181" s="31">
        <v>41729.5</v>
      </c>
      <c r="B181" s="32">
        <v>1909.5529166666599</v>
      </c>
      <c r="C181" s="33">
        <v>50.933333333333302</v>
      </c>
      <c r="D181" s="4">
        <f t="shared" si="0"/>
        <v>3</v>
      </c>
      <c r="E181" s="4" t="s">
        <v>73</v>
      </c>
      <c r="F181" s="34"/>
    </row>
    <row r="182" spans="1:6" ht="14.25" customHeight="1" x14ac:dyDescent="0.25">
      <c r="A182" s="31">
        <v>41730</v>
      </c>
      <c r="B182" s="32">
        <v>1895.5373499999901</v>
      </c>
      <c r="C182" s="33">
        <v>53.714300000000001</v>
      </c>
      <c r="D182" s="4">
        <f t="shared" si="0"/>
        <v>4</v>
      </c>
      <c r="E182" s="4" t="s">
        <v>73</v>
      </c>
      <c r="F182" s="34"/>
    </row>
    <row r="183" spans="1:6" ht="14.25" customHeight="1" x14ac:dyDescent="0.25">
      <c r="A183" s="31">
        <v>41730.5</v>
      </c>
      <c r="B183" s="32">
        <v>2075.2814583333302</v>
      </c>
      <c r="C183" s="33">
        <v>50.493333333333297</v>
      </c>
      <c r="D183" s="4">
        <f t="shared" si="0"/>
        <v>4</v>
      </c>
      <c r="E183" s="4" t="s">
        <v>73</v>
      </c>
      <c r="F183" s="34"/>
    </row>
    <row r="184" spans="1:6" ht="14.25" customHeight="1" x14ac:dyDescent="0.25">
      <c r="A184" s="31">
        <v>41731</v>
      </c>
      <c r="B184" s="32">
        <v>2204.4625000000001</v>
      </c>
      <c r="C184" s="33">
        <v>63.067083333333301</v>
      </c>
      <c r="D184" s="4">
        <f t="shared" si="0"/>
        <v>4</v>
      </c>
      <c r="E184" s="4" t="s">
        <v>73</v>
      </c>
      <c r="F184" s="34"/>
    </row>
    <row r="185" spans="1:6" ht="14.25" customHeight="1" x14ac:dyDescent="0.25">
      <c r="A185" s="31">
        <v>41731.5</v>
      </c>
      <c r="B185" s="32">
        <v>2647.4805833333298</v>
      </c>
      <c r="C185" s="33">
        <v>78.320583333333303</v>
      </c>
      <c r="D185" s="4">
        <f t="shared" si="0"/>
        <v>4</v>
      </c>
      <c r="E185" s="4" t="s">
        <v>73</v>
      </c>
      <c r="F185" s="34"/>
    </row>
    <row r="186" spans="1:6" ht="14.25" customHeight="1" x14ac:dyDescent="0.25">
      <c r="A186" s="31">
        <v>41732</v>
      </c>
      <c r="B186" s="32">
        <v>1895.28920833333</v>
      </c>
      <c r="C186" s="33">
        <v>62.180583333333303</v>
      </c>
      <c r="D186" s="4">
        <f t="shared" si="0"/>
        <v>4</v>
      </c>
      <c r="E186" s="4" t="s">
        <v>73</v>
      </c>
      <c r="F186" s="34"/>
    </row>
    <row r="187" spans="1:6" ht="14.25" customHeight="1" x14ac:dyDescent="0.25">
      <c r="A187" s="31">
        <v>41732.5</v>
      </c>
      <c r="B187" s="32">
        <v>2096.7167083333302</v>
      </c>
      <c r="C187" s="33">
        <v>60.060250000000003</v>
      </c>
      <c r="D187" s="4">
        <f t="shared" si="0"/>
        <v>4</v>
      </c>
      <c r="E187" s="4" t="s">
        <v>73</v>
      </c>
      <c r="F187" s="34"/>
    </row>
    <row r="188" spans="1:6" ht="14.25" customHeight="1" x14ac:dyDescent="0.25">
      <c r="A188" s="31">
        <v>41733</v>
      </c>
      <c r="B188" s="32">
        <v>2094.1008333333298</v>
      </c>
      <c r="C188" s="33">
        <v>45.017499999999998</v>
      </c>
      <c r="D188" s="4">
        <f t="shared" si="0"/>
        <v>4</v>
      </c>
      <c r="E188" s="4" t="s">
        <v>73</v>
      </c>
      <c r="F188" s="34"/>
    </row>
    <row r="189" spans="1:6" ht="14.25" customHeight="1" x14ac:dyDescent="0.25">
      <c r="A189" s="31">
        <v>41733.5</v>
      </c>
      <c r="B189" s="32">
        <v>2630.4309166666599</v>
      </c>
      <c r="C189" s="33">
        <v>79.766666666666595</v>
      </c>
      <c r="D189" s="4">
        <f t="shared" si="0"/>
        <v>4</v>
      </c>
      <c r="E189" s="4" t="s">
        <v>73</v>
      </c>
      <c r="F189" s="34"/>
    </row>
    <row r="190" spans="1:6" ht="14.25" customHeight="1" x14ac:dyDescent="0.25">
      <c r="A190" s="31">
        <v>41734</v>
      </c>
      <c r="B190" s="32">
        <v>1754.1857499999901</v>
      </c>
      <c r="C190" s="33">
        <v>40.561666666666603</v>
      </c>
      <c r="D190" s="4">
        <f t="shared" si="0"/>
        <v>4</v>
      </c>
      <c r="E190" s="4" t="s">
        <v>73</v>
      </c>
      <c r="F190" s="34"/>
    </row>
    <row r="191" spans="1:6" ht="14.25" customHeight="1" x14ac:dyDescent="0.25">
      <c r="A191" s="31">
        <v>41734.5</v>
      </c>
      <c r="B191" s="32">
        <v>1884.8855454545401</v>
      </c>
      <c r="C191" s="33">
        <v>47.821818181818102</v>
      </c>
      <c r="D191" s="4">
        <f t="shared" si="0"/>
        <v>4</v>
      </c>
      <c r="E191" s="4" t="s">
        <v>73</v>
      </c>
      <c r="F191" s="34"/>
    </row>
    <row r="192" spans="1:6" ht="14.25" customHeight="1" x14ac:dyDescent="0.25">
      <c r="A192" s="31">
        <v>41735</v>
      </c>
      <c r="B192" s="32">
        <v>1949.35475</v>
      </c>
      <c r="C192" s="33">
        <v>43.174583333333302</v>
      </c>
      <c r="D192" s="4">
        <f t="shared" si="0"/>
        <v>4</v>
      </c>
      <c r="E192" s="4" t="s">
        <v>73</v>
      </c>
      <c r="F192" s="34"/>
    </row>
    <row r="193" spans="1:6" ht="14.25" customHeight="1" x14ac:dyDescent="0.25">
      <c r="A193" s="31">
        <v>41735.5</v>
      </c>
      <c r="B193" s="32">
        <v>2305.1105416666601</v>
      </c>
      <c r="C193" s="33">
        <v>54.176666666666598</v>
      </c>
      <c r="D193" s="4">
        <f t="shared" si="0"/>
        <v>4</v>
      </c>
      <c r="E193" s="4" t="s">
        <v>73</v>
      </c>
      <c r="F193" s="34"/>
    </row>
    <row r="194" spans="1:6" ht="14.25" customHeight="1" x14ac:dyDescent="0.25">
      <c r="A194" s="31">
        <v>41736</v>
      </c>
      <c r="B194" s="32">
        <v>2093.9851249999901</v>
      </c>
      <c r="C194" s="33">
        <v>49.405416666666603</v>
      </c>
      <c r="D194" s="4">
        <f t="shared" si="0"/>
        <v>4</v>
      </c>
      <c r="E194" s="4" t="s">
        <v>73</v>
      </c>
      <c r="F194" s="34"/>
    </row>
    <row r="195" spans="1:6" ht="14.25" customHeight="1" x14ac:dyDescent="0.25">
      <c r="A195" s="31">
        <v>41736.5</v>
      </c>
      <c r="B195" s="32">
        <v>2421.5386249999901</v>
      </c>
      <c r="C195" s="33">
        <v>73.729583333333295</v>
      </c>
      <c r="D195" s="4">
        <f t="shared" si="0"/>
        <v>4</v>
      </c>
      <c r="E195" s="4" t="s">
        <v>73</v>
      </c>
      <c r="F195" s="34"/>
    </row>
    <row r="196" spans="1:6" ht="14.25" customHeight="1" x14ac:dyDescent="0.25">
      <c r="A196" s="31">
        <v>41737</v>
      </c>
      <c r="B196" s="32">
        <v>1716.26629166666</v>
      </c>
      <c r="C196" s="33">
        <v>44.014999999999901</v>
      </c>
      <c r="D196" s="4">
        <f t="shared" si="0"/>
        <v>4</v>
      </c>
      <c r="E196" s="4" t="s">
        <v>73</v>
      </c>
      <c r="F196" s="34"/>
    </row>
    <row r="197" spans="1:6" ht="14.25" customHeight="1" x14ac:dyDescent="0.25">
      <c r="A197" s="31">
        <v>41737.5</v>
      </c>
      <c r="B197" s="32">
        <v>1981.6607083333299</v>
      </c>
      <c r="C197" s="33">
        <v>51.409583333333302</v>
      </c>
      <c r="D197" s="4">
        <f t="shared" si="0"/>
        <v>4</v>
      </c>
      <c r="E197" s="4" t="s">
        <v>73</v>
      </c>
      <c r="F197" s="34"/>
    </row>
    <row r="198" spans="1:6" ht="14.25" customHeight="1" x14ac:dyDescent="0.25">
      <c r="A198" s="31">
        <v>41738</v>
      </c>
      <c r="B198" s="32">
        <v>1874.97291666666</v>
      </c>
      <c r="C198" s="33">
        <v>47.154583333333299</v>
      </c>
      <c r="D198" s="4">
        <f t="shared" si="0"/>
        <v>4</v>
      </c>
      <c r="E198" s="4" t="s">
        <v>73</v>
      </c>
      <c r="F198" s="34"/>
    </row>
    <row r="199" spans="1:6" ht="14.25" customHeight="1" x14ac:dyDescent="0.25">
      <c r="A199" s="31">
        <v>41738.5</v>
      </c>
      <c r="B199" s="32">
        <v>2096.9939999999901</v>
      </c>
      <c r="C199" s="33">
        <v>65.525416666666601</v>
      </c>
      <c r="D199" s="4">
        <f t="shared" si="0"/>
        <v>4</v>
      </c>
      <c r="E199" s="4" t="s">
        <v>73</v>
      </c>
      <c r="F199" s="34"/>
    </row>
    <row r="200" spans="1:6" ht="14.25" customHeight="1" x14ac:dyDescent="0.25">
      <c r="A200" s="31">
        <v>41739</v>
      </c>
      <c r="B200" s="32">
        <v>1859.7716666666599</v>
      </c>
      <c r="C200" s="33">
        <v>61.518333333333302</v>
      </c>
      <c r="D200" s="4">
        <f t="shared" si="0"/>
        <v>4</v>
      </c>
      <c r="E200" s="4" t="s">
        <v>73</v>
      </c>
      <c r="F200" s="34"/>
    </row>
    <row r="201" spans="1:6" ht="14.25" customHeight="1" x14ac:dyDescent="0.25">
      <c r="A201" s="31">
        <v>41739.5</v>
      </c>
      <c r="B201" s="32">
        <v>2115.2125000000001</v>
      </c>
      <c r="C201" s="33">
        <v>79.883750000000006</v>
      </c>
      <c r="D201" s="4">
        <f t="shared" si="0"/>
        <v>4</v>
      </c>
      <c r="E201" s="4" t="s">
        <v>73</v>
      </c>
      <c r="F201" s="34"/>
    </row>
    <row r="202" spans="1:6" ht="14.25" customHeight="1" x14ac:dyDescent="0.25">
      <c r="A202" s="31">
        <v>41740</v>
      </c>
      <c r="B202" s="32">
        <v>2080.5575833333301</v>
      </c>
      <c r="C202" s="33">
        <v>53.233749999999901</v>
      </c>
      <c r="D202" s="4">
        <f t="shared" si="0"/>
        <v>4</v>
      </c>
      <c r="E202" s="4" t="s">
        <v>73</v>
      </c>
      <c r="F202" s="34"/>
    </row>
    <row r="203" spans="1:6" ht="14.25" customHeight="1" x14ac:dyDescent="0.25">
      <c r="A203" s="31">
        <v>41740.5</v>
      </c>
      <c r="B203" s="32">
        <v>2572.0059999999999</v>
      </c>
      <c r="C203" s="33">
        <v>88.894999999999996</v>
      </c>
      <c r="D203" s="4">
        <f t="shared" si="0"/>
        <v>4</v>
      </c>
      <c r="E203" s="4" t="s">
        <v>73</v>
      </c>
      <c r="F203" s="34"/>
    </row>
    <row r="204" spans="1:6" ht="14.25" customHeight="1" x14ac:dyDescent="0.25">
      <c r="A204" s="31">
        <v>41741</v>
      </c>
      <c r="B204" s="32">
        <v>1915.4982</v>
      </c>
      <c r="C204" s="33">
        <v>28.648499999999999</v>
      </c>
      <c r="D204" s="4">
        <f t="shared" si="0"/>
        <v>4</v>
      </c>
      <c r="E204" s="4" t="s">
        <v>73</v>
      </c>
      <c r="F204" s="34"/>
    </row>
    <row r="205" spans="1:6" ht="14.25" customHeight="1" x14ac:dyDescent="0.25">
      <c r="A205" s="31">
        <v>41741.5</v>
      </c>
      <c r="B205" s="32">
        <v>2139.759</v>
      </c>
      <c r="C205" s="33">
        <v>44.792916666666599</v>
      </c>
      <c r="D205" s="4">
        <f t="shared" si="0"/>
        <v>4</v>
      </c>
      <c r="E205" s="4" t="s">
        <v>73</v>
      </c>
      <c r="F205" s="34"/>
    </row>
    <row r="206" spans="1:6" ht="14.25" customHeight="1" x14ac:dyDescent="0.25">
      <c r="A206" s="31">
        <v>41742</v>
      </c>
      <c r="B206" s="32">
        <v>1821.2655833333299</v>
      </c>
      <c r="C206" s="33">
        <v>47.22625</v>
      </c>
      <c r="D206" s="4">
        <f t="shared" si="0"/>
        <v>4</v>
      </c>
      <c r="E206" s="4" t="s">
        <v>73</v>
      </c>
      <c r="F206" s="34"/>
    </row>
    <row r="207" spans="1:6" ht="14.25" customHeight="1" x14ac:dyDescent="0.25">
      <c r="A207" s="31">
        <v>41742.5</v>
      </c>
      <c r="B207" s="32">
        <v>2098.1899166666599</v>
      </c>
      <c r="C207" s="33">
        <v>49.3720833333333</v>
      </c>
      <c r="D207" s="4">
        <f t="shared" si="0"/>
        <v>4</v>
      </c>
      <c r="E207" s="4" t="s">
        <v>73</v>
      </c>
      <c r="F207" s="34"/>
    </row>
    <row r="208" spans="1:6" ht="14.25" customHeight="1" x14ac:dyDescent="0.25">
      <c r="A208" s="31">
        <v>41743</v>
      </c>
      <c r="B208" s="32">
        <v>1740.50766666666</v>
      </c>
      <c r="C208" s="33">
        <v>51.491666666666603</v>
      </c>
      <c r="D208" s="4">
        <f t="shared" si="0"/>
        <v>4</v>
      </c>
      <c r="E208" s="4" t="s">
        <v>73</v>
      </c>
      <c r="F208" s="34"/>
    </row>
    <row r="209" spans="1:6" ht="14.25" customHeight="1" x14ac:dyDescent="0.25">
      <c r="A209" s="31">
        <v>41743.5</v>
      </c>
      <c r="B209" s="32">
        <v>2164.19929166666</v>
      </c>
      <c r="C209" s="33">
        <v>53.55</v>
      </c>
      <c r="D209" s="4">
        <f t="shared" si="0"/>
        <v>4</v>
      </c>
      <c r="E209" s="4" t="s">
        <v>73</v>
      </c>
      <c r="F209" s="34"/>
    </row>
    <row r="210" spans="1:6" ht="14.25" customHeight="1" x14ac:dyDescent="0.25">
      <c r="A210" s="31">
        <v>41744</v>
      </c>
      <c r="B210" s="32">
        <v>2045.9454166666601</v>
      </c>
      <c r="C210" s="33">
        <v>52.564166666666601</v>
      </c>
      <c r="D210" s="4">
        <f t="shared" si="0"/>
        <v>4</v>
      </c>
      <c r="E210" s="4" t="s">
        <v>73</v>
      </c>
      <c r="F210" s="34"/>
    </row>
    <row r="211" spans="1:6" ht="14.25" customHeight="1" x14ac:dyDescent="0.25">
      <c r="A211" s="31">
        <v>41744.5</v>
      </c>
      <c r="B211" s="32">
        <v>2398.56170833333</v>
      </c>
      <c r="C211" s="33">
        <v>56.3049999999999</v>
      </c>
      <c r="D211" s="4">
        <f t="shared" si="0"/>
        <v>4</v>
      </c>
      <c r="E211" s="4" t="s">
        <v>73</v>
      </c>
      <c r="F211" s="34"/>
    </row>
    <row r="212" spans="1:6" ht="14.25" customHeight="1" x14ac:dyDescent="0.25">
      <c r="A212" s="31">
        <v>41745</v>
      </c>
      <c r="B212" s="32">
        <v>2048.9234999999999</v>
      </c>
      <c r="C212" s="33">
        <v>50.992916666666602</v>
      </c>
      <c r="D212" s="4">
        <f t="shared" si="0"/>
        <v>4</v>
      </c>
      <c r="E212" s="4" t="s">
        <v>73</v>
      </c>
      <c r="F212" s="34"/>
    </row>
    <row r="213" spans="1:6" ht="14.25" customHeight="1" x14ac:dyDescent="0.25">
      <c r="A213" s="31">
        <v>41745.5</v>
      </c>
      <c r="B213" s="32">
        <v>2373.5059999999999</v>
      </c>
      <c r="C213" s="33">
        <v>54.992916666666602</v>
      </c>
      <c r="D213" s="4">
        <f t="shared" si="0"/>
        <v>4</v>
      </c>
      <c r="E213" s="4" t="s">
        <v>73</v>
      </c>
      <c r="F213" s="34"/>
    </row>
    <row r="214" spans="1:6" ht="14.25" customHeight="1" x14ac:dyDescent="0.25">
      <c r="A214" s="31">
        <v>41746</v>
      </c>
      <c r="B214" s="32">
        <v>1995.30845833333</v>
      </c>
      <c r="C214" s="33">
        <v>50.9091666666666</v>
      </c>
      <c r="D214" s="4">
        <f t="shared" si="0"/>
        <v>4</v>
      </c>
      <c r="E214" s="4" t="s">
        <v>73</v>
      </c>
      <c r="F214" s="34"/>
    </row>
    <row r="215" spans="1:6" ht="14.25" customHeight="1" x14ac:dyDescent="0.25">
      <c r="A215" s="31">
        <v>41746.5</v>
      </c>
      <c r="B215" s="32">
        <v>2278.0785833333298</v>
      </c>
      <c r="C215" s="33">
        <v>50.233333333333299</v>
      </c>
      <c r="D215" s="4">
        <f t="shared" si="0"/>
        <v>4</v>
      </c>
      <c r="E215" s="4" t="s">
        <v>73</v>
      </c>
      <c r="F215" s="34"/>
    </row>
    <row r="216" spans="1:6" ht="14.25" customHeight="1" x14ac:dyDescent="0.25">
      <c r="A216" s="31">
        <v>41747</v>
      </c>
      <c r="B216" s="32">
        <v>1923.8526666666601</v>
      </c>
      <c r="C216" s="33">
        <v>45.06</v>
      </c>
      <c r="D216" s="4">
        <f t="shared" si="0"/>
        <v>4</v>
      </c>
      <c r="E216" s="4" t="s">
        <v>73</v>
      </c>
      <c r="F216" s="34"/>
    </row>
    <row r="217" spans="1:6" ht="14.25" customHeight="1" x14ac:dyDescent="0.25">
      <c r="A217" s="31">
        <v>41747.5</v>
      </c>
      <c r="B217" s="32">
        <v>2298.48358333333</v>
      </c>
      <c r="C217" s="33">
        <v>48.699583333333301</v>
      </c>
      <c r="D217" s="4">
        <f t="shared" si="0"/>
        <v>4</v>
      </c>
      <c r="E217" s="4" t="s">
        <v>73</v>
      </c>
      <c r="F217" s="34"/>
    </row>
    <row r="218" spans="1:6" ht="14.25" customHeight="1" x14ac:dyDescent="0.25">
      <c r="A218" s="31">
        <v>41748</v>
      </c>
      <c r="B218" s="32">
        <v>1924.03687499999</v>
      </c>
      <c r="C218" s="33">
        <v>48.758333333333297</v>
      </c>
      <c r="D218" s="4">
        <f t="shared" si="0"/>
        <v>4</v>
      </c>
      <c r="E218" s="4" t="s">
        <v>73</v>
      </c>
      <c r="F218" s="34"/>
    </row>
    <row r="219" spans="1:6" ht="14.25" customHeight="1" x14ac:dyDescent="0.25">
      <c r="A219" s="31">
        <v>41748.5</v>
      </c>
      <c r="B219" s="32">
        <v>2205.9349166666598</v>
      </c>
      <c r="C219" s="33">
        <v>48.168333333333301</v>
      </c>
      <c r="D219" s="4">
        <f t="shared" si="0"/>
        <v>4</v>
      </c>
      <c r="E219" s="4" t="s">
        <v>73</v>
      </c>
      <c r="F219" s="34"/>
    </row>
    <row r="220" spans="1:6" ht="14.25" customHeight="1" x14ac:dyDescent="0.25">
      <c r="A220" s="31">
        <v>41749</v>
      </c>
      <c r="B220" s="32">
        <v>1731.95370833333</v>
      </c>
      <c r="C220" s="33">
        <v>50.261666666666599</v>
      </c>
      <c r="D220" s="4">
        <f t="shared" si="0"/>
        <v>4</v>
      </c>
      <c r="E220" s="4" t="s">
        <v>73</v>
      </c>
      <c r="F220" s="34"/>
    </row>
    <row r="221" spans="1:6" ht="14.25" customHeight="1" x14ac:dyDescent="0.25">
      <c r="A221" s="31">
        <v>41749.5</v>
      </c>
      <c r="B221" s="32">
        <v>1932.3406666666599</v>
      </c>
      <c r="C221" s="33">
        <v>47.798333333333296</v>
      </c>
      <c r="D221" s="4">
        <f t="shared" si="0"/>
        <v>4</v>
      </c>
      <c r="E221" s="4" t="s">
        <v>73</v>
      </c>
      <c r="F221" s="34"/>
    </row>
    <row r="222" spans="1:6" ht="14.25" customHeight="1" x14ac:dyDescent="0.25">
      <c r="A222" s="31">
        <v>41750</v>
      </c>
      <c r="B222" s="32">
        <v>1618.6572916666601</v>
      </c>
      <c r="C222" s="33">
        <v>49.244166666666601</v>
      </c>
      <c r="D222" s="4">
        <f t="shared" si="0"/>
        <v>4</v>
      </c>
      <c r="E222" s="4" t="s">
        <v>73</v>
      </c>
      <c r="F222" s="34"/>
    </row>
    <row r="223" spans="1:6" ht="14.25" customHeight="1" x14ac:dyDescent="0.25">
      <c r="A223" s="31">
        <v>41750.5</v>
      </c>
      <c r="B223" s="32">
        <v>1923.4404583333301</v>
      </c>
      <c r="C223" s="33">
        <v>50.734583333333298</v>
      </c>
      <c r="D223" s="4">
        <f t="shared" si="0"/>
        <v>4</v>
      </c>
      <c r="E223" s="4" t="s">
        <v>73</v>
      </c>
      <c r="F223" s="34"/>
    </row>
    <row r="224" spans="1:6" ht="14.25" customHeight="1" x14ac:dyDescent="0.25">
      <c r="A224" s="31">
        <v>41751</v>
      </c>
      <c r="B224" s="32">
        <v>1879.78416666666</v>
      </c>
      <c r="C224" s="33">
        <v>53.69</v>
      </c>
      <c r="D224" s="4">
        <f t="shared" si="0"/>
        <v>4</v>
      </c>
      <c r="E224" s="4" t="s">
        <v>73</v>
      </c>
      <c r="F224" s="34"/>
    </row>
    <row r="225" spans="1:6" ht="14.25" customHeight="1" x14ac:dyDescent="0.25">
      <c r="A225" s="31">
        <v>41751.5</v>
      </c>
      <c r="B225" s="32">
        <v>2109.7046666666602</v>
      </c>
      <c r="C225" s="33">
        <v>53.271666666666597</v>
      </c>
      <c r="D225" s="4">
        <f t="shared" si="0"/>
        <v>4</v>
      </c>
      <c r="E225" s="4" t="s">
        <v>73</v>
      </c>
      <c r="F225" s="34"/>
    </row>
    <row r="226" spans="1:6" ht="14.25" customHeight="1" x14ac:dyDescent="0.25">
      <c r="A226" s="31">
        <v>41752</v>
      </c>
      <c r="B226" s="32">
        <v>1805.62670833333</v>
      </c>
      <c r="C226" s="33">
        <v>49.4508333333333</v>
      </c>
      <c r="D226" s="4">
        <f t="shared" si="0"/>
        <v>4</v>
      </c>
      <c r="E226" s="4" t="s">
        <v>73</v>
      </c>
      <c r="F226" s="34"/>
    </row>
    <row r="227" spans="1:6" ht="14.25" customHeight="1" x14ac:dyDescent="0.25">
      <c r="A227" s="31">
        <v>41752.5</v>
      </c>
      <c r="B227" s="32">
        <v>2094.1961249999999</v>
      </c>
      <c r="C227" s="33">
        <v>52.059166666666599</v>
      </c>
      <c r="D227" s="4">
        <f t="shared" si="0"/>
        <v>4</v>
      </c>
      <c r="E227" s="4" t="s">
        <v>73</v>
      </c>
      <c r="F227" s="34"/>
    </row>
    <row r="228" spans="1:6" ht="14.25" customHeight="1" x14ac:dyDescent="0.25">
      <c r="A228" s="31">
        <v>41753</v>
      </c>
      <c r="B228" s="32">
        <v>1835.2183333333301</v>
      </c>
      <c r="C228" s="33">
        <v>37.89</v>
      </c>
      <c r="D228" s="4">
        <f t="shared" si="0"/>
        <v>4</v>
      </c>
      <c r="E228" s="4" t="s">
        <v>73</v>
      </c>
      <c r="F228" s="34"/>
    </row>
    <row r="229" spans="1:6" ht="14.25" customHeight="1" x14ac:dyDescent="0.25">
      <c r="A229" s="31">
        <v>41753.5</v>
      </c>
      <c r="B229" s="32">
        <v>2135.9254999999998</v>
      </c>
      <c r="C229" s="33">
        <v>45.816666666666599</v>
      </c>
      <c r="D229" s="4">
        <f t="shared" si="0"/>
        <v>4</v>
      </c>
      <c r="E229" s="4" t="s">
        <v>73</v>
      </c>
      <c r="F229" s="34"/>
    </row>
    <row r="230" spans="1:6" ht="14.25" customHeight="1" x14ac:dyDescent="0.25">
      <c r="A230" s="31">
        <v>41754</v>
      </c>
      <c r="B230" s="32">
        <v>1650.9535000000001</v>
      </c>
      <c r="C230" s="33">
        <v>36.757083333333298</v>
      </c>
      <c r="D230" s="4">
        <f t="shared" si="0"/>
        <v>4</v>
      </c>
      <c r="E230" s="4" t="s">
        <v>73</v>
      </c>
      <c r="F230" s="34"/>
    </row>
    <row r="231" spans="1:6" ht="14.25" customHeight="1" x14ac:dyDescent="0.25">
      <c r="A231" s="31">
        <v>41754.5</v>
      </c>
      <c r="B231" s="32">
        <v>1909.9368750000001</v>
      </c>
      <c r="C231" s="33">
        <v>44.214583333333302</v>
      </c>
      <c r="D231" s="4">
        <f t="shared" si="0"/>
        <v>4</v>
      </c>
      <c r="E231" s="4" t="s">
        <v>73</v>
      </c>
      <c r="F231" s="34"/>
    </row>
    <row r="232" spans="1:6" ht="14.25" customHeight="1" x14ac:dyDescent="0.25">
      <c r="A232" s="31">
        <v>41755</v>
      </c>
      <c r="B232" s="32">
        <v>1819.76733333333</v>
      </c>
      <c r="C232" s="33">
        <v>49.384583333333303</v>
      </c>
      <c r="D232" s="4">
        <f t="shared" si="0"/>
        <v>4</v>
      </c>
      <c r="E232" s="4" t="s">
        <v>73</v>
      </c>
      <c r="F232" s="34"/>
    </row>
    <row r="233" spans="1:6" ht="14.25" customHeight="1" x14ac:dyDescent="0.25">
      <c r="A233" s="31">
        <v>41755.5</v>
      </c>
      <c r="B233" s="32">
        <v>2076.1788333333302</v>
      </c>
      <c r="C233" s="33">
        <v>48.080416666666601</v>
      </c>
      <c r="D233" s="4">
        <f t="shared" si="0"/>
        <v>4</v>
      </c>
      <c r="E233" s="4" t="s">
        <v>73</v>
      </c>
      <c r="F233" s="34"/>
    </row>
    <row r="234" spans="1:6" ht="14.25" customHeight="1" x14ac:dyDescent="0.25">
      <c r="A234" s="31">
        <v>41756</v>
      </c>
      <c r="B234" s="32">
        <v>1647.1206666666601</v>
      </c>
      <c r="C234" s="33">
        <v>52.469583333333297</v>
      </c>
      <c r="D234" s="4">
        <f t="shared" si="0"/>
        <v>4</v>
      </c>
      <c r="E234" s="4" t="s">
        <v>73</v>
      </c>
      <c r="F234" s="34"/>
    </row>
    <row r="235" spans="1:6" ht="14.25" customHeight="1" x14ac:dyDescent="0.25">
      <c r="A235" s="31">
        <v>41756.5</v>
      </c>
      <c r="B235" s="32">
        <v>1907.8098749999999</v>
      </c>
      <c r="C235" s="33">
        <v>53.402916666666599</v>
      </c>
      <c r="D235" s="4">
        <f t="shared" si="0"/>
        <v>4</v>
      </c>
      <c r="E235" s="4" t="s">
        <v>73</v>
      </c>
      <c r="F235" s="34"/>
    </row>
    <row r="236" spans="1:6" ht="14.25" customHeight="1" x14ac:dyDescent="0.25">
      <c r="A236" s="31">
        <v>41757</v>
      </c>
      <c r="B236" s="32">
        <v>1546.12645833333</v>
      </c>
      <c r="C236" s="33">
        <v>39.446249999999999</v>
      </c>
      <c r="D236" s="4">
        <f t="shared" si="0"/>
        <v>4</v>
      </c>
      <c r="E236" s="4" t="s">
        <v>73</v>
      </c>
      <c r="F236" s="34"/>
    </row>
    <row r="237" spans="1:6" ht="14.25" customHeight="1" x14ac:dyDescent="0.25">
      <c r="A237" s="31">
        <v>41757.5</v>
      </c>
      <c r="B237" s="32">
        <v>1858.03879166666</v>
      </c>
      <c r="C237" s="33">
        <v>47.963333333333303</v>
      </c>
      <c r="D237" s="4">
        <f t="shared" si="0"/>
        <v>4</v>
      </c>
      <c r="E237" s="4" t="s">
        <v>73</v>
      </c>
      <c r="F237" s="34"/>
    </row>
    <row r="238" spans="1:6" ht="14.25" customHeight="1" x14ac:dyDescent="0.25">
      <c r="A238" s="31">
        <v>41758</v>
      </c>
      <c r="B238" s="32">
        <v>1922.3710000000001</v>
      </c>
      <c r="C238" s="33">
        <v>42.502222222222201</v>
      </c>
      <c r="D238" s="4">
        <f t="shared" si="0"/>
        <v>4</v>
      </c>
      <c r="E238" s="4" t="s">
        <v>73</v>
      </c>
      <c r="F238" s="34"/>
    </row>
    <row r="239" spans="1:6" ht="14.25" customHeight="1" x14ac:dyDescent="0.25">
      <c r="A239" s="31">
        <v>41758.5</v>
      </c>
      <c r="B239" s="32">
        <v>2112.4864583333301</v>
      </c>
      <c r="C239" s="33">
        <v>44.941666666666599</v>
      </c>
      <c r="D239" s="4">
        <f t="shared" si="0"/>
        <v>4</v>
      </c>
      <c r="E239" s="4" t="s">
        <v>73</v>
      </c>
      <c r="F239" s="34"/>
    </row>
    <row r="240" spans="1:6" ht="14.25" customHeight="1" x14ac:dyDescent="0.25">
      <c r="A240" s="31">
        <v>41759</v>
      </c>
      <c r="B240" s="32">
        <v>2040.2557142857099</v>
      </c>
      <c r="C240" s="33">
        <v>45.204285714285703</v>
      </c>
      <c r="D240" s="4">
        <f t="shared" si="0"/>
        <v>4</v>
      </c>
      <c r="E240" s="4" t="s">
        <v>73</v>
      </c>
      <c r="F240" s="34"/>
    </row>
    <row r="241" spans="1:6" ht="14.25" customHeight="1" x14ac:dyDescent="0.25">
      <c r="A241" s="31">
        <v>41759.5</v>
      </c>
      <c r="B241" s="32">
        <v>2149.3773333333302</v>
      </c>
      <c r="C241" s="33">
        <v>48.322083333333303</v>
      </c>
      <c r="D241" s="4">
        <f t="shared" si="0"/>
        <v>4</v>
      </c>
      <c r="E241" s="4" t="s">
        <v>73</v>
      </c>
      <c r="F241" s="34"/>
    </row>
    <row r="242" spans="1:6" ht="14.25" customHeight="1" x14ac:dyDescent="0.25">
      <c r="A242" s="31">
        <v>41760</v>
      </c>
      <c r="B242" s="32">
        <v>1816.9179999999999</v>
      </c>
      <c r="C242" s="33">
        <v>44.181666666666601</v>
      </c>
      <c r="D242" s="4">
        <f t="shared" si="0"/>
        <v>5</v>
      </c>
      <c r="E242" s="4" t="s">
        <v>73</v>
      </c>
      <c r="F242" s="34"/>
    </row>
    <row r="243" spans="1:6" ht="14.25" customHeight="1" x14ac:dyDescent="0.25">
      <c r="A243" s="31">
        <v>41760.5</v>
      </c>
      <c r="B243" s="32">
        <v>2432.2733181818098</v>
      </c>
      <c r="C243" s="33">
        <v>79.288727272727201</v>
      </c>
      <c r="D243" s="4">
        <f t="shared" si="0"/>
        <v>5</v>
      </c>
      <c r="E243" s="4" t="s">
        <v>73</v>
      </c>
      <c r="F243" s="34"/>
    </row>
    <row r="244" spans="1:6" ht="14.25" customHeight="1" x14ac:dyDescent="0.25">
      <c r="A244" s="31">
        <v>41761</v>
      </c>
      <c r="B244" s="32">
        <v>2029.36579166666</v>
      </c>
      <c r="C244" s="33">
        <v>51.941249999999997</v>
      </c>
      <c r="D244" s="4">
        <f t="shared" si="0"/>
        <v>5</v>
      </c>
      <c r="E244" s="4" t="s">
        <v>73</v>
      </c>
      <c r="F244" s="34"/>
    </row>
    <row r="245" spans="1:6" ht="14.25" customHeight="1" x14ac:dyDescent="0.25">
      <c r="A245" s="31">
        <v>41761.5</v>
      </c>
      <c r="B245" s="32">
        <v>2417.7076666666599</v>
      </c>
      <c r="C245" s="33">
        <v>49.0996666666666</v>
      </c>
      <c r="D245" s="4">
        <f t="shared" si="0"/>
        <v>5</v>
      </c>
      <c r="E245" s="4" t="s">
        <v>73</v>
      </c>
      <c r="F245" s="34"/>
    </row>
    <row r="246" spans="1:6" ht="14.25" customHeight="1" x14ac:dyDescent="0.25">
      <c r="A246" s="31">
        <v>41762</v>
      </c>
      <c r="B246" s="32">
        <v>1971.1330416666599</v>
      </c>
      <c r="C246" s="33">
        <v>66.743333333333297</v>
      </c>
      <c r="D246" s="4">
        <f t="shared" si="0"/>
        <v>5</v>
      </c>
      <c r="E246" s="4" t="s">
        <v>73</v>
      </c>
      <c r="F246" s="34"/>
    </row>
    <row r="247" spans="1:6" ht="14.25" customHeight="1" x14ac:dyDescent="0.25">
      <c r="A247" s="31">
        <v>41762.5</v>
      </c>
      <c r="B247" s="32">
        <v>2307.2817083333298</v>
      </c>
      <c r="C247" s="33">
        <v>59.953249999999997</v>
      </c>
      <c r="D247" s="4">
        <f t="shared" si="0"/>
        <v>5</v>
      </c>
      <c r="E247" s="4" t="s">
        <v>73</v>
      </c>
      <c r="F247" s="34"/>
    </row>
    <row r="248" spans="1:6" ht="14.25" customHeight="1" x14ac:dyDescent="0.25">
      <c r="A248" s="31">
        <v>41763</v>
      </c>
      <c r="B248" s="32">
        <v>2072.0460416666601</v>
      </c>
      <c r="C248" s="33">
        <v>48.052500000000002</v>
      </c>
      <c r="D248" s="4">
        <f t="shared" si="0"/>
        <v>5</v>
      </c>
      <c r="E248" s="4" t="s">
        <v>73</v>
      </c>
      <c r="F248" s="34"/>
    </row>
    <row r="249" spans="1:6" ht="14.25" customHeight="1" x14ac:dyDescent="0.25">
      <c r="A249" s="31">
        <v>41763.5</v>
      </c>
      <c r="B249" s="32">
        <v>2325.5537083333302</v>
      </c>
      <c r="C249" s="33">
        <v>43.413333333333298</v>
      </c>
      <c r="D249" s="4">
        <f t="shared" si="0"/>
        <v>5</v>
      </c>
      <c r="E249" s="4" t="s">
        <v>73</v>
      </c>
      <c r="F249" s="34"/>
    </row>
    <row r="250" spans="1:6" ht="14.25" customHeight="1" x14ac:dyDescent="0.25">
      <c r="A250" s="31">
        <v>41764</v>
      </c>
      <c r="B250" s="32">
        <v>1682.53033333333</v>
      </c>
      <c r="C250" s="33">
        <v>41.137499999999903</v>
      </c>
      <c r="D250" s="4">
        <f t="shared" si="0"/>
        <v>5</v>
      </c>
      <c r="E250" s="4" t="s">
        <v>73</v>
      </c>
      <c r="F250" s="34"/>
    </row>
    <row r="251" spans="1:6" ht="14.25" customHeight="1" x14ac:dyDescent="0.25">
      <c r="A251" s="31">
        <v>41764.5</v>
      </c>
      <c r="B251" s="32">
        <v>1845.6923750000001</v>
      </c>
      <c r="C251" s="33">
        <v>54.3541666666666</v>
      </c>
      <c r="D251" s="4">
        <f t="shared" si="0"/>
        <v>5</v>
      </c>
      <c r="E251" s="4" t="s">
        <v>73</v>
      </c>
      <c r="F251" s="34"/>
    </row>
    <row r="252" spans="1:6" ht="14.25" customHeight="1" x14ac:dyDescent="0.25">
      <c r="A252" s="31">
        <v>41765</v>
      </c>
      <c r="B252" s="32">
        <v>1947.2274583333301</v>
      </c>
      <c r="C252" s="33">
        <v>50.5133333333333</v>
      </c>
      <c r="D252" s="4">
        <f t="shared" si="0"/>
        <v>5</v>
      </c>
      <c r="E252" s="4" t="s">
        <v>73</v>
      </c>
      <c r="F252" s="34"/>
    </row>
    <row r="253" spans="1:6" ht="14.25" customHeight="1" x14ac:dyDescent="0.25">
      <c r="A253" s="31">
        <v>41765.5</v>
      </c>
      <c r="B253" s="32">
        <v>2272.6708333333299</v>
      </c>
      <c r="C253" s="33">
        <v>59.321666666666601</v>
      </c>
      <c r="D253" s="4">
        <f t="shared" si="0"/>
        <v>5</v>
      </c>
      <c r="E253" s="4" t="s">
        <v>73</v>
      </c>
      <c r="F253" s="34"/>
    </row>
    <row r="254" spans="1:6" ht="14.25" customHeight="1" x14ac:dyDescent="0.25">
      <c r="A254" s="31">
        <v>41766</v>
      </c>
      <c r="B254" s="32">
        <v>2162.9690416666599</v>
      </c>
      <c r="C254" s="33">
        <v>70.624166666666596</v>
      </c>
      <c r="D254" s="4">
        <f t="shared" si="0"/>
        <v>5</v>
      </c>
      <c r="E254" s="4" t="s">
        <v>73</v>
      </c>
      <c r="F254" s="34"/>
    </row>
    <row r="255" spans="1:6" ht="14.25" customHeight="1" x14ac:dyDescent="0.25">
      <c r="A255" s="31">
        <v>41766.5</v>
      </c>
      <c r="B255" s="32">
        <v>2396.8091666666601</v>
      </c>
      <c r="C255" s="33">
        <v>75.650833333333296</v>
      </c>
      <c r="D255" s="4">
        <f t="shared" si="0"/>
        <v>5</v>
      </c>
      <c r="E255" s="4" t="s">
        <v>73</v>
      </c>
      <c r="F255" s="34"/>
    </row>
    <row r="256" spans="1:6" ht="14.25" customHeight="1" x14ac:dyDescent="0.25">
      <c r="A256" s="31">
        <v>41767</v>
      </c>
      <c r="B256" s="32">
        <v>1959.90287499999</v>
      </c>
      <c r="C256" s="33">
        <v>48.5474999999999</v>
      </c>
      <c r="D256" s="4">
        <f t="shared" si="0"/>
        <v>5</v>
      </c>
      <c r="E256" s="4" t="s">
        <v>73</v>
      </c>
      <c r="F256" s="34"/>
    </row>
    <row r="257" spans="1:6" ht="14.25" customHeight="1" x14ac:dyDescent="0.25">
      <c r="A257" s="31">
        <v>41767.5</v>
      </c>
      <c r="B257" s="32">
        <v>2223.83566666666</v>
      </c>
      <c r="C257" s="33">
        <v>45.350833333333298</v>
      </c>
      <c r="D257" s="4">
        <f t="shared" ref="D257:D511" si="1">MONTH(A257)</f>
        <v>5</v>
      </c>
      <c r="E257" s="4" t="s">
        <v>73</v>
      </c>
      <c r="F257" s="34"/>
    </row>
    <row r="258" spans="1:6" ht="14.25" customHeight="1" x14ac:dyDescent="0.25">
      <c r="A258" s="31">
        <v>41768</v>
      </c>
      <c r="B258" s="32">
        <v>1947.63870833333</v>
      </c>
      <c r="C258" s="33">
        <v>47.290833333333303</v>
      </c>
      <c r="D258" s="4">
        <f t="shared" si="1"/>
        <v>5</v>
      </c>
      <c r="E258" s="4" t="s">
        <v>73</v>
      </c>
      <c r="F258" s="34"/>
    </row>
    <row r="259" spans="1:6" ht="14.25" customHeight="1" x14ac:dyDescent="0.25">
      <c r="A259" s="31">
        <v>41768.5</v>
      </c>
      <c r="B259" s="32">
        <v>2195.3652916666601</v>
      </c>
      <c r="C259" s="33">
        <v>60.935416666666598</v>
      </c>
      <c r="D259" s="4">
        <f t="shared" si="1"/>
        <v>5</v>
      </c>
      <c r="E259" s="4" t="s">
        <v>73</v>
      </c>
      <c r="F259" s="34"/>
    </row>
    <row r="260" spans="1:6" ht="14.25" customHeight="1" x14ac:dyDescent="0.25">
      <c r="A260" s="31">
        <v>41769</v>
      </c>
      <c r="B260" s="32">
        <v>1752.35545833333</v>
      </c>
      <c r="C260" s="33">
        <v>60.887916666666598</v>
      </c>
      <c r="D260" s="4">
        <f t="shared" si="1"/>
        <v>5</v>
      </c>
      <c r="E260" s="4" t="s">
        <v>73</v>
      </c>
      <c r="F260" s="34"/>
    </row>
    <row r="261" spans="1:6" ht="14.25" customHeight="1" x14ac:dyDescent="0.25">
      <c r="A261" s="31">
        <v>41769.5</v>
      </c>
      <c r="B261" s="32">
        <v>1953.0465833333301</v>
      </c>
      <c r="C261" s="33">
        <v>73.694583333333298</v>
      </c>
      <c r="D261" s="4">
        <f t="shared" si="1"/>
        <v>5</v>
      </c>
      <c r="E261" s="4" t="s">
        <v>73</v>
      </c>
      <c r="F261" s="34"/>
    </row>
    <row r="262" spans="1:6" ht="14.25" customHeight="1" x14ac:dyDescent="0.25">
      <c r="A262" s="31">
        <v>41770</v>
      </c>
      <c r="B262" s="32">
        <v>2006.93199999999</v>
      </c>
      <c r="C262" s="33">
        <v>57.995833333333302</v>
      </c>
      <c r="D262" s="4">
        <f t="shared" si="1"/>
        <v>5</v>
      </c>
      <c r="E262" s="4" t="s">
        <v>73</v>
      </c>
      <c r="F262" s="34"/>
    </row>
    <row r="263" spans="1:6" ht="14.25" customHeight="1" x14ac:dyDescent="0.25">
      <c r="A263" s="31">
        <v>41770.5</v>
      </c>
      <c r="B263" s="32">
        <v>2167.6819583333299</v>
      </c>
      <c r="C263" s="33">
        <v>49.681249999999999</v>
      </c>
      <c r="D263" s="4">
        <f t="shared" si="1"/>
        <v>5</v>
      </c>
      <c r="E263" s="4" t="s">
        <v>73</v>
      </c>
      <c r="F263" s="34"/>
    </row>
    <row r="264" spans="1:6" ht="14.25" customHeight="1" x14ac:dyDescent="0.25">
      <c r="A264" s="31">
        <v>41771</v>
      </c>
      <c r="B264" s="32">
        <v>2025.9698333333299</v>
      </c>
      <c r="C264" s="33">
        <v>28.802777777777699</v>
      </c>
      <c r="D264" s="4">
        <f t="shared" si="1"/>
        <v>5</v>
      </c>
      <c r="E264" s="4" t="s">
        <v>73</v>
      </c>
      <c r="F264" s="34"/>
    </row>
    <row r="265" spans="1:6" ht="14.25" customHeight="1" x14ac:dyDescent="0.25">
      <c r="A265" s="31">
        <v>41771.5</v>
      </c>
      <c r="B265" s="32">
        <v>2364.0405416666599</v>
      </c>
      <c r="C265" s="33">
        <v>57.887916666666598</v>
      </c>
      <c r="D265" s="4">
        <f t="shared" si="1"/>
        <v>5</v>
      </c>
      <c r="E265" s="4" t="s">
        <v>73</v>
      </c>
      <c r="F265" s="34"/>
    </row>
    <row r="266" spans="1:6" ht="14.25" customHeight="1" x14ac:dyDescent="0.25">
      <c r="A266" s="31">
        <v>41772</v>
      </c>
      <c r="B266" s="32">
        <v>1953.5266875</v>
      </c>
      <c r="C266" s="33">
        <v>34.658124999999998</v>
      </c>
      <c r="D266" s="4">
        <f t="shared" si="1"/>
        <v>5</v>
      </c>
      <c r="E266" s="4" t="s">
        <v>73</v>
      </c>
      <c r="F266" s="34"/>
    </row>
    <row r="267" spans="1:6" ht="14.25" customHeight="1" x14ac:dyDescent="0.25">
      <c r="A267" s="31">
        <v>41772.5</v>
      </c>
      <c r="B267" s="32">
        <v>2081.5011666666601</v>
      </c>
      <c r="C267" s="33">
        <v>42.6458333333333</v>
      </c>
      <c r="D267" s="4">
        <f t="shared" si="1"/>
        <v>5</v>
      </c>
      <c r="E267" s="4" t="s">
        <v>73</v>
      </c>
      <c r="F267" s="34"/>
    </row>
    <row r="268" spans="1:6" ht="14.25" customHeight="1" x14ac:dyDescent="0.25">
      <c r="A268" s="31">
        <v>41773</v>
      </c>
      <c r="B268" s="32">
        <v>1833.8292916666601</v>
      </c>
      <c r="C268" s="33">
        <v>38.750833333333297</v>
      </c>
      <c r="D268" s="4">
        <f t="shared" si="1"/>
        <v>5</v>
      </c>
      <c r="E268" s="4" t="s">
        <v>73</v>
      </c>
      <c r="F268" s="34"/>
    </row>
    <row r="269" spans="1:6" ht="14.25" customHeight="1" x14ac:dyDescent="0.25">
      <c r="A269" s="31">
        <v>41773.5</v>
      </c>
      <c r="B269" s="32">
        <v>2114.1895</v>
      </c>
      <c r="C269" s="33">
        <v>44.832083333333301</v>
      </c>
      <c r="D269" s="4">
        <f t="shared" si="1"/>
        <v>5</v>
      </c>
      <c r="E269" s="4" t="s">
        <v>73</v>
      </c>
      <c r="F269" s="34"/>
    </row>
    <row r="270" spans="1:6" ht="14.25" customHeight="1" x14ac:dyDescent="0.25">
      <c r="A270" s="31">
        <v>41774</v>
      </c>
      <c r="B270" s="32">
        <v>1983.90711111111</v>
      </c>
      <c r="C270" s="33">
        <v>37.403888888888801</v>
      </c>
      <c r="D270" s="4">
        <f t="shared" si="1"/>
        <v>5</v>
      </c>
      <c r="E270" s="4" t="s">
        <v>73</v>
      </c>
      <c r="F270" s="34"/>
    </row>
    <row r="271" spans="1:6" ht="14.25" customHeight="1" x14ac:dyDescent="0.25">
      <c r="A271" s="31">
        <v>41774.5</v>
      </c>
      <c r="B271" s="32">
        <v>2093.3930833333302</v>
      </c>
      <c r="C271" s="33">
        <v>46.276249999999997</v>
      </c>
      <c r="D271" s="4">
        <f t="shared" si="1"/>
        <v>5</v>
      </c>
      <c r="E271" s="4" t="s">
        <v>73</v>
      </c>
      <c r="F271" s="34"/>
    </row>
    <row r="272" spans="1:6" ht="14.25" customHeight="1" x14ac:dyDescent="0.25">
      <c r="A272" s="31">
        <v>41775</v>
      </c>
      <c r="B272" s="32">
        <v>1989.1543750000001</v>
      </c>
      <c r="C272" s="33">
        <v>37.748750000000001</v>
      </c>
      <c r="D272" s="4">
        <f t="shared" si="1"/>
        <v>5</v>
      </c>
      <c r="E272" s="4" t="s">
        <v>73</v>
      </c>
      <c r="F272" s="34"/>
    </row>
    <row r="273" spans="1:6" ht="14.25" customHeight="1" x14ac:dyDescent="0.25">
      <c r="A273" s="31">
        <v>41775.5</v>
      </c>
      <c r="B273" s="32">
        <v>2151.98383333333</v>
      </c>
      <c r="C273" s="33">
        <v>46.262083333333301</v>
      </c>
      <c r="D273" s="4">
        <f t="shared" si="1"/>
        <v>5</v>
      </c>
      <c r="E273" s="4" t="s">
        <v>73</v>
      </c>
      <c r="F273" s="34"/>
    </row>
    <row r="274" spans="1:6" ht="14.25" customHeight="1" x14ac:dyDescent="0.25">
      <c r="A274" s="31">
        <v>41776</v>
      </c>
      <c r="B274" s="32">
        <v>1885.0945454545399</v>
      </c>
      <c r="C274" s="33">
        <v>39.879090909090898</v>
      </c>
      <c r="D274" s="4">
        <f t="shared" si="1"/>
        <v>5</v>
      </c>
      <c r="E274" s="4" t="s">
        <v>73</v>
      </c>
      <c r="F274" s="34"/>
    </row>
    <row r="275" spans="1:6" ht="14.25" customHeight="1" x14ac:dyDescent="0.25">
      <c r="A275" s="31">
        <v>41776.5</v>
      </c>
      <c r="B275" s="32">
        <v>2100.1242499999998</v>
      </c>
      <c r="C275" s="33">
        <v>47.372916666666598</v>
      </c>
      <c r="D275" s="4">
        <f t="shared" si="1"/>
        <v>5</v>
      </c>
      <c r="E275" s="4" t="s">
        <v>73</v>
      </c>
      <c r="F275" s="34"/>
    </row>
    <row r="276" spans="1:6" ht="14.25" customHeight="1" x14ac:dyDescent="0.25">
      <c r="A276" s="31">
        <v>41777</v>
      </c>
      <c r="B276" s="32">
        <v>1702.1761818181801</v>
      </c>
      <c r="C276" s="33">
        <v>40.558181818181801</v>
      </c>
      <c r="D276" s="4">
        <f t="shared" si="1"/>
        <v>5</v>
      </c>
      <c r="E276" s="4" t="s">
        <v>73</v>
      </c>
      <c r="F276" s="34"/>
    </row>
    <row r="277" spans="1:6" ht="14.25" customHeight="1" x14ac:dyDescent="0.25">
      <c r="A277" s="31">
        <v>41777.5</v>
      </c>
      <c r="B277" s="32">
        <v>1951.5956249999999</v>
      </c>
      <c r="C277" s="33">
        <v>53.550416666666599</v>
      </c>
      <c r="D277" s="4">
        <f t="shared" si="1"/>
        <v>5</v>
      </c>
      <c r="E277" s="4" t="s">
        <v>73</v>
      </c>
      <c r="F277" s="34"/>
    </row>
    <row r="278" spans="1:6" ht="14.25" customHeight="1" x14ac:dyDescent="0.25">
      <c r="A278" s="31">
        <v>41778</v>
      </c>
      <c r="B278" s="32">
        <v>1599.57408333333</v>
      </c>
      <c r="C278" s="33">
        <v>47.153750000000002</v>
      </c>
      <c r="D278" s="4">
        <f t="shared" si="1"/>
        <v>5</v>
      </c>
      <c r="E278" s="4" t="s">
        <v>73</v>
      </c>
      <c r="F278" s="34"/>
    </row>
    <row r="279" spans="1:6" ht="14.25" customHeight="1" x14ac:dyDescent="0.25">
      <c r="A279" s="31">
        <v>41778.5</v>
      </c>
      <c r="B279" s="32">
        <v>1928.0886666666599</v>
      </c>
      <c r="C279" s="33">
        <v>54.608333333333299</v>
      </c>
      <c r="D279" s="4">
        <f t="shared" si="1"/>
        <v>5</v>
      </c>
      <c r="E279" s="4" t="s">
        <v>73</v>
      </c>
      <c r="F279" s="34"/>
    </row>
    <row r="280" spans="1:6" ht="14.25" customHeight="1" x14ac:dyDescent="0.25">
      <c r="A280" s="31">
        <v>41779</v>
      </c>
      <c r="B280" s="32">
        <v>1874.05004166666</v>
      </c>
      <c r="C280" s="33">
        <v>50.127083333333303</v>
      </c>
      <c r="D280" s="4">
        <f t="shared" si="1"/>
        <v>5</v>
      </c>
      <c r="E280" s="4" t="s">
        <v>73</v>
      </c>
      <c r="F280" s="34"/>
    </row>
    <row r="281" spans="1:6" ht="14.25" customHeight="1" x14ac:dyDescent="0.25">
      <c r="A281" s="31">
        <v>41779.5</v>
      </c>
      <c r="B281" s="32">
        <v>2228.79675</v>
      </c>
      <c r="C281" s="33">
        <v>49.530833333333298</v>
      </c>
      <c r="D281" s="4">
        <f t="shared" si="1"/>
        <v>5</v>
      </c>
      <c r="E281" s="4" t="s">
        <v>73</v>
      </c>
      <c r="F281" s="34"/>
    </row>
    <row r="282" spans="1:6" ht="14.25" customHeight="1" x14ac:dyDescent="0.25">
      <c r="A282" s="31">
        <v>41780</v>
      </c>
      <c r="B282" s="32">
        <v>1865.50854166666</v>
      </c>
      <c r="C282" s="33">
        <v>38.462499999999999</v>
      </c>
      <c r="D282" s="4">
        <f t="shared" si="1"/>
        <v>5</v>
      </c>
      <c r="E282" s="4" t="s">
        <v>73</v>
      </c>
      <c r="F282" s="34"/>
    </row>
    <row r="283" spans="1:6" ht="14.25" customHeight="1" x14ac:dyDescent="0.25">
      <c r="A283" s="31">
        <v>41780.5</v>
      </c>
      <c r="B283" s="32">
        <v>2147.9385416666601</v>
      </c>
      <c r="C283" s="33">
        <v>47.275416666666601</v>
      </c>
      <c r="D283" s="4">
        <f t="shared" si="1"/>
        <v>5</v>
      </c>
      <c r="E283" s="4" t="s">
        <v>73</v>
      </c>
      <c r="F283" s="34"/>
    </row>
    <row r="284" spans="1:6" ht="14.25" customHeight="1" x14ac:dyDescent="0.25">
      <c r="A284" s="31">
        <v>41781</v>
      </c>
      <c r="B284" s="32">
        <v>1896.82779166666</v>
      </c>
      <c r="C284" s="33">
        <v>45.832500000000003</v>
      </c>
      <c r="D284" s="4">
        <f t="shared" si="1"/>
        <v>5</v>
      </c>
      <c r="E284" s="4" t="s">
        <v>73</v>
      </c>
      <c r="F284" s="34"/>
    </row>
    <row r="285" spans="1:6" ht="14.25" customHeight="1" x14ac:dyDescent="0.25">
      <c r="A285" s="31">
        <v>41781.5</v>
      </c>
      <c r="B285" s="32">
        <v>2179.9699166666601</v>
      </c>
      <c r="C285" s="33">
        <v>50.742916666666602</v>
      </c>
      <c r="D285" s="4">
        <f t="shared" si="1"/>
        <v>5</v>
      </c>
      <c r="E285" s="4" t="s">
        <v>73</v>
      </c>
      <c r="F285" s="34"/>
    </row>
    <row r="286" spans="1:6" ht="14.25" customHeight="1" x14ac:dyDescent="0.25">
      <c r="A286" s="31">
        <v>41782</v>
      </c>
      <c r="B286" s="32">
        <v>1908.9708333333299</v>
      </c>
      <c r="C286" s="33">
        <v>46.262499999999903</v>
      </c>
      <c r="D286" s="4">
        <f t="shared" si="1"/>
        <v>5</v>
      </c>
      <c r="E286" s="4" t="s">
        <v>73</v>
      </c>
      <c r="F286" s="34"/>
    </row>
    <row r="287" spans="1:6" ht="14.25" customHeight="1" x14ac:dyDescent="0.25">
      <c r="A287" s="31">
        <v>41782.5</v>
      </c>
      <c r="B287" s="32">
        <v>2201.0394166666601</v>
      </c>
      <c r="C287" s="33">
        <v>49.195</v>
      </c>
      <c r="D287" s="4">
        <f t="shared" si="1"/>
        <v>5</v>
      </c>
      <c r="E287" s="4" t="s">
        <v>73</v>
      </c>
      <c r="F287" s="34"/>
    </row>
    <row r="288" spans="1:6" ht="14.25" customHeight="1" x14ac:dyDescent="0.25">
      <c r="A288" s="31">
        <v>41783</v>
      </c>
      <c r="B288" s="32">
        <v>1941.4735416666599</v>
      </c>
      <c r="C288" s="33">
        <v>37.257083333333298</v>
      </c>
      <c r="D288" s="4">
        <f t="shared" si="1"/>
        <v>5</v>
      </c>
      <c r="E288" s="4" t="s">
        <v>73</v>
      </c>
      <c r="F288" s="34"/>
    </row>
    <row r="289" spans="1:6" ht="14.25" customHeight="1" x14ac:dyDescent="0.25">
      <c r="A289" s="31">
        <v>41783.5</v>
      </c>
      <c r="B289" s="32">
        <v>2156.9471250000001</v>
      </c>
      <c r="C289" s="33">
        <v>43.033333333333303</v>
      </c>
      <c r="D289" s="4">
        <f t="shared" si="1"/>
        <v>5</v>
      </c>
      <c r="E289" s="4" t="s">
        <v>73</v>
      </c>
      <c r="F289" s="34"/>
    </row>
    <row r="290" spans="1:6" ht="14.25" customHeight="1" x14ac:dyDescent="0.25">
      <c r="A290" s="31">
        <v>41784</v>
      </c>
      <c r="B290" s="32">
        <v>1900.7242857142801</v>
      </c>
      <c r="C290" s="33">
        <v>39.896428571428501</v>
      </c>
      <c r="D290" s="4">
        <f t="shared" si="1"/>
        <v>5</v>
      </c>
      <c r="E290" s="4" t="s">
        <v>73</v>
      </c>
      <c r="F290" s="34"/>
    </row>
    <row r="291" spans="1:6" ht="14.25" customHeight="1" x14ac:dyDescent="0.25">
      <c r="A291" s="31">
        <v>41784.5</v>
      </c>
      <c r="B291" s="32">
        <v>1990.6963333333299</v>
      </c>
      <c r="C291" s="33">
        <v>53.087499999999999</v>
      </c>
      <c r="D291" s="4">
        <f t="shared" si="1"/>
        <v>5</v>
      </c>
      <c r="E291" s="4" t="s">
        <v>73</v>
      </c>
      <c r="F291" s="34"/>
    </row>
    <row r="292" spans="1:6" ht="14.25" customHeight="1" x14ac:dyDescent="0.25">
      <c r="A292" s="31">
        <v>41785</v>
      </c>
      <c r="B292" s="32">
        <v>1641.170875</v>
      </c>
      <c r="C292" s="33">
        <v>44.002499999999998</v>
      </c>
      <c r="D292" s="4">
        <f t="shared" si="1"/>
        <v>5</v>
      </c>
      <c r="E292" s="4" t="s">
        <v>73</v>
      </c>
      <c r="F292" s="34"/>
    </row>
    <row r="293" spans="1:6" ht="14.25" customHeight="1" x14ac:dyDescent="0.25">
      <c r="A293" s="31">
        <v>41785.5</v>
      </c>
      <c r="B293" s="32">
        <v>1928.3489999999999</v>
      </c>
      <c r="C293" s="33">
        <v>50.586666666666602</v>
      </c>
      <c r="D293" s="4">
        <f t="shared" si="1"/>
        <v>5</v>
      </c>
      <c r="E293" s="4" t="s">
        <v>73</v>
      </c>
      <c r="F293" s="34"/>
    </row>
    <row r="294" spans="1:6" ht="14.25" customHeight="1" x14ac:dyDescent="0.25">
      <c r="A294" s="31">
        <v>41786</v>
      </c>
      <c r="B294" s="32">
        <v>1902.70066666666</v>
      </c>
      <c r="C294" s="33">
        <v>46.027083333333302</v>
      </c>
      <c r="D294" s="4">
        <f t="shared" si="1"/>
        <v>5</v>
      </c>
      <c r="E294" s="4" t="s">
        <v>73</v>
      </c>
      <c r="F294" s="34"/>
    </row>
    <row r="295" spans="1:6" ht="14.25" customHeight="1" x14ac:dyDescent="0.25">
      <c r="A295" s="31">
        <v>41786.5</v>
      </c>
      <c r="B295" s="32">
        <v>2189.06766666666</v>
      </c>
      <c r="C295" s="33">
        <v>51.392916666666601</v>
      </c>
      <c r="D295" s="4">
        <f t="shared" si="1"/>
        <v>5</v>
      </c>
      <c r="E295" s="4" t="s">
        <v>73</v>
      </c>
      <c r="F295" s="34"/>
    </row>
    <row r="296" spans="1:6" ht="14.25" customHeight="1" x14ac:dyDescent="0.25">
      <c r="A296" s="31">
        <v>41787</v>
      </c>
      <c r="B296" s="32">
        <v>1932.2342083333299</v>
      </c>
      <c r="C296" s="33">
        <v>46.5908333333333</v>
      </c>
      <c r="D296" s="4">
        <f t="shared" si="1"/>
        <v>5</v>
      </c>
      <c r="E296" s="4" t="s">
        <v>73</v>
      </c>
      <c r="F296" s="34"/>
    </row>
    <row r="297" spans="1:6" ht="14.25" customHeight="1" x14ac:dyDescent="0.25">
      <c r="A297" s="31">
        <v>41787.5</v>
      </c>
      <c r="B297" s="32">
        <v>2221.4512083333302</v>
      </c>
      <c r="C297" s="33">
        <v>54.303750000000001</v>
      </c>
      <c r="D297" s="4">
        <f t="shared" si="1"/>
        <v>5</v>
      </c>
      <c r="E297" s="4" t="s">
        <v>73</v>
      </c>
      <c r="F297" s="34"/>
    </row>
    <row r="298" spans="1:6" ht="14.25" customHeight="1" x14ac:dyDescent="0.25">
      <c r="A298" s="31">
        <v>41788</v>
      </c>
      <c r="B298" s="32">
        <v>1911.44145833333</v>
      </c>
      <c r="C298" s="33">
        <v>45.068750000000001</v>
      </c>
      <c r="D298" s="4">
        <f t="shared" si="1"/>
        <v>5</v>
      </c>
      <c r="E298" s="4" t="s">
        <v>73</v>
      </c>
      <c r="F298" s="34"/>
    </row>
    <row r="299" spans="1:6" ht="14.25" customHeight="1" x14ac:dyDescent="0.25">
      <c r="A299" s="31">
        <v>41788.5</v>
      </c>
      <c r="B299" s="32">
        <v>2154.5671666666599</v>
      </c>
      <c r="C299" s="33">
        <v>42.706249999999997</v>
      </c>
      <c r="D299" s="4">
        <f t="shared" si="1"/>
        <v>5</v>
      </c>
      <c r="E299" s="4" t="s">
        <v>73</v>
      </c>
      <c r="F299" s="34"/>
    </row>
    <row r="300" spans="1:6" ht="14.25" customHeight="1" x14ac:dyDescent="0.25">
      <c r="A300" s="31">
        <v>41789</v>
      </c>
      <c r="B300" s="32">
        <v>2086.4557222222202</v>
      </c>
      <c r="C300" s="33">
        <v>35.205555555555499</v>
      </c>
      <c r="D300" s="4">
        <f t="shared" si="1"/>
        <v>5</v>
      </c>
      <c r="E300" s="4" t="s">
        <v>73</v>
      </c>
      <c r="F300" s="34"/>
    </row>
    <row r="301" spans="1:6" ht="14.25" customHeight="1" x14ac:dyDescent="0.25">
      <c r="A301" s="31">
        <v>41789.5</v>
      </c>
      <c r="B301" s="32">
        <v>2375.8916249999902</v>
      </c>
      <c r="C301" s="33">
        <v>49.220833333333303</v>
      </c>
      <c r="D301" s="4">
        <f t="shared" si="1"/>
        <v>5</v>
      </c>
      <c r="E301" s="4" t="s">
        <v>73</v>
      </c>
      <c r="F301" s="34"/>
    </row>
    <row r="302" spans="1:6" ht="14.25" customHeight="1" x14ac:dyDescent="0.25">
      <c r="A302" s="31">
        <v>41790</v>
      </c>
      <c r="B302" s="32">
        <v>2278.90968749999</v>
      </c>
      <c r="C302" s="33">
        <v>42.534374999999997</v>
      </c>
      <c r="D302" s="4">
        <f t="shared" si="1"/>
        <v>5</v>
      </c>
      <c r="E302" s="4" t="s">
        <v>73</v>
      </c>
      <c r="F302" s="34"/>
    </row>
    <row r="303" spans="1:6" ht="14.25" customHeight="1" x14ac:dyDescent="0.25">
      <c r="A303" s="31">
        <v>41790.5</v>
      </c>
      <c r="B303" s="32">
        <v>2414.6731818181802</v>
      </c>
      <c r="C303" s="33">
        <v>49.414090909090902</v>
      </c>
      <c r="D303" s="4">
        <f t="shared" si="1"/>
        <v>5</v>
      </c>
      <c r="E303" s="4" t="s">
        <v>73</v>
      </c>
      <c r="F303" s="34"/>
    </row>
    <row r="304" spans="1:6" ht="14.25" customHeight="1" x14ac:dyDescent="0.25">
      <c r="A304" s="31">
        <v>41791</v>
      </c>
      <c r="B304" s="32">
        <v>1976.13129999999</v>
      </c>
      <c r="C304" s="33">
        <v>53.580699999999901</v>
      </c>
      <c r="D304" s="4">
        <f t="shared" si="1"/>
        <v>6</v>
      </c>
      <c r="E304" s="4" t="s">
        <v>73</v>
      </c>
      <c r="F304" s="34"/>
    </row>
    <row r="305" spans="1:6" ht="14.25" customHeight="1" x14ac:dyDescent="0.25">
      <c r="A305" s="31">
        <v>41791.5</v>
      </c>
      <c r="B305" s="32">
        <v>2665.5086249999999</v>
      </c>
      <c r="C305" s="33">
        <v>84.922083333333305</v>
      </c>
      <c r="D305" s="4">
        <f t="shared" si="1"/>
        <v>6</v>
      </c>
      <c r="E305" s="4" t="s">
        <v>73</v>
      </c>
      <c r="F305" s="34"/>
    </row>
    <row r="306" spans="1:6" ht="14.25" customHeight="1" x14ac:dyDescent="0.25">
      <c r="A306" s="31">
        <v>41792</v>
      </c>
      <c r="B306" s="32">
        <v>2063.6120000000001</v>
      </c>
      <c r="C306" s="33">
        <v>39.346999999999902</v>
      </c>
      <c r="D306" s="4">
        <f t="shared" si="1"/>
        <v>6</v>
      </c>
      <c r="E306" s="4" t="s">
        <v>73</v>
      </c>
      <c r="F306" s="34"/>
    </row>
    <row r="307" spans="1:6" ht="14.25" customHeight="1" x14ac:dyDescent="0.25">
      <c r="A307" s="31">
        <v>41792.5</v>
      </c>
      <c r="B307" s="32">
        <v>2220.75304166666</v>
      </c>
      <c r="C307" s="33">
        <v>43.315916666666602</v>
      </c>
      <c r="D307" s="4">
        <f t="shared" si="1"/>
        <v>6</v>
      </c>
      <c r="E307" s="4" t="s">
        <v>73</v>
      </c>
      <c r="F307" s="34"/>
    </row>
    <row r="308" spans="1:6" ht="14.25" customHeight="1" x14ac:dyDescent="0.25">
      <c r="A308" s="31">
        <v>41793</v>
      </c>
      <c r="B308" s="32">
        <v>2043.6455000000001</v>
      </c>
      <c r="C308" s="33">
        <v>47.9022222222222</v>
      </c>
      <c r="D308" s="4">
        <f t="shared" si="1"/>
        <v>6</v>
      </c>
      <c r="E308" s="4" t="s">
        <v>73</v>
      </c>
      <c r="F308" s="34"/>
    </row>
    <row r="309" spans="1:6" ht="14.25" customHeight="1" x14ac:dyDescent="0.25">
      <c r="A309" s="31">
        <v>41793.5</v>
      </c>
      <c r="B309" s="32">
        <v>2350.2772916666599</v>
      </c>
      <c r="C309" s="33">
        <v>54.980166666666598</v>
      </c>
      <c r="D309" s="4">
        <f t="shared" si="1"/>
        <v>6</v>
      </c>
      <c r="E309" s="4" t="s">
        <v>73</v>
      </c>
      <c r="F309" s="34"/>
    </row>
    <row r="310" spans="1:6" ht="14.25" customHeight="1" x14ac:dyDescent="0.25">
      <c r="A310" s="31">
        <v>41794</v>
      </c>
      <c r="B310" s="32">
        <v>1895.89842857142</v>
      </c>
      <c r="C310" s="33">
        <v>35.089999999999897</v>
      </c>
      <c r="D310" s="4">
        <f t="shared" si="1"/>
        <v>6</v>
      </c>
      <c r="E310" s="4" t="s">
        <v>73</v>
      </c>
      <c r="F310" s="34"/>
    </row>
    <row r="311" spans="1:6" ht="14.25" customHeight="1" x14ac:dyDescent="0.25">
      <c r="A311" s="31">
        <v>41794.5</v>
      </c>
      <c r="B311" s="32">
        <v>2092.5697499999901</v>
      </c>
      <c r="C311" s="33">
        <v>41.228333333333303</v>
      </c>
      <c r="D311" s="4">
        <f t="shared" si="1"/>
        <v>6</v>
      </c>
      <c r="E311" s="4" t="s">
        <v>73</v>
      </c>
      <c r="F311" s="34"/>
    </row>
    <row r="312" spans="1:6" ht="14.25" customHeight="1" x14ac:dyDescent="0.25">
      <c r="A312" s="31">
        <v>41795</v>
      </c>
      <c r="B312" s="32">
        <v>1798.14591666666</v>
      </c>
      <c r="C312" s="33">
        <v>48.412916666666597</v>
      </c>
      <c r="D312" s="4">
        <f t="shared" si="1"/>
        <v>6</v>
      </c>
      <c r="E312" s="4" t="s">
        <v>73</v>
      </c>
      <c r="F312" s="34"/>
    </row>
    <row r="313" spans="1:6" ht="14.25" customHeight="1" x14ac:dyDescent="0.25">
      <c r="A313" s="31">
        <v>41795.5</v>
      </c>
      <c r="B313" s="32">
        <v>2105.5673333333302</v>
      </c>
      <c r="C313" s="33">
        <v>49.219999999999899</v>
      </c>
      <c r="D313" s="4">
        <f t="shared" si="1"/>
        <v>6</v>
      </c>
      <c r="E313" s="4" t="s">
        <v>73</v>
      </c>
      <c r="F313" s="34"/>
    </row>
    <row r="314" spans="1:6" ht="14.25" customHeight="1" x14ac:dyDescent="0.25">
      <c r="A314" s="31">
        <v>41796</v>
      </c>
      <c r="B314" s="32">
        <v>1923.17379166666</v>
      </c>
      <c r="C314" s="33">
        <v>51.047083333333298</v>
      </c>
      <c r="D314" s="4">
        <f t="shared" si="1"/>
        <v>6</v>
      </c>
      <c r="E314" s="4" t="s">
        <v>73</v>
      </c>
      <c r="F314" s="34"/>
    </row>
    <row r="315" spans="1:6" ht="14.25" customHeight="1" x14ac:dyDescent="0.25">
      <c r="A315" s="31">
        <v>41796.5</v>
      </c>
      <c r="B315" s="32">
        <v>2208.3795416666599</v>
      </c>
      <c r="C315" s="33">
        <v>53.327916666666603</v>
      </c>
      <c r="D315" s="4">
        <f t="shared" si="1"/>
        <v>6</v>
      </c>
      <c r="E315" s="4" t="s">
        <v>73</v>
      </c>
      <c r="F315" s="34"/>
    </row>
    <row r="316" spans="1:6" ht="14.25" customHeight="1" x14ac:dyDescent="0.25">
      <c r="A316" s="31">
        <v>41797</v>
      </c>
      <c r="B316" s="32">
        <v>1958.0631249999999</v>
      </c>
      <c r="C316" s="33">
        <v>46.842500000000001</v>
      </c>
      <c r="D316" s="4">
        <f t="shared" si="1"/>
        <v>6</v>
      </c>
      <c r="E316" s="4" t="s">
        <v>73</v>
      </c>
      <c r="F316" s="34"/>
    </row>
    <row r="317" spans="1:6" ht="14.25" customHeight="1" x14ac:dyDescent="0.25">
      <c r="A317" s="31">
        <v>41797.5</v>
      </c>
      <c r="B317" s="32">
        <v>2245.5582083333302</v>
      </c>
      <c r="C317" s="33">
        <v>56.6724999999999</v>
      </c>
      <c r="D317" s="4">
        <f t="shared" si="1"/>
        <v>6</v>
      </c>
      <c r="E317" s="4" t="s">
        <v>73</v>
      </c>
      <c r="F317" s="34"/>
    </row>
    <row r="318" spans="1:6" ht="14.25" customHeight="1" x14ac:dyDescent="0.25">
      <c r="A318" s="31">
        <v>41798</v>
      </c>
      <c r="B318" s="32">
        <v>1918.86162499999</v>
      </c>
      <c r="C318" s="33">
        <v>42.86</v>
      </c>
      <c r="D318" s="4">
        <f t="shared" si="1"/>
        <v>6</v>
      </c>
      <c r="E318" s="4" t="s">
        <v>73</v>
      </c>
      <c r="F318" s="34"/>
    </row>
    <row r="319" spans="1:6" ht="14.25" customHeight="1" x14ac:dyDescent="0.25">
      <c r="A319" s="31">
        <v>41798.5</v>
      </c>
      <c r="B319" s="32">
        <v>2000.08429166666</v>
      </c>
      <c r="C319" s="33">
        <v>53.180833333333297</v>
      </c>
      <c r="D319" s="4">
        <f t="shared" si="1"/>
        <v>6</v>
      </c>
      <c r="E319" s="4" t="s">
        <v>73</v>
      </c>
      <c r="F319" s="34"/>
    </row>
    <row r="320" spans="1:6" ht="14.25" customHeight="1" x14ac:dyDescent="0.25">
      <c r="A320" s="31">
        <v>41799</v>
      </c>
      <c r="B320" s="32">
        <v>1909.68320833333</v>
      </c>
      <c r="C320" s="33">
        <v>40.827083333333299</v>
      </c>
      <c r="D320" s="4">
        <f t="shared" si="1"/>
        <v>6</v>
      </c>
      <c r="E320" s="4" t="s">
        <v>73</v>
      </c>
      <c r="F320" s="34"/>
    </row>
    <row r="321" spans="1:6" ht="14.25" customHeight="1" x14ac:dyDescent="0.25">
      <c r="A321" s="31">
        <v>41799.5</v>
      </c>
      <c r="B321" s="32">
        <v>2065.2884583333298</v>
      </c>
      <c r="C321" s="33">
        <v>51.916249999999998</v>
      </c>
      <c r="D321" s="4">
        <f t="shared" si="1"/>
        <v>6</v>
      </c>
      <c r="E321" s="4" t="s">
        <v>73</v>
      </c>
      <c r="F321" s="34"/>
    </row>
    <row r="322" spans="1:6" ht="14.25" customHeight="1" x14ac:dyDescent="0.25">
      <c r="A322" s="31">
        <v>41800</v>
      </c>
      <c r="B322" s="32">
        <v>1660.33879166666</v>
      </c>
      <c r="C322" s="33">
        <v>58.307499999999997</v>
      </c>
      <c r="D322" s="4">
        <f t="shared" si="1"/>
        <v>6</v>
      </c>
      <c r="E322" s="4" t="s">
        <v>73</v>
      </c>
      <c r="F322" s="34"/>
    </row>
    <row r="323" spans="1:6" ht="14.25" customHeight="1" x14ac:dyDescent="0.25">
      <c r="A323" s="31">
        <v>41800.5</v>
      </c>
      <c r="B323" s="32">
        <v>1883.58904166666</v>
      </c>
      <c r="C323" s="33">
        <v>79.133749999999907</v>
      </c>
      <c r="D323" s="4">
        <f t="shared" si="1"/>
        <v>6</v>
      </c>
      <c r="E323" s="4" t="s">
        <v>73</v>
      </c>
      <c r="F323" s="34"/>
    </row>
    <row r="324" spans="1:6" ht="14.25" customHeight="1" x14ac:dyDescent="0.25">
      <c r="A324" s="31">
        <v>41801</v>
      </c>
      <c r="B324" s="32">
        <v>1905.7972916666599</v>
      </c>
      <c r="C324" s="33">
        <v>52.497499999999903</v>
      </c>
      <c r="D324" s="4">
        <f t="shared" si="1"/>
        <v>6</v>
      </c>
      <c r="E324" s="4" t="s">
        <v>73</v>
      </c>
      <c r="F324" s="34"/>
    </row>
    <row r="325" spans="1:6" ht="14.25" customHeight="1" x14ac:dyDescent="0.25">
      <c r="A325" s="31">
        <v>41801.5</v>
      </c>
      <c r="B325" s="32">
        <v>2126.8541249999998</v>
      </c>
      <c r="C325" s="33">
        <v>47.962916666666601</v>
      </c>
      <c r="D325" s="4">
        <f t="shared" si="1"/>
        <v>6</v>
      </c>
      <c r="E325" s="4" t="s">
        <v>73</v>
      </c>
      <c r="F325" s="34"/>
    </row>
    <row r="326" spans="1:6" ht="14.25" customHeight="1" x14ac:dyDescent="0.25">
      <c r="A326" s="31">
        <v>41802</v>
      </c>
      <c r="B326" s="32">
        <v>2100.2164583333301</v>
      </c>
      <c r="C326" s="33">
        <v>62.541249999999899</v>
      </c>
      <c r="D326" s="4">
        <f t="shared" si="1"/>
        <v>6</v>
      </c>
      <c r="E326" s="4" t="s">
        <v>73</v>
      </c>
      <c r="F326" s="34"/>
    </row>
    <row r="327" spans="1:6" ht="14.25" customHeight="1" x14ac:dyDescent="0.25">
      <c r="A327" s="31">
        <v>41802.5</v>
      </c>
      <c r="B327" s="32">
        <v>2545.1474166666599</v>
      </c>
      <c r="C327" s="33">
        <v>79.1875</v>
      </c>
      <c r="D327" s="4">
        <f t="shared" si="1"/>
        <v>6</v>
      </c>
      <c r="E327" s="4" t="s">
        <v>73</v>
      </c>
      <c r="F327" s="34"/>
    </row>
    <row r="328" spans="1:6" ht="14.25" customHeight="1" x14ac:dyDescent="0.25">
      <c r="A328" s="31">
        <v>41803</v>
      </c>
      <c r="B328" s="32">
        <v>2023.9495833333301</v>
      </c>
      <c r="C328" s="33">
        <v>38.7470833333333</v>
      </c>
      <c r="D328" s="4">
        <f t="shared" si="1"/>
        <v>6</v>
      </c>
      <c r="E328" s="4" t="s">
        <v>73</v>
      </c>
      <c r="F328" s="34"/>
    </row>
    <row r="329" spans="1:6" ht="14.25" customHeight="1" x14ac:dyDescent="0.25">
      <c r="A329" s="31">
        <v>41803.5</v>
      </c>
      <c r="B329" s="32">
        <v>2276.0501250000002</v>
      </c>
      <c r="C329" s="33">
        <v>49.417083333333302</v>
      </c>
      <c r="D329" s="4">
        <f t="shared" si="1"/>
        <v>6</v>
      </c>
      <c r="E329" s="4" t="s">
        <v>73</v>
      </c>
      <c r="F329" s="34"/>
    </row>
    <row r="330" spans="1:6" ht="14.25" customHeight="1" x14ac:dyDescent="0.25">
      <c r="A330" s="31">
        <v>41804</v>
      </c>
      <c r="B330" s="32">
        <v>1991.1601250000001</v>
      </c>
      <c r="C330" s="33">
        <v>41.010833333333302</v>
      </c>
      <c r="D330" s="4">
        <f t="shared" si="1"/>
        <v>6</v>
      </c>
      <c r="E330" s="4" t="s">
        <v>73</v>
      </c>
      <c r="F330" s="34"/>
    </row>
    <row r="331" spans="1:6" ht="14.25" customHeight="1" x14ac:dyDescent="0.25">
      <c r="A331" s="31">
        <v>41804.5</v>
      </c>
      <c r="B331" s="32">
        <v>2287.9387083333299</v>
      </c>
      <c r="C331" s="33">
        <v>48.966249999999903</v>
      </c>
      <c r="D331" s="4">
        <f t="shared" si="1"/>
        <v>6</v>
      </c>
      <c r="E331" s="4" t="s">
        <v>73</v>
      </c>
      <c r="F331" s="34"/>
    </row>
    <row r="332" spans="1:6" ht="14.25" customHeight="1" x14ac:dyDescent="0.25">
      <c r="A332" s="31">
        <v>41805</v>
      </c>
      <c r="B332" s="32">
        <v>1849.9232916666599</v>
      </c>
      <c r="C332" s="33">
        <v>46.856666666666598</v>
      </c>
      <c r="D332" s="4">
        <f t="shared" si="1"/>
        <v>6</v>
      </c>
      <c r="E332" s="4" t="s">
        <v>73</v>
      </c>
      <c r="F332" s="34"/>
    </row>
    <row r="333" spans="1:6" ht="14.25" customHeight="1" x14ac:dyDescent="0.25">
      <c r="A333" s="31">
        <v>41805.5</v>
      </c>
      <c r="B333" s="32">
        <v>2194.1292083333301</v>
      </c>
      <c r="C333" s="33">
        <v>60.067499999999903</v>
      </c>
      <c r="D333" s="4">
        <f t="shared" si="1"/>
        <v>6</v>
      </c>
      <c r="E333" s="4" t="s">
        <v>73</v>
      </c>
      <c r="F333" s="34"/>
    </row>
    <row r="334" spans="1:6" ht="14.25" customHeight="1" x14ac:dyDescent="0.25">
      <c r="A334" s="31">
        <v>41806</v>
      </c>
      <c r="B334" s="32">
        <v>1790.3879583333301</v>
      </c>
      <c r="C334" s="33">
        <v>46.485833333333296</v>
      </c>
      <c r="D334" s="4">
        <f t="shared" si="1"/>
        <v>6</v>
      </c>
      <c r="E334" s="4" t="s">
        <v>73</v>
      </c>
      <c r="F334" s="34"/>
    </row>
    <row r="335" spans="1:6" ht="14.25" customHeight="1" x14ac:dyDescent="0.25">
      <c r="A335" s="31">
        <v>41806.5</v>
      </c>
      <c r="B335" s="32">
        <v>2141.3363749999999</v>
      </c>
      <c r="C335" s="33">
        <v>63.379999999999903</v>
      </c>
      <c r="D335" s="4">
        <f t="shared" si="1"/>
        <v>6</v>
      </c>
      <c r="E335" s="4" t="s">
        <v>73</v>
      </c>
      <c r="F335" s="34"/>
    </row>
    <row r="336" spans="1:6" ht="14.25" customHeight="1" x14ac:dyDescent="0.25">
      <c r="A336" s="31">
        <v>41807</v>
      </c>
      <c r="B336" s="32">
        <v>2057.9334999999901</v>
      </c>
      <c r="C336" s="33">
        <v>56.775833333333303</v>
      </c>
      <c r="D336" s="4">
        <f t="shared" si="1"/>
        <v>6</v>
      </c>
      <c r="E336" s="4" t="s">
        <v>73</v>
      </c>
      <c r="F336" s="34"/>
    </row>
    <row r="337" spans="1:6" ht="14.25" customHeight="1" x14ac:dyDescent="0.25">
      <c r="A337" s="31">
        <v>41807.5</v>
      </c>
      <c r="B337" s="32">
        <v>2406.0681666666601</v>
      </c>
      <c r="C337" s="33">
        <v>71.761666666666599</v>
      </c>
      <c r="D337" s="4">
        <f t="shared" si="1"/>
        <v>6</v>
      </c>
      <c r="E337" s="4" t="s">
        <v>73</v>
      </c>
      <c r="F337" s="34"/>
    </row>
    <row r="338" spans="1:6" ht="14.25" customHeight="1" x14ac:dyDescent="0.25">
      <c r="A338" s="31">
        <v>41808</v>
      </c>
      <c r="B338" s="32">
        <v>2095.8654166666602</v>
      </c>
      <c r="C338" s="33">
        <v>57.215416666666599</v>
      </c>
      <c r="D338" s="4">
        <f t="shared" si="1"/>
        <v>6</v>
      </c>
      <c r="E338" s="4" t="s">
        <v>73</v>
      </c>
      <c r="F338" s="34"/>
    </row>
    <row r="339" spans="1:6" ht="14.25" customHeight="1" x14ac:dyDescent="0.25">
      <c r="A339" s="31">
        <v>41808.5</v>
      </c>
      <c r="B339" s="32">
        <v>2445.3009999999999</v>
      </c>
      <c r="C339" s="33">
        <v>72.071666666666601</v>
      </c>
      <c r="D339" s="4">
        <f t="shared" si="1"/>
        <v>6</v>
      </c>
      <c r="E339" s="4" t="s">
        <v>73</v>
      </c>
      <c r="F339" s="34"/>
    </row>
    <row r="340" spans="1:6" ht="14.25" customHeight="1" x14ac:dyDescent="0.25">
      <c r="A340" s="31">
        <v>41809</v>
      </c>
      <c r="B340" s="32">
        <v>2086.9225833333298</v>
      </c>
      <c r="C340" s="33">
        <v>55.789166666666603</v>
      </c>
      <c r="D340" s="4">
        <f t="shared" si="1"/>
        <v>6</v>
      </c>
      <c r="E340" s="4" t="s">
        <v>73</v>
      </c>
      <c r="F340" s="34"/>
    </row>
    <row r="341" spans="1:6" ht="14.25" customHeight="1" x14ac:dyDescent="0.25">
      <c r="A341" s="31">
        <v>41809.5</v>
      </c>
      <c r="B341" s="32">
        <v>2370.00979166666</v>
      </c>
      <c r="C341" s="33">
        <v>57.0787499999999</v>
      </c>
      <c r="D341" s="4">
        <f t="shared" si="1"/>
        <v>6</v>
      </c>
      <c r="E341" s="4" t="s">
        <v>73</v>
      </c>
      <c r="F341" s="34"/>
    </row>
    <row r="342" spans="1:6" ht="14.25" customHeight="1" x14ac:dyDescent="0.25">
      <c r="A342" s="31">
        <v>41810</v>
      </c>
      <c r="B342" s="32">
        <v>2085.0864166666602</v>
      </c>
      <c r="C342" s="33">
        <v>52.03875</v>
      </c>
      <c r="D342" s="4">
        <f t="shared" si="1"/>
        <v>6</v>
      </c>
      <c r="E342" s="4" t="s">
        <v>73</v>
      </c>
      <c r="F342" s="34"/>
    </row>
    <row r="343" spans="1:6" ht="14.25" customHeight="1" x14ac:dyDescent="0.25">
      <c r="A343" s="31">
        <v>41810.5</v>
      </c>
      <c r="B343" s="32">
        <v>2395.16129166666</v>
      </c>
      <c r="C343" s="33">
        <v>57.935000000000002</v>
      </c>
      <c r="D343" s="4">
        <f t="shared" si="1"/>
        <v>6</v>
      </c>
      <c r="E343" s="4" t="s">
        <v>73</v>
      </c>
      <c r="F343" s="34"/>
    </row>
    <row r="344" spans="1:6" ht="14.25" customHeight="1" x14ac:dyDescent="0.25">
      <c r="A344" s="31">
        <v>41811</v>
      </c>
      <c r="B344" s="32">
        <v>2235.5886666666602</v>
      </c>
      <c r="C344" s="33">
        <v>38.531111111111102</v>
      </c>
      <c r="D344" s="4">
        <f t="shared" si="1"/>
        <v>6</v>
      </c>
      <c r="E344" s="4" t="s">
        <v>73</v>
      </c>
      <c r="F344" s="34"/>
    </row>
    <row r="345" spans="1:6" ht="14.25" customHeight="1" x14ac:dyDescent="0.25">
      <c r="A345" s="31">
        <v>41811.5</v>
      </c>
      <c r="B345" s="32">
        <v>2318.01045833333</v>
      </c>
      <c r="C345" s="33">
        <v>51.300416666666599</v>
      </c>
      <c r="D345" s="4">
        <f t="shared" si="1"/>
        <v>6</v>
      </c>
      <c r="E345" s="4" t="s">
        <v>73</v>
      </c>
      <c r="F345" s="34"/>
    </row>
    <row r="346" spans="1:6" ht="14.25" customHeight="1" x14ac:dyDescent="0.25">
      <c r="A346" s="31">
        <v>41812</v>
      </c>
      <c r="B346" s="32">
        <v>2014.8761875</v>
      </c>
      <c r="C346" s="33">
        <v>35.748125000000002</v>
      </c>
      <c r="D346" s="4">
        <f t="shared" si="1"/>
        <v>6</v>
      </c>
      <c r="E346" s="4" t="s">
        <v>73</v>
      </c>
      <c r="F346" s="34"/>
    </row>
    <row r="347" spans="1:6" ht="14.25" customHeight="1" x14ac:dyDescent="0.25">
      <c r="A347" s="31">
        <v>41812.5</v>
      </c>
      <c r="B347" s="32">
        <v>2078.2272499999999</v>
      </c>
      <c r="C347" s="33">
        <v>43.7841666666666</v>
      </c>
      <c r="D347" s="4">
        <f t="shared" si="1"/>
        <v>6</v>
      </c>
      <c r="E347" s="4" t="s">
        <v>73</v>
      </c>
      <c r="F347" s="34"/>
    </row>
    <row r="348" spans="1:6" ht="14.25" customHeight="1" x14ac:dyDescent="0.25">
      <c r="A348" s="31">
        <v>41813</v>
      </c>
      <c r="B348" s="32">
        <v>1914.3522</v>
      </c>
      <c r="C348" s="33">
        <v>32.951000000000001</v>
      </c>
      <c r="D348" s="4">
        <f t="shared" si="1"/>
        <v>6</v>
      </c>
      <c r="E348" s="4" t="s">
        <v>73</v>
      </c>
      <c r="F348" s="34"/>
    </row>
    <row r="349" spans="1:6" ht="14.25" customHeight="1" x14ac:dyDescent="0.25">
      <c r="A349" s="31">
        <v>41813.5</v>
      </c>
      <c r="B349" s="32">
        <v>2149.4061666666598</v>
      </c>
      <c r="C349" s="33">
        <v>45.659583333333302</v>
      </c>
      <c r="D349" s="4">
        <f t="shared" si="1"/>
        <v>6</v>
      </c>
      <c r="E349" s="4" t="s">
        <v>73</v>
      </c>
      <c r="F349" s="34"/>
    </row>
    <row r="350" spans="1:6" ht="14.25" customHeight="1" x14ac:dyDescent="0.25">
      <c r="A350" s="31">
        <v>41814</v>
      </c>
      <c r="B350" s="32">
        <v>1990.1363181818101</v>
      </c>
      <c r="C350" s="33">
        <v>42.175909090909002</v>
      </c>
      <c r="D350" s="4">
        <f t="shared" si="1"/>
        <v>6</v>
      </c>
      <c r="E350" s="4" t="s">
        <v>73</v>
      </c>
      <c r="F350" s="34"/>
    </row>
    <row r="351" spans="1:6" ht="14.25" customHeight="1" x14ac:dyDescent="0.25">
      <c r="A351" s="31">
        <v>41814.5</v>
      </c>
      <c r="B351" s="32">
        <v>2258.9283333333301</v>
      </c>
      <c r="C351" s="33">
        <v>45.818750000000001</v>
      </c>
      <c r="D351" s="4">
        <f t="shared" si="1"/>
        <v>6</v>
      </c>
      <c r="E351" s="4" t="s">
        <v>73</v>
      </c>
      <c r="F351" s="34"/>
    </row>
    <row r="352" spans="1:6" ht="14.25" customHeight="1" x14ac:dyDescent="0.25">
      <c r="A352" s="31">
        <v>41815</v>
      </c>
      <c r="B352" s="32">
        <v>1961.3875</v>
      </c>
      <c r="C352" s="33">
        <v>45.181249999999999</v>
      </c>
      <c r="D352" s="4">
        <f t="shared" si="1"/>
        <v>6</v>
      </c>
      <c r="E352" s="4" t="s">
        <v>73</v>
      </c>
      <c r="F352" s="34"/>
    </row>
    <row r="353" spans="1:6" ht="14.25" customHeight="1" x14ac:dyDescent="0.25">
      <c r="A353" s="31">
        <v>41815.5</v>
      </c>
      <c r="B353" s="32">
        <v>2335.6261249999998</v>
      </c>
      <c r="C353" s="33">
        <v>59.650833333333303</v>
      </c>
      <c r="D353" s="4">
        <f t="shared" si="1"/>
        <v>6</v>
      </c>
      <c r="E353" s="4" t="s">
        <v>73</v>
      </c>
      <c r="F353" s="34"/>
    </row>
    <row r="354" spans="1:6" ht="14.25" customHeight="1" x14ac:dyDescent="0.25">
      <c r="A354" s="31">
        <v>41816</v>
      </c>
      <c r="B354" s="32">
        <v>2000.8362916666599</v>
      </c>
      <c r="C354" s="33">
        <v>53.089999999999897</v>
      </c>
      <c r="D354" s="4">
        <f t="shared" si="1"/>
        <v>6</v>
      </c>
      <c r="E354" s="4" t="s">
        <v>73</v>
      </c>
      <c r="F354" s="34"/>
    </row>
    <row r="355" spans="1:6" ht="14.25" customHeight="1" x14ac:dyDescent="0.25">
      <c r="A355" s="31">
        <v>41816.5</v>
      </c>
      <c r="B355" s="32">
        <v>2338.0388749999902</v>
      </c>
      <c r="C355" s="33">
        <v>59.624166666666603</v>
      </c>
      <c r="D355" s="4">
        <f t="shared" si="1"/>
        <v>6</v>
      </c>
      <c r="E355" s="4" t="s">
        <v>73</v>
      </c>
      <c r="F355" s="34"/>
    </row>
    <row r="356" spans="1:6" ht="14.25" customHeight="1" x14ac:dyDescent="0.25">
      <c r="A356" s="31">
        <v>41817</v>
      </c>
      <c r="B356" s="32">
        <v>2019.33712499999</v>
      </c>
      <c r="C356" s="33">
        <v>52.540833333333303</v>
      </c>
      <c r="D356" s="4">
        <f t="shared" si="1"/>
        <v>6</v>
      </c>
      <c r="E356" s="4" t="s">
        <v>73</v>
      </c>
      <c r="F356" s="34"/>
    </row>
    <row r="357" spans="1:6" ht="14.25" customHeight="1" x14ac:dyDescent="0.25">
      <c r="A357" s="31">
        <v>41817.5</v>
      </c>
      <c r="B357" s="32">
        <v>2289.0407083333298</v>
      </c>
      <c r="C357" s="33">
        <v>52.706666666666599</v>
      </c>
      <c r="D357" s="4">
        <f t="shared" si="1"/>
        <v>6</v>
      </c>
      <c r="E357" s="4" t="s">
        <v>73</v>
      </c>
      <c r="F357" s="34"/>
    </row>
    <row r="358" spans="1:6" ht="14.25" customHeight="1" x14ac:dyDescent="0.25">
      <c r="A358" s="31">
        <v>41818</v>
      </c>
      <c r="B358" s="32">
        <v>1994.4352083333299</v>
      </c>
      <c r="C358" s="33">
        <v>50.466250000000002</v>
      </c>
      <c r="D358" s="4">
        <f t="shared" si="1"/>
        <v>6</v>
      </c>
      <c r="E358" s="4" t="s">
        <v>73</v>
      </c>
      <c r="F358" s="34"/>
    </row>
    <row r="359" spans="1:6" ht="14.25" customHeight="1" x14ac:dyDescent="0.25">
      <c r="A359" s="31">
        <v>41818.5</v>
      </c>
      <c r="B359" s="32">
        <v>2222.3777083333298</v>
      </c>
      <c r="C359" s="33">
        <v>57.713333333333303</v>
      </c>
      <c r="D359" s="4">
        <f t="shared" si="1"/>
        <v>6</v>
      </c>
      <c r="E359" s="4" t="s">
        <v>73</v>
      </c>
      <c r="F359" s="34"/>
    </row>
    <row r="360" spans="1:6" ht="14.25" customHeight="1" x14ac:dyDescent="0.25">
      <c r="A360" s="31">
        <v>41819</v>
      </c>
      <c r="B360" s="32">
        <v>1792.535625</v>
      </c>
      <c r="C360" s="33">
        <v>33.4791666666666</v>
      </c>
      <c r="D360" s="4">
        <f t="shared" si="1"/>
        <v>6</v>
      </c>
      <c r="E360" s="4" t="s">
        <v>73</v>
      </c>
      <c r="F360" s="34"/>
    </row>
    <row r="361" spans="1:6" ht="14.25" customHeight="1" x14ac:dyDescent="0.25">
      <c r="A361" s="31">
        <v>41819.5</v>
      </c>
      <c r="B361" s="32">
        <v>2035.47041666666</v>
      </c>
      <c r="C361" s="33">
        <v>48.625</v>
      </c>
      <c r="D361" s="4">
        <f t="shared" si="1"/>
        <v>6</v>
      </c>
      <c r="E361" s="4" t="s">
        <v>73</v>
      </c>
      <c r="F361" s="34"/>
    </row>
    <row r="362" spans="1:6" ht="14.25" customHeight="1" x14ac:dyDescent="0.25">
      <c r="A362" s="31">
        <v>41820</v>
      </c>
      <c r="B362" s="32">
        <v>1825.59381249999</v>
      </c>
      <c r="C362" s="33">
        <v>34.729374999999997</v>
      </c>
      <c r="D362" s="4">
        <f t="shared" si="1"/>
        <v>6</v>
      </c>
      <c r="E362" s="4" t="s">
        <v>73</v>
      </c>
      <c r="F362" s="34"/>
    </row>
    <row r="363" spans="1:6" ht="14.25" customHeight="1" x14ac:dyDescent="0.25">
      <c r="A363" s="31">
        <v>41820.5</v>
      </c>
      <c r="B363" s="32">
        <v>2076.4887916666598</v>
      </c>
      <c r="C363" s="33">
        <v>54.031249999999901</v>
      </c>
      <c r="D363" s="4">
        <f t="shared" si="1"/>
        <v>6</v>
      </c>
      <c r="E363" s="4" t="s">
        <v>73</v>
      </c>
      <c r="F363" s="34"/>
    </row>
    <row r="364" spans="1:6" ht="14.25" customHeight="1" x14ac:dyDescent="0.25">
      <c r="A364" s="31">
        <v>41821</v>
      </c>
      <c r="B364" s="32">
        <v>2384.7628749999999</v>
      </c>
      <c r="C364" s="33">
        <v>80.355500000000006</v>
      </c>
      <c r="D364" s="4">
        <f t="shared" si="1"/>
        <v>7</v>
      </c>
      <c r="E364" s="4" t="s">
        <v>73</v>
      </c>
      <c r="F364" s="34"/>
    </row>
    <row r="365" spans="1:6" ht="14.25" customHeight="1" x14ac:dyDescent="0.25">
      <c r="A365" s="31">
        <v>41821.5</v>
      </c>
      <c r="B365" s="32">
        <v>3175.5055000000002</v>
      </c>
      <c r="C365" s="33">
        <v>197.62691666666601</v>
      </c>
      <c r="D365" s="4">
        <f t="shared" si="1"/>
        <v>7</v>
      </c>
      <c r="E365" s="4" t="s">
        <v>73</v>
      </c>
      <c r="F365" s="34"/>
    </row>
    <row r="366" spans="1:6" ht="14.25" customHeight="1" x14ac:dyDescent="0.25">
      <c r="A366" s="31">
        <v>41822</v>
      </c>
      <c r="B366" s="32">
        <v>1879.307</v>
      </c>
      <c r="C366" s="33">
        <v>38.401499999999999</v>
      </c>
      <c r="D366" s="4">
        <f t="shared" si="1"/>
        <v>7</v>
      </c>
      <c r="E366" s="4" t="s">
        <v>73</v>
      </c>
      <c r="F366" s="34"/>
    </row>
    <row r="367" spans="1:6" ht="14.25" customHeight="1" x14ac:dyDescent="0.25">
      <c r="A367" s="31">
        <v>41822.5</v>
      </c>
      <c r="B367" s="32">
        <v>2233.8377500000001</v>
      </c>
      <c r="C367" s="33">
        <v>43.864916666666602</v>
      </c>
      <c r="D367" s="4">
        <f t="shared" si="1"/>
        <v>7</v>
      </c>
      <c r="E367" s="4" t="s">
        <v>73</v>
      </c>
      <c r="F367" s="34"/>
    </row>
    <row r="368" spans="1:6" ht="14.25" customHeight="1" x14ac:dyDescent="0.25">
      <c r="A368" s="31">
        <v>41823</v>
      </c>
      <c r="B368" s="32">
        <v>2098.0626499999998</v>
      </c>
      <c r="C368" s="33">
        <v>44.829500000000003</v>
      </c>
      <c r="D368" s="4">
        <f t="shared" si="1"/>
        <v>7</v>
      </c>
      <c r="E368" s="4" t="s">
        <v>73</v>
      </c>
      <c r="F368" s="34"/>
    </row>
    <row r="369" spans="1:6" ht="14.25" customHeight="1" x14ac:dyDescent="0.25">
      <c r="A369" s="31">
        <v>41823.5</v>
      </c>
      <c r="B369" s="32">
        <v>2477.5514583333302</v>
      </c>
      <c r="C369" s="33">
        <v>61.380749999999999</v>
      </c>
      <c r="D369" s="4">
        <f t="shared" si="1"/>
        <v>7</v>
      </c>
      <c r="E369" s="4" t="s">
        <v>73</v>
      </c>
      <c r="F369" s="34"/>
    </row>
    <row r="370" spans="1:6" ht="14.25" customHeight="1" x14ac:dyDescent="0.25">
      <c r="A370" s="31">
        <v>41824</v>
      </c>
      <c r="B370" s="32">
        <v>1810.3757499999999</v>
      </c>
      <c r="C370" s="33">
        <v>26.107499999999899</v>
      </c>
      <c r="D370" s="4">
        <f t="shared" si="1"/>
        <v>7</v>
      </c>
      <c r="E370" s="4" t="s">
        <v>73</v>
      </c>
      <c r="F370" s="34"/>
    </row>
    <row r="371" spans="1:6" ht="14.25" customHeight="1" x14ac:dyDescent="0.25">
      <c r="A371" s="31">
        <v>41824.5</v>
      </c>
      <c r="B371" s="32">
        <v>2138.3887916666599</v>
      </c>
      <c r="C371" s="33">
        <v>45.783333333333303</v>
      </c>
      <c r="D371" s="4">
        <f t="shared" si="1"/>
        <v>7</v>
      </c>
      <c r="E371" s="4" t="s">
        <v>73</v>
      </c>
      <c r="F371" s="34"/>
    </row>
    <row r="372" spans="1:6" ht="14.25" customHeight="1" x14ac:dyDescent="0.25">
      <c r="A372" s="31">
        <v>41825</v>
      </c>
      <c r="B372" s="32">
        <v>1767.7639999999999</v>
      </c>
      <c r="C372" s="33">
        <v>51.353749999999998</v>
      </c>
      <c r="D372" s="4">
        <f t="shared" si="1"/>
        <v>7</v>
      </c>
      <c r="E372" s="4" t="s">
        <v>73</v>
      </c>
      <c r="F372" s="34"/>
    </row>
    <row r="373" spans="1:6" ht="14.25" customHeight="1" x14ac:dyDescent="0.25">
      <c r="A373" s="31">
        <v>41825.5</v>
      </c>
      <c r="B373" s="32">
        <v>2166.1871000000001</v>
      </c>
      <c r="C373" s="33">
        <v>42.387</v>
      </c>
      <c r="D373" s="4">
        <f t="shared" si="1"/>
        <v>7</v>
      </c>
      <c r="E373" s="4" t="s">
        <v>73</v>
      </c>
      <c r="F373" s="34"/>
    </row>
    <row r="374" spans="1:6" ht="14.25" customHeight="1" x14ac:dyDescent="0.25">
      <c r="A374" s="31">
        <v>41826</v>
      </c>
      <c r="B374" s="32">
        <v>1971.0527499999901</v>
      </c>
      <c r="C374" s="33">
        <v>52.655000000000001</v>
      </c>
      <c r="D374" s="4">
        <f t="shared" si="1"/>
        <v>7</v>
      </c>
      <c r="E374" s="4" t="s">
        <v>73</v>
      </c>
      <c r="F374" s="34"/>
    </row>
    <row r="375" spans="1:6" ht="14.25" customHeight="1" x14ac:dyDescent="0.25">
      <c r="A375" s="31">
        <v>41826.5</v>
      </c>
      <c r="B375" s="32">
        <v>2203.1564166666599</v>
      </c>
      <c r="C375" s="33">
        <v>53.036666666666598</v>
      </c>
      <c r="D375" s="4">
        <f t="shared" si="1"/>
        <v>7</v>
      </c>
      <c r="E375" s="4" t="s">
        <v>73</v>
      </c>
      <c r="F375" s="34"/>
    </row>
    <row r="376" spans="1:6" ht="14.25" customHeight="1" x14ac:dyDescent="0.25">
      <c r="A376" s="31">
        <v>41827</v>
      </c>
      <c r="B376" s="32">
        <v>1859.2815416666599</v>
      </c>
      <c r="C376" s="33">
        <v>36.664583333333297</v>
      </c>
      <c r="D376" s="4">
        <f t="shared" si="1"/>
        <v>7</v>
      </c>
      <c r="E376" s="4" t="s">
        <v>73</v>
      </c>
      <c r="F376" s="34"/>
    </row>
    <row r="377" spans="1:6" ht="14.25" customHeight="1" x14ac:dyDescent="0.25">
      <c r="A377" s="31">
        <v>41827.5</v>
      </c>
      <c r="B377" s="32">
        <v>2249.0152916666598</v>
      </c>
      <c r="C377" s="33">
        <v>70.017499999999998</v>
      </c>
      <c r="D377" s="4">
        <f t="shared" si="1"/>
        <v>7</v>
      </c>
      <c r="E377" s="4" t="s">
        <v>73</v>
      </c>
      <c r="F377" s="34"/>
    </row>
    <row r="378" spans="1:6" ht="14.25" customHeight="1" x14ac:dyDescent="0.25">
      <c r="A378" s="31">
        <v>41828</v>
      </c>
      <c r="B378" s="32">
        <v>1922.1611249999901</v>
      </c>
      <c r="C378" s="33">
        <v>45.737083333333302</v>
      </c>
      <c r="D378" s="4">
        <f t="shared" si="1"/>
        <v>7</v>
      </c>
      <c r="E378" s="4" t="s">
        <v>73</v>
      </c>
      <c r="F378" s="34"/>
    </row>
    <row r="379" spans="1:6" ht="14.25" customHeight="1" x14ac:dyDescent="0.25">
      <c r="A379" s="31">
        <v>41828.5</v>
      </c>
      <c r="B379" s="32">
        <v>2221.432875</v>
      </c>
      <c r="C379" s="33">
        <v>47.952916666666603</v>
      </c>
      <c r="D379" s="4">
        <f t="shared" si="1"/>
        <v>7</v>
      </c>
      <c r="E379" s="4" t="s">
        <v>73</v>
      </c>
      <c r="F379" s="34"/>
    </row>
    <row r="380" spans="1:6" ht="14.25" customHeight="1" x14ac:dyDescent="0.25">
      <c r="A380" s="31">
        <v>41829</v>
      </c>
      <c r="B380" s="32">
        <v>1745.8321249999999</v>
      </c>
      <c r="C380" s="33">
        <v>48.643333333333302</v>
      </c>
      <c r="D380" s="4">
        <f t="shared" si="1"/>
        <v>7</v>
      </c>
      <c r="E380" s="4" t="s">
        <v>73</v>
      </c>
      <c r="F380" s="34"/>
    </row>
    <row r="381" spans="1:6" ht="14.25" customHeight="1" x14ac:dyDescent="0.25">
      <c r="A381" s="31">
        <v>41829.5</v>
      </c>
      <c r="B381" s="32">
        <v>2018.5865833333301</v>
      </c>
      <c r="C381" s="33">
        <v>53.9433333333333</v>
      </c>
      <c r="D381" s="4">
        <f t="shared" si="1"/>
        <v>7</v>
      </c>
      <c r="E381" s="4" t="s">
        <v>73</v>
      </c>
      <c r="F381" s="34"/>
    </row>
    <row r="382" spans="1:6" ht="14.25" customHeight="1" x14ac:dyDescent="0.25">
      <c r="A382" s="31">
        <v>41830</v>
      </c>
      <c r="B382" s="32">
        <v>1857.62129166666</v>
      </c>
      <c r="C382" s="33">
        <v>78.154166666666598</v>
      </c>
      <c r="D382" s="4">
        <f t="shared" si="1"/>
        <v>7</v>
      </c>
      <c r="E382" s="4" t="s">
        <v>73</v>
      </c>
      <c r="F382" s="34"/>
    </row>
    <row r="383" spans="1:6" ht="14.25" customHeight="1" x14ac:dyDescent="0.25">
      <c r="A383" s="31">
        <v>41830.5</v>
      </c>
      <c r="B383" s="32">
        <v>2091.5625416666599</v>
      </c>
      <c r="C383" s="33">
        <v>72.477916666666601</v>
      </c>
      <c r="D383" s="4">
        <f t="shared" si="1"/>
        <v>7</v>
      </c>
      <c r="E383" s="4" t="s">
        <v>73</v>
      </c>
      <c r="F383" s="34"/>
    </row>
    <row r="384" spans="1:6" ht="14.25" customHeight="1" x14ac:dyDescent="0.25">
      <c r="A384" s="31">
        <v>41831</v>
      </c>
      <c r="B384" s="32">
        <v>1880.002375</v>
      </c>
      <c r="C384" s="33">
        <v>43.243333333333297</v>
      </c>
      <c r="D384" s="4">
        <f t="shared" si="1"/>
        <v>7</v>
      </c>
      <c r="E384" s="4" t="s">
        <v>73</v>
      </c>
      <c r="F384" s="34"/>
    </row>
    <row r="385" spans="1:6" ht="14.25" customHeight="1" x14ac:dyDescent="0.25">
      <c r="A385" s="31">
        <v>41831.5</v>
      </c>
      <c r="B385" s="32">
        <v>2144.029</v>
      </c>
      <c r="C385" s="33">
        <v>67.462083333333297</v>
      </c>
      <c r="D385" s="4">
        <f t="shared" si="1"/>
        <v>7</v>
      </c>
      <c r="E385" s="4" t="s">
        <v>73</v>
      </c>
      <c r="F385" s="34"/>
    </row>
    <row r="386" spans="1:6" ht="14.25" customHeight="1" x14ac:dyDescent="0.25">
      <c r="A386" s="31">
        <v>41832</v>
      </c>
      <c r="B386" s="32">
        <v>1942.2773749999999</v>
      </c>
      <c r="C386" s="33">
        <v>50.933333333333302</v>
      </c>
      <c r="D386" s="4">
        <f t="shared" si="1"/>
        <v>7</v>
      </c>
      <c r="E386" s="4" t="s">
        <v>73</v>
      </c>
      <c r="F386" s="34"/>
    </row>
    <row r="387" spans="1:6" ht="14.25" customHeight="1" x14ac:dyDescent="0.25">
      <c r="A387" s="31">
        <v>41832.5</v>
      </c>
      <c r="B387" s="32">
        <v>2156.9050833333299</v>
      </c>
      <c r="C387" s="33">
        <v>50.860833333333296</v>
      </c>
      <c r="D387" s="4">
        <f t="shared" si="1"/>
        <v>7</v>
      </c>
      <c r="E387" s="4" t="s">
        <v>73</v>
      </c>
      <c r="F387" s="34"/>
    </row>
    <row r="388" spans="1:6" ht="14.25" customHeight="1" x14ac:dyDescent="0.25">
      <c r="A388" s="31">
        <v>41833</v>
      </c>
      <c r="B388" s="32">
        <v>1863.51966666666</v>
      </c>
      <c r="C388" s="33">
        <v>46.814583333333303</v>
      </c>
      <c r="D388" s="4">
        <f t="shared" si="1"/>
        <v>7</v>
      </c>
      <c r="E388" s="4" t="s">
        <v>73</v>
      </c>
      <c r="F388" s="34"/>
    </row>
    <row r="389" spans="1:6" ht="14.25" customHeight="1" x14ac:dyDescent="0.25">
      <c r="A389" s="31">
        <v>41833.5</v>
      </c>
      <c r="B389" s="32">
        <v>2113.2942083333301</v>
      </c>
      <c r="C389" s="33">
        <v>65.967083333333306</v>
      </c>
      <c r="D389" s="4">
        <f t="shared" si="1"/>
        <v>7</v>
      </c>
      <c r="E389" s="4" t="s">
        <v>73</v>
      </c>
      <c r="F389" s="34"/>
    </row>
    <row r="390" spans="1:6" ht="14.25" customHeight="1" x14ac:dyDescent="0.25">
      <c r="A390" s="31">
        <v>41834</v>
      </c>
      <c r="B390" s="32">
        <v>1727.4197916666601</v>
      </c>
      <c r="C390" s="33">
        <v>52.462499999999999</v>
      </c>
      <c r="D390" s="4">
        <f t="shared" si="1"/>
        <v>7</v>
      </c>
      <c r="E390" s="4" t="s">
        <v>73</v>
      </c>
      <c r="F390" s="34"/>
    </row>
    <row r="391" spans="1:6" ht="14.25" customHeight="1" x14ac:dyDescent="0.25">
      <c r="A391" s="31">
        <v>41834.5</v>
      </c>
      <c r="B391" s="32">
        <v>2095.5535</v>
      </c>
      <c r="C391" s="33">
        <v>67.153750000000002</v>
      </c>
      <c r="D391" s="4">
        <f t="shared" si="1"/>
        <v>7</v>
      </c>
      <c r="E391" s="4" t="s">
        <v>73</v>
      </c>
      <c r="F391" s="34"/>
    </row>
    <row r="392" spans="1:6" ht="14.25" customHeight="1" x14ac:dyDescent="0.25">
      <c r="A392" s="31">
        <v>41835</v>
      </c>
      <c r="B392" s="32">
        <v>1967.7181249999901</v>
      </c>
      <c r="C392" s="33">
        <v>57.936250000000001</v>
      </c>
      <c r="D392" s="4">
        <f t="shared" si="1"/>
        <v>7</v>
      </c>
      <c r="E392" s="4" t="s">
        <v>73</v>
      </c>
      <c r="F392" s="34"/>
    </row>
    <row r="393" spans="1:6" ht="14.25" customHeight="1" x14ac:dyDescent="0.25">
      <c r="A393" s="31">
        <v>41835.5</v>
      </c>
      <c r="B393" s="32">
        <v>2343.9105</v>
      </c>
      <c r="C393" s="33">
        <v>59.931666666666601</v>
      </c>
      <c r="D393" s="4">
        <f t="shared" si="1"/>
        <v>7</v>
      </c>
      <c r="E393" s="4" t="s">
        <v>73</v>
      </c>
      <c r="F393" s="34"/>
    </row>
    <row r="394" spans="1:6" ht="14.25" customHeight="1" x14ac:dyDescent="0.25">
      <c r="A394" s="31">
        <v>41836</v>
      </c>
      <c r="B394" s="32">
        <v>2027.19783333333</v>
      </c>
      <c r="C394" s="33">
        <v>60.722499999999997</v>
      </c>
      <c r="D394" s="4">
        <f t="shared" si="1"/>
        <v>7</v>
      </c>
      <c r="E394" s="4" t="s">
        <v>73</v>
      </c>
      <c r="F394" s="34"/>
    </row>
    <row r="395" spans="1:6" ht="14.25" customHeight="1" x14ac:dyDescent="0.25">
      <c r="A395" s="31">
        <v>41836.5</v>
      </c>
      <c r="B395" s="32">
        <v>2471.7156249999998</v>
      </c>
      <c r="C395" s="33">
        <v>59.856250000000003</v>
      </c>
      <c r="D395" s="4">
        <f t="shared" si="1"/>
        <v>7</v>
      </c>
      <c r="E395" s="4" t="s">
        <v>73</v>
      </c>
      <c r="F395" s="34"/>
    </row>
    <row r="396" spans="1:6" ht="14.25" customHeight="1" x14ac:dyDescent="0.25">
      <c r="A396" s="31">
        <v>41837</v>
      </c>
      <c r="B396" s="32">
        <v>2030.9194583333301</v>
      </c>
      <c r="C396" s="33">
        <v>51.819999999999901</v>
      </c>
      <c r="D396" s="4">
        <f t="shared" si="1"/>
        <v>7</v>
      </c>
      <c r="E396" s="4" t="s">
        <v>73</v>
      </c>
      <c r="F396" s="34"/>
    </row>
    <row r="397" spans="1:6" ht="14.25" customHeight="1" x14ac:dyDescent="0.25">
      <c r="A397" s="31">
        <v>41837.5</v>
      </c>
      <c r="B397" s="32">
        <v>2445.4532083333302</v>
      </c>
      <c r="C397" s="33">
        <v>76.141666666666595</v>
      </c>
      <c r="D397" s="4">
        <f t="shared" si="1"/>
        <v>7</v>
      </c>
      <c r="E397" s="4" t="s">
        <v>73</v>
      </c>
      <c r="F397" s="34"/>
    </row>
    <row r="398" spans="1:6" ht="14.25" customHeight="1" x14ac:dyDescent="0.25">
      <c r="A398" s="31">
        <v>41838</v>
      </c>
      <c r="B398" s="32">
        <v>2128.7746666666599</v>
      </c>
      <c r="C398" s="33">
        <v>66.974999999999994</v>
      </c>
      <c r="D398" s="4">
        <f t="shared" si="1"/>
        <v>7</v>
      </c>
      <c r="E398" s="4" t="s">
        <v>73</v>
      </c>
      <c r="F398" s="34"/>
    </row>
    <row r="399" spans="1:6" ht="14.25" customHeight="1" x14ac:dyDescent="0.25">
      <c r="A399" s="31">
        <v>41838.5</v>
      </c>
      <c r="B399" s="32">
        <v>2486.29025</v>
      </c>
      <c r="C399" s="33">
        <v>82.171666666666596</v>
      </c>
      <c r="D399" s="4">
        <f t="shared" si="1"/>
        <v>7</v>
      </c>
      <c r="E399" s="4" t="s">
        <v>73</v>
      </c>
      <c r="F399" s="34"/>
    </row>
    <row r="400" spans="1:6" ht="14.25" customHeight="1" x14ac:dyDescent="0.25">
      <c r="A400" s="31">
        <v>41839</v>
      </c>
      <c r="B400" s="32">
        <v>2153.5862499999998</v>
      </c>
      <c r="C400" s="33">
        <v>50.0162499999999</v>
      </c>
      <c r="D400" s="4">
        <f t="shared" si="1"/>
        <v>7</v>
      </c>
      <c r="E400" s="4" t="s">
        <v>73</v>
      </c>
      <c r="F400" s="34"/>
    </row>
    <row r="401" spans="1:6" ht="14.25" customHeight="1" x14ac:dyDescent="0.25">
      <c r="A401" s="31">
        <v>41839.5</v>
      </c>
      <c r="B401" s="32">
        <v>2445.9498749999998</v>
      </c>
      <c r="C401" s="33">
        <v>64.713333333333296</v>
      </c>
      <c r="D401" s="4">
        <f t="shared" si="1"/>
        <v>7</v>
      </c>
      <c r="E401" s="4" t="s">
        <v>73</v>
      </c>
      <c r="F401" s="34"/>
    </row>
    <row r="402" spans="1:6" ht="14.25" customHeight="1" x14ac:dyDescent="0.25">
      <c r="A402" s="31">
        <v>41840</v>
      </c>
      <c r="B402" s="32">
        <v>1976.4664166666601</v>
      </c>
      <c r="C402" s="33">
        <v>44.022500000000001</v>
      </c>
      <c r="D402" s="4">
        <f t="shared" si="1"/>
        <v>7</v>
      </c>
      <c r="E402" s="4" t="s">
        <v>73</v>
      </c>
      <c r="F402" s="34"/>
    </row>
    <row r="403" spans="1:6" ht="14.25" customHeight="1" x14ac:dyDescent="0.25">
      <c r="A403" s="31">
        <v>41840.5</v>
      </c>
      <c r="B403" s="32">
        <v>2273.79779166666</v>
      </c>
      <c r="C403" s="33">
        <v>54.5445833333333</v>
      </c>
      <c r="D403" s="4">
        <f t="shared" si="1"/>
        <v>7</v>
      </c>
      <c r="E403" s="4" t="s">
        <v>73</v>
      </c>
      <c r="F403" s="34"/>
    </row>
    <row r="404" spans="1:6" ht="14.25" customHeight="1" x14ac:dyDescent="0.25">
      <c r="A404" s="31">
        <v>41841</v>
      </c>
      <c r="B404" s="32">
        <v>1887.0905416666601</v>
      </c>
      <c r="C404" s="33">
        <v>44.419166666666598</v>
      </c>
      <c r="D404" s="4">
        <f t="shared" si="1"/>
        <v>7</v>
      </c>
      <c r="E404" s="4" t="s">
        <v>73</v>
      </c>
      <c r="F404" s="34"/>
    </row>
    <row r="405" spans="1:6" ht="14.25" customHeight="1" x14ac:dyDescent="0.25">
      <c r="A405" s="31">
        <v>41841.5</v>
      </c>
      <c r="B405" s="32">
        <v>2286.2764583333301</v>
      </c>
      <c r="C405" s="33">
        <v>74.711666666666602</v>
      </c>
      <c r="D405" s="4">
        <f t="shared" si="1"/>
        <v>7</v>
      </c>
      <c r="E405" s="4" t="s">
        <v>73</v>
      </c>
      <c r="F405" s="34"/>
    </row>
    <row r="406" spans="1:6" ht="14.25" customHeight="1" x14ac:dyDescent="0.25">
      <c r="A406" s="31">
        <v>41842</v>
      </c>
      <c r="B406" s="32">
        <v>2117.26695833333</v>
      </c>
      <c r="C406" s="33">
        <v>43.5283333333333</v>
      </c>
      <c r="D406" s="4">
        <f t="shared" si="1"/>
        <v>7</v>
      </c>
      <c r="E406" s="4" t="s">
        <v>73</v>
      </c>
      <c r="F406" s="34"/>
    </row>
    <row r="407" spans="1:6" ht="14.25" customHeight="1" x14ac:dyDescent="0.25">
      <c r="A407" s="31">
        <v>41842.5</v>
      </c>
      <c r="B407" s="32">
        <v>2382.9783333333298</v>
      </c>
      <c r="C407" s="33">
        <v>58.199583333333301</v>
      </c>
      <c r="D407" s="4">
        <f t="shared" si="1"/>
        <v>7</v>
      </c>
      <c r="E407" s="4" t="s">
        <v>73</v>
      </c>
      <c r="F407" s="34"/>
    </row>
    <row r="408" spans="1:6" ht="14.25" customHeight="1" x14ac:dyDescent="0.25">
      <c r="A408" s="31">
        <v>41843</v>
      </c>
      <c r="B408" s="32">
        <v>2141.53866666666</v>
      </c>
      <c r="C408" s="33">
        <v>38.403888888888801</v>
      </c>
      <c r="D408" s="4">
        <f t="shared" si="1"/>
        <v>7</v>
      </c>
      <c r="E408" s="4" t="s">
        <v>73</v>
      </c>
      <c r="F408" s="34"/>
    </row>
    <row r="409" spans="1:6" ht="14.25" customHeight="1" x14ac:dyDescent="0.25">
      <c r="A409" s="31">
        <v>41843.5</v>
      </c>
      <c r="B409" s="32">
        <v>2240.2341666666598</v>
      </c>
      <c r="C409" s="33">
        <v>48.528750000000002</v>
      </c>
      <c r="D409" s="4">
        <f t="shared" si="1"/>
        <v>7</v>
      </c>
      <c r="E409" s="4" t="s">
        <v>73</v>
      </c>
      <c r="F409" s="34"/>
    </row>
    <row r="410" spans="1:6" ht="14.25" customHeight="1" x14ac:dyDescent="0.25">
      <c r="A410" s="31">
        <v>41844</v>
      </c>
      <c r="B410" s="32">
        <v>1878.19175</v>
      </c>
      <c r="C410" s="33">
        <v>45.454583333333296</v>
      </c>
      <c r="D410" s="4">
        <f t="shared" si="1"/>
        <v>7</v>
      </c>
      <c r="E410" s="4" t="s">
        <v>73</v>
      </c>
      <c r="F410" s="34"/>
    </row>
    <row r="411" spans="1:6" ht="14.25" customHeight="1" x14ac:dyDescent="0.25">
      <c r="A411" s="31">
        <v>41844.5</v>
      </c>
      <c r="B411" s="32">
        <v>2191.5256250000002</v>
      </c>
      <c r="C411" s="33">
        <v>65.091249999999903</v>
      </c>
      <c r="D411" s="4">
        <f t="shared" si="1"/>
        <v>7</v>
      </c>
      <c r="E411" s="4" t="s">
        <v>73</v>
      </c>
      <c r="F411" s="34"/>
    </row>
    <row r="412" spans="1:6" ht="14.25" customHeight="1" x14ac:dyDescent="0.25">
      <c r="A412" s="31">
        <v>41845</v>
      </c>
      <c r="B412" s="32">
        <v>1887.7463749999899</v>
      </c>
      <c r="C412" s="33">
        <v>53.253749999999997</v>
      </c>
      <c r="D412" s="4">
        <f t="shared" si="1"/>
        <v>7</v>
      </c>
      <c r="E412" s="4" t="s">
        <v>73</v>
      </c>
      <c r="F412" s="34"/>
    </row>
    <row r="413" spans="1:6" ht="14.25" customHeight="1" x14ac:dyDescent="0.25">
      <c r="A413" s="31">
        <v>41845.5</v>
      </c>
      <c r="B413" s="32">
        <v>2213.9628333333299</v>
      </c>
      <c r="C413" s="33">
        <v>62.634999999999899</v>
      </c>
      <c r="D413" s="4">
        <f t="shared" si="1"/>
        <v>7</v>
      </c>
      <c r="E413" s="4" t="s">
        <v>73</v>
      </c>
      <c r="F413" s="34"/>
    </row>
    <row r="414" spans="1:6" ht="14.25" customHeight="1" x14ac:dyDescent="0.25">
      <c r="A414" s="31">
        <v>41846</v>
      </c>
      <c r="B414" s="32">
        <v>1996.06308333333</v>
      </c>
      <c r="C414" s="33">
        <v>43.797916666666602</v>
      </c>
      <c r="D414" s="4">
        <f t="shared" si="1"/>
        <v>7</v>
      </c>
      <c r="E414" s="4" t="s">
        <v>73</v>
      </c>
      <c r="F414" s="34"/>
    </row>
    <row r="415" spans="1:6" ht="14.25" customHeight="1" x14ac:dyDescent="0.25">
      <c r="A415" s="31">
        <v>41846.5</v>
      </c>
      <c r="B415" s="32">
        <v>2482.7692499999998</v>
      </c>
      <c r="C415" s="33">
        <v>74.790416666666601</v>
      </c>
      <c r="D415" s="4">
        <f t="shared" si="1"/>
        <v>7</v>
      </c>
      <c r="E415" s="4" t="s">
        <v>73</v>
      </c>
      <c r="F415" s="34"/>
    </row>
    <row r="416" spans="1:6" ht="14.25" customHeight="1" x14ac:dyDescent="0.25">
      <c r="A416" s="31">
        <v>41847</v>
      </c>
      <c r="B416" s="32">
        <v>1897.66616666666</v>
      </c>
      <c r="C416" s="33">
        <v>54.195</v>
      </c>
      <c r="D416" s="4">
        <f t="shared" si="1"/>
        <v>7</v>
      </c>
      <c r="E416" s="4" t="s">
        <v>73</v>
      </c>
      <c r="F416" s="34"/>
    </row>
    <row r="417" spans="1:6" ht="14.25" customHeight="1" x14ac:dyDescent="0.25">
      <c r="A417" s="31">
        <v>41847.5</v>
      </c>
      <c r="B417" s="32">
        <v>2206.1185</v>
      </c>
      <c r="C417" s="33">
        <v>81.428749999999994</v>
      </c>
      <c r="D417" s="4">
        <f t="shared" si="1"/>
        <v>7</v>
      </c>
      <c r="E417" s="4" t="s">
        <v>73</v>
      </c>
      <c r="F417" s="34"/>
    </row>
    <row r="418" spans="1:6" ht="14.25" customHeight="1" x14ac:dyDescent="0.25">
      <c r="A418" s="31">
        <v>41848</v>
      </c>
      <c r="B418" s="32">
        <v>1751.1030416666599</v>
      </c>
      <c r="C418" s="33">
        <v>61.591666666666598</v>
      </c>
      <c r="D418" s="4">
        <f t="shared" si="1"/>
        <v>7</v>
      </c>
      <c r="E418" s="4" t="s">
        <v>73</v>
      </c>
      <c r="F418" s="34"/>
    </row>
    <row r="419" spans="1:6" ht="14.25" customHeight="1" x14ac:dyDescent="0.25">
      <c r="A419" s="31">
        <v>41848.5</v>
      </c>
      <c r="B419" s="32">
        <v>2099.3076249999999</v>
      </c>
      <c r="C419" s="33">
        <v>84.004999999999995</v>
      </c>
      <c r="D419" s="4">
        <f t="shared" si="1"/>
        <v>7</v>
      </c>
      <c r="E419" s="4" t="s">
        <v>73</v>
      </c>
      <c r="F419" s="34"/>
    </row>
    <row r="420" spans="1:6" ht="14.25" customHeight="1" x14ac:dyDescent="0.25">
      <c r="A420" s="31">
        <v>41849</v>
      </c>
      <c r="B420" s="32">
        <v>2000.35366666666</v>
      </c>
      <c r="C420" s="33">
        <v>73.071250000000006</v>
      </c>
      <c r="D420" s="4">
        <f t="shared" si="1"/>
        <v>7</v>
      </c>
      <c r="E420" s="4" t="s">
        <v>73</v>
      </c>
      <c r="F420" s="34"/>
    </row>
    <row r="421" spans="1:6" ht="14.25" customHeight="1" x14ac:dyDescent="0.25">
      <c r="A421" s="31">
        <v>41849.5</v>
      </c>
      <c r="B421" s="32">
        <v>2385.5984999999901</v>
      </c>
      <c r="C421" s="33">
        <v>89.251666666666594</v>
      </c>
      <c r="D421" s="4">
        <f t="shared" si="1"/>
        <v>7</v>
      </c>
      <c r="E421" s="4" t="s">
        <v>73</v>
      </c>
      <c r="F421" s="34"/>
    </row>
    <row r="422" spans="1:6" ht="14.25" customHeight="1" x14ac:dyDescent="0.25">
      <c r="A422" s="31">
        <v>41850</v>
      </c>
      <c r="B422" s="32">
        <v>2051.9919583333299</v>
      </c>
      <c r="C422" s="33">
        <v>70.024583333333297</v>
      </c>
      <c r="D422" s="4">
        <f t="shared" si="1"/>
        <v>7</v>
      </c>
      <c r="E422" s="4" t="s">
        <v>73</v>
      </c>
      <c r="F422" s="34"/>
    </row>
    <row r="423" spans="1:6" ht="14.25" customHeight="1" x14ac:dyDescent="0.25">
      <c r="A423" s="31">
        <v>41850.5</v>
      </c>
      <c r="B423" s="32">
        <v>2307.1601249999999</v>
      </c>
      <c r="C423" s="33">
        <v>72.64</v>
      </c>
      <c r="D423" s="4">
        <f t="shared" si="1"/>
        <v>7</v>
      </c>
      <c r="E423" s="4" t="s">
        <v>73</v>
      </c>
      <c r="F423" s="34"/>
    </row>
    <row r="424" spans="1:6" ht="14.25" customHeight="1" x14ac:dyDescent="0.25">
      <c r="A424" s="31">
        <v>41851</v>
      </c>
      <c r="B424" s="32">
        <v>1992.06812499999</v>
      </c>
      <c r="C424" s="33">
        <v>63.719166666666602</v>
      </c>
      <c r="D424" s="4">
        <f t="shared" si="1"/>
        <v>7</v>
      </c>
      <c r="E424" s="4" t="s">
        <v>73</v>
      </c>
      <c r="F424" s="34"/>
    </row>
    <row r="425" spans="1:6" ht="14.25" customHeight="1" x14ac:dyDescent="0.25">
      <c r="A425" s="31">
        <v>41851.5</v>
      </c>
      <c r="B425" s="32">
        <v>2272.55004166666</v>
      </c>
      <c r="C425" s="33">
        <v>76.680416666666602</v>
      </c>
      <c r="D425" s="4">
        <f t="shared" si="1"/>
        <v>7</v>
      </c>
      <c r="E425" s="4" t="s">
        <v>73</v>
      </c>
      <c r="F425" s="34"/>
    </row>
    <row r="426" spans="1:6" ht="14.25" customHeight="1" x14ac:dyDescent="0.25">
      <c r="A426" s="31">
        <v>41852</v>
      </c>
      <c r="B426" s="32">
        <v>2619.6127499999998</v>
      </c>
      <c r="C426" s="33">
        <v>97.3719999999999</v>
      </c>
      <c r="D426" s="4">
        <f t="shared" si="1"/>
        <v>8</v>
      </c>
      <c r="E426" s="4" t="s">
        <v>73</v>
      </c>
      <c r="F426" s="34"/>
    </row>
    <row r="427" spans="1:6" ht="14.25" customHeight="1" x14ac:dyDescent="0.25">
      <c r="A427" s="31">
        <v>41852.5</v>
      </c>
      <c r="B427" s="32">
        <v>3135.2914166666601</v>
      </c>
      <c r="C427" s="33">
        <v>87.475083333333302</v>
      </c>
      <c r="D427" s="4">
        <f t="shared" si="1"/>
        <v>8</v>
      </c>
      <c r="E427" s="4" t="s">
        <v>73</v>
      </c>
      <c r="F427" s="34"/>
    </row>
    <row r="428" spans="1:6" ht="14.25" customHeight="1" x14ac:dyDescent="0.25">
      <c r="A428" s="31">
        <v>41853</v>
      </c>
      <c r="B428" s="32">
        <v>2020.72577777777</v>
      </c>
      <c r="C428" s="33">
        <v>42.447888888888798</v>
      </c>
      <c r="D428" s="4">
        <f t="shared" si="1"/>
        <v>8</v>
      </c>
      <c r="E428" s="4" t="s">
        <v>73</v>
      </c>
      <c r="F428" s="34"/>
    </row>
    <row r="429" spans="1:6" ht="14.25" customHeight="1" x14ac:dyDescent="0.25">
      <c r="A429" s="31">
        <v>41853.5</v>
      </c>
      <c r="B429" s="32">
        <v>2479.9036666666598</v>
      </c>
      <c r="C429" s="33">
        <v>54.379166666666599</v>
      </c>
      <c r="D429" s="4">
        <f t="shared" si="1"/>
        <v>8</v>
      </c>
      <c r="E429" s="4" t="s">
        <v>73</v>
      </c>
      <c r="F429" s="34"/>
    </row>
    <row r="430" spans="1:6" ht="14.25" customHeight="1" x14ac:dyDescent="0.25">
      <c r="A430" s="31">
        <v>41854</v>
      </c>
      <c r="B430" s="32">
        <v>2173.7058333333298</v>
      </c>
      <c r="C430" s="33">
        <v>47.226333333333301</v>
      </c>
      <c r="D430" s="4">
        <f t="shared" si="1"/>
        <v>8</v>
      </c>
      <c r="E430" s="4" t="s">
        <v>73</v>
      </c>
      <c r="F430" s="34"/>
    </row>
    <row r="431" spans="1:6" ht="14.25" customHeight="1" x14ac:dyDescent="0.25">
      <c r="A431" s="31">
        <v>41854.5</v>
      </c>
      <c r="B431" s="32">
        <v>2584.7835833333302</v>
      </c>
      <c r="C431" s="33">
        <v>65.741166666666601</v>
      </c>
      <c r="D431" s="4">
        <f t="shared" si="1"/>
        <v>8</v>
      </c>
      <c r="E431" s="4" t="s">
        <v>73</v>
      </c>
      <c r="F431" s="34"/>
    </row>
    <row r="432" spans="1:6" ht="14.25" customHeight="1" x14ac:dyDescent="0.25">
      <c r="A432" s="31">
        <v>41855</v>
      </c>
      <c r="B432" s="32">
        <v>2057.4659999999999</v>
      </c>
      <c r="C432" s="33">
        <v>43.6204166666666</v>
      </c>
      <c r="D432" s="4">
        <f t="shared" si="1"/>
        <v>8</v>
      </c>
      <c r="E432" s="4" t="s">
        <v>73</v>
      </c>
      <c r="F432" s="34"/>
    </row>
    <row r="433" spans="1:6" ht="14.25" customHeight="1" x14ac:dyDescent="0.25">
      <c r="A433" s="31">
        <v>41855.5</v>
      </c>
      <c r="B433" s="32">
        <v>2659.6397499999998</v>
      </c>
      <c r="C433" s="33">
        <v>75.9479166666666</v>
      </c>
      <c r="D433" s="4">
        <f t="shared" si="1"/>
        <v>8</v>
      </c>
      <c r="E433" s="4" t="s">
        <v>73</v>
      </c>
      <c r="F433" s="34"/>
    </row>
    <row r="434" spans="1:6" ht="14.25" customHeight="1" x14ac:dyDescent="0.25">
      <c r="A434" s="31">
        <v>41856</v>
      </c>
      <c r="B434" s="32">
        <v>1999.15021428571</v>
      </c>
      <c r="C434" s="33">
        <v>45.174999999999997</v>
      </c>
      <c r="D434" s="4">
        <f t="shared" si="1"/>
        <v>8</v>
      </c>
      <c r="E434" s="4" t="s">
        <v>73</v>
      </c>
      <c r="F434" s="34"/>
    </row>
    <row r="435" spans="1:6" ht="14.25" customHeight="1" x14ac:dyDescent="0.25">
      <c r="A435" s="31">
        <v>41856.5</v>
      </c>
      <c r="B435" s="32">
        <v>2072.13229166666</v>
      </c>
      <c r="C435" s="33">
        <v>49.103333333333303</v>
      </c>
      <c r="D435" s="4">
        <f t="shared" si="1"/>
        <v>8</v>
      </c>
      <c r="E435" s="4" t="s">
        <v>73</v>
      </c>
      <c r="F435" s="34"/>
    </row>
    <row r="436" spans="1:6" ht="14.25" customHeight="1" x14ac:dyDescent="0.25">
      <c r="A436" s="31">
        <v>41857</v>
      </c>
      <c r="B436" s="32">
        <v>1795.002125</v>
      </c>
      <c r="C436" s="33">
        <v>48.378749999999997</v>
      </c>
      <c r="D436" s="4">
        <f t="shared" si="1"/>
        <v>8</v>
      </c>
      <c r="E436" s="4" t="s">
        <v>73</v>
      </c>
      <c r="F436" s="34"/>
    </row>
    <row r="437" spans="1:6" ht="14.25" customHeight="1" x14ac:dyDescent="0.25">
      <c r="A437" s="31">
        <v>41857.5</v>
      </c>
      <c r="B437" s="32">
        <v>2046.49437499999</v>
      </c>
      <c r="C437" s="33">
        <v>49.6458333333333</v>
      </c>
      <c r="D437" s="4">
        <f t="shared" si="1"/>
        <v>8</v>
      </c>
      <c r="E437" s="4" t="s">
        <v>73</v>
      </c>
      <c r="F437" s="34"/>
    </row>
    <row r="438" spans="1:6" ht="14.25" customHeight="1" x14ac:dyDescent="0.25">
      <c r="A438" s="31">
        <v>41858</v>
      </c>
      <c r="B438" s="32">
        <v>2152.0723750000002</v>
      </c>
      <c r="C438" s="33">
        <v>52.8779166666666</v>
      </c>
      <c r="D438" s="4">
        <f t="shared" si="1"/>
        <v>8</v>
      </c>
      <c r="E438" s="4" t="s">
        <v>73</v>
      </c>
      <c r="F438" s="34"/>
    </row>
    <row r="439" spans="1:6" ht="14.25" customHeight="1" x14ac:dyDescent="0.25">
      <c r="A439" s="31">
        <v>41858.5</v>
      </c>
      <c r="B439" s="32">
        <v>2471.3907916666599</v>
      </c>
      <c r="C439" s="33">
        <v>98.386250000000004</v>
      </c>
      <c r="D439" s="4">
        <f t="shared" si="1"/>
        <v>8</v>
      </c>
      <c r="E439" s="4" t="s">
        <v>73</v>
      </c>
      <c r="F439" s="34"/>
    </row>
    <row r="440" spans="1:6" ht="14.25" customHeight="1" x14ac:dyDescent="0.25">
      <c r="A440" s="31">
        <v>41859</v>
      </c>
      <c r="B440" s="32">
        <v>1920.2779583333299</v>
      </c>
      <c r="C440" s="33">
        <v>59.590416666666599</v>
      </c>
      <c r="D440" s="4">
        <f t="shared" si="1"/>
        <v>8</v>
      </c>
      <c r="E440" s="4" t="s">
        <v>73</v>
      </c>
      <c r="F440" s="34"/>
    </row>
    <row r="441" spans="1:6" ht="14.25" customHeight="1" x14ac:dyDescent="0.25">
      <c r="A441" s="31">
        <v>41859.5</v>
      </c>
      <c r="B441" s="32">
        <v>2274.8648333333299</v>
      </c>
      <c r="C441" s="33">
        <v>72.096666666666593</v>
      </c>
      <c r="D441" s="4">
        <f t="shared" si="1"/>
        <v>8</v>
      </c>
      <c r="E441" s="4" t="s">
        <v>73</v>
      </c>
      <c r="F441" s="34"/>
    </row>
    <row r="442" spans="1:6" ht="14.25" customHeight="1" x14ac:dyDescent="0.25">
      <c r="A442" s="31">
        <v>41860</v>
      </c>
      <c r="B442" s="32">
        <v>1595.4885833333301</v>
      </c>
      <c r="C442" s="33">
        <v>47.9270833333333</v>
      </c>
      <c r="D442" s="4">
        <f t="shared" si="1"/>
        <v>8</v>
      </c>
      <c r="E442" s="4" t="s">
        <v>73</v>
      </c>
      <c r="F442" s="34"/>
    </row>
    <row r="443" spans="1:6" ht="14.25" customHeight="1" x14ac:dyDescent="0.25">
      <c r="A443" s="31">
        <v>41860.5</v>
      </c>
      <c r="B443" s="32">
        <v>1906.04541666666</v>
      </c>
      <c r="C443" s="33">
        <v>57.243333333333297</v>
      </c>
      <c r="D443" s="4">
        <f t="shared" si="1"/>
        <v>8</v>
      </c>
      <c r="E443" s="4" t="s">
        <v>73</v>
      </c>
      <c r="F443" s="34"/>
    </row>
    <row r="444" spans="1:6" ht="14.25" customHeight="1" x14ac:dyDescent="0.25">
      <c r="A444" s="31">
        <v>41861</v>
      </c>
      <c r="B444" s="32">
        <v>1899.76866666666</v>
      </c>
      <c r="C444" s="33">
        <v>63.758333333333297</v>
      </c>
      <c r="D444" s="4">
        <f t="shared" si="1"/>
        <v>8</v>
      </c>
      <c r="E444" s="4" t="s">
        <v>73</v>
      </c>
      <c r="F444" s="34"/>
    </row>
    <row r="445" spans="1:6" ht="14.25" customHeight="1" x14ac:dyDescent="0.25">
      <c r="A445" s="31">
        <v>41861.5</v>
      </c>
      <c r="B445" s="32">
        <v>2168.54474999999</v>
      </c>
      <c r="C445" s="33">
        <v>69.530833333333305</v>
      </c>
      <c r="D445" s="4">
        <f t="shared" si="1"/>
        <v>8</v>
      </c>
      <c r="E445" s="4" t="s">
        <v>73</v>
      </c>
      <c r="F445" s="34"/>
    </row>
    <row r="446" spans="1:6" ht="14.25" customHeight="1" x14ac:dyDescent="0.25">
      <c r="A446" s="31">
        <v>41862</v>
      </c>
      <c r="B446" s="32">
        <v>1893.92883333333</v>
      </c>
      <c r="C446" s="33">
        <v>55.008749999999999</v>
      </c>
      <c r="D446" s="4">
        <f t="shared" si="1"/>
        <v>8</v>
      </c>
      <c r="E446" s="4" t="s">
        <v>73</v>
      </c>
      <c r="F446" s="34"/>
    </row>
    <row r="447" spans="1:6" ht="14.25" customHeight="1" x14ac:dyDescent="0.25">
      <c r="A447" s="31">
        <v>41862.5</v>
      </c>
      <c r="B447" s="32">
        <v>2163.90545833333</v>
      </c>
      <c r="C447" s="33">
        <v>67.959583333333299</v>
      </c>
      <c r="D447" s="4">
        <f t="shared" si="1"/>
        <v>8</v>
      </c>
      <c r="E447" s="4" t="s">
        <v>73</v>
      </c>
      <c r="F447" s="34"/>
    </row>
    <row r="448" spans="1:6" ht="14.25" customHeight="1" x14ac:dyDescent="0.25">
      <c r="A448" s="31">
        <v>41863</v>
      </c>
      <c r="B448" s="32">
        <v>1709.3747499999999</v>
      </c>
      <c r="C448" s="33">
        <v>58.454999999999899</v>
      </c>
      <c r="D448" s="4">
        <f t="shared" si="1"/>
        <v>8</v>
      </c>
      <c r="E448" s="4" t="s">
        <v>73</v>
      </c>
      <c r="F448" s="34"/>
    </row>
    <row r="449" spans="1:6" ht="14.25" customHeight="1" x14ac:dyDescent="0.25">
      <c r="A449" s="31">
        <v>41863.5</v>
      </c>
      <c r="B449" s="32">
        <v>1969.1160833333299</v>
      </c>
      <c r="C449" s="33">
        <v>59.5133333333333</v>
      </c>
      <c r="D449" s="4">
        <f t="shared" si="1"/>
        <v>8</v>
      </c>
      <c r="E449" s="4" t="s">
        <v>73</v>
      </c>
      <c r="F449" s="34"/>
    </row>
    <row r="450" spans="1:6" ht="14.25" customHeight="1" x14ac:dyDescent="0.25">
      <c r="A450" s="31">
        <v>41864</v>
      </c>
      <c r="B450" s="32">
        <v>1981.62925</v>
      </c>
      <c r="C450" s="33">
        <v>62.106250000000003</v>
      </c>
      <c r="D450" s="4">
        <f t="shared" si="1"/>
        <v>8</v>
      </c>
      <c r="E450" s="4" t="s">
        <v>73</v>
      </c>
      <c r="F450" s="34"/>
    </row>
    <row r="451" spans="1:6" ht="14.25" customHeight="1" x14ac:dyDescent="0.25">
      <c r="A451" s="31">
        <v>41864.5</v>
      </c>
      <c r="B451" s="32">
        <v>2265.6325000000002</v>
      </c>
      <c r="C451" s="33">
        <v>75.083749999999995</v>
      </c>
      <c r="D451" s="4">
        <f t="shared" si="1"/>
        <v>8</v>
      </c>
      <c r="E451" s="4" t="s">
        <v>73</v>
      </c>
      <c r="F451" s="34"/>
    </row>
    <row r="452" spans="1:6" ht="14.25" customHeight="1" x14ac:dyDescent="0.25">
      <c r="A452" s="31">
        <v>41865</v>
      </c>
      <c r="B452" s="32">
        <v>2017.8668333333301</v>
      </c>
      <c r="C452" s="33">
        <v>72.067499999999995</v>
      </c>
      <c r="D452" s="4">
        <f t="shared" si="1"/>
        <v>8</v>
      </c>
      <c r="E452" s="4" t="s">
        <v>73</v>
      </c>
      <c r="F452" s="34"/>
    </row>
    <row r="453" spans="1:6" ht="14.25" customHeight="1" x14ac:dyDescent="0.25">
      <c r="A453" s="31">
        <v>41865.5</v>
      </c>
      <c r="B453" s="32">
        <v>2272.4112083333298</v>
      </c>
      <c r="C453" s="33">
        <v>69.167083333333295</v>
      </c>
      <c r="D453" s="4">
        <f t="shared" si="1"/>
        <v>8</v>
      </c>
      <c r="E453" s="4" t="s">
        <v>73</v>
      </c>
      <c r="F453" s="34"/>
    </row>
    <row r="454" spans="1:6" ht="14.25" customHeight="1" x14ac:dyDescent="0.25">
      <c r="A454" s="31">
        <v>41866</v>
      </c>
      <c r="B454" s="32">
        <v>1957.98008333333</v>
      </c>
      <c r="C454" s="33">
        <v>47.772083333333299</v>
      </c>
      <c r="D454" s="4">
        <f t="shared" si="1"/>
        <v>8</v>
      </c>
      <c r="E454" s="4" t="s">
        <v>73</v>
      </c>
      <c r="F454" s="34"/>
    </row>
    <row r="455" spans="1:6" ht="14.25" customHeight="1" x14ac:dyDescent="0.25">
      <c r="A455" s="31">
        <v>41866.5</v>
      </c>
      <c r="B455" s="32">
        <v>2410.05508333333</v>
      </c>
      <c r="C455" s="33">
        <v>57.986249999999899</v>
      </c>
      <c r="D455" s="4">
        <f t="shared" si="1"/>
        <v>8</v>
      </c>
      <c r="E455" s="4" t="s">
        <v>73</v>
      </c>
      <c r="F455" s="34"/>
    </row>
    <row r="456" spans="1:6" ht="14.25" customHeight="1" x14ac:dyDescent="0.25">
      <c r="A456" s="31">
        <v>41867</v>
      </c>
      <c r="B456" s="32">
        <v>2061.5842499999899</v>
      </c>
      <c r="C456" s="33">
        <v>53.971249999999998</v>
      </c>
      <c r="D456" s="4">
        <f t="shared" si="1"/>
        <v>8</v>
      </c>
      <c r="E456" s="4" t="s">
        <v>73</v>
      </c>
      <c r="F456" s="34"/>
    </row>
    <row r="457" spans="1:6" ht="14.25" customHeight="1" x14ac:dyDescent="0.25">
      <c r="A457" s="31">
        <v>41867.5</v>
      </c>
      <c r="B457" s="32">
        <v>2334.3259166666599</v>
      </c>
      <c r="C457" s="33">
        <v>66.100833333333298</v>
      </c>
      <c r="D457" s="4">
        <f t="shared" si="1"/>
        <v>8</v>
      </c>
      <c r="E457" s="4" t="s">
        <v>73</v>
      </c>
      <c r="F457" s="34"/>
    </row>
    <row r="458" spans="1:6" ht="14.25" customHeight="1" x14ac:dyDescent="0.25">
      <c r="A458" s="31">
        <v>41868</v>
      </c>
      <c r="B458" s="32">
        <v>1791.68908333333</v>
      </c>
      <c r="C458" s="33">
        <v>48.206249999999997</v>
      </c>
      <c r="D458" s="4">
        <f t="shared" si="1"/>
        <v>8</v>
      </c>
      <c r="E458" s="4" t="s">
        <v>73</v>
      </c>
      <c r="F458" s="34"/>
    </row>
    <row r="459" spans="1:6" ht="14.25" customHeight="1" x14ac:dyDescent="0.25">
      <c r="A459" s="31">
        <v>41868.5</v>
      </c>
      <c r="B459" s="32">
        <v>2115.05070833333</v>
      </c>
      <c r="C459" s="33">
        <v>63.657499999999999</v>
      </c>
      <c r="D459" s="4">
        <f t="shared" si="1"/>
        <v>8</v>
      </c>
      <c r="E459" s="4" t="s">
        <v>73</v>
      </c>
      <c r="F459" s="34"/>
    </row>
    <row r="460" spans="1:6" ht="14.25" customHeight="1" x14ac:dyDescent="0.25">
      <c r="A460" s="31">
        <v>41869</v>
      </c>
      <c r="B460" s="32">
        <v>1725.1356249999999</v>
      </c>
      <c r="C460" s="33">
        <v>46.99</v>
      </c>
      <c r="D460" s="4">
        <f t="shared" si="1"/>
        <v>8</v>
      </c>
      <c r="E460" s="4" t="s">
        <v>73</v>
      </c>
      <c r="F460" s="34"/>
    </row>
    <row r="461" spans="1:6" ht="14.25" customHeight="1" x14ac:dyDescent="0.25">
      <c r="A461" s="31">
        <v>41869.5</v>
      </c>
      <c r="B461" s="32">
        <v>2079.96133333333</v>
      </c>
      <c r="C461" s="33">
        <v>61.338333333333303</v>
      </c>
      <c r="D461" s="4">
        <f t="shared" si="1"/>
        <v>8</v>
      </c>
      <c r="E461" s="4" t="s">
        <v>73</v>
      </c>
      <c r="F461" s="34"/>
    </row>
    <row r="462" spans="1:6" ht="14.25" customHeight="1" x14ac:dyDescent="0.25">
      <c r="A462" s="31">
        <v>41870</v>
      </c>
      <c r="B462" s="32">
        <v>1869.9213749999999</v>
      </c>
      <c r="C462" s="33">
        <v>40.4195833333333</v>
      </c>
      <c r="D462" s="4">
        <f t="shared" si="1"/>
        <v>8</v>
      </c>
      <c r="E462" s="4" t="s">
        <v>73</v>
      </c>
      <c r="F462" s="34"/>
    </row>
    <row r="463" spans="1:6" ht="14.25" customHeight="1" x14ac:dyDescent="0.25">
      <c r="A463" s="31">
        <v>41870.5</v>
      </c>
      <c r="B463" s="32">
        <v>2151.5065416666598</v>
      </c>
      <c r="C463" s="33">
        <v>54.921666666666603</v>
      </c>
      <c r="D463" s="4">
        <f t="shared" si="1"/>
        <v>8</v>
      </c>
      <c r="E463" s="4" t="s">
        <v>73</v>
      </c>
      <c r="F463" s="34"/>
    </row>
    <row r="464" spans="1:6" ht="14.25" customHeight="1" x14ac:dyDescent="0.25">
      <c r="A464" s="31">
        <v>41871</v>
      </c>
      <c r="B464" s="32">
        <v>2009.3411249999999</v>
      </c>
      <c r="C464" s="33">
        <v>55.743749999999899</v>
      </c>
      <c r="D464" s="4">
        <f t="shared" si="1"/>
        <v>8</v>
      </c>
      <c r="E464" s="4" t="s">
        <v>73</v>
      </c>
      <c r="F464" s="34"/>
    </row>
    <row r="465" spans="1:6" ht="14.25" customHeight="1" x14ac:dyDescent="0.25">
      <c r="A465" s="31">
        <v>41871.5</v>
      </c>
      <c r="B465" s="32">
        <v>2258.4755416666599</v>
      </c>
      <c r="C465" s="33">
        <v>64.784166666666593</v>
      </c>
      <c r="D465" s="4">
        <f t="shared" si="1"/>
        <v>8</v>
      </c>
      <c r="E465" s="4" t="s">
        <v>73</v>
      </c>
      <c r="F465" s="34"/>
    </row>
    <row r="466" spans="1:6" ht="14.25" customHeight="1" x14ac:dyDescent="0.25">
      <c r="A466" s="31">
        <v>41872</v>
      </c>
      <c r="B466" s="32">
        <v>1953.2787083333301</v>
      </c>
      <c r="C466" s="33">
        <v>39.407916666666601</v>
      </c>
      <c r="D466" s="4">
        <f t="shared" si="1"/>
        <v>8</v>
      </c>
      <c r="E466" s="4" t="s">
        <v>73</v>
      </c>
      <c r="F466" s="34"/>
    </row>
    <row r="467" spans="1:6" ht="14.25" customHeight="1" x14ac:dyDescent="0.25">
      <c r="A467" s="31">
        <v>41872.5</v>
      </c>
      <c r="B467" s="32">
        <v>2179.1737083333301</v>
      </c>
      <c r="C467" s="33">
        <v>45.298333333333296</v>
      </c>
      <c r="D467" s="4">
        <f t="shared" si="1"/>
        <v>8</v>
      </c>
      <c r="E467" s="4" t="s">
        <v>73</v>
      </c>
      <c r="F467" s="34"/>
    </row>
    <row r="468" spans="1:6" ht="14.25" customHeight="1" x14ac:dyDescent="0.25">
      <c r="A468" s="31">
        <v>41873</v>
      </c>
      <c r="B468" s="32">
        <v>2002.07149999999</v>
      </c>
      <c r="C468" s="33">
        <v>42.202727272727202</v>
      </c>
      <c r="D468" s="4">
        <f t="shared" si="1"/>
        <v>8</v>
      </c>
      <c r="E468" s="4" t="s">
        <v>73</v>
      </c>
      <c r="F468" s="34"/>
    </row>
    <row r="469" spans="1:6" ht="14.25" customHeight="1" x14ac:dyDescent="0.25">
      <c r="A469" s="31">
        <v>41873.5</v>
      </c>
      <c r="B469" s="32">
        <v>2190.5812083333299</v>
      </c>
      <c r="C469" s="33">
        <v>56.2558333333333</v>
      </c>
      <c r="D469" s="4">
        <f t="shared" si="1"/>
        <v>8</v>
      </c>
      <c r="E469" s="4" t="s">
        <v>73</v>
      </c>
      <c r="F469" s="34"/>
    </row>
    <row r="470" spans="1:6" ht="14.25" customHeight="1" x14ac:dyDescent="0.25">
      <c r="A470" s="31">
        <v>41874</v>
      </c>
      <c r="B470" s="32">
        <v>2238.6494166666598</v>
      </c>
      <c r="C470" s="33">
        <v>44.347499999999997</v>
      </c>
      <c r="D470" s="4">
        <f t="shared" si="1"/>
        <v>8</v>
      </c>
      <c r="E470" s="4" t="s">
        <v>73</v>
      </c>
      <c r="F470" s="34"/>
    </row>
    <row r="471" spans="1:6" ht="14.25" customHeight="1" x14ac:dyDescent="0.25">
      <c r="A471" s="31">
        <v>41874.5</v>
      </c>
      <c r="B471" s="32">
        <v>2101.758875</v>
      </c>
      <c r="C471" s="33">
        <v>60.957083333333301</v>
      </c>
      <c r="D471" s="4">
        <f t="shared" si="1"/>
        <v>8</v>
      </c>
      <c r="E471" s="4" t="s">
        <v>73</v>
      </c>
      <c r="F471" s="34"/>
    </row>
    <row r="472" spans="1:6" ht="14.25" customHeight="1" x14ac:dyDescent="0.25">
      <c r="A472" s="31">
        <v>41875</v>
      </c>
      <c r="B472" s="32">
        <v>1744.8411249999899</v>
      </c>
      <c r="C472" s="33">
        <v>46.731666666666598</v>
      </c>
      <c r="D472" s="4">
        <f t="shared" si="1"/>
        <v>8</v>
      </c>
      <c r="E472" s="4" t="s">
        <v>73</v>
      </c>
      <c r="F472" s="34"/>
    </row>
    <row r="473" spans="1:6" ht="14.25" customHeight="1" x14ac:dyDescent="0.25">
      <c r="A473" s="31">
        <v>41875.5</v>
      </c>
      <c r="B473" s="32">
        <v>1955.6636249999999</v>
      </c>
      <c r="C473" s="33">
        <v>56.807083333333303</v>
      </c>
      <c r="D473" s="4">
        <f t="shared" si="1"/>
        <v>8</v>
      </c>
      <c r="E473" s="4" t="s">
        <v>73</v>
      </c>
      <c r="F473" s="34"/>
    </row>
    <row r="474" spans="1:6" ht="14.25" customHeight="1" x14ac:dyDescent="0.25">
      <c r="A474" s="31">
        <v>41876</v>
      </c>
      <c r="B474" s="32">
        <v>1709.34116666666</v>
      </c>
      <c r="C474" s="33">
        <v>41.453333333333298</v>
      </c>
      <c r="D474" s="4">
        <f t="shared" si="1"/>
        <v>8</v>
      </c>
      <c r="E474" s="4" t="s">
        <v>73</v>
      </c>
      <c r="F474" s="34"/>
    </row>
    <row r="475" spans="1:6" ht="14.25" customHeight="1" x14ac:dyDescent="0.25">
      <c r="A475" s="31">
        <v>41876.5</v>
      </c>
      <c r="B475" s="32">
        <v>2090.6051666666599</v>
      </c>
      <c r="C475" s="33">
        <v>56.362916666666599</v>
      </c>
      <c r="D475" s="4">
        <f t="shared" si="1"/>
        <v>8</v>
      </c>
      <c r="E475" s="4" t="s">
        <v>73</v>
      </c>
      <c r="F475" s="34"/>
    </row>
    <row r="476" spans="1:6" ht="14.25" customHeight="1" x14ac:dyDescent="0.25">
      <c r="A476" s="31">
        <v>41877</v>
      </c>
      <c r="B476" s="32">
        <v>1930.23291666666</v>
      </c>
      <c r="C476" s="33">
        <v>44.294999999999902</v>
      </c>
      <c r="D476" s="4">
        <f t="shared" si="1"/>
        <v>8</v>
      </c>
      <c r="E476" s="4" t="s">
        <v>73</v>
      </c>
      <c r="F476" s="34"/>
    </row>
    <row r="477" spans="1:6" ht="14.25" customHeight="1" x14ac:dyDescent="0.25">
      <c r="A477" s="31">
        <v>41877.5</v>
      </c>
      <c r="B477" s="32">
        <v>2252.1495416666598</v>
      </c>
      <c r="C477" s="33">
        <v>56.652083333333302</v>
      </c>
      <c r="D477" s="4">
        <f t="shared" si="1"/>
        <v>8</v>
      </c>
      <c r="E477" s="4" t="s">
        <v>73</v>
      </c>
      <c r="F477" s="34"/>
    </row>
    <row r="478" spans="1:6" ht="14.25" customHeight="1" x14ac:dyDescent="0.25">
      <c r="A478" s="31">
        <v>41878</v>
      </c>
      <c r="B478" s="32">
        <v>2025.5564999999999</v>
      </c>
      <c r="C478" s="33">
        <v>54.389583333333299</v>
      </c>
      <c r="D478" s="4">
        <f t="shared" si="1"/>
        <v>8</v>
      </c>
      <c r="E478" s="4" t="s">
        <v>73</v>
      </c>
      <c r="F478" s="34"/>
    </row>
    <row r="479" spans="1:6" ht="14.25" customHeight="1" x14ac:dyDescent="0.25">
      <c r="A479" s="31">
        <v>41878.5</v>
      </c>
      <c r="B479" s="32">
        <v>2431.169875</v>
      </c>
      <c r="C479" s="33">
        <v>79.165416666666601</v>
      </c>
      <c r="D479" s="4">
        <f t="shared" si="1"/>
        <v>8</v>
      </c>
      <c r="E479" s="4" t="s">
        <v>73</v>
      </c>
      <c r="F479" s="34"/>
    </row>
    <row r="480" spans="1:6" ht="14.25" customHeight="1" x14ac:dyDescent="0.25">
      <c r="A480" s="31">
        <v>41879</v>
      </c>
      <c r="B480" s="32">
        <v>1985.1439583333299</v>
      </c>
      <c r="C480" s="33">
        <v>54.53875</v>
      </c>
      <c r="D480" s="4">
        <f t="shared" si="1"/>
        <v>8</v>
      </c>
      <c r="E480" s="4" t="s">
        <v>73</v>
      </c>
      <c r="F480" s="34"/>
    </row>
    <row r="481" spans="1:6" ht="14.25" customHeight="1" x14ac:dyDescent="0.25">
      <c r="A481" s="31">
        <v>41879.5</v>
      </c>
      <c r="B481" s="32">
        <v>2232.0480416666601</v>
      </c>
      <c r="C481" s="33">
        <v>56.990833333333299</v>
      </c>
      <c r="D481" s="4">
        <f t="shared" si="1"/>
        <v>8</v>
      </c>
      <c r="E481" s="4" t="s">
        <v>73</v>
      </c>
      <c r="F481" s="34"/>
    </row>
    <row r="482" spans="1:6" ht="14.25" customHeight="1" x14ac:dyDescent="0.25">
      <c r="A482" s="31">
        <v>41880</v>
      </c>
      <c r="B482" s="32">
        <v>2000.4889166666601</v>
      </c>
      <c r="C482" s="33">
        <v>46.333750000000002</v>
      </c>
      <c r="D482" s="4">
        <f t="shared" si="1"/>
        <v>8</v>
      </c>
      <c r="E482" s="4" t="s">
        <v>73</v>
      </c>
      <c r="F482" s="34"/>
    </row>
    <row r="483" spans="1:6" ht="14.25" customHeight="1" x14ac:dyDescent="0.25">
      <c r="A483" s="31">
        <v>41880.5</v>
      </c>
      <c r="B483" s="32">
        <v>2244.6094583333302</v>
      </c>
      <c r="C483" s="33">
        <v>59.141666666666602</v>
      </c>
      <c r="D483" s="4">
        <f t="shared" si="1"/>
        <v>8</v>
      </c>
      <c r="E483" s="4" t="s">
        <v>73</v>
      </c>
      <c r="F483" s="34"/>
    </row>
    <row r="484" spans="1:6" ht="14.25" customHeight="1" x14ac:dyDescent="0.25">
      <c r="A484" s="31">
        <v>41881</v>
      </c>
      <c r="B484" s="32">
        <v>1956.4982499999901</v>
      </c>
      <c r="C484" s="33">
        <v>39.871666666666599</v>
      </c>
      <c r="D484" s="4">
        <f t="shared" si="1"/>
        <v>8</v>
      </c>
      <c r="E484" s="4" t="s">
        <v>73</v>
      </c>
      <c r="F484" s="34"/>
    </row>
    <row r="485" spans="1:6" ht="14.25" customHeight="1" x14ac:dyDescent="0.25">
      <c r="A485" s="31">
        <v>41881.5</v>
      </c>
      <c r="B485" s="32">
        <v>2234.6941666666598</v>
      </c>
      <c r="C485" s="33">
        <v>42.424166666666601</v>
      </c>
      <c r="D485" s="4">
        <f t="shared" si="1"/>
        <v>8</v>
      </c>
      <c r="E485" s="4" t="s">
        <v>73</v>
      </c>
      <c r="F485" s="34"/>
    </row>
    <row r="486" spans="1:6" ht="14.25" customHeight="1" x14ac:dyDescent="0.25">
      <c r="A486" s="31">
        <v>41882</v>
      </c>
      <c r="B486" s="32">
        <v>1764.0211666666601</v>
      </c>
      <c r="C486" s="33">
        <v>31.869166666666601</v>
      </c>
      <c r="D486" s="4">
        <f t="shared" si="1"/>
        <v>8</v>
      </c>
      <c r="E486" s="4" t="s">
        <v>73</v>
      </c>
      <c r="F486" s="34"/>
    </row>
    <row r="487" spans="1:6" ht="14.25" customHeight="1" x14ac:dyDescent="0.25">
      <c r="A487" s="31">
        <v>41882.5</v>
      </c>
      <c r="B487" s="32">
        <v>1984.9037083333301</v>
      </c>
      <c r="C487" s="33">
        <v>51.942083333333301</v>
      </c>
      <c r="D487" s="4">
        <f t="shared" si="1"/>
        <v>8</v>
      </c>
      <c r="E487" s="4" t="s">
        <v>73</v>
      </c>
      <c r="F487" s="34"/>
    </row>
    <row r="488" spans="1:6" ht="14.25" customHeight="1" x14ac:dyDescent="0.25">
      <c r="A488" s="31">
        <v>41883</v>
      </c>
      <c r="B488" s="32">
        <v>2259.3434166666598</v>
      </c>
      <c r="C488" s="33">
        <v>71.976583333333295</v>
      </c>
      <c r="D488" s="4">
        <f t="shared" si="1"/>
        <v>9</v>
      </c>
      <c r="E488" s="4" t="s">
        <v>73</v>
      </c>
      <c r="F488" s="34"/>
    </row>
    <row r="489" spans="1:6" ht="14.25" customHeight="1" x14ac:dyDescent="0.25">
      <c r="A489" s="31">
        <v>41883.5</v>
      </c>
      <c r="B489" s="32">
        <v>2360.6292916666598</v>
      </c>
      <c r="C489" s="33">
        <v>55.570500000000003</v>
      </c>
      <c r="D489" s="4">
        <f t="shared" si="1"/>
        <v>9</v>
      </c>
      <c r="E489" s="4" t="s">
        <v>73</v>
      </c>
      <c r="F489" s="34"/>
    </row>
    <row r="490" spans="1:6" ht="14.25" customHeight="1" x14ac:dyDescent="0.25">
      <c r="A490" s="31">
        <v>41884</v>
      </c>
      <c r="B490" s="32">
        <v>1846.40777272727</v>
      </c>
      <c r="C490" s="33">
        <v>35.178818181818102</v>
      </c>
      <c r="D490" s="4">
        <f t="shared" si="1"/>
        <v>9</v>
      </c>
      <c r="E490" s="4" t="s">
        <v>73</v>
      </c>
      <c r="F490" s="34"/>
    </row>
    <row r="491" spans="1:6" ht="14.25" customHeight="1" x14ac:dyDescent="0.25">
      <c r="A491" s="31">
        <v>41884.5</v>
      </c>
      <c r="B491" s="32">
        <v>2621.3647499999902</v>
      </c>
      <c r="C491" s="33">
        <v>82.808583333333303</v>
      </c>
      <c r="D491" s="4">
        <f t="shared" si="1"/>
        <v>9</v>
      </c>
      <c r="E491" s="4" t="s">
        <v>73</v>
      </c>
      <c r="F491" s="34"/>
    </row>
    <row r="492" spans="1:6" ht="14.25" customHeight="1" x14ac:dyDescent="0.25">
      <c r="A492" s="31">
        <v>41885</v>
      </c>
      <c r="B492" s="32">
        <v>1922.99563636363</v>
      </c>
      <c r="C492" s="33">
        <v>44.022727272727202</v>
      </c>
      <c r="D492" s="4">
        <f t="shared" si="1"/>
        <v>9</v>
      </c>
      <c r="E492" s="4" t="s">
        <v>73</v>
      </c>
      <c r="F492" s="34"/>
    </row>
    <row r="493" spans="1:6" ht="14.25" customHeight="1" x14ac:dyDescent="0.25">
      <c r="A493" s="31">
        <v>41885.5</v>
      </c>
      <c r="B493" s="32">
        <v>2474.1590833333298</v>
      </c>
      <c r="C493" s="33">
        <v>80.227000000000004</v>
      </c>
      <c r="D493" s="4">
        <f t="shared" si="1"/>
        <v>9</v>
      </c>
      <c r="E493" s="4" t="s">
        <v>73</v>
      </c>
      <c r="F493" s="34"/>
    </row>
    <row r="494" spans="1:6" ht="14.25" customHeight="1" x14ac:dyDescent="0.25">
      <c r="A494" s="31">
        <v>41886</v>
      </c>
      <c r="B494" s="32">
        <v>2056.328</v>
      </c>
      <c r="C494" s="33">
        <v>55.7558333333333</v>
      </c>
      <c r="D494" s="4">
        <f t="shared" si="1"/>
        <v>9</v>
      </c>
      <c r="E494" s="4" t="s">
        <v>73</v>
      </c>
      <c r="F494" s="34"/>
    </row>
    <row r="495" spans="1:6" ht="14.25" customHeight="1" x14ac:dyDescent="0.25">
      <c r="A495" s="31">
        <v>41886.5</v>
      </c>
      <c r="B495" s="32">
        <v>2567.8376250000001</v>
      </c>
      <c r="C495" s="33">
        <v>62.750833333333297</v>
      </c>
      <c r="D495" s="4">
        <f t="shared" si="1"/>
        <v>9</v>
      </c>
      <c r="E495" s="4" t="s">
        <v>73</v>
      </c>
      <c r="F495" s="34"/>
    </row>
    <row r="496" spans="1:6" ht="14.25" customHeight="1" x14ac:dyDescent="0.25">
      <c r="A496" s="31">
        <v>41887</v>
      </c>
      <c r="B496" s="32">
        <v>2030.3805833333299</v>
      </c>
      <c r="C496" s="33">
        <v>33.043333333333301</v>
      </c>
      <c r="D496" s="4">
        <f t="shared" si="1"/>
        <v>9</v>
      </c>
      <c r="E496" s="4" t="s">
        <v>73</v>
      </c>
      <c r="F496" s="34"/>
    </row>
    <row r="497" spans="1:6" ht="14.25" customHeight="1" x14ac:dyDescent="0.25">
      <c r="A497" s="31">
        <v>41887.5</v>
      </c>
      <c r="B497" s="32">
        <v>2019.70716666666</v>
      </c>
      <c r="C497" s="33">
        <v>37.844583333333297</v>
      </c>
      <c r="D497" s="4">
        <f t="shared" si="1"/>
        <v>9</v>
      </c>
      <c r="E497" s="4" t="s">
        <v>73</v>
      </c>
      <c r="F497" s="34"/>
    </row>
    <row r="498" spans="1:6" ht="14.25" customHeight="1" x14ac:dyDescent="0.25">
      <c r="A498" s="31">
        <v>41888</v>
      </c>
      <c r="B498" s="32">
        <v>1680.81474999999</v>
      </c>
      <c r="C498" s="33">
        <v>47.879999999999903</v>
      </c>
      <c r="D498" s="4">
        <f t="shared" si="1"/>
        <v>9</v>
      </c>
      <c r="E498" s="4" t="s">
        <v>73</v>
      </c>
      <c r="F498" s="34"/>
    </row>
    <row r="499" spans="1:6" ht="14.25" customHeight="1" x14ac:dyDescent="0.25">
      <c r="A499" s="31">
        <v>41888.5</v>
      </c>
      <c r="B499" s="32">
        <v>2067.74695833333</v>
      </c>
      <c r="C499" s="33">
        <v>50.42</v>
      </c>
      <c r="D499" s="4">
        <f t="shared" si="1"/>
        <v>9</v>
      </c>
      <c r="E499" s="4" t="s">
        <v>73</v>
      </c>
      <c r="F499" s="34"/>
    </row>
    <row r="500" spans="1:6" ht="14.25" customHeight="1" x14ac:dyDescent="0.25">
      <c r="A500" s="31">
        <v>41889</v>
      </c>
      <c r="B500" s="32">
        <v>2076.187375</v>
      </c>
      <c r="C500" s="33">
        <v>47.507083333333298</v>
      </c>
      <c r="D500" s="4">
        <f t="shared" si="1"/>
        <v>9</v>
      </c>
      <c r="E500" s="4" t="s">
        <v>73</v>
      </c>
      <c r="F500" s="34"/>
    </row>
    <row r="501" spans="1:6" ht="14.25" customHeight="1" x14ac:dyDescent="0.25">
      <c r="A501" s="31">
        <v>41889.5</v>
      </c>
      <c r="B501" s="32">
        <v>2497.8737916666601</v>
      </c>
      <c r="C501" s="33">
        <v>74.433333333333294</v>
      </c>
      <c r="D501" s="4">
        <f t="shared" si="1"/>
        <v>9</v>
      </c>
      <c r="E501" s="4" t="s">
        <v>73</v>
      </c>
      <c r="F501" s="34"/>
    </row>
    <row r="502" spans="1:6" ht="14.25" customHeight="1" x14ac:dyDescent="0.25">
      <c r="A502" s="31">
        <v>41890</v>
      </c>
      <c r="B502" s="32">
        <v>1934.8973333333299</v>
      </c>
      <c r="C502" s="33">
        <v>72.467083333333306</v>
      </c>
      <c r="D502" s="4">
        <f t="shared" si="1"/>
        <v>9</v>
      </c>
      <c r="E502" s="4" t="s">
        <v>73</v>
      </c>
      <c r="F502" s="34"/>
    </row>
    <row r="503" spans="1:6" ht="14.25" customHeight="1" x14ac:dyDescent="0.25">
      <c r="A503" s="31">
        <v>41890.5</v>
      </c>
      <c r="B503" s="32">
        <v>2169.9367916666602</v>
      </c>
      <c r="C503" s="33">
        <v>77.196250000000006</v>
      </c>
      <c r="D503" s="4">
        <f t="shared" si="1"/>
        <v>9</v>
      </c>
      <c r="E503" s="4" t="s">
        <v>73</v>
      </c>
      <c r="F503" s="34"/>
    </row>
    <row r="504" spans="1:6" ht="14.25" customHeight="1" x14ac:dyDescent="0.25">
      <c r="A504" s="31">
        <v>41891</v>
      </c>
      <c r="B504" s="32">
        <v>1909.34512499999</v>
      </c>
      <c r="C504" s="33">
        <v>52.41</v>
      </c>
      <c r="D504" s="4">
        <f t="shared" si="1"/>
        <v>9</v>
      </c>
      <c r="E504" s="4" t="s">
        <v>73</v>
      </c>
      <c r="F504" s="34"/>
    </row>
    <row r="505" spans="1:6" ht="14.25" customHeight="1" x14ac:dyDescent="0.25">
      <c r="A505" s="31">
        <v>41891.5</v>
      </c>
      <c r="B505" s="32">
        <v>2149.7494166666602</v>
      </c>
      <c r="C505" s="33">
        <v>73.879999999999896</v>
      </c>
      <c r="D505" s="4">
        <f t="shared" si="1"/>
        <v>9</v>
      </c>
      <c r="E505" s="4" t="s">
        <v>73</v>
      </c>
      <c r="F505" s="34"/>
    </row>
    <row r="506" spans="1:6" ht="14.25" customHeight="1" x14ac:dyDescent="0.25">
      <c r="A506" s="31">
        <v>41892</v>
      </c>
      <c r="B506" s="32">
        <v>1873.6608333333299</v>
      </c>
      <c r="C506" s="33">
        <v>62.469166666666602</v>
      </c>
      <c r="D506" s="4">
        <f t="shared" si="1"/>
        <v>9</v>
      </c>
      <c r="E506" s="4" t="s">
        <v>73</v>
      </c>
      <c r="F506" s="34"/>
    </row>
    <row r="507" spans="1:6" ht="14.25" customHeight="1" x14ac:dyDescent="0.25">
      <c r="A507" s="31">
        <v>41892.5</v>
      </c>
      <c r="B507" s="32">
        <v>2116.88016666666</v>
      </c>
      <c r="C507" s="33">
        <v>70.363333333333301</v>
      </c>
      <c r="D507" s="4">
        <f t="shared" si="1"/>
        <v>9</v>
      </c>
      <c r="E507" s="4" t="s">
        <v>73</v>
      </c>
      <c r="F507" s="34"/>
    </row>
    <row r="508" spans="1:6" ht="14.25" customHeight="1" x14ac:dyDescent="0.25">
      <c r="A508" s="31">
        <v>41893</v>
      </c>
      <c r="B508" s="32">
        <v>1699.7154166666601</v>
      </c>
      <c r="C508" s="33">
        <v>48.371249999999897</v>
      </c>
      <c r="D508" s="4">
        <f t="shared" si="1"/>
        <v>9</v>
      </c>
      <c r="E508" s="4" t="s">
        <v>73</v>
      </c>
      <c r="F508" s="34"/>
    </row>
    <row r="509" spans="1:6" ht="14.25" customHeight="1" x14ac:dyDescent="0.25">
      <c r="A509" s="31">
        <v>41893.5</v>
      </c>
      <c r="B509" s="32">
        <v>2109.2648749999998</v>
      </c>
      <c r="C509" s="33">
        <v>88.029583333333306</v>
      </c>
      <c r="D509" s="4">
        <f t="shared" si="1"/>
        <v>9</v>
      </c>
      <c r="E509" s="4" t="s">
        <v>73</v>
      </c>
      <c r="F509" s="34"/>
    </row>
    <row r="510" spans="1:6" ht="14.25" customHeight="1" x14ac:dyDescent="0.25">
      <c r="A510" s="31">
        <v>41894</v>
      </c>
      <c r="B510" s="32">
        <v>1848.3395416666599</v>
      </c>
      <c r="C510" s="33">
        <v>51.335833333333298</v>
      </c>
      <c r="D510" s="4">
        <f t="shared" si="1"/>
        <v>9</v>
      </c>
      <c r="E510" s="4" t="s">
        <v>73</v>
      </c>
      <c r="F510" s="34"/>
    </row>
    <row r="511" spans="1:6" ht="14.25" customHeight="1" x14ac:dyDescent="0.25">
      <c r="A511" s="31">
        <v>41894.5</v>
      </c>
      <c r="B511" s="32">
        <v>2107.09733333333</v>
      </c>
      <c r="C511" s="33">
        <v>65.329583333333304</v>
      </c>
      <c r="D511" s="4">
        <f t="shared" si="1"/>
        <v>9</v>
      </c>
      <c r="E511" s="4" t="s">
        <v>73</v>
      </c>
      <c r="F511" s="34"/>
    </row>
    <row r="512" spans="1:6" ht="14.25" customHeight="1" x14ac:dyDescent="0.25">
      <c r="A512" s="31">
        <v>41895</v>
      </c>
      <c r="B512" s="32">
        <v>2006.9661249999999</v>
      </c>
      <c r="C512" s="33">
        <v>53.769999999999897</v>
      </c>
      <c r="D512" s="4">
        <f t="shared" ref="D512:D731" si="2">MONTH(A512)</f>
        <v>9</v>
      </c>
      <c r="E512" s="4" t="s">
        <v>73</v>
      </c>
      <c r="F512" s="34"/>
    </row>
    <row r="513" spans="1:6" ht="14.25" customHeight="1" x14ac:dyDescent="0.25">
      <c r="A513" s="31">
        <v>41895.5</v>
      </c>
      <c r="B513" s="32">
        <v>2248.7629999999999</v>
      </c>
      <c r="C513" s="33">
        <v>63.956999999999901</v>
      </c>
      <c r="D513" s="4">
        <f t="shared" si="2"/>
        <v>9</v>
      </c>
      <c r="E513" s="4" t="s">
        <v>73</v>
      </c>
      <c r="F513" s="34"/>
    </row>
    <row r="514" spans="1:6" ht="14.25" customHeight="1" x14ac:dyDescent="0.25">
      <c r="A514" s="31">
        <v>41896</v>
      </c>
      <c r="B514" s="32">
        <v>1784.0219999999999</v>
      </c>
      <c r="C514" s="33">
        <v>51.338749999999997</v>
      </c>
      <c r="D514" s="4">
        <f t="shared" si="2"/>
        <v>9</v>
      </c>
      <c r="E514" s="4" t="s">
        <v>73</v>
      </c>
      <c r="F514" s="34"/>
    </row>
    <row r="515" spans="1:6" ht="14.25" customHeight="1" x14ac:dyDescent="0.25">
      <c r="A515" s="31">
        <v>41896.5</v>
      </c>
      <c r="B515" s="32">
        <v>2240.7224999999999</v>
      </c>
      <c r="C515" s="33">
        <v>54.9345833333333</v>
      </c>
      <c r="D515" s="4">
        <f t="shared" si="2"/>
        <v>9</v>
      </c>
      <c r="E515" s="4" t="s">
        <v>73</v>
      </c>
      <c r="F515" s="34"/>
    </row>
    <row r="516" spans="1:6" ht="14.25" customHeight="1" x14ac:dyDescent="0.25">
      <c r="A516" s="31">
        <v>41897</v>
      </c>
      <c r="B516" s="32">
        <v>1836.4853333333299</v>
      </c>
      <c r="C516" s="33">
        <v>34.522500000000001</v>
      </c>
      <c r="D516" s="4">
        <f t="shared" si="2"/>
        <v>9</v>
      </c>
      <c r="E516" s="4" t="s">
        <v>73</v>
      </c>
      <c r="F516" s="34"/>
    </row>
    <row r="517" spans="1:6" ht="14.25" customHeight="1" x14ac:dyDescent="0.25">
      <c r="A517" s="31">
        <v>41897.5</v>
      </c>
      <c r="B517" s="32">
        <v>2042.4563333333299</v>
      </c>
      <c r="C517" s="33">
        <v>54.936250000000001</v>
      </c>
      <c r="D517" s="4">
        <f t="shared" si="2"/>
        <v>9</v>
      </c>
      <c r="E517" s="4" t="s">
        <v>73</v>
      </c>
      <c r="F517" s="34"/>
    </row>
    <row r="518" spans="1:6" ht="14.25" customHeight="1" x14ac:dyDescent="0.25">
      <c r="A518" s="31">
        <v>41898</v>
      </c>
      <c r="B518" s="32">
        <v>2023.1317916666601</v>
      </c>
      <c r="C518" s="33">
        <v>51.0729166666666</v>
      </c>
      <c r="D518" s="4">
        <f t="shared" si="2"/>
        <v>9</v>
      </c>
      <c r="E518" s="4" t="s">
        <v>73</v>
      </c>
      <c r="F518" s="34"/>
    </row>
    <row r="519" spans="1:6" ht="14.25" customHeight="1" x14ac:dyDescent="0.25">
      <c r="A519" s="31">
        <v>41898.5</v>
      </c>
      <c r="B519" s="32">
        <v>2365.6989999999901</v>
      </c>
      <c r="C519" s="33">
        <v>52.2945833333333</v>
      </c>
      <c r="D519" s="4">
        <f t="shared" si="2"/>
        <v>9</v>
      </c>
      <c r="E519" s="4" t="s">
        <v>73</v>
      </c>
      <c r="F519" s="34"/>
    </row>
    <row r="520" spans="1:6" ht="14.25" customHeight="1" x14ac:dyDescent="0.25">
      <c r="A520" s="31">
        <v>41899</v>
      </c>
      <c r="B520" s="32">
        <v>2014.6587499999901</v>
      </c>
      <c r="C520" s="33">
        <v>44.726666666666603</v>
      </c>
      <c r="D520" s="4">
        <f t="shared" si="2"/>
        <v>9</v>
      </c>
      <c r="E520" s="4" t="s">
        <v>73</v>
      </c>
      <c r="F520" s="34"/>
    </row>
    <row r="521" spans="1:6" ht="14.25" customHeight="1" x14ac:dyDescent="0.25">
      <c r="A521" s="31">
        <v>41899.5</v>
      </c>
      <c r="B521" s="32">
        <v>2307.1498749999901</v>
      </c>
      <c r="C521" s="33">
        <v>77.517499999999998</v>
      </c>
      <c r="D521" s="4">
        <f t="shared" si="2"/>
        <v>9</v>
      </c>
      <c r="E521" s="4" t="s">
        <v>73</v>
      </c>
      <c r="F521" s="34"/>
    </row>
    <row r="522" spans="1:6" ht="14.25" customHeight="1" x14ac:dyDescent="0.25">
      <c r="A522" s="31">
        <v>41900</v>
      </c>
      <c r="B522" s="32">
        <v>2004.1671249999999</v>
      </c>
      <c r="C522" s="33">
        <v>49.554583333333298</v>
      </c>
      <c r="D522" s="4">
        <f t="shared" si="2"/>
        <v>9</v>
      </c>
      <c r="E522" s="4" t="s">
        <v>73</v>
      </c>
      <c r="F522" s="34"/>
    </row>
    <row r="523" spans="1:6" ht="14.25" customHeight="1" x14ac:dyDescent="0.25">
      <c r="A523" s="31">
        <v>41900.5</v>
      </c>
      <c r="B523" s="32">
        <v>2271.43324999999</v>
      </c>
      <c r="C523" s="33">
        <v>52.442916666666598</v>
      </c>
      <c r="D523" s="4">
        <f t="shared" si="2"/>
        <v>9</v>
      </c>
      <c r="E523" s="4" t="s">
        <v>73</v>
      </c>
      <c r="F523" s="34"/>
    </row>
    <row r="524" spans="1:6" ht="14.25" customHeight="1" x14ac:dyDescent="0.25">
      <c r="A524" s="31">
        <v>41901</v>
      </c>
      <c r="B524" s="32">
        <v>1920.9021250000001</v>
      </c>
      <c r="C524" s="33">
        <v>49.8287499999999</v>
      </c>
      <c r="D524" s="4">
        <f t="shared" si="2"/>
        <v>9</v>
      </c>
      <c r="E524" s="4" t="s">
        <v>73</v>
      </c>
      <c r="F524" s="34"/>
    </row>
    <row r="525" spans="1:6" ht="14.25" customHeight="1" x14ac:dyDescent="0.25">
      <c r="A525" s="31">
        <v>41901.5</v>
      </c>
      <c r="B525" s="32">
        <v>2218.1039999999998</v>
      </c>
      <c r="C525" s="33">
        <v>67.549583333333302</v>
      </c>
      <c r="D525" s="4">
        <f t="shared" si="2"/>
        <v>9</v>
      </c>
      <c r="E525" s="4" t="s">
        <v>73</v>
      </c>
      <c r="F525" s="34"/>
    </row>
    <row r="526" spans="1:6" ht="14.25" customHeight="1" x14ac:dyDescent="0.25">
      <c r="A526" s="31">
        <v>41902</v>
      </c>
      <c r="B526" s="32">
        <v>1970.1035833333301</v>
      </c>
      <c r="C526" s="33">
        <v>48.207500000000003</v>
      </c>
      <c r="D526" s="4">
        <f t="shared" si="2"/>
        <v>9</v>
      </c>
      <c r="E526" s="4" t="s">
        <v>73</v>
      </c>
      <c r="F526" s="34"/>
    </row>
    <row r="527" spans="1:6" ht="14.25" customHeight="1" x14ac:dyDescent="0.25">
      <c r="A527" s="31">
        <v>41902.5</v>
      </c>
      <c r="B527" s="32">
        <v>2213.6470416666598</v>
      </c>
      <c r="C527" s="33">
        <v>46.808749999999897</v>
      </c>
      <c r="D527" s="4">
        <f t="shared" si="2"/>
        <v>9</v>
      </c>
      <c r="E527" s="4" t="s">
        <v>73</v>
      </c>
      <c r="F527" s="34"/>
    </row>
    <row r="528" spans="1:6" ht="14.25" customHeight="1" x14ac:dyDescent="0.25">
      <c r="A528" s="31">
        <v>41903</v>
      </c>
      <c r="B528" s="32">
        <v>1732.7019583333299</v>
      </c>
      <c r="C528" s="33">
        <v>45.873750000000001</v>
      </c>
      <c r="D528" s="4">
        <f t="shared" si="2"/>
        <v>9</v>
      </c>
      <c r="E528" s="4" t="s">
        <v>73</v>
      </c>
      <c r="F528" s="34"/>
    </row>
    <row r="529" spans="1:6" ht="14.25" customHeight="1" x14ac:dyDescent="0.25">
      <c r="A529" s="31">
        <v>41903.5</v>
      </c>
      <c r="B529" s="32">
        <v>1933.2025000000001</v>
      </c>
      <c r="C529" s="33">
        <v>47.7245833333333</v>
      </c>
      <c r="D529" s="4">
        <f t="shared" si="2"/>
        <v>9</v>
      </c>
      <c r="E529" s="4" t="s">
        <v>73</v>
      </c>
      <c r="F529" s="34"/>
    </row>
    <row r="530" spans="1:6" ht="14.25" customHeight="1" x14ac:dyDescent="0.25">
      <c r="A530" s="31">
        <v>41904</v>
      </c>
      <c r="B530" s="32">
        <v>1784.0386999999901</v>
      </c>
      <c r="C530" s="33">
        <v>28.845999999999901</v>
      </c>
      <c r="D530" s="4">
        <f t="shared" si="2"/>
        <v>9</v>
      </c>
      <c r="E530" s="4" t="s">
        <v>73</v>
      </c>
      <c r="F530" s="34"/>
    </row>
    <row r="531" spans="1:6" ht="14.25" customHeight="1" x14ac:dyDescent="0.25">
      <c r="A531" s="31">
        <v>41904.5</v>
      </c>
      <c r="B531" s="32">
        <v>2104.9902499999998</v>
      </c>
      <c r="C531" s="33">
        <v>60.244583333333303</v>
      </c>
      <c r="D531" s="4">
        <f t="shared" si="2"/>
        <v>9</v>
      </c>
      <c r="E531" s="4" t="s">
        <v>73</v>
      </c>
      <c r="F531" s="34"/>
    </row>
    <row r="532" spans="1:6" ht="14.25" customHeight="1" x14ac:dyDescent="0.25">
      <c r="A532" s="31">
        <v>41905</v>
      </c>
      <c r="B532" s="32">
        <v>1969.7938125000001</v>
      </c>
      <c r="C532" s="33">
        <v>36.316249999999997</v>
      </c>
      <c r="D532" s="4">
        <f t="shared" si="2"/>
        <v>9</v>
      </c>
      <c r="E532" s="4" t="s">
        <v>73</v>
      </c>
      <c r="F532" s="34"/>
    </row>
    <row r="533" spans="1:6" ht="14.25" customHeight="1" x14ac:dyDescent="0.25">
      <c r="A533" s="31">
        <v>41905.5</v>
      </c>
      <c r="B533" s="32">
        <v>2124.48358333333</v>
      </c>
      <c r="C533" s="33">
        <v>44.537499999999902</v>
      </c>
      <c r="D533" s="4">
        <f t="shared" si="2"/>
        <v>9</v>
      </c>
      <c r="E533" s="4" t="s">
        <v>73</v>
      </c>
      <c r="F533" s="34"/>
    </row>
    <row r="534" spans="1:6" ht="14.25" customHeight="1" x14ac:dyDescent="0.25">
      <c r="A534" s="31">
        <v>41906</v>
      </c>
      <c r="B534" s="32">
        <v>1837.43941666666</v>
      </c>
      <c r="C534" s="33">
        <v>34.553333333333299</v>
      </c>
      <c r="D534" s="4">
        <f t="shared" si="2"/>
        <v>9</v>
      </c>
      <c r="E534" s="4" t="s">
        <v>73</v>
      </c>
      <c r="F534" s="34"/>
    </row>
    <row r="535" spans="1:6" ht="14.25" customHeight="1" x14ac:dyDescent="0.25">
      <c r="A535" s="31">
        <v>41906.5</v>
      </c>
      <c r="B535" s="32">
        <v>2198.0576249999999</v>
      </c>
      <c r="C535" s="33">
        <v>53.402499999999897</v>
      </c>
      <c r="D535" s="4">
        <f t="shared" si="2"/>
        <v>9</v>
      </c>
      <c r="E535" s="4" t="s">
        <v>73</v>
      </c>
      <c r="F535" s="34"/>
    </row>
    <row r="536" spans="1:6" ht="14.25" customHeight="1" x14ac:dyDescent="0.25">
      <c r="A536" s="31">
        <v>41907</v>
      </c>
      <c r="B536" s="32">
        <v>1935.0042083333301</v>
      </c>
      <c r="C536" s="33">
        <v>50.355833333333301</v>
      </c>
      <c r="D536" s="4">
        <f t="shared" si="2"/>
        <v>9</v>
      </c>
      <c r="E536" s="4" t="s">
        <v>73</v>
      </c>
      <c r="F536" s="34"/>
    </row>
    <row r="537" spans="1:6" ht="14.25" customHeight="1" x14ac:dyDescent="0.25">
      <c r="A537" s="31">
        <v>41907.5</v>
      </c>
      <c r="B537" s="32">
        <v>2156.9343749999998</v>
      </c>
      <c r="C537" s="33">
        <v>59.463749999999997</v>
      </c>
      <c r="D537" s="4">
        <f t="shared" si="2"/>
        <v>9</v>
      </c>
      <c r="E537" s="4" t="s">
        <v>73</v>
      </c>
      <c r="F537" s="34"/>
    </row>
    <row r="538" spans="1:6" ht="14.25" customHeight="1" x14ac:dyDescent="0.25">
      <c r="A538" s="31">
        <v>41908</v>
      </c>
      <c r="B538" s="32">
        <v>1926.1875</v>
      </c>
      <c r="C538" s="33">
        <v>50.248333333333299</v>
      </c>
      <c r="D538" s="4">
        <f t="shared" si="2"/>
        <v>9</v>
      </c>
      <c r="E538" s="4" t="s">
        <v>73</v>
      </c>
      <c r="F538" s="34"/>
    </row>
    <row r="539" spans="1:6" ht="14.25" customHeight="1" x14ac:dyDescent="0.25">
      <c r="A539" s="31">
        <v>41908.5</v>
      </c>
      <c r="B539" s="32">
        <v>2214.9516250000001</v>
      </c>
      <c r="C539" s="33">
        <v>52.935416666666598</v>
      </c>
      <c r="D539" s="4">
        <f t="shared" si="2"/>
        <v>9</v>
      </c>
      <c r="E539" s="4" t="s">
        <v>73</v>
      </c>
      <c r="F539" s="34"/>
    </row>
    <row r="540" spans="1:6" ht="14.25" customHeight="1" x14ac:dyDescent="0.25">
      <c r="A540" s="31">
        <v>41909</v>
      </c>
      <c r="B540" s="32">
        <v>1951.0851250000001</v>
      </c>
      <c r="C540" s="33">
        <v>61.705833333333302</v>
      </c>
      <c r="D540" s="4">
        <f t="shared" si="2"/>
        <v>9</v>
      </c>
      <c r="E540" s="4" t="s">
        <v>73</v>
      </c>
      <c r="F540" s="34"/>
    </row>
    <row r="541" spans="1:6" ht="14.25" customHeight="1" x14ac:dyDescent="0.25">
      <c r="A541" s="31">
        <v>41909.5</v>
      </c>
      <c r="B541" s="32">
        <v>2127.3627916666601</v>
      </c>
      <c r="C541" s="33">
        <v>63.655416666666603</v>
      </c>
      <c r="D541" s="4">
        <f t="shared" si="2"/>
        <v>9</v>
      </c>
      <c r="E541" s="4" t="s">
        <v>73</v>
      </c>
      <c r="F541" s="34"/>
    </row>
    <row r="542" spans="1:6" ht="14.25" customHeight="1" x14ac:dyDescent="0.25">
      <c r="A542" s="31">
        <v>41910</v>
      </c>
      <c r="B542" s="32">
        <v>1725.21108333333</v>
      </c>
      <c r="C542" s="33">
        <v>55.837083333333297</v>
      </c>
      <c r="D542" s="4">
        <f t="shared" si="2"/>
        <v>9</v>
      </c>
      <c r="E542" s="4" t="s">
        <v>73</v>
      </c>
      <c r="F542" s="34"/>
    </row>
    <row r="543" spans="1:6" ht="14.25" customHeight="1" x14ac:dyDescent="0.25">
      <c r="A543" s="31">
        <v>41910.5</v>
      </c>
      <c r="B543" s="32">
        <v>1899.99741666666</v>
      </c>
      <c r="C543" s="33">
        <v>51.783333333333303</v>
      </c>
      <c r="D543" s="4">
        <f t="shared" si="2"/>
        <v>9</v>
      </c>
      <c r="E543" s="4" t="s">
        <v>73</v>
      </c>
      <c r="F543" s="34"/>
    </row>
    <row r="544" spans="1:6" ht="14.25" customHeight="1" x14ac:dyDescent="0.25">
      <c r="A544" s="31">
        <v>41911</v>
      </c>
      <c r="B544" s="32">
        <v>1602.6900416666599</v>
      </c>
      <c r="C544" s="33">
        <v>51.994999999999997</v>
      </c>
      <c r="D544" s="4">
        <f t="shared" si="2"/>
        <v>9</v>
      </c>
      <c r="E544" s="4" t="s">
        <v>73</v>
      </c>
      <c r="F544" s="34"/>
    </row>
    <row r="545" spans="1:6" ht="14.25" customHeight="1" x14ac:dyDescent="0.25">
      <c r="A545" s="31">
        <v>41911.5</v>
      </c>
      <c r="B545" s="32">
        <v>1989.90491666666</v>
      </c>
      <c r="C545" s="33">
        <v>60.637499999999903</v>
      </c>
      <c r="D545" s="4">
        <f t="shared" si="2"/>
        <v>9</v>
      </c>
      <c r="E545" s="4" t="s">
        <v>73</v>
      </c>
      <c r="F545" s="34"/>
    </row>
    <row r="546" spans="1:6" ht="14.25" customHeight="1" x14ac:dyDescent="0.25">
      <c r="A546" s="31">
        <v>41912</v>
      </c>
      <c r="B546" s="32">
        <v>1684.1917083333301</v>
      </c>
      <c r="C546" s="33">
        <v>44.738750000000003</v>
      </c>
      <c r="D546" s="4">
        <f t="shared" si="2"/>
        <v>9</v>
      </c>
      <c r="E546" s="4" t="s">
        <v>73</v>
      </c>
      <c r="F546" s="34"/>
    </row>
    <row r="547" spans="1:6" ht="14.25" customHeight="1" x14ac:dyDescent="0.25">
      <c r="A547" s="31">
        <v>41912.5</v>
      </c>
      <c r="B547" s="32">
        <v>1953.3324583333299</v>
      </c>
      <c r="C547" s="33">
        <v>59.0162499999999</v>
      </c>
      <c r="D547" s="4">
        <f t="shared" si="2"/>
        <v>9</v>
      </c>
      <c r="E547" s="4" t="s">
        <v>73</v>
      </c>
      <c r="F547" s="34"/>
    </row>
    <row r="548" spans="1:6" ht="14.25" customHeight="1" x14ac:dyDescent="0.25">
      <c r="A548" s="31">
        <v>41913</v>
      </c>
      <c r="B548" s="32">
        <v>2007.6444999999901</v>
      </c>
      <c r="C548" s="33">
        <v>41.709600000000002</v>
      </c>
      <c r="D548" s="4">
        <f t="shared" si="2"/>
        <v>10</v>
      </c>
      <c r="E548" s="4" t="s">
        <v>73</v>
      </c>
      <c r="F548" s="34"/>
    </row>
    <row r="549" spans="1:6" ht="14.25" customHeight="1" x14ac:dyDescent="0.25">
      <c r="A549" s="31">
        <v>41913.5</v>
      </c>
      <c r="B549" s="32">
        <v>2220.78666666666</v>
      </c>
      <c r="C549" s="33">
        <v>56.280833333333298</v>
      </c>
      <c r="D549" s="4">
        <f t="shared" si="2"/>
        <v>10</v>
      </c>
      <c r="E549" s="4" t="s">
        <v>73</v>
      </c>
      <c r="F549" s="34"/>
    </row>
    <row r="550" spans="1:6" ht="14.25" customHeight="1" x14ac:dyDescent="0.25">
      <c r="A550" s="31">
        <v>41914</v>
      </c>
      <c r="B550" s="32">
        <v>1886.12816666666</v>
      </c>
      <c r="C550" s="33">
        <v>35.242249999999999</v>
      </c>
      <c r="D550" s="4">
        <f t="shared" si="2"/>
        <v>10</v>
      </c>
      <c r="E550" s="4" t="s">
        <v>73</v>
      </c>
      <c r="F550" s="34"/>
    </row>
    <row r="551" spans="1:6" ht="14.25" customHeight="1" x14ac:dyDescent="0.25">
      <c r="A551" s="31">
        <v>41914.5</v>
      </c>
      <c r="B551" s="32">
        <v>2790.45141666666</v>
      </c>
      <c r="C551" s="33">
        <v>73.400666666666595</v>
      </c>
      <c r="D551" s="4">
        <f t="shared" si="2"/>
        <v>10</v>
      </c>
      <c r="E551" s="4" t="s">
        <v>73</v>
      </c>
      <c r="F551" s="34"/>
    </row>
    <row r="552" spans="1:6" ht="14.25" customHeight="1" x14ac:dyDescent="0.25">
      <c r="A552" s="31">
        <v>41915</v>
      </c>
      <c r="B552" s="32">
        <v>1962.5399583333301</v>
      </c>
      <c r="C552" s="33">
        <v>64.428083333333305</v>
      </c>
      <c r="D552" s="4">
        <f t="shared" si="2"/>
        <v>10</v>
      </c>
      <c r="E552" s="4" t="s">
        <v>73</v>
      </c>
      <c r="F552" s="34"/>
    </row>
    <row r="553" spans="1:6" ht="14.25" customHeight="1" x14ac:dyDescent="0.25">
      <c r="A553" s="31">
        <v>41915.5</v>
      </c>
      <c r="B553" s="32">
        <v>2332.38454166666</v>
      </c>
      <c r="C553" s="33">
        <v>75.952249999999907</v>
      </c>
      <c r="D553" s="4">
        <f t="shared" si="2"/>
        <v>10</v>
      </c>
      <c r="E553" s="4" t="s">
        <v>73</v>
      </c>
      <c r="F553" s="34"/>
    </row>
    <row r="554" spans="1:6" ht="14.25" customHeight="1" x14ac:dyDescent="0.25">
      <c r="A554" s="31">
        <v>41916</v>
      </c>
      <c r="B554" s="32">
        <v>2132.88175</v>
      </c>
      <c r="C554" s="33">
        <v>53.532083333333297</v>
      </c>
      <c r="D554" s="4">
        <f t="shared" si="2"/>
        <v>10</v>
      </c>
      <c r="E554" s="4" t="s">
        <v>73</v>
      </c>
      <c r="F554" s="34"/>
    </row>
    <row r="555" spans="1:6" ht="14.25" customHeight="1" x14ac:dyDescent="0.25">
      <c r="A555" s="31">
        <v>41916.5</v>
      </c>
      <c r="B555" s="32">
        <v>2626.2460416666599</v>
      </c>
      <c r="C555" s="33">
        <v>70.233333333333306</v>
      </c>
      <c r="D555" s="4">
        <f t="shared" si="2"/>
        <v>10</v>
      </c>
      <c r="E555" s="4" t="s">
        <v>73</v>
      </c>
      <c r="F555" s="34"/>
    </row>
    <row r="556" spans="1:6" ht="14.25" customHeight="1" x14ac:dyDescent="0.25">
      <c r="A556" s="31">
        <v>41917</v>
      </c>
      <c r="B556" s="32">
        <v>2052.8806666666601</v>
      </c>
      <c r="C556" s="33">
        <v>43.792499999999997</v>
      </c>
      <c r="D556" s="4">
        <f t="shared" si="2"/>
        <v>10</v>
      </c>
      <c r="E556" s="4" t="s">
        <v>73</v>
      </c>
      <c r="F556" s="34"/>
    </row>
    <row r="557" spans="1:6" ht="14.25" customHeight="1" x14ac:dyDescent="0.25">
      <c r="A557" s="31">
        <v>41917.5</v>
      </c>
      <c r="B557" s="32">
        <v>1989.07779166666</v>
      </c>
      <c r="C557" s="33">
        <v>43.967916666666603</v>
      </c>
      <c r="D557" s="4">
        <f t="shared" si="2"/>
        <v>10</v>
      </c>
      <c r="E557" s="4" t="s">
        <v>73</v>
      </c>
      <c r="F557" s="34"/>
    </row>
    <row r="558" spans="1:6" ht="14.25" customHeight="1" x14ac:dyDescent="0.25">
      <c r="A558" s="31">
        <v>41918</v>
      </c>
      <c r="B558" s="32">
        <v>1942.3025416666601</v>
      </c>
      <c r="C558" s="33">
        <v>51.145000000000003</v>
      </c>
      <c r="D558" s="4">
        <f t="shared" si="2"/>
        <v>10</v>
      </c>
      <c r="E558" s="4" t="s">
        <v>73</v>
      </c>
      <c r="F558" s="34"/>
    </row>
    <row r="559" spans="1:6" ht="14.25" customHeight="1" x14ac:dyDescent="0.25">
      <c r="A559" s="31">
        <v>41918.5</v>
      </c>
      <c r="B559" s="32">
        <v>2247.8567916666598</v>
      </c>
      <c r="C559" s="33">
        <v>44.225833333333298</v>
      </c>
      <c r="D559" s="4">
        <f t="shared" si="2"/>
        <v>10</v>
      </c>
      <c r="E559" s="4" t="s">
        <v>73</v>
      </c>
      <c r="F559" s="34"/>
    </row>
    <row r="560" spans="1:6" ht="14.25" customHeight="1" x14ac:dyDescent="0.25">
      <c r="A560" s="31">
        <v>41919</v>
      </c>
      <c r="B560" s="32">
        <v>2029.9478749999901</v>
      </c>
      <c r="C560" s="33">
        <v>62.532499999999999</v>
      </c>
      <c r="D560" s="4">
        <f t="shared" si="2"/>
        <v>10</v>
      </c>
      <c r="E560" s="4" t="s">
        <v>73</v>
      </c>
      <c r="F560" s="34"/>
    </row>
    <row r="561" spans="1:6" ht="14.25" customHeight="1" x14ac:dyDescent="0.25">
      <c r="A561" s="31">
        <v>41919.5</v>
      </c>
      <c r="B561" s="32">
        <v>2304.0392916666601</v>
      </c>
      <c r="C561" s="33">
        <v>83.460833333333298</v>
      </c>
      <c r="D561" s="4">
        <f t="shared" si="2"/>
        <v>10</v>
      </c>
      <c r="E561" s="4" t="s">
        <v>73</v>
      </c>
      <c r="F561" s="34"/>
    </row>
    <row r="562" spans="1:6" ht="14.25" customHeight="1" x14ac:dyDescent="0.25">
      <c r="A562" s="31">
        <v>41920</v>
      </c>
      <c r="B562" s="32">
        <v>1755.5350416666599</v>
      </c>
      <c r="C562" s="33">
        <v>58.622916666666598</v>
      </c>
      <c r="D562" s="4">
        <f t="shared" si="2"/>
        <v>10</v>
      </c>
      <c r="E562" s="4" t="s">
        <v>73</v>
      </c>
      <c r="F562" s="34"/>
    </row>
    <row r="563" spans="1:6" ht="14.25" customHeight="1" x14ac:dyDescent="0.25">
      <c r="A563" s="31">
        <v>41920.5</v>
      </c>
      <c r="B563" s="32">
        <v>2048.3871666666601</v>
      </c>
      <c r="C563" s="33">
        <v>66.830833333333302</v>
      </c>
      <c r="D563" s="4">
        <f t="shared" si="2"/>
        <v>10</v>
      </c>
      <c r="E563" s="4" t="s">
        <v>73</v>
      </c>
      <c r="F563" s="34"/>
    </row>
    <row r="564" spans="1:6" ht="14.25" customHeight="1" x14ac:dyDescent="0.25">
      <c r="A564" s="31">
        <v>41921</v>
      </c>
      <c r="B564" s="32">
        <v>1943.12725</v>
      </c>
      <c r="C564" s="33">
        <v>53.835833333333298</v>
      </c>
      <c r="D564" s="4">
        <f t="shared" si="2"/>
        <v>10</v>
      </c>
      <c r="E564" s="4" t="s">
        <v>73</v>
      </c>
      <c r="F564" s="34"/>
    </row>
    <row r="565" spans="1:6" ht="14.25" customHeight="1" x14ac:dyDescent="0.25">
      <c r="A565" s="31">
        <v>41921.5</v>
      </c>
      <c r="B565" s="32">
        <v>2243.9492500000001</v>
      </c>
      <c r="C565" s="33">
        <v>68.947500000000005</v>
      </c>
      <c r="D565" s="4">
        <f t="shared" si="2"/>
        <v>10</v>
      </c>
      <c r="E565" s="4" t="s">
        <v>73</v>
      </c>
      <c r="F565" s="34"/>
    </row>
    <row r="566" spans="1:6" ht="14.25" customHeight="1" x14ac:dyDescent="0.25">
      <c r="A566" s="31">
        <v>41922</v>
      </c>
      <c r="B566" s="32">
        <v>1881.1257083333301</v>
      </c>
      <c r="C566" s="33">
        <v>60.918333333333301</v>
      </c>
      <c r="D566" s="4">
        <f t="shared" si="2"/>
        <v>10</v>
      </c>
      <c r="E566" s="4" t="s">
        <v>73</v>
      </c>
      <c r="F566" s="34"/>
    </row>
    <row r="567" spans="1:6" ht="14.25" customHeight="1" x14ac:dyDescent="0.25">
      <c r="A567" s="31">
        <v>41922.5</v>
      </c>
      <c r="B567" s="32">
        <v>2096.1401249999999</v>
      </c>
      <c r="C567" s="33">
        <v>65.825000000000003</v>
      </c>
      <c r="D567" s="4">
        <f t="shared" si="2"/>
        <v>10</v>
      </c>
      <c r="E567" s="4" t="s">
        <v>73</v>
      </c>
      <c r="F567" s="34"/>
    </row>
    <row r="568" spans="1:6" ht="14.25" customHeight="1" x14ac:dyDescent="0.25">
      <c r="A568" s="31">
        <v>41923</v>
      </c>
      <c r="B568" s="32">
        <v>1722.9338333333301</v>
      </c>
      <c r="C568" s="33">
        <v>45.246666666666599</v>
      </c>
      <c r="D568" s="4">
        <f t="shared" si="2"/>
        <v>10</v>
      </c>
      <c r="E568" s="4" t="s">
        <v>73</v>
      </c>
      <c r="F568" s="34"/>
    </row>
    <row r="569" spans="1:6" ht="14.25" customHeight="1" x14ac:dyDescent="0.25">
      <c r="A569" s="31">
        <v>41923.5</v>
      </c>
      <c r="B569" s="32">
        <v>2293.70854166666</v>
      </c>
      <c r="C569" s="33">
        <v>93.789166666666603</v>
      </c>
      <c r="D569" s="4">
        <f t="shared" si="2"/>
        <v>10</v>
      </c>
      <c r="E569" s="4" t="s">
        <v>73</v>
      </c>
      <c r="F569" s="34"/>
    </row>
    <row r="570" spans="1:6" ht="14.25" customHeight="1" x14ac:dyDescent="0.25">
      <c r="A570" s="31">
        <v>41924</v>
      </c>
      <c r="B570" s="32">
        <v>1850.04408333333</v>
      </c>
      <c r="C570" s="33">
        <v>45.956666666666599</v>
      </c>
      <c r="D570" s="4">
        <f t="shared" si="2"/>
        <v>10</v>
      </c>
      <c r="E570" s="4" t="s">
        <v>73</v>
      </c>
      <c r="F570" s="34"/>
    </row>
    <row r="571" spans="1:6" ht="14.25" customHeight="1" x14ac:dyDescent="0.25">
      <c r="A571" s="31">
        <v>41924.5</v>
      </c>
      <c r="B571" s="32">
        <v>2374.0641666666602</v>
      </c>
      <c r="C571" s="33">
        <v>71.999166666666596</v>
      </c>
      <c r="D571" s="4">
        <f t="shared" si="2"/>
        <v>10</v>
      </c>
      <c r="E571" s="4" t="s">
        <v>73</v>
      </c>
      <c r="F571" s="34"/>
    </row>
    <row r="572" spans="1:6" ht="14.25" customHeight="1" x14ac:dyDescent="0.25">
      <c r="A572" s="31">
        <v>41925</v>
      </c>
      <c r="B572" s="32">
        <v>1611.22</v>
      </c>
      <c r="C572" s="33">
        <v>37.198749999999997</v>
      </c>
      <c r="D572" s="4">
        <f t="shared" si="2"/>
        <v>10</v>
      </c>
      <c r="E572" s="4" t="s">
        <v>73</v>
      </c>
      <c r="F572" s="34"/>
    </row>
    <row r="573" spans="1:6" ht="14.25" customHeight="1" x14ac:dyDescent="0.25">
      <c r="A573" s="31">
        <v>41925.5</v>
      </c>
      <c r="B573" s="32">
        <v>1846.55791666666</v>
      </c>
      <c r="C573" s="33">
        <v>52.446666666666601</v>
      </c>
      <c r="D573" s="4">
        <f t="shared" si="2"/>
        <v>10</v>
      </c>
      <c r="E573" s="4" t="s">
        <v>73</v>
      </c>
      <c r="F573" s="34"/>
    </row>
    <row r="574" spans="1:6" ht="14.25" customHeight="1" x14ac:dyDescent="0.25">
      <c r="A574" s="31">
        <v>41926</v>
      </c>
      <c r="B574" s="32">
        <v>1799.310375</v>
      </c>
      <c r="C574" s="33">
        <v>42.499166666666603</v>
      </c>
      <c r="D574" s="4">
        <f t="shared" si="2"/>
        <v>10</v>
      </c>
      <c r="E574" s="4" t="s">
        <v>73</v>
      </c>
      <c r="F574" s="34"/>
    </row>
    <row r="575" spans="1:6" ht="14.25" customHeight="1" x14ac:dyDescent="0.25">
      <c r="A575" s="31">
        <v>41926.5</v>
      </c>
      <c r="B575" s="32">
        <v>2070.2994583333302</v>
      </c>
      <c r="C575" s="33">
        <v>63.807499999999997</v>
      </c>
      <c r="D575" s="4">
        <f t="shared" si="2"/>
        <v>10</v>
      </c>
      <c r="E575" s="4" t="s">
        <v>73</v>
      </c>
      <c r="F575" s="34"/>
    </row>
    <row r="576" spans="1:6" ht="14.25" customHeight="1" x14ac:dyDescent="0.25">
      <c r="A576" s="31">
        <v>41927</v>
      </c>
      <c r="B576" s="32">
        <v>1832.39116666666</v>
      </c>
      <c r="C576" s="33">
        <v>54.576666666666597</v>
      </c>
      <c r="D576" s="4">
        <f t="shared" si="2"/>
        <v>10</v>
      </c>
      <c r="E576" s="4" t="s">
        <v>73</v>
      </c>
      <c r="F576" s="34"/>
    </row>
    <row r="577" spans="1:6" ht="14.25" customHeight="1" x14ac:dyDescent="0.25">
      <c r="A577" s="31">
        <v>41927.5</v>
      </c>
      <c r="B577" s="32">
        <v>2099.4979583333302</v>
      </c>
      <c r="C577" s="33">
        <v>55.982500000000002</v>
      </c>
      <c r="D577" s="4">
        <f t="shared" si="2"/>
        <v>10</v>
      </c>
      <c r="E577" s="4" t="s">
        <v>73</v>
      </c>
      <c r="F577" s="34"/>
    </row>
    <row r="578" spans="1:6" ht="14.25" customHeight="1" x14ac:dyDescent="0.25">
      <c r="A578" s="31">
        <v>41928</v>
      </c>
      <c r="B578" s="32">
        <v>1845.81924999999</v>
      </c>
      <c r="C578" s="33">
        <v>44.299166666666601</v>
      </c>
      <c r="D578" s="4">
        <f t="shared" si="2"/>
        <v>10</v>
      </c>
      <c r="E578" s="4" t="s">
        <v>73</v>
      </c>
      <c r="F578" s="34"/>
    </row>
    <row r="579" spans="1:6" ht="14.25" customHeight="1" x14ac:dyDescent="0.25">
      <c r="A579" s="31">
        <v>41928.5</v>
      </c>
      <c r="B579" s="32">
        <v>2042.6991666666599</v>
      </c>
      <c r="C579" s="33">
        <v>59.989166666666598</v>
      </c>
      <c r="D579" s="4">
        <f t="shared" si="2"/>
        <v>10</v>
      </c>
      <c r="E579" s="4" t="s">
        <v>73</v>
      </c>
      <c r="F579" s="34"/>
    </row>
    <row r="580" spans="1:6" ht="14.25" customHeight="1" x14ac:dyDescent="0.25">
      <c r="A580" s="31">
        <v>41929</v>
      </c>
      <c r="B580" s="32">
        <v>1838.79779166666</v>
      </c>
      <c r="C580" s="33">
        <v>51.032916666666601</v>
      </c>
      <c r="D580" s="4">
        <f t="shared" si="2"/>
        <v>10</v>
      </c>
      <c r="E580" s="4" t="s">
        <v>73</v>
      </c>
      <c r="F580" s="34"/>
    </row>
    <row r="581" spans="1:6" ht="14.25" customHeight="1" x14ac:dyDescent="0.25">
      <c r="A581" s="31">
        <v>41929.5</v>
      </c>
      <c r="B581" s="32">
        <v>2088.8355833333299</v>
      </c>
      <c r="C581" s="33">
        <v>64.219166666666595</v>
      </c>
      <c r="D581" s="4">
        <f t="shared" si="2"/>
        <v>10</v>
      </c>
      <c r="E581" s="4" t="s">
        <v>73</v>
      </c>
      <c r="F581" s="34"/>
    </row>
    <row r="582" spans="1:6" ht="14.25" customHeight="1" x14ac:dyDescent="0.25">
      <c r="A582" s="31">
        <v>41930</v>
      </c>
      <c r="B582" s="32">
        <v>1883.367125</v>
      </c>
      <c r="C582" s="33">
        <v>71.835833333333298</v>
      </c>
      <c r="D582" s="4">
        <f t="shared" si="2"/>
        <v>10</v>
      </c>
      <c r="E582" s="4" t="s">
        <v>73</v>
      </c>
      <c r="F582" s="34"/>
    </row>
    <row r="583" spans="1:6" ht="14.25" customHeight="1" x14ac:dyDescent="0.25">
      <c r="A583" s="31">
        <v>41930.5</v>
      </c>
      <c r="B583" s="32">
        <v>2092.3713333333299</v>
      </c>
      <c r="C583" s="33">
        <v>76.037499999999994</v>
      </c>
      <c r="D583" s="4">
        <f t="shared" si="2"/>
        <v>10</v>
      </c>
      <c r="E583" s="4" t="s">
        <v>73</v>
      </c>
      <c r="F583" s="34"/>
    </row>
    <row r="584" spans="1:6" ht="14.25" customHeight="1" x14ac:dyDescent="0.25">
      <c r="A584" s="31">
        <v>41931</v>
      </c>
      <c r="B584" s="32">
        <v>1741.1714999999999</v>
      </c>
      <c r="C584" s="33">
        <v>53.73</v>
      </c>
      <c r="D584" s="4">
        <f t="shared" si="2"/>
        <v>10</v>
      </c>
      <c r="E584" s="4" t="s">
        <v>73</v>
      </c>
      <c r="F584" s="34"/>
    </row>
    <row r="585" spans="1:6" ht="14.25" customHeight="1" x14ac:dyDescent="0.25">
      <c r="A585" s="31">
        <v>41931.5</v>
      </c>
      <c r="B585" s="32">
        <v>2051.60645833333</v>
      </c>
      <c r="C585" s="33">
        <v>76.707916666666605</v>
      </c>
      <c r="D585" s="4">
        <f t="shared" si="2"/>
        <v>10</v>
      </c>
      <c r="E585" s="4" t="s">
        <v>73</v>
      </c>
      <c r="F585" s="34"/>
    </row>
    <row r="586" spans="1:6" ht="14.25" customHeight="1" x14ac:dyDescent="0.25">
      <c r="A586" s="31">
        <v>41932</v>
      </c>
      <c r="B586" s="32">
        <v>1642.1816249999999</v>
      </c>
      <c r="C586" s="33">
        <v>49.93</v>
      </c>
      <c r="D586" s="4">
        <f t="shared" si="2"/>
        <v>10</v>
      </c>
      <c r="E586" s="4" t="s">
        <v>73</v>
      </c>
      <c r="F586" s="34"/>
    </row>
    <row r="587" spans="1:6" ht="14.25" customHeight="1" x14ac:dyDescent="0.25">
      <c r="A587" s="31">
        <v>41932.5</v>
      </c>
      <c r="B587" s="32">
        <v>1924.9824166666599</v>
      </c>
      <c r="C587" s="33">
        <v>56.155833333333298</v>
      </c>
      <c r="D587" s="4">
        <f t="shared" si="2"/>
        <v>10</v>
      </c>
      <c r="E587" s="4" t="s">
        <v>73</v>
      </c>
      <c r="F587" s="34"/>
    </row>
    <row r="588" spans="1:6" ht="14.25" customHeight="1" x14ac:dyDescent="0.25">
      <c r="A588" s="31">
        <v>41933</v>
      </c>
      <c r="B588" s="32">
        <v>1831.9275833333299</v>
      </c>
      <c r="C588" s="33">
        <v>49.869166666666601</v>
      </c>
      <c r="D588" s="4">
        <f t="shared" si="2"/>
        <v>10</v>
      </c>
      <c r="E588" s="4" t="s">
        <v>73</v>
      </c>
      <c r="F588" s="34"/>
    </row>
    <row r="589" spans="1:6" ht="14.25" customHeight="1" x14ac:dyDescent="0.25">
      <c r="A589" s="31">
        <v>41933.5</v>
      </c>
      <c r="B589" s="32">
        <v>2062.1536249999999</v>
      </c>
      <c r="C589" s="33">
        <v>57.069166666666597</v>
      </c>
      <c r="D589" s="4">
        <f t="shared" si="2"/>
        <v>10</v>
      </c>
      <c r="E589" s="4" t="s">
        <v>73</v>
      </c>
      <c r="F589" s="34"/>
    </row>
    <row r="590" spans="1:6" ht="14.25" customHeight="1" x14ac:dyDescent="0.25">
      <c r="A590" s="31">
        <v>41934</v>
      </c>
      <c r="B590" s="32">
        <v>1844.1833750000001</v>
      </c>
      <c r="C590" s="33">
        <v>42.998750000000001</v>
      </c>
      <c r="D590" s="4">
        <f t="shared" si="2"/>
        <v>10</v>
      </c>
      <c r="E590" s="4" t="s">
        <v>73</v>
      </c>
      <c r="F590" s="34"/>
    </row>
    <row r="591" spans="1:6" ht="14.25" customHeight="1" x14ac:dyDescent="0.25">
      <c r="A591" s="31">
        <v>41934.5</v>
      </c>
      <c r="B591" s="32">
        <v>2069.80945833333</v>
      </c>
      <c r="C591" s="33">
        <v>50.1279166666666</v>
      </c>
      <c r="D591" s="4">
        <f t="shared" si="2"/>
        <v>10</v>
      </c>
      <c r="E591" s="4" t="s">
        <v>73</v>
      </c>
      <c r="F591" s="34"/>
    </row>
    <row r="592" spans="1:6" ht="14.25" customHeight="1" x14ac:dyDescent="0.25">
      <c r="A592" s="31">
        <v>41935</v>
      </c>
      <c r="B592" s="32">
        <v>1826.20020833333</v>
      </c>
      <c r="C592" s="33">
        <v>37.558749999999897</v>
      </c>
      <c r="D592" s="4">
        <f t="shared" si="2"/>
        <v>10</v>
      </c>
      <c r="E592" s="4" t="s">
        <v>73</v>
      </c>
      <c r="F592" s="34"/>
    </row>
    <row r="593" spans="1:6" ht="14.25" customHeight="1" x14ac:dyDescent="0.25">
      <c r="A593" s="31">
        <v>41935.5</v>
      </c>
      <c r="B593" s="32">
        <v>2041.8861666666601</v>
      </c>
      <c r="C593" s="33">
        <v>42.296249999999901</v>
      </c>
      <c r="D593" s="4">
        <f t="shared" si="2"/>
        <v>10</v>
      </c>
      <c r="E593" s="4" t="s">
        <v>73</v>
      </c>
      <c r="F593" s="34"/>
    </row>
    <row r="594" spans="1:6" ht="14.25" customHeight="1" x14ac:dyDescent="0.25">
      <c r="A594" s="31">
        <v>41936</v>
      </c>
      <c r="B594" s="32">
        <v>1819.0770833333299</v>
      </c>
      <c r="C594" s="33">
        <v>47.533333333333303</v>
      </c>
      <c r="D594" s="4">
        <f t="shared" si="2"/>
        <v>10</v>
      </c>
      <c r="E594" s="4" t="s">
        <v>73</v>
      </c>
      <c r="F594" s="34"/>
    </row>
    <row r="595" spans="1:6" ht="14.25" customHeight="1" x14ac:dyDescent="0.25">
      <c r="A595" s="31">
        <v>41936.5</v>
      </c>
      <c r="B595" s="32">
        <v>2089.3340416666601</v>
      </c>
      <c r="C595" s="33">
        <v>58.02375</v>
      </c>
      <c r="D595" s="4">
        <f t="shared" si="2"/>
        <v>10</v>
      </c>
      <c r="E595" s="4" t="s">
        <v>73</v>
      </c>
      <c r="F595" s="34"/>
    </row>
    <row r="596" spans="1:6" ht="14.25" customHeight="1" x14ac:dyDescent="0.25">
      <c r="A596" s="31">
        <v>41937</v>
      </c>
      <c r="B596" s="32">
        <v>1807.22899999999</v>
      </c>
      <c r="C596" s="33">
        <v>57.103749999999998</v>
      </c>
      <c r="D596" s="4">
        <f t="shared" si="2"/>
        <v>10</v>
      </c>
      <c r="E596" s="4" t="s">
        <v>73</v>
      </c>
      <c r="F596" s="34"/>
    </row>
    <row r="597" spans="1:6" ht="14.25" customHeight="1" x14ac:dyDescent="0.25">
      <c r="A597" s="31">
        <v>41937.5</v>
      </c>
      <c r="B597" s="32">
        <v>2062.937625</v>
      </c>
      <c r="C597" s="33">
        <v>68.652083333333294</v>
      </c>
      <c r="D597" s="4">
        <f t="shared" si="2"/>
        <v>10</v>
      </c>
      <c r="E597" s="4" t="s">
        <v>73</v>
      </c>
      <c r="F597" s="34"/>
    </row>
    <row r="598" spans="1:6" ht="14.25" customHeight="1" x14ac:dyDescent="0.25">
      <c r="A598" s="31">
        <v>41938</v>
      </c>
      <c r="B598" s="32">
        <v>1688.17129166666</v>
      </c>
      <c r="C598" s="33">
        <v>60.049166666666601</v>
      </c>
      <c r="D598" s="4">
        <f t="shared" si="2"/>
        <v>10</v>
      </c>
      <c r="E598" s="4" t="s">
        <v>73</v>
      </c>
      <c r="F598" s="34"/>
    </row>
    <row r="599" spans="1:6" ht="14.25" customHeight="1" x14ac:dyDescent="0.25">
      <c r="A599" s="31">
        <v>41938.5</v>
      </c>
      <c r="B599" s="32">
        <v>1882.3611249999999</v>
      </c>
      <c r="C599" s="33">
        <v>60.7708333333333</v>
      </c>
      <c r="D599" s="4">
        <f t="shared" si="2"/>
        <v>10</v>
      </c>
      <c r="E599" s="4" t="s">
        <v>73</v>
      </c>
      <c r="F599" s="34"/>
    </row>
    <row r="600" spans="1:6" ht="14.25" customHeight="1" x14ac:dyDescent="0.25">
      <c r="A600" s="31">
        <v>41939</v>
      </c>
      <c r="B600" s="32">
        <v>1591.99795833333</v>
      </c>
      <c r="C600" s="33">
        <v>52.8570833333333</v>
      </c>
      <c r="D600" s="4">
        <f t="shared" si="2"/>
        <v>10</v>
      </c>
      <c r="E600" s="4" t="s">
        <v>73</v>
      </c>
      <c r="F600" s="34"/>
    </row>
    <row r="601" spans="1:6" ht="14.25" customHeight="1" x14ac:dyDescent="0.25">
      <c r="A601" s="31">
        <v>41939.5</v>
      </c>
      <c r="B601" s="32">
        <v>1926.1012499999999</v>
      </c>
      <c r="C601" s="33">
        <v>55.778750000000002</v>
      </c>
      <c r="D601" s="4">
        <f t="shared" si="2"/>
        <v>10</v>
      </c>
      <c r="E601" s="4" t="s">
        <v>73</v>
      </c>
      <c r="F601" s="34"/>
    </row>
    <row r="602" spans="1:6" ht="14.25" customHeight="1" x14ac:dyDescent="0.25">
      <c r="A602" s="31">
        <v>41940</v>
      </c>
      <c r="B602" s="32">
        <v>1874.9264166666601</v>
      </c>
      <c r="C602" s="33">
        <v>45.507916666666603</v>
      </c>
      <c r="D602" s="4">
        <f t="shared" si="2"/>
        <v>10</v>
      </c>
      <c r="E602" s="4" t="s">
        <v>73</v>
      </c>
      <c r="F602" s="34"/>
    </row>
    <row r="603" spans="1:6" ht="14.25" customHeight="1" x14ac:dyDescent="0.25">
      <c r="A603" s="31">
        <v>41940.5</v>
      </c>
      <c r="B603" s="32">
        <v>2207.3483333333302</v>
      </c>
      <c r="C603" s="33">
        <v>57.362083333333302</v>
      </c>
      <c r="D603" s="4">
        <f t="shared" si="2"/>
        <v>10</v>
      </c>
      <c r="E603" s="4" t="s">
        <v>73</v>
      </c>
      <c r="F603" s="34"/>
    </row>
    <row r="604" spans="1:6" ht="14.25" customHeight="1" x14ac:dyDescent="0.25">
      <c r="A604" s="31">
        <v>41941</v>
      </c>
      <c r="B604" s="32">
        <v>1911.4361249999999</v>
      </c>
      <c r="C604" s="33">
        <v>65.629166666666606</v>
      </c>
      <c r="D604" s="4">
        <f t="shared" si="2"/>
        <v>10</v>
      </c>
      <c r="E604" s="4" t="s">
        <v>73</v>
      </c>
      <c r="F604" s="34"/>
    </row>
    <row r="605" spans="1:6" ht="14.25" customHeight="1" x14ac:dyDescent="0.25">
      <c r="A605" s="31">
        <v>41941.5</v>
      </c>
      <c r="B605" s="32">
        <v>2309.9924166666601</v>
      </c>
      <c r="C605" s="33">
        <v>67.625833333333304</v>
      </c>
      <c r="D605" s="4">
        <f t="shared" si="2"/>
        <v>10</v>
      </c>
      <c r="E605" s="4" t="s">
        <v>73</v>
      </c>
      <c r="F605" s="34"/>
    </row>
    <row r="606" spans="1:6" ht="14.25" customHeight="1" x14ac:dyDescent="0.25">
      <c r="A606" s="31">
        <v>41942</v>
      </c>
      <c r="B606" s="32">
        <v>1934.6754166666601</v>
      </c>
      <c r="C606" s="33">
        <v>51.223750000000003</v>
      </c>
      <c r="D606" s="4">
        <f t="shared" si="2"/>
        <v>10</v>
      </c>
      <c r="E606" s="4" t="s">
        <v>73</v>
      </c>
      <c r="F606" s="34"/>
    </row>
    <row r="607" spans="1:6" ht="14.25" customHeight="1" x14ac:dyDescent="0.25">
      <c r="A607" s="31">
        <v>41942.5</v>
      </c>
      <c r="B607" s="32">
        <v>2446.9752916666598</v>
      </c>
      <c r="C607" s="33">
        <v>69.586666666666602</v>
      </c>
      <c r="D607" s="4">
        <f t="shared" si="2"/>
        <v>10</v>
      </c>
      <c r="E607" s="4" t="s">
        <v>73</v>
      </c>
      <c r="F607" s="34"/>
    </row>
    <row r="608" spans="1:6" ht="14.25" customHeight="1" x14ac:dyDescent="0.25">
      <c r="A608" s="31">
        <v>41943</v>
      </c>
      <c r="B608" s="32">
        <v>1950.0437916666599</v>
      </c>
      <c r="C608" s="33">
        <v>61.611666666666601</v>
      </c>
      <c r="D608" s="4">
        <f t="shared" si="2"/>
        <v>10</v>
      </c>
      <c r="E608" s="4" t="s">
        <v>73</v>
      </c>
      <c r="F608" s="34"/>
    </row>
    <row r="609" spans="1:6" ht="14.25" customHeight="1" x14ac:dyDescent="0.25">
      <c r="A609" s="31">
        <v>41943.5</v>
      </c>
      <c r="B609" s="32">
        <v>2245.5435833333299</v>
      </c>
      <c r="C609" s="33">
        <v>54.928333333333299</v>
      </c>
      <c r="D609" s="4">
        <f t="shared" si="2"/>
        <v>10</v>
      </c>
      <c r="E609" s="4" t="s">
        <v>73</v>
      </c>
      <c r="F609" s="34"/>
    </row>
    <row r="610" spans="1:6" ht="14.25" customHeight="1" x14ac:dyDescent="0.25">
      <c r="A610" s="31">
        <v>41944</v>
      </c>
      <c r="B610" s="32">
        <v>2055.8892500000002</v>
      </c>
      <c r="C610" s="33">
        <v>54.774374999999999</v>
      </c>
      <c r="D610" s="4">
        <f t="shared" si="2"/>
        <v>11</v>
      </c>
      <c r="E610" s="4" t="s">
        <v>73</v>
      </c>
      <c r="F610" s="34"/>
    </row>
    <row r="611" spans="1:6" ht="14.25" customHeight="1" x14ac:dyDescent="0.25">
      <c r="A611" s="31">
        <v>41944.5</v>
      </c>
      <c r="B611" s="32">
        <v>2244.6372500000002</v>
      </c>
      <c r="C611" s="33">
        <v>57.5251666666666</v>
      </c>
      <c r="D611" s="4">
        <f t="shared" si="2"/>
        <v>11</v>
      </c>
      <c r="E611" s="4" t="s">
        <v>73</v>
      </c>
      <c r="F611" s="34"/>
    </row>
    <row r="612" spans="1:6" ht="14.25" customHeight="1" x14ac:dyDescent="0.25">
      <c r="A612" s="31">
        <v>41945</v>
      </c>
      <c r="B612" s="32">
        <v>2363.6295416666599</v>
      </c>
      <c r="C612" s="33">
        <v>55.525916666666603</v>
      </c>
      <c r="D612" s="4">
        <f t="shared" si="2"/>
        <v>11</v>
      </c>
      <c r="E612" s="4" t="s">
        <v>73</v>
      </c>
      <c r="F612" s="34"/>
    </row>
    <row r="613" spans="1:6" ht="14.25" customHeight="1" x14ac:dyDescent="0.25">
      <c r="A613" s="31">
        <v>41945.5</v>
      </c>
      <c r="B613" s="32">
        <v>3211.5232499999902</v>
      </c>
      <c r="C613" s="33">
        <v>93.176249999999996</v>
      </c>
      <c r="D613" s="4">
        <f t="shared" si="2"/>
        <v>11</v>
      </c>
      <c r="E613" s="4" t="s">
        <v>73</v>
      </c>
      <c r="F613" s="34"/>
    </row>
    <row r="614" spans="1:6" ht="14.25" customHeight="1" x14ac:dyDescent="0.25">
      <c r="A614" s="31">
        <v>41946</v>
      </c>
      <c r="B614" s="32">
        <v>2147.2688333333299</v>
      </c>
      <c r="C614" s="33">
        <v>73.739249999999998</v>
      </c>
      <c r="D614" s="4">
        <f t="shared" si="2"/>
        <v>11</v>
      </c>
      <c r="E614" s="4" t="s">
        <v>73</v>
      </c>
      <c r="F614" s="34"/>
    </row>
    <row r="615" spans="1:6" ht="14.25" customHeight="1" x14ac:dyDescent="0.25">
      <c r="A615" s="31">
        <v>41946.5</v>
      </c>
      <c r="B615" s="32">
        <v>2340.14141666666</v>
      </c>
      <c r="C615" s="33">
        <v>67.371416666666605</v>
      </c>
      <c r="D615" s="4">
        <f t="shared" si="2"/>
        <v>11</v>
      </c>
      <c r="E615" s="4" t="s">
        <v>73</v>
      </c>
      <c r="F615" s="34"/>
    </row>
    <row r="616" spans="1:6" ht="14.25" customHeight="1" x14ac:dyDescent="0.25">
      <c r="A616" s="31">
        <v>41947</v>
      </c>
      <c r="B616" s="32">
        <v>2180.6801249999999</v>
      </c>
      <c r="C616" s="33">
        <v>54.024583333333297</v>
      </c>
      <c r="D616" s="4">
        <f t="shared" si="2"/>
        <v>11</v>
      </c>
      <c r="E616" s="4" t="s">
        <v>73</v>
      </c>
      <c r="F616" s="34"/>
    </row>
    <row r="617" spans="1:6" ht="14.25" customHeight="1" x14ac:dyDescent="0.25">
      <c r="A617" s="31">
        <v>41947.5</v>
      </c>
      <c r="B617" s="32">
        <v>2606.2606666666602</v>
      </c>
      <c r="C617" s="33">
        <v>56.475000000000001</v>
      </c>
      <c r="D617" s="4">
        <f t="shared" si="2"/>
        <v>11</v>
      </c>
      <c r="E617" s="4" t="s">
        <v>73</v>
      </c>
      <c r="F617" s="34"/>
    </row>
    <row r="618" spans="1:6" ht="14.25" customHeight="1" x14ac:dyDescent="0.25">
      <c r="A618" s="31">
        <v>41948</v>
      </c>
      <c r="B618" s="32">
        <v>1593.28204166666</v>
      </c>
      <c r="C618" s="33">
        <v>50.376666666666601</v>
      </c>
      <c r="D618" s="4">
        <f t="shared" si="2"/>
        <v>11</v>
      </c>
      <c r="E618" s="4" t="s">
        <v>73</v>
      </c>
      <c r="F618" s="34"/>
    </row>
    <row r="619" spans="1:6" ht="14.25" customHeight="1" x14ac:dyDescent="0.25">
      <c r="A619" s="31">
        <v>41948.5</v>
      </c>
      <c r="B619" s="32">
        <v>1816.4230833333299</v>
      </c>
      <c r="C619" s="33">
        <v>41.915833333333303</v>
      </c>
      <c r="D619" s="4">
        <f t="shared" si="2"/>
        <v>11</v>
      </c>
      <c r="E619" s="4" t="s">
        <v>73</v>
      </c>
      <c r="F619" s="34"/>
    </row>
    <row r="620" spans="1:6" ht="14.25" customHeight="1" x14ac:dyDescent="0.25">
      <c r="A620" s="31">
        <v>41949</v>
      </c>
      <c r="B620" s="32">
        <v>2012.89008333333</v>
      </c>
      <c r="C620" s="33">
        <v>42.007083333333298</v>
      </c>
      <c r="D620" s="4">
        <f t="shared" si="2"/>
        <v>11</v>
      </c>
      <c r="E620" s="4" t="s">
        <v>73</v>
      </c>
      <c r="F620" s="34"/>
    </row>
    <row r="621" spans="1:6" ht="14.25" customHeight="1" x14ac:dyDescent="0.25">
      <c r="A621" s="31">
        <v>41949.5</v>
      </c>
      <c r="B621" s="32">
        <v>2323.33687499999</v>
      </c>
      <c r="C621" s="33">
        <v>48.264583333333299</v>
      </c>
      <c r="D621" s="4">
        <f t="shared" si="2"/>
        <v>11</v>
      </c>
      <c r="E621" s="4" t="s">
        <v>73</v>
      </c>
      <c r="F621" s="34"/>
    </row>
    <row r="622" spans="1:6" ht="14.25" customHeight="1" x14ac:dyDescent="0.25">
      <c r="A622" s="31">
        <v>41950</v>
      </c>
      <c r="B622" s="32">
        <v>2038.519125</v>
      </c>
      <c r="C622" s="33">
        <v>57.581666666666599</v>
      </c>
      <c r="D622" s="4">
        <f t="shared" si="2"/>
        <v>11</v>
      </c>
      <c r="E622" s="4" t="s">
        <v>73</v>
      </c>
      <c r="F622" s="34"/>
    </row>
    <row r="623" spans="1:6" ht="14.25" customHeight="1" x14ac:dyDescent="0.25">
      <c r="A623" s="31">
        <v>41950.5</v>
      </c>
      <c r="B623" s="32">
        <v>2540.8084583333298</v>
      </c>
      <c r="C623" s="33">
        <v>81.2558333333333</v>
      </c>
      <c r="D623" s="4">
        <f t="shared" si="2"/>
        <v>11</v>
      </c>
      <c r="E623" s="4" t="s">
        <v>73</v>
      </c>
      <c r="F623" s="34"/>
    </row>
    <row r="624" spans="1:6" ht="14.25" customHeight="1" x14ac:dyDescent="0.25">
      <c r="A624" s="31">
        <v>41951</v>
      </c>
      <c r="B624" s="32">
        <v>1708.6217083333299</v>
      </c>
      <c r="C624" s="33">
        <v>50.509583333333303</v>
      </c>
      <c r="D624" s="4">
        <f t="shared" si="2"/>
        <v>11</v>
      </c>
      <c r="E624" s="4" t="s">
        <v>73</v>
      </c>
      <c r="F624" s="34"/>
    </row>
    <row r="625" spans="1:6" ht="14.25" customHeight="1" x14ac:dyDescent="0.25">
      <c r="A625" s="31">
        <v>41951.5</v>
      </c>
      <c r="B625" s="32">
        <v>2016.7689583333299</v>
      </c>
      <c r="C625" s="33">
        <v>61.915833333333303</v>
      </c>
      <c r="D625" s="4">
        <f t="shared" si="2"/>
        <v>11</v>
      </c>
      <c r="E625" s="4" t="s">
        <v>73</v>
      </c>
      <c r="F625" s="34"/>
    </row>
    <row r="626" spans="1:6" ht="14.25" customHeight="1" x14ac:dyDescent="0.25">
      <c r="A626" s="31">
        <v>41952</v>
      </c>
      <c r="B626" s="32">
        <v>1949.9066250000001</v>
      </c>
      <c r="C626" s="33">
        <v>44.452083333333299</v>
      </c>
      <c r="D626" s="4">
        <f t="shared" si="2"/>
        <v>11</v>
      </c>
      <c r="E626" s="4" t="s">
        <v>73</v>
      </c>
      <c r="F626" s="34"/>
    </row>
    <row r="627" spans="1:6" ht="14.25" customHeight="1" x14ac:dyDescent="0.25">
      <c r="A627" s="31">
        <v>41952.5</v>
      </c>
      <c r="B627" s="32">
        <v>2290.6012500000002</v>
      </c>
      <c r="C627" s="33">
        <v>66.273333333333298</v>
      </c>
      <c r="D627" s="4">
        <f t="shared" si="2"/>
        <v>11</v>
      </c>
      <c r="E627" s="4" t="s">
        <v>73</v>
      </c>
      <c r="F627" s="34"/>
    </row>
    <row r="628" spans="1:6" ht="14.25" customHeight="1" x14ac:dyDescent="0.25">
      <c r="A628" s="31">
        <v>41953</v>
      </c>
      <c r="B628" s="32">
        <v>1880.72729166666</v>
      </c>
      <c r="C628" s="33">
        <v>56.90625</v>
      </c>
      <c r="D628" s="4">
        <f t="shared" si="2"/>
        <v>11</v>
      </c>
      <c r="E628" s="4" t="s">
        <v>73</v>
      </c>
      <c r="F628" s="34"/>
    </row>
    <row r="629" spans="1:6" ht="14.25" customHeight="1" x14ac:dyDescent="0.25">
      <c r="A629" s="31">
        <v>41953.5</v>
      </c>
      <c r="B629" s="32">
        <v>2154.9060416666598</v>
      </c>
      <c r="C629" s="33">
        <v>65.317499999999995</v>
      </c>
      <c r="D629" s="4">
        <f t="shared" si="2"/>
        <v>11</v>
      </c>
      <c r="E629" s="4" t="s">
        <v>73</v>
      </c>
      <c r="F629" s="34"/>
    </row>
    <row r="630" spans="1:6" ht="14.25" customHeight="1" x14ac:dyDescent="0.25">
      <c r="A630" s="31">
        <v>41954</v>
      </c>
      <c r="B630" s="32">
        <v>1956.88375</v>
      </c>
      <c r="C630" s="33">
        <v>63.1516666666666</v>
      </c>
      <c r="D630" s="4">
        <f t="shared" si="2"/>
        <v>11</v>
      </c>
      <c r="E630" s="4" t="s">
        <v>73</v>
      </c>
      <c r="F630" s="34"/>
    </row>
    <row r="631" spans="1:6" ht="14.25" customHeight="1" x14ac:dyDescent="0.25">
      <c r="A631" s="31">
        <v>41954.5</v>
      </c>
      <c r="B631" s="32">
        <v>2342.821625</v>
      </c>
      <c r="C631" s="33">
        <v>78.025416666666601</v>
      </c>
      <c r="D631" s="4">
        <f t="shared" si="2"/>
        <v>11</v>
      </c>
      <c r="E631" s="4" t="s">
        <v>73</v>
      </c>
      <c r="F631" s="34"/>
    </row>
    <row r="632" spans="1:6" ht="14.25" customHeight="1" x14ac:dyDescent="0.25">
      <c r="A632" s="31">
        <v>41955</v>
      </c>
      <c r="B632" s="32">
        <v>2046.5167083333299</v>
      </c>
      <c r="C632" s="33">
        <v>50.135833333333302</v>
      </c>
      <c r="D632" s="4">
        <f t="shared" si="2"/>
        <v>11</v>
      </c>
      <c r="E632" s="4" t="s">
        <v>73</v>
      </c>
      <c r="F632" s="34"/>
    </row>
    <row r="633" spans="1:6" ht="14.25" customHeight="1" x14ac:dyDescent="0.25">
      <c r="A633" s="31">
        <v>41955.5</v>
      </c>
      <c r="B633" s="32">
        <v>2574.9333750000001</v>
      </c>
      <c r="C633" s="33">
        <v>74.454583333333304</v>
      </c>
      <c r="D633" s="4">
        <f t="shared" si="2"/>
        <v>11</v>
      </c>
      <c r="E633" s="4" t="s">
        <v>73</v>
      </c>
      <c r="F633" s="34"/>
    </row>
    <row r="634" spans="1:6" ht="14.25" customHeight="1" x14ac:dyDescent="0.25">
      <c r="A634" s="31">
        <v>41956</v>
      </c>
      <c r="B634" s="32">
        <v>1838.4179166666599</v>
      </c>
      <c r="C634" s="33">
        <v>47.600416666666597</v>
      </c>
      <c r="D634" s="4">
        <f t="shared" si="2"/>
        <v>11</v>
      </c>
      <c r="E634" s="4" t="s">
        <v>73</v>
      </c>
      <c r="F634" s="34"/>
    </row>
    <row r="635" spans="1:6" ht="14.25" customHeight="1" x14ac:dyDescent="0.25">
      <c r="A635" s="31">
        <v>41956.5</v>
      </c>
      <c r="B635" s="32">
        <v>2156.3199583333299</v>
      </c>
      <c r="C635" s="33">
        <v>54.03875</v>
      </c>
      <c r="D635" s="4">
        <f t="shared" si="2"/>
        <v>11</v>
      </c>
      <c r="E635" s="4" t="s">
        <v>73</v>
      </c>
      <c r="F635" s="34"/>
    </row>
    <row r="636" spans="1:6" ht="14.25" customHeight="1" x14ac:dyDescent="0.25">
      <c r="A636" s="31">
        <v>41957</v>
      </c>
      <c r="B636" s="32">
        <v>1879.3218749999901</v>
      </c>
      <c r="C636" s="33">
        <v>53.240416666666597</v>
      </c>
      <c r="D636" s="4">
        <f t="shared" si="2"/>
        <v>11</v>
      </c>
      <c r="E636" s="4" t="s">
        <v>73</v>
      </c>
      <c r="F636" s="34"/>
    </row>
    <row r="637" spans="1:6" ht="14.25" customHeight="1" x14ac:dyDescent="0.25">
      <c r="A637" s="31">
        <v>41957.5</v>
      </c>
      <c r="B637" s="32">
        <v>2407.2310416666601</v>
      </c>
      <c r="C637" s="33">
        <v>79.754583333333301</v>
      </c>
      <c r="D637" s="4">
        <f t="shared" si="2"/>
        <v>11</v>
      </c>
      <c r="E637" s="4" t="s">
        <v>73</v>
      </c>
      <c r="F637" s="34"/>
    </row>
    <row r="638" spans="1:6" ht="14.25" customHeight="1" x14ac:dyDescent="0.25">
      <c r="A638" s="31">
        <v>41958</v>
      </c>
      <c r="B638" s="32">
        <v>1984.76958333333</v>
      </c>
      <c r="C638" s="33">
        <v>46.871249999999897</v>
      </c>
      <c r="D638" s="4">
        <f t="shared" si="2"/>
        <v>11</v>
      </c>
      <c r="E638" s="4" t="s">
        <v>73</v>
      </c>
      <c r="F638" s="34"/>
    </row>
    <row r="639" spans="1:6" ht="14.25" customHeight="1" x14ac:dyDescent="0.25">
      <c r="A639" s="31">
        <v>41958.5</v>
      </c>
      <c r="B639" s="32">
        <v>2474.5342083333298</v>
      </c>
      <c r="C639" s="33">
        <v>73.267499999999998</v>
      </c>
      <c r="D639" s="4">
        <f t="shared" si="2"/>
        <v>11</v>
      </c>
      <c r="E639" s="4" t="s">
        <v>73</v>
      </c>
      <c r="F639" s="34"/>
    </row>
    <row r="640" spans="1:6" ht="14.25" customHeight="1" x14ac:dyDescent="0.25">
      <c r="A640" s="31">
        <v>41959</v>
      </c>
      <c r="B640" s="32">
        <v>1896.93095833333</v>
      </c>
      <c r="C640" s="33">
        <v>49.975000000000001</v>
      </c>
      <c r="D640" s="4">
        <f t="shared" si="2"/>
        <v>11</v>
      </c>
      <c r="E640" s="4" t="s">
        <v>73</v>
      </c>
      <c r="F640" s="34"/>
    </row>
    <row r="641" spans="1:6" ht="14.25" customHeight="1" x14ac:dyDescent="0.25">
      <c r="A641" s="31">
        <v>41959.5</v>
      </c>
      <c r="B641" s="32">
        <v>2473.4072916666601</v>
      </c>
      <c r="C641" s="33">
        <v>77.7662499999999</v>
      </c>
      <c r="D641" s="4">
        <f t="shared" si="2"/>
        <v>11</v>
      </c>
      <c r="E641" s="4" t="s">
        <v>73</v>
      </c>
      <c r="F641" s="34"/>
    </row>
    <row r="642" spans="1:6" ht="14.25" customHeight="1" x14ac:dyDescent="0.25">
      <c r="A642" s="31">
        <v>41960</v>
      </c>
      <c r="B642" s="32">
        <v>1830.4516249999999</v>
      </c>
      <c r="C642" s="33">
        <v>56.203749999999999</v>
      </c>
      <c r="D642" s="4">
        <f t="shared" si="2"/>
        <v>11</v>
      </c>
      <c r="E642" s="4" t="s">
        <v>73</v>
      </c>
      <c r="F642" s="34"/>
    </row>
    <row r="643" spans="1:6" ht="14.25" customHeight="1" x14ac:dyDescent="0.25">
      <c r="A643" s="31">
        <v>41960.5</v>
      </c>
      <c r="B643" s="32">
        <v>2146.0133333333301</v>
      </c>
      <c r="C643" s="33">
        <v>74.744583333333296</v>
      </c>
      <c r="D643" s="4">
        <f t="shared" si="2"/>
        <v>11</v>
      </c>
      <c r="E643" s="4" t="s">
        <v>73</v>
      </c>
      <c r="F643" s="34"/>
    </row>
    <row r="644" spans="1:6" ht="14.25" customHeight="1" x14ac:dyDescent="0.25">
      <c r="A644" s="31">
        <v>41961</v>
      </c>
      <c r="B644" s="32">
        <v>1967.22974999999</v>
      </c>
      <c r="C644" s="33">
        <v>55.783749999999998</v>
      </c>
      <c r="D644" s="4">
        <f t="shared" si="2"/>
        <v>11</v>
      </c>
      <c r="E644" s="4" t="s">
        <v>73</v>
      </c>
      <c r="F644" s="34"/>
    </row>
    <row r="645" spans="1:6" ht="14.25" customHeight="1" x14ac:dyDescent="0.25">
      <c r="A645" s="31">
        <v>41961.5</v>
      </c>
      <c r="B645" s="32">
        <v>2182.4940000000001</v>
      </c>
      <c r="C645" s="33">
        <v>48.494583333333303</v>
      </c>
      <c r="D645" s="4">
        <f t="shared" si="2"/>
        <v>11</v>
      </c>
      <c r="E645" s="4" t="s">
        <v>73</v>
      </c>
      <c r="F645" s="34"/>
    </row>
    <row r="646" spans="1:6" ht="14.25" customHeight="1" x14ac:dyDescent="0.25">
      <c r="A646" s="31">
        <v>41962</v>
      </c>
      <c r="B646" s="32">
        <v>1929.8937777777701</v>
      </c>
      <c r="C646" s="33">
        <v>33.299444444444397</v>
      </c>
      <c r="D646" s="4">
        <f t="shared" si="2"/>
        <v>11</v>
      </c>
      <c r="E646" s="4" t="s">
        <v>73</v>
      </c>
      <c r="F646" s="34"/>
    </row>
    <row r="647" spans="1:6" ht="14.25" customHeight="1" x14ac:dyDescent="0.25">
      <c r="A647" s="31">
        <v>41962.5</v>
      </c>
      <c r="B647" s="32">
        <v>2045.6363636363601</v>
      </c>
      <c r="C647" s="33">
        <v>40.534999999999997</v>
      </c>
      <c r="D647" s="4">
        <f t="shared" si="2"/>
        <v>11</v>
      </c>
      <c r="E647" s="4" t="s">
        <v>73</v>
      </c>
      <c r="F647" s="34"/>
    </row>
    <row r="648" spans="1:6" ht="14.25" customHeight="1" x14ac:dyDescent="0.25">
      <c r="A648" s="31">
        <v>41963</v>
      </c>
      <c r="B648" s="32">
        <v>1880.0908571428499</v>
      </c>
      <c r="C648" s="33">
        <v>33.344999999999999</v>
      </c>
      <c r="D648" s="4">
        <f t="shared" si="2"/>
        <v>11</v>
      </c>
      <c r="E648" s="4" t="s">
        <v>73</v>
      </c>
      <c r="F648" s="34"/>
    </row>
    <row r="649" spans="1:6" ht="14.25" customHeight="1" x14ac:dyDescent="0.25">
      <c r="A649" s="31">
        <v>41963.5</v>
      </c>
      <c r="B649" s="32">
        <v>2085.9897500000002</v>
      </c>
      <c r="C649" s="33">
        <v>44.9583333333333</v>
      </c>
      <c r="D649" s="4">
        <f t="shared" si="2"/>
        <v>11</v>
      </c>
      <c r="E649" s="4" t="s">
        <v>73</v>
      </c>
      <c r="F649" s="34"/>
    </row>
    <row r="650" spans="1:6" ht="14.25" customHeight="1" x14ac:dyDescent="0.25">
      <c r="A650" s="31">
        <v>41964</v>
      </c>
      <c r="B650" s="32">
        <v>2014.6393125</v>
      </c>
      <c r="C650" s="33">
        <v>38.847499999999997</v>
      </c>
      <c r="D650" s="4">
        <f t="shared" si="2"/>
        <v>11</v>
      </c>
      <c r="E650" s="4" t="s">
        <v>73</v>
      </c>
      <c r="F650" s="34"/>
    </row>
    <row r="651" spans="1:6" ht="14.25" customHeight="1" x14ac:dyDescent="0.25">
      <c r="A651" s="31">
        <v>41964.5</v>
      </c>
      <c r="B651" s="32">
        <v>2325.59958333333</v>
      </c>
      <c r="C651" s="33">
        <v>56.487916666666599</v>
      </c>
      <c r="D651" s="4">
        <f t="shared" si="2"/>
        <v>11</v>
      </c>
      <c r="E651" s="4" t="s">
        <v>73</v>
      </c>
      <c r="F651" s="34"/>
    </row>
    <row r="652" spans="1:6" ht="14.25" customHeight="1" x14ac:dyDescent="0.25">
      <c r="A652" s="31">
        <v>41965</v>
      </c>
      <c r="B652" s="32">
        <v>1960.05679166666</v>
      </c>
      <c r="C652" s="33">
        <v>44.548749999999998</v>
      </c>
      <c r="D652" s="4">
        <f t="shared" si="2"/>
        <v>11</v>
      </c>
      <c r="E652" s="4" t="s">
        <v>73</v>
      </c>
      <c r="F652" s="34"/>
    </row>
    <row r="653" spans="1:6" ht="14.25" customHeight="1" x14ac:dyDescent="0.25">
      <c r="A653" s="31">
        <v>41965.5</v>
      </c>
      <c r="B653" s="32">
        <v>2341.8746666666598</v>
      </c>
      <c r="C653" s="33">
        <v>54.977916666666601</v>
      </c>
      <c r="D653" s="4">
        <f t="shared" si="2"/>
        <v>11</v>
      </c>
      <c r="E653" s="4" t="s">
        <v>73</v>
      </c>
      <c r="F653" s="34"/>
    </row>
    <row r="654" spans="1:6" ht="14.25" customHeight="1" x14ac:dyDescent="0.25">
      <c r="A654" s="31">
        <v>41966</v>
      </c>
      <c r="B654" s="32">
        <v>1722.6105</v>
      </c>
      <c r="C654" s="33">
        <v>36.4375</v>
      </c>
      <c r="D654" s="4">
        <f t="shared" si="2"/>
        <v>11</v>
      </c>
      <c r="E654" s="4" t="s">
        <v>73</v>
      </c>
      <c r="F654" s="34"/>
    </row>
    <row r="655" spans="1:6" ht="14.25" customHeight="1" x14ac:dyDescent="0.25">
      <c r="A655" s="31">
        <v>41966.5</v>
      </c>
      <c r="B655" s="32">
        <v>2026.1913750000001</v>
      </c>
      <c r="C655" s="33">
        <v>56.418749999999903</v>
      </c>
      <c r="D655" s="4">
        <f t="shared" si="2"/>
        <v>11</v>
      </c>
      <c r="E655" s="4" t="s">
        <v>73</v>
      </c>
      <c r="F655" s="34"/>
    </row>
    <row r="656" spans="1:6" ht="14.25" customHeight="1" x14ac:dyDescent="0.25">
      <c r="A656" s="31">
        <v>41967</v>
      </c>
      <c r="B656" s="32">
        <v>1621.5212916666601</v>
      </c>
      <c r="C656" s="33">
        <v>54.088333333333303</v>
      </c>
      <c r="D656" s="4">
        <f t="shared" si="2"/>
        <v>11</v>
      </c>
      <c r="E656" s="4" t="s">
        <v>73</v>
      </c>
      <c r="F656" s="34"/>
    </row>
    <row r="657" spans="1:6" ht="14.25" customHeight="1" x14ac:dyDescent="0.25">
      <c r="A657" s="31">
        <v>41967.5</v>
      </c>
      <c r="B657" s="32">
        <v>1833.5901249999999</v>
      </c>
      <c r="C657" s="33">
        <v>46.512499999999903</v>
      </c>
      <c r="D657" s="4">
        <f t="shared" si="2"/>
        <v>11</v>
      </c>
      <c r="E657" s="4" t="s">
        <v>73</v>
      </c>
      <c r="F657" s="34"/>
    </row>
    <row r="658" spans="1:6" ht="14.25" customHeight="1" x14ac:dyDescent="0.25">
      <c r="A658" s="31">
        <v>41968</v>
      </c>
      <c r="B658" s="32">
        <v>1763.4928749999999</v>
      </c>
      <c r="C658" s="33">
        <v>45.996666666666599</v>
      </c>
      <c r="D658" s="4">
        <f t="shared" si="2"/>
        <v>11</v>
      </c>
      <c r="E658" s="4" t="s">
        <v>73</v>
      </c>
      <c r="F658" s="34"/>
    </row>
    <row r="659" spans="1:6" ht="14.25" customHeight="1" x14ac:dyDescent="0.25">
      <c r="A659" s="31">
        <v>41968.5</v>
      </c>
      <c r="B659" s="32">
        <v>2059.60249999999</v>
      </c>
      <c r="C659" s="33">
        <v>48.314090909090901</v>
      </c>
      <c r="D659" s="4">
        <f t="shared" si="2"/>
        <v>11</v>
      </c>
      <c r="E659" s="4" t="s">
        <v>73</v>
      </c>
      <c r="F659" s="34"/>
    </row>
    <row r="660" spans="1:6" ht="14.25" customHeight="1" x14ac:dyDescent="0.25">
      <c r="A660" s="31">
        <v>41969</v>
      </c>
      <c r="B660" s="32">
        <v>1995.29342857142</v>
      </c>
      <c r="C660" s="33">
        <v>44.322857142857103</v>
      </c>
      <c r="D660" s="4">
        <f t="shared" si="2"/>
        <v>11</v>
      </c>
      <c r="E660" s="4" t="s">
        <v>73</v>
      </c>
      <c r="F660" s="34"/>
    </row>
    <row r="661" spans="1:6" ht="14.25" customHeight="1" x14ac:dyDescent="0.25">
      <c r="A661" s="31">
        <v>41969.5</v>
      </c>
      <c r="B661" s="32">
        <v>2089.6785416666598</v>
      </c>
      <c r="C661" s="33">
        <v>39.004999999999903</v>
      </c>
      <c r="D661" s="4">
        <f t="shared" si="2"/>
        <v>11</v>
      </c>
      <c r="E661" s="4" t="s">
        <v>73</v>
      </c>
      <c r="F661" s="34"/>
    </row>
    <row r="662" spans="1:6" ht="14.25" customHeight="1" x14ac:dyDescent="0.25">
      <c r="A662" s="31">
        <v>41970</v>
      </c>
      <c r="B662" s="32">
        <v>1968.56105555555</v>
      </c>
      <c r="C662" s="33">
        <v>32.433888888888802</v>
      </c>
      <c r="D662" s="4">
        <f t="shared" si="2"/>
        <v>11</v>
      </c>
      <c r="E662" s="4" t="s">
        <v>73</v>
      </c>
      <c r="F662" s="34"/>
    </row>
    <row r="663" spans="1:6" ht="14.25" customHeight="1" x14ac:dyDescent="0.25">
      <c r="A663" s="31">
        <v>41970.5</v>
      </c>
      <c r="B663" s="32">
        <v>2332.91908333333</v>
      </c>
      <c r="C663" s="33">
        <v>54.317083333333301</v>
      </c>
      <c r="D663" s="4">
        <f t="shared" si="2"/>
        <v>11</v>
      </c>
      <c r="E663" s="4" t="s">
        <v>73</v>
      </c>
      <c r="F663" s="34"/>
    </row>
    <row r="664" spans="1:6" ht="14.25" customHeight="1" x14ac:dyDescent="0.25">
      <c r="A664" s="31">
        <v>41971</v>
      </c>
      <c r="B664" s="32">
        <v>2027.29349999999</v>
      </c>
      <c r="C664" s="33">
        <v>54.115416666666597</v>
      </c>
      <c r="D664" s="4">
        <f t="shared" si="2"/>
        <v>11</v>
      </c>
      <c r="E664" s="4" t="s">
        <v>73</v>
      </c>
      <c r="F664" s="34"/>
    </row>
    <row r="665" spans="1:6" ht="14.25" customHeight="1" x14ac:dyDescent="0.25">
      <c r="A665" s="31">
        <v>41971.5</v>
      </c>
      <c r="B665" s="32">
        <v>2408.9666666666599</v>
      </c>
      <c r="C665" s="33">
        <v>55.441666666666599</v>
      </c>
      <c r="D665" s="4">
        <f t="shared" si="2"/>
        <v>11</v>
      </c>
      <c r="E665" s="4" t="s">
        <v>73</v>
      </c>
      <c r="F665" s="34"/>
    </row>
    <row r="666" spans="1:6" ht="14.25" customHeight="1" x14ac:dyDescent="0.25">
      <c r="A666" s="31">
        <v>41972</v>
      </c>
      <c r="B666" s="32">
        <v>2020.8008749999999</v>
      </c>
      <c r="C666" s="33">
        <v>55.433749999999897</v>
      </c>
      <c r="D666" s="4">
        <f t="shared" si="2"/>
        <v>11</v>
      </c>
      <c r="E666" s="4" t="s">
        <v>73</v>
      </c>
      <c r="F666" s="34"/>
    </row>
    <row r="667" spans="1:6" ht="14.25" customHeight="1" x14ac:dyDescent="0.25">
      <c r="A667" s="31">
        <v>41972.5</v>
      </c>
      <c r="B667" s="32">
        <v>2143.7741666666602</v>
      </c>
      <c r="C667" s="33">
        <v>42.220833333333303</v>
      </c>
      <c r="D667" s="4">
        <f t="shared" si="2"/>
        <v>11</v>
      </c>
      <c r="E667" s="4" t="s">
        <v>73</v>
      </c>
      <c r="F667" s="34"/>
    </row>
    <row r="668" spans="1:6" ht="14.25" customHeight="1" x14ac:dyDescent="0.25">
      <c r="A668" s="31">
        <v>41973</v>
      </c>
      <c r="B668" s="32">
        <v>1733.66625</v>
      </c>
      <c r="C668" s="33">
        <v>39.741249999999901</v>
      </c>
      <c r="D668" s="4">
        <f t="shared" si="2"/>
        <v>11</v>
      </c>
      <c r="E668" s="4" t="s">
        <v>73</v>
      </c>
      <c r="F668" s="34"/>
    </row>
    <row r="669" spans="1:6" ht="14.25" customHeight="1" x14ac:dyDescent="0.25">
      <c r="A669" s="31">
        <v>41973.5</v>
      </c>
      <c r="B669" s="32">
        <v>1938.42895833333</v>
      </c>
      <c r="C669" s="33">
        <v>47.627499999999998</v>
      </c>
      <c r="D669" s="4">
        <f t="shared" si="2"/>
        <v>11</v>
      </c>
      <c r="E669" s="4" t="s">
        <v>73</v>
      </c>
      <c r="F669" s="34"/>
    </row>
    <row r="670" spans="1:6" ht="14.25" customHeight="1" x14ac:dyDescent="0.25">
      <c r="A670" s="31">
        <v>41974</v>
      </c>
      <c r="B670" s="32">
        <v>1811.3492083333299</v>
      </c>
      <c r="C670" s="33">
        <v>51.697249999999997</v>
      </c>
      <c r="D670" s="4">
        <f t="shared" si="2"/>
        <v>12</v>
      </c>
      <c r="E670" s="4" t="s">
        <v>73</v>
      </c>
      <c r="F670" s="34"/>
    </row>
    <row r="671" spans="1:6" ht="14.25" customHeight="1" x14ac:dyDescent="0.25">
      <c r="A671" s="31">
        <v>41974.5</v>
      </c>
      <c r="B671" s="32">
        <v>2407.5522083333299</v>
      </c>
      <c r="C671" s="33">
        <v>91.086749999999995</v>
      </c>
      <c r="D671" s="4">
        <f t="shared" si="2"/>
        <v>12</v>
      </c>
      <c r="E671" s="4" t="s">
        <v>73</v>
      </c>
      <c r="F671" s="34"/>
    </row>
    <row r="672" spans="1:6" ht="14.25" customHeight="1" x14ac:dyDescent="0.25">
      <c r="A672" s="31">
        <v>41975</v>
      </c>
      <c r="B672" s="32">
        <v>2557.52991666666</v>
      </c>
      <c r="C672" s="33">
        <v>108.491333333333</v>
      </c>
      <c r="D672" s="4">
        <f t="shared" si="2"/>
        <v>12</v>
      </c>
      <c r="E672" s="4" t="s">
        <v>73</v>
      </c>
      <c r="F672" s="34"/>
    </row>
    <row r="673" spans="1:6" ht="14.25" customHeight="1" x14ac:dyDescent="0.25">
      <c r="A673" s="31">
        <v>41975.5</v>
      </c>
      <c r="B673" s="32">
        <v>3343.2067916666601</v>
      </c>
      <c r="C673" s="33">
        <v>103.15049999999999</v>
      </c>
      <c r="D673" s="4">
        <f t="shared" si="2"/>
        <v>12</v>
      </c>
      <c r="E673" s="4" t="s">
        <v>73</v>
      </c>
      <c r="F673" s="34"/>
    </row>
    <row r="674" spans="1:6" ht="14.25" customHeight="1" x14ac:dyDescent="0.25">
      <c r="A674" s="31">
        <v>41976</v>
      </c>
      <c r="B674" s="32">
        <v>1855.5550416666599</v>
      </c>
      <c r="C674" s="33">
        <v>44.554499999999997</v>
      </c>
      <c r="D674" s="4">
        <f t="shared" si="2"/>
        <v>12</v>
      </c>
      <c r="E674" s="4" t="s">
        <v>73</v>
      </c>
      <c r="F674" s="34"/>
    </row>
    <row r="675" spans="1:6" ht="14.25" customHeight="1" x14ac:dyDescent="0.25">
      <c r="A675" s="31">
        <v>41976.5</v>
      </c>
      <c r="B675" s="32">
        <v>2107.1355416666602</v>
      </c>
      <c r="C675" s="33">
        <v>56.459166666666597</v>
      </c>
      <c r="D675" s="4">
        <f t="shared" si="2"/>
        <v>12</v>
      </c>
      <c r="E675" s="4" t="s">
        <v>73</v>
      </c>
      <c r="F675" s="34"/>
    </row>
    <row r="676" spans="1:6" ht="14.25" customHeight="1" x14ac:dyDescent="0.25">
      <c r="A676" s="31">
        <v>41977</v>
      </c>
      <c r="B676" s="32">
        <v>2148.7616249999901</v>
      </c>
      <c r="C676" s="33">
        <v>45.986249999999998</v>
      </c>
      <c r="D676" s="4">
        <f t="shared" si="2"/>
        <v>12</v>
      </c>
      <c r="E676" s="4" t="s">
        <v>73</v>
      </c>
      <c r="F676" s="34"/>
    </row>
    <row r="677" spans="1:6" ht="14.25" customHeight="1" x14ac:dyDescent="0.25">
      <c r="A677" s="31">
        <v>41977.5</v>
      </c>
      <c r="B677" s="32">
        <v>2362.4044583333298</v>
      </c>
      <c r="C677" s="33">
        <v>45.425833333333301</v>
      </c>
      <c r="D677" s="4">
        <f t="shared" si="2"/>
        <v>12</v>
      </c>
      <c r="E677" s="4" t="s">
        <v>73</v>
      </c>
      <c r="F677" s="34"/>
    </row>
    <row r="678" spans="1:6" ht="14.25" customHeight="1" x14ac:dyDescent="0.25">
      <c r="A678" s="31">
        <v>41978</v>
      </c>
      <c r="B678" s="32">
        <v>1645.9032999999999</v>
      </c>
      <c r="C678" s="33">
        <v>39.856999999999999</v>
      </c>
      <c r="D678" s="4">
        <f t="shared" si="2"/>
        <v>12</v>
      </c>
      <c r="E678" s="4" t="s">
        <v>73</v>
      </c>
      <c r="F678" s="34"/>
    </row>
    <row r="679" spans="1:6" ht="14.25" customHeight="1" x14ac:dyDescent="0.25">
      <c r="A679" s="31">
        <v>41978.5</v>
      </c>
      <c r="B679" s="32">
        <v>1852.95022727272</v>
      </c>
      <c r="C679" s="33">
        <v>42.868636363636298</v>
      </c>
      <c r="D679" s="4">
        <f t="shared" si="2"/>
        <v>12</v>
      </c>
      <c r="E679" s="4" t="s">
        <v>73</v>
      </c>
      <c r="F679" s="34"/>
    </row>
    <row r="680" spans="1:6" ht="14.25" customHeight="1" x14ac:dyDescent="0.25">
      <c r="A680" s="31">
        <v>41979</v>
      </c>
      <c r="B680" s="32">
        <v>2100.8144499999999</v>
      </c>
      <c r="C680" s="33">
        <v>37.848499999999902</v>
      </c>
      <c r="D680" s="4">
        <f t="shared" si="2"/>
        <v>12</v>
      </c>
      <c r="E680" s="4" t="s">
        <v>73</v>
      </c>
      <c r="F680" s="34"/>
    </row>
    <row r="681" spans="1:6" ht="14.25" customHeight="1" x14ac:dyDescent="0.25">
      <c r="A681" s="31">
        <v>41979.5</v>
      </c>
      <c r="B681" s="32">
        <v>2257.8534999999902</v>
      </c>
      <c r="C681" s="33">
        <v>47.806249999999999</v>
      </c>
      <c r="D681" s="4">
        <f t="shared" si="2"/>
        <v>12</v>
      </c>
      <c r="E681" s="4" t="s">
        <v>73</v>
      </c>
      <c r="F681" s="34"/>
    </row>
    <row r="682" spans="1:6" ht="14.25" customHeight="1" x14ac:dyDescent="0.25">
      <c r="A682" s="31">
        <v>41980</v>
      </c>
      <c r="B682" s="32">
        <v>2056.5866249999999</v>
      </c>
      <c r="C682" s="33">
        <v>60.922083333333298</v>
      </c>
      <c r="D682" s="4">
        <f t="shared" si="2"/>
        <v>12</v>
      </c>
      <c r="E682" s="4" t="s">
        <v>73</v>
      </c>
      <c r="F682" s="34"/>
    </row>
    <row r="683" spans="1:6" ht="14.25" customHeight="1" x14ac:dyDescent="0.25">
      <c r="A683" s="31">
        <v>41980.5</v>
      </c>
      <c r="B683" s="32">
        <v>2275.6061666666601</v>
      </c>
      <c r="C683" s="33">
        <v>62.5266666666666</v>
      </c>
      <c r="D683" s="4">
        <f t="shared" si="2"/>
        <v>12</v>
      </c>
      <c r="E683" s="4" t="s">
        <v>73</v>
      </c>
      <c r="F683" s="34"/>
    </row>
    <row r="684" spans="1:6" ht="14.25" customHeight="1" x14ac:dyDescent="0.25">
      <c r="A684" s="31">
        <v>41981</v>
      </c>
      <c r="B684" s="32">
        <v>1961.3328750000001</v>
      </c>
      <c r="C684" s="33">
        <v>80.026249999999905</v>
      </c>
      <c r="D684" s="4">
        <f t="shared" si="2"/>
        <v>12</v>
      </c>
      <c r="E684" s="4" t="s">
        <v>73</v>
      </c>
      <c r="F684" s="34"/>
    </row>
    <row r="685" spans="1:6" ht="14.25" customHeight="1" x14ac:dyDescent="0.25">
      <c r="A685" s="31">
        <v>41981.5</v>
      </c>
      <c r="B685" s="32">
        <v>2277.7167083333302</v>
      </c>
      <c r="C685" s="33">
        <v>93.381249999999994</v>
      </c>
      <c r="D685" s="4">
        <f t="shared" si="2"/>
        <v>12</v>
      </c>
      <c r="E685" s="4" t="s">
        <v>73</v>
      </c>
      <c r="F685" s="34"/>
    </row>
    <row r="686" spans="1:6" ht="14.25" customHeight="1" x14ac:dyDescent="0.25">
      <c r="A686" s="31">
        <v>41982</v>
      </c>
      <c r="B686" s="32">
        <v>1943.82499999999</v>
      </c>
      <c r="C686" s="33">
        <v>52.632916666666603</v>
      </c>
      <c r="D686" s="4">
        <f t="shared" si="2"/>
        <v>12</v>
      </c>
      <c r="E686" s="4" t="s">
        <v>73</v>
      </c>
      <c r="F686" s="34"/>
    </row>
    <row r="687" spans="1:6" ht="14.25" customHeight="1" x14ac:dyDescent="0.25">
      <c r="A687" s="31">
        <v>41982.5</v>
      </c>
      <c r="B687" s="32">
        <v>2235.0515416666599</v>
      </c>
      <c r="C687" s="33">
        <v>66.297916666666595</v>
      </c>
      <c r="D687" s="4">
        <f t="shared" si="2"/>
        <v>12</v>
      </c>
      <c r="E687" s="4" t="s">
        <v>73</v>
      </c>
      <c r="F687" s="34"/>
    </row>
    <row r="688" spans="1:6" ht="14.25" customHeight="1" x14ac:dyDescent="0.25">
      <c r="A688" s="31">
        <v>41983</v>
      </c>
      <c r="B688" s="32">
        <v>1723.949625</v>
      </c>
      <c r="C688" s="33">
        <v>41.935833333333299</v>
      </c>
      <c r="D688" s="4">
        <f t="shared" si="2"/>
        <v>12</v>
      </c>
      <c r="E688" s="4" t="s">
        <v>73</v>
      </c>
      <c r="F688" s="34"/>
    </row>
    <row r="689" spans="1:6" ht="14.25" customHeight="1" x14ac:dyDescent="0.25">
      <c r="A689" s="31">
        <v>41983.5</v>
      </c>
      <c r="B689" s="32">
        <v>1901.2469166666599</v>
      </c>
      <c r="C689" s="33">
        <v>47.556666666666601</v>
      </c>
      <c r="D689" s="4">
        <f t="shared" si="2"/>
        <v>12</v>
      </c>
      <c r="E689" s="4" t="s">
        <v>73</v>
      </c>
      <c r="F689" s="34"/>
    </row>
    <row r="690" spans="1:6" ht="14.25" customHeight="1" x14ac:dyDescent="0.25">
      <c r="A690" s="31">
        <v>41984</v>
      </c>
      <c r="B690" s="32">
        <v>1893.2130833333299</v>
      </c>
      <c r="C690" s="33">
        <v>51.536249999999903</v>
      </c>
      <c r="D690" s="4">
        <f t="shared" si="2"/>
        <v>12</v>
      </c>
      <c r="E690" s="4" t="s">
        <v>73</v>
      </c>
      <c r="F690" s="34"/>
    </row>
    <row r="691" spans="1:6" ht="14.25" customHeight="1" x14ac:dyDescent="0.25">
      <c r="A691" s="31">
        <v>41984.5</v>
      </c>
      <c r="B691" s="32">
        <v>2235.2352083333299</v>
      </c>
      <c r="C691" s="33">
        <v>58.006666666666597</v>
      </c>
      <c r="D691" s="4">
        <f t="shared" si="2"/>
        <v>12</v>
      </c>
      <c r="E691" s="4" t="s">
        <v>73</v>
      </c>
      <c r="F691" s="34"/>
    </row>
    <row r="692" spans="1:6" ht="14.25" customHeight="1" x14ac:dyDescent="0.25">
      <c r="A692" s="31">
        <v>41985</v>
      </c>
      <c r="B692" s="32">
        <v>2172.7842083333298</v>
      </c>
      <c r="C692" s="33">
        <v>55.424583333333302</v>
      </c>
      <c r="D692" s="4">
        <f t="shared" si="2"/>
        <v>12</v>
      </c>
      <c r="E692" s="4" t="s">
        <v>73</v>
      </c>
      <c r="F692" s="34"/>
    </row>
    <row r="693" spans="1:6" ht="14.25" customHeight="1" x14ac:dyDescent="0.25">
      <c r="A693" s="31">
        <v>41985.5</v>
      </c>
      <c r="B693" s="32">
        <v>2876.3842499999901</v>
      </c>
      <c r="C693" s="33">
        <v>69.689583333333303</v>
      </c>
      <c r="D693" s="4">
        <f t="shared" si="2"/>
        <v>12</v>
      </c>
      <c r="E693" s="4" t="s">
        <v>73</v>
      </c>
      <c r="F693" s="34"/>
    </row>
    <row r="694" spans="1:6" ht="14.25" customHeight="1" x14ac:dyDescent="0.25">
      <c r="A694" s="31">
        <v>41986</v>
      </c>
      <c r="B694" s="32">
        <v>2270.6802499999999</v>
      </c>
      <c r="C694" s="33">
        <v>56.573333333333302</v>
      </c>
      <c r="D694" s="4">
        <f t="shared" si="2"/>
        <v>12</v>
      </c>
      <c r="E694" s="4" t="s">
        <v>73</v>
      </c>
      <c r="F694" s="34"/>
    </row>
    <row r="695" spans="1:6" ht="14.25" customHeight="1" x14ac:dyDescent="0.25">
      <c r="A695" s="31">
        <v>41986.5</v>
      </c>
      <c r="B695" s="32">
        <v>3024.1334583333301</v>
      </c>
      <c r="C695" s="33">
        <v>89.414583333333297</v>
      </c>
      <c r="D695" s="4">
        <f t="shared" si="2"/>
        <v>12</v>
      </c>
      <c r="E695" s="4" t="s">
        <v>73</v>
      </c>
      <c r="F695" s="34"/>
    </row>
    <row r="696" spans="1:6" ht="14.25" customHeight="1" x14ac:dyDescent="0.25">
      <c r="A696" s="31">
        <v>41987</v>
      </c>
      <c r="B696" s="32">
        <v>2140.97379166666</v>
      </c>
      <c r="C696" s="33">
        <v>65.425416666666607</v>
      </c>
      <c r="D696" s="4">
        <f t="shared" si="2"/>
        <v>12</v>
      </c>
      <c r="E696" s="4" t="s">
        <v>73</v>
      </c>
      <c r="F696" s="34"/>
    </row>
    <row r="697" spans="1:6" ht="14.25" customHeight="1" x14ac:dyDescent="0.25">
      <c r="A697" s="31">
        <v>41987.5</v>
      </c>
      <c r="B697" s="32">
        <v>2883.3863333333302</v>
      </c>
      <c r="C697" s="33">
        <v>79.218333333333305</v>
      </c>
      <c r="D697" s="4">
        <f t="shared" si="2"/>
        <v>12</v>
      </c>
      <c r="E697" s="4" t="s">
        <v>73</v>
      </c>
      <c r="F697" s="34"/>
    </row>
    <row r="698" spans="1:6" ht="14.25" customHeight="1" x14ac:dyDescent="0.25">
      <c r="A698" s="31">
        <v>41988</v>
      </c>
      <c r="B698" s="32">
        <v>2117.8012916666598</v>
      </c>
      <c r="C698" s="33">
        <v>61.090416666666599</v>
      </c>
      <c r="D698" s="4">
        <f t="shared" si="2"/>
        <v>12</v>
      </c>
      <c r="E698" s="4" t="s">
        <v>73</v>
      </c>
      <c r="F698" s="34"/>
    </row>
    <row r="699" spans="1:6" ht="14.25" customHeight="1" x14ac:dyDescent="0.25">
      <c r="A699" s="31">
        <v>41988.5</v>
      </c>
      <c r="B699" s="32">
        <v>2926.3967916666602</v>
      </c>
      <c r="C699" s="33">
        <v>82.684583333333293</v>
      </c>
      <c r="D699" s="4">
        <f t="shared" si="2"/>
        <v>12</v>
      </c>
      <c r="E699" s="4" t="s">
        <v>73</v>
      </c>
      <c r="F699" s="34"/>
    </row>
    <row r="700" spans="1:6" ht="14.25" customHeight="1" x14ac:dyDescent="0.25">
      <c r="A700" s="31">
        <v>41989</v>
      </c>
      <c r="B700" s="32">
        <v>2367.2226249999999</v>
      </c>
      <c r="C700" s="33">
        <v>58.484583333333298</v>
      </c>
      <c r="D700" s="4">
        <f t="shared" si="2"/>
        <v>12</v>
      </c>
      <c r="E700" s="4" t="s">
        <v>73</v>
      </c>
      <c r="F700" s="34"/>
    </row>
    <row r="701" spans="1:6" ht="14.25" customHeight="1" x14ac:dyDescent="0.25">
      <c r="A701" s="31">
        <v>41989.5</v>
      </c>
      <c r="B701" s="32">
        <v>3195.3001250000002</v>
      </c>
      <c r="C701" s="33">
        <v>88.352916666666601</v>
      </c>
      <c r="D701" s="4">
        <f t="shared" si="2"/>
        <v>12</v>
      </c>
      <c r="E701" s="4" t="s">
        <v>73</v>
      </c>
      <c r="F701" s="34"/>
    </row>
    <row r="702" spans="1:6" ht="14.25" customHeight="1" x14ac:dyDescent="0.25">
      <c r="A702" s="31">
        <v>41990</v>
      </c>
      <c r="B702" s="32">
        <v>2338.9344166666601</v>
      </c>
      <c r="C702" s="33">
        <v>68.344166666666595</v>
      </c>
      <c r="D702" s="4">
        <f t="shared" si="2"/>
        <v>12</v>
      </c>
      <c r="E702" s="4" t="s">
        <v>73</v>
      </c>
      <c r="F702" s="34"/>
    </row>
    <row r="703" spans="1:6" ht="14.25" customHeight="1" x14ac:dyDescent="0.25">
      <c r="A703" s="31">
        <v>41990.5</v>
      </c>
      <c r="B703" s="32">
        <v>2643.5017916666602</v>
      </c>
      <c r="C703" s="33">
        <v>54.754999999999903</v>
      </c>
      <c r="D703" s="4">
        <f t="shared" si="2"/>
        <v>12</v>
      </c>
      <c r="E703" s="4" t="s">
        <v>73</v>
      </c>
      <c r="F703" s="34"/>
    </row>
    <row r="704" spans="1:6" ht="14.25" customHeight="1" x14ac:dyDescent="0.25">
      <c r="A704" s="31">
        <v>41991</v>
      </c>
      <c r="B704" s="32">
        <v>2096.2074166666598</v>
      </c>
      <c r="C704" s="33">
        <v>57.566249999999897</v>
      </c>
      <c r="D704" s="4">
        <f t="shared" si="2"/>
        <v>12</v>
      </c>
      <c r="E704" s="4" t="s">
        <v>73</v>
      </c>
      <c r="F704" s="34"/>
    </row>
    <row r="705" spans="1:6" ht="14.25" customHeight="1" x14ac:dyDescent="0.25">
      <c r="A705" s="31">
        <v>41991.5</v>
      </c>
      <c r="B705" s="32">
        <v>2410.1449583333301</v>
      </c>
      <c r="C705" s="33">
        <v>53.733750000000001</v>
      </c>
      <c r="D705" s="4">
        <f t="shared" si="2"/>
        <v>12</v>
      </c>
      <c r="E705" s="4" t="s">
        <v>73</v>
      </c>
      <c r="F705" s="34"/>
    </row>
    <row r="706" spans="1:6" ht="14.25" customHeight="1" x14ac:dyDescent="0.25">
      <c r="A706" s="31">
        <v>41992</v>
      </c>
      <c r="B706" s="32">
        <v>2059.38004166666</v>
      </c>
      <c r="C706" s="33">
        <v>59.697083333333303</v>
      </c>
      <c r="D706" s="4">
        <f t="shared" si="2"/>
        <v>12</v>
      </c>
      <c r="E706" s="4" t="s">
        <v>73</v>
      </c>
      <c r="F706" s="34"/>
    </row>
    <row r="707" spans="1:6" ht="14.25" customHeight="1" x14ac:dyDescent="0.25">
      <c r="A707" s="31">
        <v>41992.5</v>
      </c>
      <c r="B707" s="32">
        <v>2394.1077500000001</v>
      </c>
      <c r="C707" s="33">
        <v>51.734583333333298</v>
      </c>
      <c r="D707" s="4">
        <f t="shared" si="2"/>
        <v>12</v>
      </c>
      <c r="E707" s="4" t="s">
        <v>73</v>
      </c>
      <c r="F707" s="34"/>
    </row>
    <row r="708" spans="1:6" ht="14.25" customHeight="1" x14ac:dyDescent="0.25">
      <c r="A708" s="31">
        <v>41993</v>
      </c>
      <c r="B708" s="32">
        <v>1972.1649583333301</v>
      </c>
      <c r="C708" s="33">
        <v>38.423333333333296</v>
      </c>
      <c r="D708" s="4">
        <f t="shared" si="2"/>
        <v>12</v>
      </c>
      <c r="E708" s="4" t="s">
        <v>73</v>
      </c>
      <c r="F708" s="34"/>
    </row>
    <row r="709" spans="1:6" ht="14.25" customHeight="1" x14ac:dyDescent="0.25">
      <c r="A709" s="31">
        <v>41993.5</v>
      </c>
      <c r="B709" s="32">
        <v>2230.0864999999999</v>
      </c>
      <c r="C709" s="33">
        <v>44.949583333333301</v>
      </c>
      <c r="D709" s="4">
        <f t="shared" si="2"/>
        <v>12</v>
      </c>
      <c r="E709" s="4" t="s">
        <v>73</v>
      </c>
      <c r="F709" s="34"/>
    </row>
    <row r="710" spans="1:6" ht="14.25" customHeight="1" x14ac:dyDescent="0.25">
      <c r="A710" s="31">
        <v>41994</v>
      </c>
      <c r="B710" s="32">
        <v>1787.87870833333</v>
      </c>
      <c r="C710" s="33">
        <v>44.59</v>
      </c>
      <c r="D710" s="4">
        <f t="shared" si="2"/>
        <v>12</v>
      </c>
      <c r="E710" s="4" t="s">
        <v>73</v>
      </c>
      <c r="F710" s="34"/>
    </row>
    <row r="711" spans="1:6" ht="14.25" customHeight="1" x14ac:dyDescent="0.25">
      <c r="A711" s="31">
        <v>41994.5</v>
      </c>
      <c r="B711" s="32">
        <v>1997.3041250000001</v>
      </c>
      <c r="C711" s="33">
        <v>48.774999999999999</v>
      </c>
      <c r="D711" s="4">
        <f t="shared" si="2"/>
        <v>12</v>
      </c>
      <c r="E711" s="4" t="s">
        <v>73</v>
      </c>
      <c r="F711" s="34"/>
    </row>
    <row r="712" spans="1:6" ht="14.25" customHeight="1" x14ac:dyDescent="0.25">
      <c r="A712" s="31">
        <v>41995</v>
      </c>
      <c r="B712" s="32">
        <v>1729.9509166666601</v>
      </c>
      <c r="C712" s="33">
        <v>46.790833333333303</v>
      </c>
      <c r="D712" s="4">
        <f t="shared" si="2"/>
        <v>12</v>
      </c>
      <c r="E712" s="4" t="s">
        <v>73</v>
      </c>
      <c r="F712" s="34"/>
    </row>
    <row r="713" spans="1:6" ht="14.25" customHeight="1" x14ac:dyDescent="0.25">
      <c r="A713" s="31">
        <v>41995.5</v>
      </c>
      <c r="B713" s="32">
        <v>2047.0395000000001</v>
      </c>
      <c r="C713" s="33">
        <v>56.972916666666599</v>
      </c>
      <c r="D713" s="4">
        <f t="shared" si="2"/>
        <v>12</v>
      </c>
      <c r="E713" s="4" t="s">
        <v>73</v>
      </c>
      <c r="F713" s="34"/>
    </row>
    <row r="714" spans="1:6" ht="14.25" customHeight="1" x14ac:dyDescent="0.25">
      <c r="A714" s="31">
        <v>41996</v>
      </c>
      <c r="B714" s="32">
        <v>1953.6437083333301</v>
      </c>
      <c r="C714" s="33">
        <v>46.969583333333297</v>
      </c>
      <c r="D714" s="4">
        <f t="shared" si="2"/>
        <v>12</v>
      </c>
      <c r="E714" s="4" t="s">
        <v>73</v>
      </c>
      <c r="F714" s="34"/>
    </row>
    <row r="715" spans="1:6" ht="14.25" customHeight="1" x14ac:dyDescent="0.25">
      <c r="A715" s="31">
        <v>41996.5</v>
      </c>
      <c r="B715" s="32">
        <v>2451.7428749999999</v>
      </c>
      <c r="C715" s="33">
        <v>48.4270833333333</v>
      </c>
      <c r="D715" s="4">
        <f t="shared" si="2"/>
        <v>12</v>
      </c>
      <c r="E715" s="4" t="s">
        <v>73</v>
      </c>
      <c r="F715" s="34"/>
    </row>
    <row r="716" spans="1:6" ht="14.25" customHeight="1" x14ac:dyDescent="0.25">
      <c r="A716" s="31">
        <v>41997</v>
      </c>
      <c r="B716" s="32">
        <v>1992.5728749999901</v>
      </c>
      <c r="C716" s="33">
        <v>42.350833333333298</v>
      </c>
      <c r="D716" s="4">
        <f t="shared" si="2"/>
        <v>12</v>
      </c>
      <c r="E716" s="4" t="s">
        <v>73</v>
      </c>
      <c r="F716" s="34"/>
    </row>
    <row r="717" spans="1:6" ht="14.25" customHeight="1" x14ac:dyDescent="0.25">
      <c r="A717" s="31">
        <v>41997.5</v>
      </c>
      <c r="B717" s="32">
        <v>2288.7292499999999</v>
      </c>
      <c r="C717" s="33">
        <v>40.680833333333297</v>
      </c>
      <c r="D717" s="4">
        <f t="shared" si="2"/>
        <v>12</v>
      </c>
      <c r="E717" s="4" t="s">
        <v>73</v>
      </c>
      <c r="F717" s="34"/>
    </row>
    <row r="718" spans="1:6" ht="14.25" customHeight="1" x14ac:dyDescent="0.25">
      <c r="A718" s="31">
        <v>41998</v>
      </c>
      <c r="B718" s="32">
        <v>1741.06274999999</v>
      </c>
      <c r="C718" s="33">
        <v>37.1666666666666</v>
      </c>
      <c r="D718" s="4">
        <f t="shared" si="2"/>
        <v>12</v>
      </c>
      <c r="E718" s="4" t="s">
        <v>73</v>
      </c>
      <c r="F718" s="34"/>
    </row>
    <row r="719" spans="1:6" ht="14.25" customHeight="1" x14ac:dyDescent="0.25">
      <c r="A719" s="31">
        <v>41998.5</v>
      </c>
      <c r="B719" s="32">
        <v>1948.48549999999</v>
      </c>
      <c r="C719" s="33">
        <v>38.960833333333298</v>
      </c>
      <c r="D719" s="4">
        <f t="shared" si="2"/>
        <v>12</v>
      </c>
      <c r="E719" s="4" t="s">
        <v>73</v>
      </c>
      <c r="F719" s="34"/>
    </row>
    <row r="720" spans="1:6" ht="14.25" customHeight="1" x14ac:dyDescent="0.25">
      <c r="A720" s="31">
        <v>41999</v>
      </c>
      <c r="B720" s="32">
        <v>1686.002375</v>
      </c>
      <c r="C720" s="33">
        <v>40.265416666666603</v>
      </c>
      <c r="D720" s="4">
        <f t="shared" si="2"/>
        <v>12</v>
      </c>
      <c r="E720" s="4" t="s">
        <v>73</v>
      </c>
      <c r="F720" s="34"/>
    </row>
    <row r="721" spans="1:6" ht="14.25" customHeight="1" x14ac:dyDescent="0.25">
      <c r="A721" s="31">
        <v>41999.5</v>
      </c>
      <c r="B721" s="32">
        <v>2049.07045833333</v>
      </c>
      <c r="C721" s="33">
        <v>42.8674999999999</v>
      </c>
      <c r="D721" s="4">
        <f t="shared" si="2"/>
        <v>12</v>
      </c>
      <c r="E721" s="4" t="s">
        <v>73</v>
      </c>
      <c r="F721" s="34"/>
    </row>
    <row r="722" spans="1:6" ht="14.25" customHeight="1" x14ac:dyDescent="0.25">
      <c r="A722" s="31">
        <v>42000</v>
      </c>
      <c r="B722" s="32">
        <v>1898.9733333333299</v>
      </c>
      <c r="C722" s="33">
        <v>49.396249999999903</v>
      </c>
      <c r="D722" s="4">
        <f t="shared" si="2"/>
        <v>12</v>
      </c>
      <c r="E722" s="4" t="s">
        <v>73</v>
      </c>
      <c r="F722" s="34"/>
    </row>
    <row r="723" spans="1:6" ht="14.25" customHeight="1" x14ac:dyDescent="0.25">
      <c r="A723" s="31">
        <v>42000.5</v>
      </c>
      <c r="B723" s="32">
        <v>2160.0101249999998</v>
      </c>
      <c r="C723" s="33">
        <v>41.455833333333302</v>
      </c>
      <c r="D723" s="4">
        <f t="shared" si="2"/>
        <v>12</v>
      </c>
      <c r="E723" s="4" t="s">
        <v>73</v>
      </c>
      <c r="F723" s="34"/>
    </row>
    <row r="724" spans="1:6" ht="14.25" customHeight="1" x14ac:dyDescent="0.25">
      <c r="A724" s="31">
        <v>42001</v>
      </c>
      <c r="B724" s="32">
        <v>1749.8718636363601</v>
      </c>
      <c r="C724" s="33">
        <v>33.367727272727201</v>
      </c>
      <c r="D724" s="4">
        <f t="shared" si="2"/>
        <v>12</v>
      </c>
      <c r="E724" s="4" t="s">
        <v>73</v>
      </c>
      <c r="F724" s="34"/>
    </row>
    <row r="725" spans="1:6" ht="14.25" customHeight="1" x14ac:dyDescent="0.25">
      <c r="A725" s="31">
        <v>42001.5</v>
      </c>
      <c r="B725" s="32">
        <v>2125.4543749999998</v>
      </c>
      <c r="C725" s="33">
        <v>43.60125</v>
      </c>
      <c r="D725" s="4">
        <f t="shared" si="2"/>
        <v>12</v>
      </c>
      <c r="E725" s="4" t="s">
        <v>73</v>
      </c>
      <c r="F725" s="34"/>
    </row>
    <row r="726" spans="1:6" ht="14.25" customHeight="1" x14ac:dyDescent="0.25">
      <c r="A726" s="31">
        <v>42002</v>
      </c>
      <c r="B726" s="32">
        <v>1779.80779166666</v>
      </c>
      <c r="C726" s="33">
        <v>45.102083333333297</v>
      </c>
      <c r="D726" s="4">
        <f t="shared" si="2"/>
        <v>12</v>
      </c>
      <c r="E726" s="4" t="s">
        <v>73</v>
      </c>
      <c r="F726" s="34"/>
    </row>
    <row r="727" spans="1:6" ht="14.25" customHeight="1" x14ac:dyDescent="0.25">
      <c r="A727" s="31">
        <v>42002.5</v>
      </c>
      <c r="B727" s="32">
        <v>2286.2164166666598</v>
      </c>
      <c r="C727" s="33">
        <v>48.505416666666598</v>
      </c>
      <c r="D727" s="4">
        <f t="shared" si="2"/>
        <v>12</v>
      </c>
      <c r="E727" s="4" t="s">
        <v>73</v>
      </c>
      <c r="F727" s="34"/>
    </row>
    <row r="728" spans="1:6" ht="14.25" customHeight="1" x14ac:dyDescent="0.25">
      <c r="A728" s="31">
        <v>42003</v>
      </c>
      <c r="B728" s="32">
        <v>1982.47729166666</v>
      </c>
      <c r="C728" s="33">
        <v>40.7454166666666</v>
      </c>
      <c r="D728" s="4">
        <f t="shared" si="2"/>
        <v>12</v>
      </c>
      <c r="E728" s="4" t="s">
        <v>73</v>
      </c>
      <c r="F728" s="34"/>
    </row>
    <row r="729" spans="1:6" ht="14.25" customHeight="1" x14ac:dyDescent="0.25">
      <c r="A729" s="31">
        <v>42003.5</v>
      </c>
      <c r="B729" s="32">
        <v>2385.11704166666</v>
      </c>
      <c r="C729" s="33">
        <v>52.2662499999999</v>
      </c>
      <c r="D729" s="4">
        <f t="shared" si="2"/>
        <v>12</v>
      </c>
      <c r="E729" s="4" t="s">
        <v>73</v>
      </c>
      <c r="F729" s="34"/>
    </row>
    <row r="730" spans="1:6" ht="14.25" customHeight="1" x14ac:dyDescent="0.25">
      <c r="A730" s="31">
        <v>42004</v>
      </c>
      <c r="B730" s="32">
        <v>1959.6472916666601</v>
      </c>
      <c r="C730" s="33">
        <v>44.889583333333299</v>
      </c>
      <c r="D730" s="4">
        <f t="shared" si="2"/>
        <v>12</v>
      </c>
      <c r="E730" s="4" t="s">
        <v>73</v>
      </c>
      <c r="F730" s="34"/>
    </row>
    <row r="731" spans="1:6" ht="14.25" customHeight="1" x14ac:dyDescent="0.25">
      <c r="A731" s="31">
        <v>42004.5</v>
      </c>
      <c r="B731" s="32">
        <v>2134.0819999999999</v>
      </c>
      <c r="C731" s="33">
        <v>42.499583333333298</v>
      </c>
      <c r="D731" s="4">
        <f t="shared" si="2"/>
        <v>12</v>
      </c>
      <c r="E731" s="4" t="s">
        <v>73</v>
      </c>
      <c r="F731" s="34"/>
    </row>
    <row r="732" spans="1:6" ht="14.25" customHeight="1" x14ac:dyDescent="0.25">
      <c r="A732" s="31">
        <v>41640</v>
      </c>
      <c r="B732" s="32">
        <v>2814.7105606124901</v>
      </c>
      <c r="C732" s="33">
        <v>108.18749999999901</v>
      </c>
      <c r="D732" s="4">
        <v>1</v>
      </c>
      <c r="E732" s="4" t="s">
        <v>74</v>
      </c>
    </row>
    <row r="733" spans="1:6" ht="14.25" customHeight="1" x14ac:dyDescent="0.25">
      <c r="A733" s="31">
        <v>41640.5</v>
      </c>
      <c r="B733" s="32">
        <v>2820.15931286666</v>
      </c>
      <c r="C733" s="33">
        <v>111.245</v>
      </c>
      <c r="D733" s="4">
        <v>1</v>
      </c>
      <c r="E733" s="4" t="s">
        <v>74</v>
      </c>
    </row>
    <row r="734" spans="1:6" ht="14.25" customHeight="1" x14ac:dyDescent="0.25">
      <c r="A734" s="31">
        <v>41641</v>
      </c>
      <c r="B734" s="32">
        <v>2147.3532233291598</v>
      </c>
      <c r="C734" s="33">
        <v>110.51333333333299</v>
      </c>
      <c r="D734" s="4">
        <v>1</v>
      </c>
      <c r="E734" s="4" t="s">
        <v>74</v>
      </c>
    </row>
    <row r="735" spans="1:6" ht="14.25" customHeight="1" x14ac:dyDescent="0.25">
      <c r="A735" s="31">
        <v>41641.5</v>
      </c>
      <c r="B735" s="32">
        <v>2545.3108069374898</v>
      </c>
      <c r="C735" s="33">
        <v>109.41500000000001</v>
      </c>
      <c r="D735" s="4">
        <v>1</v>
      </c>
      <c r="E735" s="4" t="s">
        <v>74</v>
      </c>
    </row>
    <row r="736" spans="1:6" ht="14.25" customHeight="1" x14ac:dyDescent="0.25">
      <c r="A736" s="31">
        <v>41642</v>
      </c>
      <c r="B736" s="32">
        <v>2222.4136193208301</v>
      </c>
      <c r="C736" s="33">
        <v>109.898333333333</v>
      </c>
      <c r="D736" s="4">
        <v>1</v>
      </c>
      <c r="E736" s="4" t="s">
        <v>74</v>
      </c>
    </row>
    <row r="737" spans="1:5" ht="14.25" customHeight="1" x14ac:dyDescent="0.25">
      <c r="A737" s="31">
        <v>41642.5</v>
      </c>
      <c r="B737" s="32">
        <v>2257.3158007708298</v>
      </c>
      <c r="C737" s="33">
        <v>111.870833333333</v>
      </c>
      <c r="D737" s="4">
        <v>1</v>
      </c>
      <c r="E737" s="4" t="s">
        <v>74</v>
      </c>
    </row>
    <row r="738" spans="1:5" ht="14.25" customHeight="1" x14ac:dyDescent="0.25">
      <c r="A738" s="31">
        <v>41643</v>
      </c>
      <c r="B738" s="32">
        <v>2032.198344465</v>
      </c>
      <c r="C738" s="33">
        <v>108.64100000000001</v>
      </c>
      <c r="D738" s="4">
        <v>1</v>
      </c>
      <c r="E738" s="4" t="s">
        <v>74</v>
      </c>
    </row>
    <row r="739" spans="1:5" ht="14.25" customHeight="1" x14ac:dyDescent="0.25">
      <c r="A739" s="31">
        <v>41643.5</v>
      </c>
      <c r="B739" s="32">
        <v>2117.8163037374902</v>
      </c>
      <c r="C739" s="33">
        <v>112.47499999999999</v>
      </c>
      <c r="D739" s="4">
        <v>1</v>
      </c>
      <c r="E739" s="4" t="s">
        <v>74</v>
      </c>
    </row>
    <row r="740" spans="1:5" ht="14.25" customHeight="1" x14ac:dyDescent="0.25">
      <c r="A740" s="31">
        <v>41644</v>
      </c>
      <c r="B740" s="32">
        <v>1881.9500175666601</v>
      </c>
      <c r="C740" s="33">
        <v>111.09333333333301</v>
      </c>
      <c r="D740" s="4">
        <v>1</v>
      </c>
      <c r="E740" s="4" t="s">
        <v>74</v>
      </c>
    </row>
    <row r="741" spans="1:5" ht="14.25" customHeight="1" x14ac:dyDescent="0.25">
      <c r="A741" s="31">
        <v>41644.5</v>
      </c>
      <c r="B741" s="32">
        <v>2576.3438875909001</v>
      </c>
      <c r="C741" s="33">
        <v>111.433636363636</v>
      </c>
      <c r="D741" s="4">
        <v>1</v>
      </c>
      <c r="E741" s="4" t="s">
        <v>74</v>
      </c>
    </row>
    <row r="742" spans="1:5" ht="14.25" customHeight="1" x14ac:dyDescent="0.25">
      <c r="A742" s="31">
        <v>41645</v>
      </c>
      <c r="B742" s="32">
        <v>2044.66478628499</v>
      </c>
      <c r="C742" s="33">
        <v>110.70699999999999</v>
      </c>
      <c r="D742" s="4">
        <v>1</v>
      </c>
      <c r="E742" s="4" t="s">
        <v>74</v>
      </c>
    </row>
    <row r="743" spans="1:5" ht="14.25" customHeight="1" x14ac:dyDescent="0.25">
      <c r="A743" s="31">
        <v>41645.5</v>
      </c>
      <c r="B743" s="32">
        <v>2868.9563182708298</v>
      </c>
      <c r="C743" s="33">
        <v>108.410833333333</v>
      </c>
      <c r="D743" s="4">
        <v>1</v>
      </c>
      <c r="E743" s="4" t="s">
        <v>74</v>
      </c>
    </row>
    <row r="744" spans="1:5" ht="14.25" customHeight="1" x14ac:dyDescent="0.25">
      <c r="A744" s="31">
        <v>41646</v>
      </c>
      <c r="B744" s="32">
        <v>2472.6334011958302</v>
      </c>
      <c r="C744" s="33">
        <v>110.37583333333301</v>
      </c>
      <c r="D744" s="4">
        <v>1</v>
      </c>
      <c r="E744" s="4" t="s">
        <v>74</v>
      </c>
    </row>
    <row r="745" spans="1:5" ht="14.25" customHeight="1" x14ac:dyDescent="0.25">
      <c r="A745" s="31">
        <v>41646.5</v>
      </c>
      <c r="B745" s="32">
        <v>3299.9393580708202</v>
      </c>
      <c r="C745" s="33">
        <v>110.207499999999</v>
      </c>
      <c r="D745" s="4">
        <v>1</v>
      </c>
      <c r="E745" s="4" t="s">
        <v>74</v>
      </c>
    </row>
    <row r="746" spans="1:5" ht="14.25" customHeight="1" x14ac:dyDescent="0.25">
      <c r="A746" s="31">
        <v>41647</v>
      </c>
      <c r="B746" s="32">
        <v>2786.5475998083298</v>
      </c>
      <c r="C746" s="33">
        <v>111.74</v>
      </c>
      <c r="D746" s="4">
        <v>1</v>
      </c>
      <c r="E746" s="4" t="s">
        <v>74</v>
      </c>
    </row>
    <row r="747" spans="1:5" ht="14.25" customHeight="1" x14ac:dyDescent="0.25">
      <c r="A747" s="31">
        <v>41647.5</v>
      </c>
      <c r="B747" s="32">
        <v>3225.7517746541598</v>
      </c>
      <c r="C747" s="33">
        <v>111.213333333333</v>
      </c>
      <c r="D747" s="4">
        <v>1</v>
      </c>
      <c r="E747" s="4" t="s">
        <v>74</v>
      </c>
    </row>
    <row r="748" spans="1:5" ht="14.25" customHeight="1" x14ac:dyDescent="0.25">
      <c r="A748" s="31">
        <v>41648</v>
      </c>
      <c r="B748" s="32">
        <v>2425.1360756541599</v>
      </c>
      <c r="C748" s="33">
        <v>108.96833333333301</v>
      </c>
      <c r="D748" s="4">
        <v>1</v>
      </c>
      <c r="E748" s="4" t="s">
        <v>74</v>
      </c>
    </row>
    <row r="749" spans="1:5" ht="14.25" customHeight="1" x14ac:dyDescent="0.25">
      <c r="A749" s="31">
        <v>41648.5</v>
      </c>
      <c r="B749" s="32">
        <v>2401.8058121333302</v>
      </c>
      <c r="C749" s="33">
        <v>109.2625</v>
      </c>
      <c r="D749" s="4">
        <v>1</v>
      </c>
      <c r="E749" s="4" t="s">
        <v>74</v>
      </c>
    </row>
    <row r="750" spans="1:5" ht="14.25" customHeight="1" x14ac:dyDescent="0.25">
      <c r="A750" s="31">
        <v>41649</v>
      </c>
      <c r="B750" s="32">
        <v>2113.5125400799898</v>
      </c>
      <c r="C750" s="33">
        <v>110.199</v>
      </c>
      <c r="D750" s="4">
        <v>1</v>
      </c>
      <c r="E750" s="4" t="s">
        <v>74</v>
      </c>
    </row>
    <row r="751" spans="1:5" ht="14.25" customHeight="1" x14ac:dyDescent="0.25">
      <c r="A751" s="31">
        <v>41649.5</v>
      </c>
      <c r="B751" s="32">
        <v>2433.3480168166602</v>
      </c>
      <c r="C751" s="33">
        <v>111.273333333333</v>
      </c>
      <c r="D751" s="4">
        <v>1</v>
      </c>
      <c r="E751" s="4" t="s">
        <v>74</v>
      </c>
    </row>
    <row r="752" spans="1:5" ht="14.25" customHeight="1" x14ac:dyDescent="0.25">
      <c r="A752" s="31">
        <v>41650</v>
      </c>
      <c r="B752" s="32">
        <v>2189.0438997312399</v>
      </c>
      <c r="C752" s="33">
        <v>109.4875</v>
      </c>
      <c r="D752" s="4">
        <v>1</v>
      </c>
      <c r="E752" s="4" t="s">
        <v>74</v>
      </c>
    </row>
    <row r="753" spans="1:5" ht="14.25" customHeight="1" x14ac:dyDescent="0.25">
      <c r="A753" s="31">
        <v>41650.5</v>
      </c>
      <c r="B753" s="32">
        <v>2483.5657340083299</v>
      </c>
      <c r="C753" s="33">
        <v>110.505</v>
      </c>
      <c r="D753" s="4">
        <v>1</v>
      </c>
      <c r="E753" s="4" t="s">
        <v>74</v>
      </c>
    </row>
    <row r="754" spans="1:5" ht="14.25" customHeight="1" x14ac:dyDescent="0.25">
      <c r="A754" s="31">
        <v>41651</v>
      </c>
      <c r="B754" s="32">
        <v>1896.0243473666601</v>
      </c>
      <c r="C754" s="33">
        <v>109.098333333333</v>
      </c>
      <c r="D754" s="4">
        <v>1</v>
      </c>
      <c r="E754" s="4" t="s">
        <v>74</v>
      </c>
    </row>
    <row r="755" spans="1:5" ht="14.25" customHeight="1" x14ac:dyDescent="0.25">
      <c r="A755" s="31">
        <v>41651.5</v>
      </c>
      <c r="B755" s="32">
        <v>2615.8735382874902</v>
      </c>
      <c r="C755" s="33">
        <v>110.826666666666</v>
      </c>
      <c r="D755" s="4">
        <v>1</v>
      </c>
      <c r="E755" s="4" t="s">
        <v>74</v>
      </c>
    </row>
    <row r="756" spans="1:5" ht="14.25" customHeight="1" x14ac:dyDescent="0.25">
      <c r="A756" s="31">
        <v>41652</v>
      </c>
      <c r="B756" s="32">
        <v>1992.70477325416</v>
      </c>
      <c r="C756" s="33">
        <v>111.049166666666</v>
      </c>
      <c r="D756" s="4">
        <v>1</v>
      </c>
      <c r="E756" s="4" t="s">
        <v>74</v>
      </c>
    </row>
    <row r="757" spans="1:5" ht="14.25" customHeight="1" x14ac:dyDescent="0.25">
      <c r="A757" s="31">
        <v>41652.5</v>
      </c>
      <c r="B757" s="32">
        <v>2387.7880464916602</v>
      </c>
      <c r="C757" s="33">
        <v>109.829166666666</v>
      </c>
      <c r="D757" s="4">
        <v>1</v>
      </c>
      <c r="E757" s="4" t="s">
        <v>74</v>
      </c>
    </row>
    <row r="758" spans="1:5" ht="14.25" customHeight="1" x14ac:dyDescent="0.25">
      <c r="A758" s="31">
        <v>41653</v>
      </c>
      <c r="B758" s="32">
        <v>2358.34048073333</v>
      </c>
      <c r="C758" s="33">
        <v>110.7</v>
      </c>
      <c r="D758" s="4">
        <v>1</v>
      </c>
      <c r="E758" s="4" t="s">
        <v>74</v>
      </c>
    </row>
    <row r="759" spans="1:5" ht="14.25" customHeight="1" x14ac:dyDescent="0.25">
      <c r="A759" s="31">
        <v>41653.5</v>
      </c>
      <c r="B759" s="32">
        <v>3340.70503213333</v>
      </c>
      <c r="C759" s="33">
        <v>109.087499999999</v>
      </c>
      <c r="D759" s="4">
        <v>1</v>
      </c>
      <c r="E759" s="4" t="s">
        <v>74</v>
      </c>
    </row>
    <row r="760" spans="1:5" ht="14.25" customHeight="1" x14ac:dyDescent="0.25">
      <c r="A760" s="31">
        <v>41654</v>
      </c>
      <c r="B760" s="32">
        <v>2842.3093060374899</v>
      </c>
      <c r="C760" s="33">
        <v>109.721666666666</v>
      </c>
      <c r="D760" s="4">
        <v>1</v>
      </c>
      <c r="E760" s="4" t="s">
        <v>74</v>
      </c>
    </row>
    <row r="761" spans="1:5" ht="14.25" customHeight="1" x14ac:dyDescent="0.25">
      <c r="A761" s="31">
        <v>41654.5</v>
      </c>
      <c r="B761" s="32">
        <v>3250.4874035166599</v>
      </c>
      <c r="C761" s="33">
        <v>111.22666666666601</v>
      </c>
      <c r="D761" s="4">
        <v>1</v>
      </c>
      <c r="E761" s="4" t="s">
        <v>74</v>
      </c>
    </row>
    <row r="762" spans="1:5" ht="14.25" customHeight="1" x14ac:dyDescent="0.25">
      <c r="A762" s="31">
        <v>41655</v>
      </c>
      <c r="B762" s="32">
        <v>2453.1961141708298</v>
      </c>
      <c r="C762" s="33">
        <v>112.73</v>
      </c>
      <c r="D762" s="4">
        <v>1</v>
      </c>
      <c r="E762" s="4" t="s">
        <v>74</v>
      </c>
    </row>
    <row r="763" spans="1:5" ht="14.25" customHeight="1" x14ac:dyDescent="0.25">
      <c r="A763" s="31">
        <v>41655.5</v>
      </c>
      <c r="B763" s="32">
        <v>2536.4750736916599</v>
      </c>
      <c r="C763" s="33">
        <v>111.52500000000001</v>
      </c>
      <c r="D763" s="4">
        <v>1</v>
      </c>
      <c r="E763" s="4" t="s">
        <v>74</v>
      </c>
    </row>
    <row r="764" spans="1:5" ht="14.25" customHeight="1" x14ac:dyDescent="0.25">
      <c r="A764" s="31">
        <v>41656</v>
      </c>
      <c r="B764" s="32">
        <v>1958.7403593583299</v>
      </c>
      <c r="C764" s="33">
        <v>110.448333333333</v>
      </c>
      <c r="D764" s="4">
        <v>1</v>
      </c>
      <c r="E764" s="4" t="s">
        <v>74</v>
      </c>
    </row>
    <row r="765" spans="1:5" ht="14.25" customHeight="1" x14ac:dyDescent="0.25">
      <c r="A765" s="31">
        <v>41656.5</v>
      </c>
      <c r="B765" s="32">
        <v>2217.7377323208302</v>
      </c>
      <c r="C765" s="33">
        <v>109.19416666666601</v>
      </c>
      <c r="D765" s="4">
        <v>1</v>
      </c>
      <c r="E765" s="4" t="s">
        <v>74</v>
      </c>
    </row>
    <row r="766" spans="1:5" ht="14.25" customHeight="1" x14ac:dyDescent="0.25">
      <c r="A766" s="31">
        <v>41657</v>
      </c>
      <c r="B766" s="32">
        <v>2035.5217133875001</v>
      </c>
      <c r="C766" s="33">
        <v>112.33750000000001</v>
      </c>
      <c r="D766" s="4">
        <v>1</v>
      </c>
      <c r="E766" s="4" t="s">
        <v>74</v>
      </c>
    </row>
    <row r="767" spans="1:5" ht="14.25" customHeight="1" x14ac:dyDescent="0.25">
      <c r="A767" s="31">
        <v>41657.5</v>
      </c>
      <c r="B767" s="32">
        <v>2450.3480851874901</v>
      </c>
      <c r="C767" s="33">
        <v>109.47499999999999</v>
      </c>
      <c r="D767" s="4">
        <v>1</v>
      </c>
      <c r="E767" s="4" t="s">
        <v>74</v>
      </c>
    </row>
    <row r="768" spans="1:5" ht="14.25" customHeight="1" x14ac:dyDescent="0.25">
      <c r="A768" s="31">
        <v>41658</v>
      </c>
      <c r="B768" s="32">
        <v>1864.6022638714201</v>
      </c>
      <c r="C768" s="33">
        <v>109.98857142857101</v>
      </c>
      <c r="D768" s="4">
        <v>1</v>
      </c>
      <c r="E768" s="4" t="s">
        <v>74</v>
      </c>
    </row>
    <row r="769" spans="1:5" ht="14.25" customHeight="1" x14ac:dyDescent="0.25">
      <c r="A769" s="31">
        <v>41658.5</v>
      </c>
      <c r="B769" s="32">
        <v>2278.1295495916602</v>
      </c>
      <c r="C769" s="33">
        <v>110.447499999999</v>
      </c>
      <c r="D769" s="4">
        <v>1</v>
      </c>
      <c r="E769" s="4" t="s">
        <v>74</v>
      </c>
    </row>
    <row r="770" spans="1:5" ht="14.25" customHeight="1" x14ac:dyDescent="0.25">
      <c r="A770" s="31">
        <v>41659</v>
      </c>
      <c r="B770" s="32">
        <v>1924.9605551166601</v>
      </c>
      <c r="C770" s="33">
        <v>109.126666666666</v>
      </c>
      <c r="D770" s="4">
        <v>1</v>
      </c>
      <c r="E770" s="4" t="s">
        <v>74</v>
      </c>
    </row>
    <row r="771" spans="1:5" ht="14.25" customHeight="1" x14ac:dyDescent="0.25">
      <c r="A771" s="31">
        <v>41659.5</v>
      </c>
      <c r="B771" s="32">
        <v>2560.8750446249901</v>
      </c>
      <c r="C771" s="33">
        <v>111.745833333333</v>
      </c>
      <c r="D771" s="4">
        <v>1</v>
      </c>
      <c r="E771" s="4" t="s">
        <v>74</v>
      </c>
    </row>
    <row r="772" spans="1:5" ht="14.25" customHeight="1" x14ac:dyDescent="0.25">
      <c r="A772" s="31">
        <v>41660</v>
      </c>
      <c r="B772" s="32">
        <v>2127.80860193749</v>
      </c>
      <c r="C772" s="33">
        <v>110.930833333333</v>
      </c>
      <c r="D772" s="4">
        <v>1</v>
      </c>
      <c r="E772" s="4" t="s">
        <v>74</v>
      </c>
    </row>
    <row r="773" spans="1:5" ht="14.25" customHeight="1" x14ac:dyDescent="0.25">
      <c r="A773" s="31">
        <v>41660.5</v>
      </c>
      <c r="B773" s="32">
        <v>2746.1296072416599</v>
      </c>
      <c r="C773" s="33">
        <v>110.345833333333</v>
      </c>
      <c r="D773" s="4">
        <v>1</v>
      </c>
      <c r="E773" s="4" t="s">
        <v>74</v>
      </c>
    </row>
    <row r="774" spans="1:5" ht="14.25" customHeight="1" x14ac:dyDescent="0.25">
      <c r="A774" s="31">
        <v>41661</v>
      </c>
      <c r="B774" s="32">
        <v>2140.0864342166601</v>
      </c>
      <c r="C774" s="33">
        <v>110.689999999999</v>
      </c>
      <c r="D774" s="4">
        <v>1</v>
      </c>
      <c r="E774" s="4" t="s">
        <v>74</v>
      </c>
    </row>
    <row r="775" spans="1:5" ht="14.25" customHeight="1" x14ac:dyDescent="0.25">
      <c r="A775" s="31">
        <v>41661.5</v>
      </c>
      <c r="B775" s="32">
        <v>2651.1279091166598</v>
      </c>
      <c r="C775" s="33">
        <v>111.839166666666</v>
      </c>
      <c r="D775" s="4">
        <v>1</v>
      </c>
      <c r="E775" s="4" t="s">
        <v>74</v>
      </c>
    </row>
    <row r="776" spans="1:5" ht="14.25" customHeight="1" x14ac:dyDescent="0.25">
      <c r="A776" s="31">
        <v>41662</v>
      </c>
      <c r="B776" s="32">
        <v>2198.8909038583301</v>
      </c>
      <c r="C776" s="33">
        <v>111.34083333333299</v>
      </c>
      <c r="D776" s="4">
        <v>1</v>
      </c>
      <c r="E776" s="4" t="s">
        <v>74</v>
      </c>
    </row>
    <row r="777" spans="1:5" ht="14.25" customHeight="1" x14ac:dyDescent="0.25">
      <c r="A777" s="31">
        <v>41662.5</v>
      </c>
      <c r="B777" s="32">
        <v>2598.18044052499</v>
      </c>
      <c r="C777" s="33">
        <v>111.143333333333</v>
      </c>
      <c r="D777" s="4">
        <v>1</v>
      </c>
      <c r="E777" s="4" t="s">
        <v>74</v>
      </c>
    </row>
    <row r="778" spans="1:5" ht="14.25" customHeight="1" x14ac:dyDescent="0.25">
      <c r="A778" s="31">
        <v>41663</v>
      </c>
      <c r="B778" s="32">
        <v>2166.8205700090898</v>
      </c>
      <c r="C778" s="33">
        <v>110.728181818181</v>
      </c>
      <c r="D778" s="4">
        <v>1</v>
      </c>
      <c r="E778" s="4" t="s">
        <v>74</v>
      </c>
    </row>
    <row r="779" spans="1:5" ht="14.25" customHeight="1" x14ac:dyDescent="0.25">
      <c r="A779" s="31">
        <v>41663.5</v>
      </c>
      <c r="B779" s="32">
        <v>2420.47367987499</v>
      </c>
      <c r="C779" s="33">
        <v>110.1</v>
      </c>
      <c r="D779" s="4">
        <v>1</v>
      </c>
      <c r="E779" s="4" t="s">
        <v>74</v>
      </c>
    </row>
    <row r="780" spans="1:5" ht="14.25" customHeight="1" x14ac:dyDescent="0.25">
      <c r="A780" s="31">
        <v>41664</v>
      </c>
      <c r="B780" s="32">
        <v>2104.8423878291601</v>
      </c>
      <c r="C780" s="33">
        <v>111.549166666666</v>
      </c>
      <c r="D780" s="4">
        <v>1</v>
      </c>
      <c r="E780" s="4" t="s">
        <v>74</v>
      </c>
    </row>
    <row r="781" spans="1:5" ht="14.25" customHeight="1" x14ac:dyDescent="0.25">
      <c r="A781" s="31">
        <v>41664.5</v>
      </c>
      <c r="B781" s="32">
        <v>2301.0493781833302</v>
      </c>
      <c r="C781" s="33">
        <v>110.77</v>
      </c>
      <c r="D781" s="4">
        <v>1</v>
      </c>
      <c r="E781" s="4" t="s">
        <v>74</v>
      </c>
    </row>
    <row r="782" spans="1:5" ht="14.25" customHeight="1" x14ac:dyDescent="0.25">
      <c r="A782" s="31">
        <v>41665</v>
      </c>
      <c r="B782" s="32">
        <v>2010.89693983749</v>
      </c>
      <c r="C782" s="33">
        <v>109.4325</v>
      </c>
      <c r="D782" s="4">
        <v>1</v>
      </c>
      <c r="E782" s="4" t="s">
        <v>74</v>
      </c>
    </row>
    <row r="783" spans="1:5" ht="14.25" customHeight="1" x14ac:dyDescent="0.25">
      <c r="A783" s="31">
        <v>41665.5</v>
      </c>
      <c r="B783" s="32">
        <v>2440.1286881583301</v>
      </c>
      <c r="C783" s="33">
        <v>110.096666666666</v>
      </c>
      <c r="D783" s="4">
        <v>1</v>
      </c>
      <c r="E783" s="4" t="s">
        <v>74</v>
      </c>
    </row>
    <row r="784" spans="1:5" ht="14.25" customHeight="1" x14ac:dyDescent="0.25">
      <c r="A784" s="31">
        <v>41666</v>
      </c>
      <c r="B784" s="32">
        <v>1872.7888722083301</v>
      </c>
      <c r="C784" s="33">
        <v>110.041666666666</v>
      </c>
      <c r="D784" s="4">
        <v>1</v>
      </c>
      <c r="E784" s="4" t="s">
        <v>74</v>
      </c>
    </row>
    <row r="785" spans="1:5" ht="14.25" customHeight="1" x14ac:dyDescent="0.25">
      <c r="A785" s="31">
        <v>41666.5</v>
      </c>
      <c r="B785" s="32">
        <v>2702.8843677749901</v>
      </c>
      <c r="C785" s="33">
        <v>111.23916666666599</v>
      </c>
      <c r="D785" s="4">
        <v>1</v>
      </c>
      <c r="E785" s="4" t="s">
        <v>74</v>
      </c>
    </row>
    <row r="786" spans="1:5" ht="14.25" customHeight="1" x14ac:dyDescent="0.25">
      <c r="A786" s="31">
        <v>41667</v>
      </c>
      <c r="B786" s="32">
        <v>1862.09098722916</v>
      </c>
      <c r="C786" s="33">
        <v>110.66</v>
      </c>
      <c r="D786" s="4">
        <v>1</v>
      </c>
      <c r="E786" s="4" t="s">
        <v>74</v>
      </c>
    </row>
    <row r="787" spans="1:5" ht="14.25" customHeight="1" x14ac:dyDescent="0.25">
      <c r="A787" s="31">
        <v>41667.5</v>
      </c>
      <c r="B787" s="32">
        <v>2301.8307151874901</v>
      </c>
      <c r="C787" s="33">
        <v>110.686666666666</v>
      </c>
      <c r="D787" s="4">
        <v>1</v>
      </c>
      <c r="E787" s="4" t="s">
        <v>74</v>
      </c>
    </row>
    <row r="788" spans="1:5" ht="14.25" customHeight="1" x14ac:dyDescent="0.25">
      <c r="A788" s="31">
        <v>41668</v>
      </c>
      <c r="B788" s="32">
        <v>2141.2100704499899</v>
      </c>
      <c r="C788" s="33">
        <v>110.626666666666</v>
      </c>
      <c r="D788" s="4">
        <v>1</v>
      </c>
      <c r="E788" s="4" t="s">
        <v>74</v>
      </c>
    </row>
    <row r="789" spans="1:5" ht="14.25" customHeight="1" x14ac:dyDescent="0.25">
      <c r="A789" s="31">
        <v>41668.5</v>
      </c>
      <c r="B789" s="32">
        <v>2542.9754542625001</v>
      </c>
      <c r="C789" s="33">
        <v>111.21833333333301</v>
      </c>
      <c r="D789" s="4">
        <v>1</v>
      </c>
      <c r="E789" s="4" t="s">
        <v>74</v>
      </c>
    </row>
    <row r="790" spans="1:5" ht="14.25" customHeight="1" x14ac:dyDescent="0.25">
      <c r="A790" s="31">
        <v>41669</v>
      </c>
      <c r="B790" s="32">
        <v>2141.6758152541602</v>
      </c>
      <c r="C790" s="33">
        <v>110.458333333333</v>
      </c>
      <c r="D790" s="4">
        <v>1</v>
      </c>
      <c r="E790" s="4" t="s">
        <v>74</v>
      </c>
    </row>
    <row r="791" spans="1:5" ht="14.25" customHeight="1" x14ac:dyDescent="0.25">
      <c r="A791" s="31">
        <v>41669.5</v>
      </c>
      <c r="B791" s="32">
        <v>2821.5852816249899</v>
      </c>
      <c r="C791" s="33">
        <v>109.5825</v>
      </c>
      <c r="D791" s="4">
        <v>1</v>
      </c>
      <c r="E791" s="4" t="s">
        <v>74</v>
      </c>
    </row>
    <row r="792" spans="1:5" ht="14.25" customHeight="1" x14ac:dyDescent="0.25">
      <c r="A792" s="31">
        <v>41670</v>
      </c>
      <c r="B792" s="32">
        <v>2121.2677979249902</v>
      </c>
      <c r="C792" s="33">
        <v>110.05416666666601</v>
      </c>
      <c r="D792" s="4">
        <v>1</v>
      </c>
      <c r="E792" s="4" t="s">
        <v>74</v>
      </c>
    </row>
    <row r="793" spans="1:5" ht="14.25" customHeight="1" x14ac:dyDescent="0.25">
      <c r="A793" s="31">
        <v>41670.5</v>
      </c>
      <c r="B793" s="32">
        <v>2725.2631981750001</v>
      </c>
      <c r="C793" s="33">
        <v>110.781666666666</v>
      </c>
      <c r="D793" s="4">
        <v>1</v>
      </c>
      <c r="E793" s="4" t="s">
        <v>74</v>
      </c>
    </row>
    <row r="794" spans="1:5" ht="14.25" customHeight="1" x14ac:dyDescent="0.25">
      <c r="A794" s="31">
        <v>41671</v>
      </c>
      <c r="B794" s="32">
        <v>2168.7831825916601</v>
      </c>
      <c r="C794" s="33">
        <v>112.41</v>
      </c>
      <c r="D794" s="4">
        <v>2</v>
      </c>
      <c r="E794" s="4" t="s">
        <v>74</v>
      </c>
    </row>
    <row r="795" spans="1:5" ht="14.25" customHeight="1" x14ac:dyDescent="0.25">
      <c r="A795" s="31">
        <v>41671.5</v>
      </c>
      <c r="B795" s="32">
        <v>2961.5898729458299</v>
      </c>
      <c r="C795" s="33">
        <v>110.198333333333</v>
      </c>
      <c r="D795" s="4">
        <v>2</v>
      </c>
      <c r="E795" s="4" t="s">
        <v>74</v>
      </c>
    </row>
    <row r="796" spans="1:5" ht="14.25" customHeight="1" x14ac:dyDescent="0.25">
      <c r="A796" s="31">
        <v>41672</v>
      </c>
      <c r="B796" s="32">
        <v>2059.6434400374901</v>
      </c>
      <c r="C796" s="33">
        <v>110.21749999999901</v>
      </c>
      <c r="D796" s="4">
        <v>2</v>
      </c>
      <c r="E796" s="4" t="s">
        <v>74</v>
      </c>
    </row>
    <row r="797" spans="1:5" ht="14.25" customHeight="1" x14ac:dyDescent="0.25">
      <c r="A797" s="31">
        <v>41672.5</v>
      </c>
      <c r="B797" s="32">
        <v>2915.94190402499</v>
      </c>
      <c r="C797" s="33">
        <v>110.13</v>
      </c>
      <c r="D797" s="4">
        <v>2</v>
      </c>
      <c r="E797" s="4" t="s">
        <v>74</v>
      </c>
    </row>
    <row r="798" spans="1:5" ht="14.25" customHeight="1" x14ac:dyDescent="0.25">
      <c r="A798" s="31">
        <v>41673</v>
      </c>
      <c r="B798" s="32">
        <v>2074.9507374291602</v>
      </c>
      <c r="C798" s="33">
        <v>109.869999999999</v>
      </c>
      <c r="D798" s="4">
        <v>2</v>
      </c>
      <c r="E798" s="4" t="s">
        <v>74</v>
      </c>
    </row>
    <row r="799" spans="1:5" ht="14.25" customHeight="1" x14ac:dyDescent="0.25">
      <c r="A799" s="31">
        <v>41673.5</v>
      </c>
      <c r="B799" s="32">
        <v>2840.1388558458302</v>
      </c>
      <c r="C799" s="33">
        <v>110.466666666666</v>
      </c>
      <c r="D799" s="4">
        <v>2</v>
      </c>
      <c r="E799" s="4" t="s">
        <v>74</v>
      </c>
    </row>
    <row r="800" spans="1:5" ht="14.25" customHeight="1" x14ac:dyDescent="0.25">
      <c r="A800" s="31">
        <v>41674</v>
      </c>
      <c r="B800" s="32">
        <v>2336.1864341833302</v>
      </c>
      <c r="C800" s="33">
        <v>110.5425</v>
      </c>
      <c r="D800" s="4">
        <v>2</v>
      </c>
      <c r="E800" s="4" t="s">
        <v>74</v>
      </c>
    </row>
    <row r="801" spans="1:5" ht="14.25" customHeight="1" x14ac:dyDescent="0.25">
      <c r="A801" s="31">
        <v>41674.5</v>
      </c>
      <c r="B801" s="32">
        <v>2795.9823378666601</v>
      </c>
      <c r="C801" s="33">
        <v>110.20083333333299</v>
      </c>
      <c r="D801" s="4">
        <v>2</v>
      </c>
      <c r="E801" s="4" t="s">
        <v>74</v>
      </c>
    </row>
    <row r="802" spans="1:5" ht="14.25" customHeight="1" x14ac:dyDescent="0.25">
      <c r="A802" s="31">
        <v>41675</v>
      </c>
      <c r="B802" s="32">
        <v>2203.7443846374899</v>
      </c>
      <c r="C802" s="33">
        <v>111.087499999999</v>
      </c>
      <c r="D802" s="4">
        <v>2</v>
      </c>
      <c r="E802" s="4" t="s">
        <v>74</v>
      </c>
    </row>
    <row r="803" spans="1:5" ht="14.25" customHeight="1" x14ac:dyDescent="0.25">
      <c r="A803" s="31">
        <v>41675.5</v>
      </c>
      <c r="B803" s="32">
        <v>2514.4400851124901</v>
      </c>
      <c r="C803" s="33">
        <v>111.925833333333</v>
      </c>
      <c r="D803" s="4">
        <v>2</v>
      </c>
      <c r="E803" s="4" t="s">
        <v>74</v>
      </c>
    </row>
    <row r="804" spans="1:5" ht="14.25" customHeight="1" x14ac:dyDescent="0.25">
      <c r="A804" s="31">
        <v>41676</v>
      </c>
      <c r="B804" s="32">
        <v>2254.8362323375</v>
      </c>
      <c r="C804" s="33">
        <v>112.255</v>
      </c>
      <c r="D804" s="4">
        <v>2</v>
      </c>
      <c r="E804" s="4" t="s">
        <v>74</v>
      </c>
    </row>
    <row r="805" spans="1:5" ht="14.25" customHeight="1" x14ac:dyDescent="0.25">
      <c r="A805" s="31">
        <v>41676.5</v>
      </c>
      <c r="B805" s="32">
        <v>2369.5948363374901</v>
      </c>
      <c r="C805" s="33">
        <v>109.486666666666</v>
      </c>
      <c r="D805" s="4">
        <v>2</v>
      </c>
      <c r="E805" s="4" t="s">
        <v>74</v>
      </c>
    </row>
    <row r="806" spans="1:5" ht="14.25" customHeight="1" x14ac:dyDescent="0.25">
      <c r="A806" s="31">
        <v>41677</v>
      </c>
      <c r="B806" s="32">
        <v>1974.18200617916</v>
      </c>
      <c r="C806" s="33">
        <v>109.698333333333</v>
      </c>
      <c r="D806" s="4">
        <v>2</v>
      </c>
      <c r="E806" s="4" t="s">
        <v>74</v>
      </c>
    </row>
    <row r="807" spans="1:5" ht="14.25" customHeight="1" x14ac:dyDescent="0.25">
      <c r="A807" s="31">
        <v>41677.5</v>
      </c>
      <c r="B807" s="32">
        <v>2271.7791866166599</v>
      </c>
      <c r="C807" s="33">
        <v>111.64666666666599</v>
      </c>
      <c r="D807" s="4">
        <v>2</v>
      </c>
      <c r="E807" s="4" t="s">
        <v>74</v>
      </c>
    </row>
    <row r="808" spans="1:5" ht="14.25" customHeight="1" x14ac:dyDescent="0.25">
      <c r="A808" s="31">
        <v>41678</v>
      </c>
      <c r="B808" s="32">
        <v>2014.2160829833299</v>
      </c>
      <c r="C808" s="33">
        <v>111.567777777777</v>
      </c>
      <c r="D808" s="4">
        <v>2</v>
      </c>
      <c r="E808" s="4" t="s">
        <v>74</v>
      </c>
    </row>
    <row r="809" spans="1:5" ht="14.25" customHeight="1" x14ac:dyDescent="0.25">
      <c r="A809" s="31">
        <v>41678.5</v>
      </c>
      <c r="B809" s="32">
        <v>2596.5701936458299</v>
      </c>
      <c r="C809" s="33">
        <v>109.755833333333</v>
      </c>
      <c r="D809" s="4">
        <v>2</v>
      </c>
      <c r="E809" s="4" t="s">
        <v>74</v>
      </c>
    </row>
    <row r="810" spans="1:5" ht="14.25" customHeight="1" x14ac:dyDescent="0.25">
      <c r="A810" s="31">
        <v>41679</v>
      </c>
      <c r="B810" s="32">
        <v>1867.4815676363601</v>
      </c>
      <c r="C810" s="33">
        <v>109.17090909090901</v>
      </c>
      <c r="D810" s="4">
        <v>2</v>
      </c>
      <c r="E810" s="4" t="s">
        <v>74</v>
      </c>
    </row>
    <row r="811" spans="1:5" ht="14.25" customHeight="1" x14ac:dyDescent="0.25">
      <c r="A811" s="31">
        <v>41679.5</v>
      </c>
      <c r="B811" s="32">
        <v>2828.9775346166598</v>
      </c>
      <c r="C811" s="33">
        <v>111.13249999999999</v>
      </c>
      <c r="D811" s="4">
        <v>2</v>
      </c>
      <c r="E811" s="4" t="s">
        <v>74</v>
      </c>
    </row>
    <row r="812" spans="1:5" ht="14.25" customHeight="1" x14ac:dyDescent="0.25">
      <c r="A812" s="31">
        <v>41680</v>
      </c>
      <c r="B812" s="32">
        <v>1994.4438366499901</v>
      </c>
      <c r="C812" s="33">
        <v>109.654166666666</v>
      </c>
      <c r="D812" s="4">
        <v>2</v>
      </c>
      <c r="E812" s="4" t="s">
        <v>74</v>
      </c>
    </row>
    <row r="813" spans="1:5" ht="14.25" customHeight="1" x14ac:dyDescent="0.25">
      <c r="A813" s="31">
        <v>41680.5</v>
      </c>
      <c r="B813" s="32">
        <v>2926.1708955250001</v>
      </c>
      <c r="C813" s="33">
        <v>109.68</v>
      </c>
      <c r="D813" s="4">
        <v>2</v>
      </c>
      <c r="E813" s="4" t="s">
        <v>74</v>
      </c>
    </row>
    <row r="814" spans="1:5" ht="14.25" customHeight="1" x14ac:dyDescent="0.25">
      <c r="A814" s="31">
        <v>41681</v>
      </c>
      <c r="B814" s="32">
        <v>2554.6178627291602</v>
      </c>
      <c r="C814" s="33">
        <v>110.40583333333301</v>
      </c>
      <c r="D814" s="4">
        <v>2</v>
      </c>
      <c r="E814" s="4" t="s">
        <v>74</v>
      </c>
    </row>
    <row r="815" spans="1:5" ht="14.25" customHeight="1" x14ac:dyDescent="0.25">
      <c r="A815" s="31">
        <v>41681.5</v>
      </c>
      <c r="B815" s="32">
        <v>3236.4869237541602</v>
      </c>
      <c r="C815" s="33">
        <v>112.82250000000001</v>
      </c>
      <c r="D815" s="4">
        <v>2</v>
      </c>
      <c r="E815" s="4" t="s">
        <v>74</v>
      </c>
    </row>
    <row r="816" spans="1:5" ht="14.25" customHeight="1" x14ac:dyDescent="0.25">
      <c r="A816" s="31">
        <v>41682</v>
      </c>
      <c r="B816" s="32">
        <v>2762.5157089416598</v>
      </c>
      <c r="C816" s="33">
        <v>110.1425</v>
      </c>
      <c r="D816" s="4">
        <v>2</v>
      </c>
      <c r="E816" s="4" t="s">
        <v>74</v>
      </c>
    </row>
    <row r="817" spans="1:5" ht="14.25" customHeight="1" x14ac:dyDescent="0.25">
      <c r="A817" s="31">
        <v>41682.5</v>
      </c>
      <c r="B817" s="32">
        <v>3531.5317287999901</v>
      </c>
      <c r="C817" s="33">
        <v>109.690833333333</v>
      </c>
      <c r="D817" s="4">
        <v>2</v>
      </c>
      <c r="E817" s="4" t="s">
        <v>74</v>
      </c>
    </row>
    <row r="818" spans="1:5" ht="14.25" customHeight="1" x14ac:dyDescent="0.25">
      <c r="A818" s="31">
        <v>41683</v>
      </c>
      <c r="B818" s="32">
        <v>2745.1802333625001</v>
      </c>
      <c r="C818" s="33">
        <v>109.82583333333299</v>
      </c>
      <c r="D818" s="4">
        <v>2</v>
      </c>
      <c r="E818" s="4" t="s">
        <v>74</v>
      </c>
    </row>
    <row r="819" spans="1:5" ht="14.25" customHeight="1" x14ac:dyDescent="0.25">
      <c r="A819" s="31">
        <v>41683.5</v>
      </c>
      <c r="B819" s="32">
        <v>3355.4509319083299</v>
      </c>
      <c r="C819" s="33">
        <v>111.9975</v>
      </c>
      <c r="D819" s="4">
        <v>2</v>
      </c>
      <c r="E819" s="4" t="s">
        <v>74</v>
      </c>
    </row>
    <row r="820" spans="1:5" ht="14.25" customHeight="1" x14ac:dyDescent="0.25">
      <c r="A820" s="31">
        <v>41684</v>
      </c>
      <c r="B820" s="32">
        <v>2603.7976719583298</v>
      </c>
      <c r="C820" s="33">
        <v>111.880833333333</v>
      </c>
      <c r="D820" s="4">
        <v>2</v>
      </c>
      <c r="E820" s="4" t="s">
        <v>74</v>
      </c>
    </row>
    <row r="821" spans="1:5" ht="14.25" customHeight="1" x14ac:dyDescent="0.25">
      <c r="A821" s="31">
        <v>41684.5</v>
      </c>
      <c r="B821" s="32">
        <v>2861.9960459624899</v>
      </c>
      <c r="C821" s="33">
        <v>112.26333333333299</v>
      </c>
      <c r="D821" s="4">
        <v>2</v>
      </c>
      <c r="E821" s="4" t="s">
        <v>74</v>
      </c>
    </row>
    <row r="822" spans="1:5" ht="14.25" customHeight="1" x14ac:dyDescent="0.25">
      <c r="A822" s="31">
        <v>41685</v>
      </c>
      <c r="B822" s="32">
        <v>2363.6217625333302</v>
      </c>
      <c r="C822" s="33">
        <v>110.1575</v>
      </c>
      <c r="D822" s="4">
        <v>2</v>
      </c>
      <c r="E822" s="4" t="s">
        <v>74</v>
      </c>
    </row>
    <row r="823" spans="1:5" ht="14.25" customHeight="1" x14ac:dyDescent="0.25">
      <c r="A823" s="31">
        <v>41685.5</v>
      </c>
      <c r="B823" s="32">
        <v>2935.9480111624898</v>
      </c>
      <c r="C823" s="33">
        <v>111.238333333333</v>
      </c>
      <c r="D823" s="4">
        <v>2</v>
      </c>
      <c r="E823" s="4" t="s">
        <v>74</v>
      </c>
    </row>
    <row r="824" spans="1:5" ht="14.25" customHeight="1" x14ac:dyDescent="0.25">
      <c r="A824" s="31">
        <v>41686</v>
      </c>
      <c r="B824" s="32">
        <v>2179.3191565458301</v>
      </c>
      <c r="C824" s="33">
        <v>110.713333333333</v>
      </c>
      <c r="D824" s="4">
        <v>2</v>
      </c>
      <c r="E824" s="4" t="s">
        <v>74</v>
      </c>
    </row>
    <row r="825" spans="1:5" ht="14.25" customHeight="1" x14ac:dyDescent="0.25">
      <c r="A825" s="31">
        <v>41686.5</v>
      </c>
      <c r="B825" s="32">
        <v>2726.05105495833</v>
      </c>
      <c r="C825" s="33">
        <v>109.839166666666</v>
      </c>
      <c r="D825" s="4">
        <v>2</v>
      </c>
      <c r="E825" s="4" t="s">
        <v>74</v>
      </c>
    </row>
    <row r="826" spans="1:5" ht="14.25" customHeight="1" x14ac:dyDescent="0.25">
      <c r="A826" s="31">
        <v>41687</v>
      </c>
      <c r="B826" s="32">
        <v>1942.2621511416601</v>
      </c>
      <c r="C826" s="33">
        <v>111.431666666666</v>
      </c>
      <c r="D826" s="4">
        <v>2</v>
      </c>
      <c r="E826" s="4" t="s">
        <v>74</v>
      </c>
    </row>
    <row r="827" spans="1:5" ht="14.25" customHeight="1" x14ac:dyDescent="0.25">
      <c r="A827" s="31">
        <v>41687.5</v>
      </c>
      <c r="B827" s="32">
        <v>2233.6403290041599</v>
      </c>
      <c r="C827" s="33">
        <v>111.12583333333301</v>
      </c>
      <c r="D827" s="4">
        <v>2</v>
      </c>
      <c r="E827" s="4" t="s">
        <v>74</v>
      </c>
    </row>
    <row r="828" spans="1:5" ht="14.25" customHeight="1" x14ac:dyDescent="0.25">
      <c r="A828" s="31">
        <v>41688</v>
      </c>
      <c r="B828" s="32">
        <v>2017.2257905399899</v>
      </c>
      <c r="C828" s="33">
        <v>111.320999999999</v>
      </c>
      <c r="D828" s="4">
        <v>2</v>
      </c>
      <c r="E828" s="4" t="s">
        <v>74</v>
      </c>
    </row>
    <row r="829" spans="1:5" ht="14.25" customHeight="1" x14ac:dyDescent="0.25">
      <c r="A829" s="31">
        <v>41688.5</v>
      </c>
      <c r="B829" s="32">
        <v>2359.1199209874899</v>
      </c>
      <c r="C829" s="33">
        <v>111.66500000000001</v>
      </c>
      <c r="D829" s="4">
        <v>2</v>
      </c>
      <c r="E829" s="4" t="s">
        <v>74</v>
      </c>
    </row>
    <row r="830" spans="1:5" ht="14.25" customHeight="1" x14ac:dyDescent="0.25">
      <c r="A830" s="31">
        <v>41689</v>
      </c>
      <c r="B830" s="32">
        <v>2334.5526278249999</v>
      </c>
      <c r="C830" s="33">
        <v>111.086249999999</v>
      </c>
      <c r="D830" s="4">
        <v>2</v>
      </c>
      <c r="E830" s="4" t="s">
        <v>74</v>
      </c>
    </row>
    <row r="831" spans="1:5" ht="14.25" customHeight="1" x14ac:dyDescent="0.25">
      <c r="A831" s="31">
        <v>41689.5</v>
      </c>
      <c r="B831" s="32">
        <v>2805.6281315333299</v>
      </c>
      <c r="C831" s="33">
        <v>110.28916666666601</v>
      </c>
      <c r="D831" s="4">
        <v>2</v>
      </c>
      <c r="E831" s="4" t="s">
        <v>74</v>
      </c>
    </row>
    <row r="832" spans="1:5" ht="14.25" customHeight="1" x14ac:dyDescent="0.25">
      <c r="A832" s="31">
        <v>41690</v>
      </c>
      <c r="B832" s="32">
        <v>2303.4694622749898</v>
      </c>
      <c r="C832" s="33">
        <v>111.447499999999</v>
      </c>
      <c r="D832" s="4">
        <v>2</v>
      </c>
      <c r="E832" s="4" t="s">
        <v>74</v>
      </c>
    </row>
    <row r="833" spans="1:5" ht="14.25" customHeight="1" x14ac:dyDescent="0.25">
      <c r="A833" s="31">
        <v>41690.5</v>
      </c>
      <c r="B833" s="32">
        <v>3590.6828627166601</v>
      </c>
      <c r="C833" s="33">
        <v>111.65249999999899</v>
      </c>
      <c r="D833" s="4">
        <v>2</v>
      </c>
      <c r="E833" s="4" t="s">
        <v>74</v>
      </c>
    </row>
    <row r="834" spans="1:5" ht="14.25" customHeight="1" x14ac:dyDescent="0.25">
      <c r="A834" s="31">
        <v>41691</v>
      </c>
      <c r="B834" s="32">
        <v>2704.1649466458298</v>
      </c>
      <c r="C834" s="33">
        <v>110.511666666666</v>
      </c>
      <c r="D834" s="4">
        <v>2</v>
      </c>
      <c r="E834" s="4" t="s">
        <v>74</v>
      </c>
    </row>
    <row r="835" spans="1:5" ht="14.25" customHeight="1" x14ac:dyDescent="0.25">
      <c r="A835" s="31">
        <v>41691.5</v>
      </c>
      <c r="B835" s="32">
        <v>3365.87835465833</v>
      </c>
      <c r="C835" s="33">
        <v>111.26</v>
      </c>
      <c r="D835" s="4">
        <v>2</v>
      </c>
      <c r="E835" s="4" t="s">
        <v>74</v>
      </c>
    </row>
    <row r="836" spans="1:5" ht="14.25" customHeight="1" x14ac:dyDescent="0.25">
      <c r="A836" s="31">
        <v>41692</v>
      </c>
      <c r="B836" s="32">
        <v>2625.0986705750001</v>
      </c>
      <c r="C836" s="33">
        <v>108.296666666666</v>
      </c>
      <c r="D836" s="4">
        <v>2</v>
      </c>
      <c r="E836" s="4" t="s">
        <v>74</v>
      </c>
    </row>
    <row r="837" spans="1:5" ht="14.25" customHeight="1" x14ac:dyDescent="0.25">
      <c r="A837" s="31">
        <v>41692.5</v>
      </c>
      <c r="B837" s="32">
        <v>2556.60953337916</v>
      </c>
      <c r="C837" s="33">
        <v>110.400833333333</v>
      </c>
      <c r="D837" s="4">
        <v>2</v>
      </c>
      <c r="E837" s="4" t="s">
        <v>74</v>
      </c>
    </row>
    <row r="838" spans="1:5" ht="14.25" customHeight="1" x14ac:dyDescent="0.25">
      <c r="A838" s="31">
        <v>41693</v>
      </c>
      <c r="B838" s="32">
        <v>1823.0696327749899</v>
      </c>
      <c r="C838" s="33">
        <v>109.86499999999999</v>
      </c>
      <c r="D838" s="4">
        <v>2</v>
      </c>
      <c r="E838" s="4" t="s">
        <v>74</v>
      </c>
    </row>
    <row r="839" spans="1:5" ht="14.25" customHeight="1" x14ac:dyDescent="0.25">
      <c r="A839" s="31">
        <v>41693.5</v>
      </c>
      <c r="B839" s="32">
        <v>2037.7230165041599</v>
      </c>
      <c r="C839" s="33">
        <v>110.74250000000001</v>
      </c>
      <c r="D839" s="4">
        <v>2</v>
      </c>
      <c r="E839" s="4" t="s">
        <v>74</v>
      </c>
    </row>
    <row r="840" spans="1:5" ht="14.25" customHeight="1" x14ac:dyDescent="0.25">
      <c r="A840" s="31">
        <v>41694</v>
      </c>
      <c r="B840" s="32">
        <v>1722.8896464541599</v>
      </c>
      <c r="C840" s="33">
        <v>110.730833333333</v>
      </c>
      <c r="D840" s="4">
        <v>2</v>
      </c>
      <c r="E840" s="4" t="s">
        <v>74</v>
      </c>
    </row>
    <row r="841" spans="1:5" ht="14.25" customHeight="1" x14ac:dyDescent="0.25">
      <c r="A841" s="31">
        <v>41694.5</v>
      </c>
      <c r="B841" s="32">
        <v>2063.51221467083</v>
      </c>
      <c r="C841" s="33">
        <v>108.71583333333299</v>
      </c>
      <c r="D841" s="4">
        <v>2</v>
      </c>
      <c r="E841" s="4" t="s">
        <v>74</v>
      </c>
    </row>
    <row r="842" spans="1:5" ht="14.25" customHeight="1" x14ac:dyDescent="0.25">
      <c r="A842" s="31">
        <v>41695</v>
      </c>
      <c r="B842" s="32">
        <v>2069.9034216374898</v>
      </c>
      <c r="C842" s="33">
        <v>109.44750000000001</v>
      </c>
      <c r="D842" s="4">
        <v>2</v>
      </c>
      <c r="E842" s="4" t="s">
        <v>74</v>
      </c>
    </row>
    <row r="843" spans="1:5" ht="14.25" customHeight="1" x14ac:dyDescent="0.25">
      <c r="A843" s="31">
        <v>41695.5</v>
      </c>
      <c r="B843" s="32">
        <v>2923.37536639583</v>
      </c>
      <c r="C843" s="33">
        <v>111.644999999999</v>
      </c>
      <c r="D843" s="4">
        <v>2</v>
      </c>
      <c r="E843" s="4" t="s">
        <v>74</v>
      </c>
    </row>
    <row r="844" spans="1:5" ht="14.25" customHeight="1" x14ac:dyDescent="0.25">
      <c r="A844" s="31">
        <v>41696</v>
      </c>
      <c r="B844" s="32">
        <v>2277.0611217166602</v>
      </c>
      <c r="C844" s="33">
        <v>111.01499999999901</v>
      </c>
      <c r="D844" s="4">
        <v>2</v>
      </c>
      <c r="E844" s="4" t="s">
        <v>74</v>
      </c>
    </row>
    <row r="845" spans="1:5" ht="14.25" customHeight="1" x14ac:dyDescent="0.25">
      <c r="A845" s="31">
        <v>41696.5</v>
      </c>
      <c r="B845" s="32">
        <v>3388.0708861041599</v>
      </c>
      <c r="C845" s="33">
        <v>110.439166666666</v>
      </c>
      <c r="D845" s="4">
        <v>2</v>
      </c>
      <c r="E845" s="4" t="s">
        <v>74</v>
      </c>
    </row>
    <row r="846" spans="1:5" ht="14.25" customHeight="1" x14ac:dyDescent="0.25">
      <c r="A846" s="31">
        <v>41697</v>
      </c>
      <c r="B846" s="32">
        <v>2553.06626393333</v>
      </c>
      <c r="C846" s="33">
        <v>109.7925</v>
      </c>
      <c r="D846" s="4">
        <v>2</v>
      </c>
      <c r="E846" s="4" t="s">
        <v>74</v>
      </c>
    </row>
    <row r="847" spans="1:5" ht="14.25" customHeight="1" x14ac:dyDescent="0.25">
      <c r="A847" s="31">
        <v>41697.5</v>
      </c>
      <c r="B847" s="32">
        <v>3123.8353176083301</v>
      </c>
      <c r="C847" s="33">
        <v>110.529166666666</v>
      </c>
      <c r="D847" s="4">
        <v>2</v>
      </c>
      <c r="E847" s="4" t="s">
        <v>74</v>
      </c>
    </row>
    <row r="848" spans="1:5" ht="14.25" customHeight="1" x14ac:dyDescent="0.25">
      <c r="A848" s="31">
        <v>41698</v>
      </c>
      <c r="B848" s="32">
        <v>2302.3936510291601</v>
      </c>
      <c r="C848" s="33">
        <v>110.634166666666</v>
      </c>
      <c r="D848" s="4">
        <v>2</v>
      </c>
      <c r="E848" s="4" t="s">
        <v>74</v>
      </c>
    </row>
    <row r="849" spans="1:5" ht="14.25" customHeight="1" x14ac:dyDescent="0.25">
      <c r="A849" s="31">
        <v>41698.5</v>
      </c>
      <c r="B849" s="32">
        <v>2913.6543985708299</v>
      </c>
      <c r="C849" s="33">
        <v>109.00416666666599</v>
      </c>
      <c r="D849" s="4">
        <v>2</v>
      </c>
      <c r="E849" s="4" t="s">
        <v>74</v>
      </c>
    </row>
    <row r="850" spans="1:5" ht="14.25" customHeight="1" x14ac:dyDescent="0.25">
      <c r="A850" s="31">
        <v>41699</v>
      </c>
      <c r="B850" s="32">
        <v>2279.9175524666598</v>
      </c>
      <c r="C850" s="33">
        <v>110.425</v>
      </c>
      <c r="D850" s="4">
        <v>3</v>
      </c>
      <c r="E850" s="4" t="s">
        <v>74</v>
      </c>
    </row>
    <row r="851" spans="1:5" ht="14.25" customHeight="1" x14ac:dyDescent="0.25">
      <c r="A851" s="31">
        <v>41699.5</v>
      </c>
      <c r="B851" s="32">
        <v>2813.4237973208301</v>
      </c>
      <c r="C851" s="33">
        <v>110.660833333333</v>
      </c>
      <c r="D851" s="4">
        <v>3</v>
      </c>
      <c r="E851" s="4" t="s">
        <v>74</v>
      </c>
    </row>
    <row r="852" spans="1:5" ht="14.25" customHeight="1" x14ac:dyDescent="0.25">
      <c r="A852" s="31">
        <v>41700</v>
      </c>
      <c r="B852" s="32">
        <v>1968.99549426666</v>
      </c>
      <c r="C852" s="33">
        <v>110.2175</v>
      </c>
      <c r="D852" s="4">
        <v>3</v>
      </c>
      <c r="E852" s="4" t="s">
        <v>74</v>
      </c>
    </row>
    <row r="853" spans="1:5" ht="14.25" customHeight="1" x14ac:dyDescent="0.25">
      <c r="A853" s="31">
        <v>41700.5</v>
      </c>
      <c r="B853" s="32">
        <v>2389.08068954583</v>
      </c>
      <c r="C853" s="33">
        <v>109.52249999999999</v>
      </c>
      <c r="D853" s="4">
        <v>3</v>
      </c>
      <c r="E853" s="4" t="s">
        <v>74</v>
      </c>
    </row>
    <row r="854" spans="1:5" ht="14.25" customHeight="1" x14ac:dyDescent="0.25">
      <c r="A854" s="31">
        <v>41701</v>
      </c>
      <c r="B854" s="32">
        <v>1789.86981436666</v>
      </c>
      <c r="C854" s="33">
        <v>111.56</v>
      </c>
      <c r="D854" s="4">
        <v>3</v>
      </c>
      <c r="E854" s="4" t="s">
        <v>74</v>
      </c>
    </row>
    <row r="855" spans="1:5" ht="14.25" customHeight="1" x14ac:dyDescent="0.25">
      <c r="A855" s="31">
        <v>41701.5</v>
      </c>
      <c r="B855" s="32">
        <v>2359.7180916666598</v>
      </c>
      <c r="C855" s="33">
        <v>108.58</v>
      </c>
      <c r="D855" s="4">
        <v>3</v>
      </c>
      <c r="E855" s="4" t="s">
        <v>74</v>
      </c>
    </row>
    <row r="856" spans="1:5" ht="14.25" customHeight="1" x14ac:dyDescent="0.25">
      <c r="A856" s="31">
        <v>41702</v>
      </c>
      <c r="B856" s="32">
        <v>2029.4388739291601</v>
      </c>
      <c r="C856" s="33">
        <v>110.815833333333</v>
      </c>
      <c r="D856" s="4">
        <v>3</v>
      </c>
      <c r="E856" s="4" t="s">
        <v>74</v>
      </c>
    </row>
    <row r="857" spans="1:5" ht="14.25" customHeight="1" x14ac:dyDescent="0.25">
      <c r="A857" s="31">
        <v>41702.5</v>
      </c>
      <c r="B857" s="32">
        <v>2184.9103650041602</v>
      </c>
      <c r="C857" s="33">
        <v>110.408333333333</v>
      </c>
      <c r="D857" s="4">
        <v>3</v>
      </c>
      <c r="E857" s="4" t="s">
        <v>74</v>
      </c>
    </row>
    <row r="858" spans="1:5" ht="14.25" customHeight="1" x14ac:dyDescent="0.25">
      <c r="A858" s="31">
        <v>41703</v>
      </c>
      <c r="B858" s="32">
        <v>2196.38929249999</v>
      </c>
      <c r="C858" s="33">
        <v>111.223333333333</v>
      </c>
      <c r="D858" s="4">
        <v>3</v>
      </c>
      <c r="E858" s="4" t="s">
        <v>74</v>
      </c>
    </row>
    <row r="859" spans="1:5" ht="14.25" customHeight="1" x14ac:dyDescent="0.25">
      <c r="A859" s="31">
        <v>41703.5</v>
      </c>
      <c r="B859" s="32">
        <v>2432.6821969624998</v>
      </c>
      <c r="C859" s="33">
        <v>109.50083333333301</v>
      </c>
      <c r="D859" s="4">
        <v>3</v>
      </c>
      <c r="E859" s="4" t="s">
        <v>74</v>
      </c>
    </row>
    <row r="860" spans="1:5" ht="14.25" customHeight="1" x14ac:dyDescent="0.25">
      <c r="A860" s="31">
        <v>41704</v>
      </c>
      <c r="B860" s="32">
        <v>2011.3950495611</v>
      </c>
      <c r="C860" s="33">
        <v>111.568888888888</v>
      </c>
      <c r="D860" s="4">
        <v>3</v>
      </c>
      <c r="E860" s="4" t="s">
        <v>74</v>
      </c>
    </row>
    <row r="861" spans="1:5" ht="14.25" customHeight="1" x14ac:dyDescent="0.25">
      <c r="A861" s="31">
        <v>41704.5</v>
      </c>
      <c r="B861" s="32">
        <v>2633.6015288999902</v>
      </c>
      <c r="C861" s="33">
        <v>109.425</v>
      </c>
      <c r="D861" s="4">
        <v>3</v>
      </c>
      <c r="E861" s="4" t="s">
        <v>74</v>
      </c>
    </row>
    <row r="862" spans="1:5" ht="14.25" customHeight="1" x14ac:dyDescent="0.25">
      <c r="A862" s="31">
        <v>41705</v>
      </c>
      <c r="B862" s="32">
        <v>2200.4233423099899</v>
      </c>
      <c r="C862" s="33">
        <v>110.59399999999999</v>
      </c>
      <c r="D862" s="4">
        <v>3</v>
      </c>
      <c r="E862" s="4" t="s">
        <v>74</v>
      </c>
    </row>
    <row r="863" spans="1:5" ht="14.25" customHeight="1" x14ac:dyDescent="0.25">
      <c r="A863" s="31">
        <v>41705.5</v>
      </c>
      <c r="B863" s="32">
        <v>2618.3027622916602</v>
      </c>
      <c r="C863" s="33">
        <v>111.001666666666</v>
      </c>
      <c r="D863" s="4">
        <v>3</v>
      </c>
      <c r="E863" s="4" t="s">
        <v>74</v>
      </c>
    </row>
    <row r="864" spans="1:5" ht="14.25" customHeight="1" x14ac:dyDescent="0.25">
      <c r="A864" s="31">
        <v>41706</v>
      </c>
      <c r="B864" s="32">
        <v>2180.1996981277698</v>
      </c>
      <c r="C864" s="33">
        <v>110.672222222222</v>
      </c>
      <c r="D864" s="4">
        <v>3</v>
      </c>
      <c r="E864" s="4" t="s">
        <v>74</v>
      </c>
    </row>
    <row r="865" spans="1:5" ht="14.25" customHeight="1" x14ac:dyDescent="0.25">
      <c r="A865" s="31">
        <v>41706.5</v>
      </c>
      <c r="B865" s="32">
        <v>2672.35888205833</v>
      </c>
      <c r="C865" s="33">
        <v>110.75083333333301</v>
      </c>
      <c r="D865" s="4">
        <v>3</v>
      </c>
      <c r="E865" s="4" t="s">
        <v>74</v>
      </c>
    </row>
    <row r="866" spans="1:5" ht="14.25" customHeight="1" x14ac:dyDescent="0.25">
      <c r="A866" s="31">
        <v>41707</v>
      </c>
      <c r="B866" s="32">
        <v>2004.5064299727201</v>
      </c>
      <c r="C866" s="33">
        <v>109.534545454545</v>
      </c>
      <c r="D866" s="4">
        <v>3</v>
      </c>
      <c r="E866" s="4" t="s">
        <v>74</v>
      </c>
    </row>
    <row r="867" spans="1:5" ht="14.25" customHeight="1" x14ac:dyDescent="0.25">
      <c r="A867" s="31">
        <v>41707.5</v>
      </c>
      <c r="B867" s="32">
        <v>2614.9927077249899</v>
      </c>
      <c r="C867" s="33">
        <v>111.82583333333299</v>
      </c>
      <c r="D867" s="4">
        <v>3</v>
      </c>
      <c r="E867" s="4" t="s">
        <v>74</v>
      </c>
    </row>
    <row r="868" spans="1:5" ht="14.25" customHeight="1" x14ac:dyDescent="0.25">
      <c r="A868" s="31">
        <v>41708</v>
      </c>
      <c r="B868" s="32">
        <v>2097.69024651666</v>
      </c>
      <c r="C868" s="33">
        <v>109.93749999999901</v>
      </c>
      <c r="D868" s="4">
        <v>3</v>
      </c>
      <c r="E868" s="4" t="s">
        <v>74</v>
      </c>
    </row>
    <row r="869" spans="1:5" ht="14.25" customHeight="1" x14ac:dyDescent="0.25">
      <c r="A869" s="31">
        <v>41708.5</v>
      </c>
      <c r="B869" s="32">
        <v>2409.2647808500001</v>
      </c>
      <c r="C869" s="33">
        <v>110.033333333333</v>
      </c>
      <c r="D869" s="4">
        <v>3</v>
      </c>
      <c r="E869" s="4" t="s">
        <v>74</v>
      </c>
    </row>
    <row r="870" spans="1:5" ht="14.25" customHeight="1" x14ac:dyDescent="0.25">
      <c r="A870" s="31">
        <v>41709</v>
      </c>
      <c r="B870" s="32">
        <v>2208.2178144750001</v>
      </c>
      <c r="C870" s="33">
        <v>110.322499999999</v>
      </c>
      <c r="D870" s="4">
        <v>3</v>
      </c>
      <c r="E870" s="4" t="s">
        <v>74</v>
      </c>
    </row>
    <row r="871" spans="1:5" ht="14.25" customHeight="1" x14ac:dyDescent="0.25">
      <c r="A871" s="31">
        <v>41709.5</v>
      </c>
      <c r="B871" s="32">
        <v>2481.62320262916</v>
      </c>
      <c r="C871" s="33">
        <v>112.010833333333</v>
      </c>
      <c r="D871" s="4">
        <v>3</v>
      </c>
      <c r="E871" s="4" t="s">
        <v>74</v>
      </c>
    </row>
    <row r="872" spans="1:5" ht="14.25" customHeight="1" x14ac:dyDescent="0.25">
      <c r="A872" s="31">
        <v>41710</v>
      </c>
      <c r="B872" s="32">
        <v>1865.7514559624899</v>
      </c>
      <c r="C872" s="33">
        <v>111.680833333333</v>
      </c>
      <c r="D872" s="4">
        <v>3</v>
      </c>
      <c r="E872" s="4" t="s">
        <v>74</v>
      </c>
    </row>
    <row r="873" spans="1:5" ht="14.25" customHeight="1" x14ac:dyDescent="0.25">
      <c r="A873" s="31">
        <v>41710.5</v>
      </c>
      <c r="B873" s="32">
        <v>2161.9760966541598</v>
      </c>
      <c r="C873" s="33">
        <v>110.705833333333</v>
      </c>
      <c r="D873" s="4">
        <v>3</v>
      </c>
      <c r="E873" s="4" t="s">
        <v>74</v>
      </c>
    </row>
    <row r="874" spans="1:5" ht="14.25" customHeight="1" x14ac:dyDescent="0.25">
      <c r="A874" s="31">
        <v>41711</v>
      </c>
      <c r="B874" s="32">
        <v>2059.1577108863598</v>
      </c>
      <c r="C874" s="33">
        <v>109.649999999999</v>
      </c>
      <c r="D874" s="4">
        <v>3</v>
      </c>
      <c r="E874" s="4" t="s">
        <v>74</v>
      </c>
    </row>
    <row r="875" spans="1:5" ht="14.25" customHeight="1" x14ac:dyDescent="0.25">
      <c r="A875" s="31">
        <v>41711.5</v>
      </c>
      <c r="B875" s="32">
        <v>2244.5299330875</v>
      </c>
      <c r="C875" s="33">
        <v>110.38</v>
      </c>
      <c r="D875" s="4">
        <v>3</v>
      </c>
      <c r="E875" s="4" t="s">
        <v>74</v>
      </c>
    </row>
    <row r="876" spans="1:5" ht="14.25" customHeight="1" x14ac:dyDescent="0.25">
      <c r="A876" s="31">
        <v>41712</v>
      </c>
      <c r="B876" s="32">
        <v>2290.24188112499</v>
      </c>
      <c r="C876" s="33">
        <v>112.07250000000001</v>
      </c>
      <c r="D876" s="4">
        <v>3</v>
      </c>
      <c r="E876" s="4" t="s">
        <v>74</v>
      </c>
    </row>
    <row r="877" spans="1:5" ht="14.25" customHeight="1" x14ac:dyDescent="0.25">
      <c r="A877" s="31">
        <v>41712.5</v>
      </c>
      <c r="B877" s="32">
        <v>2529.3986842363602</v>
      </c>
      <c r="C877" s="33">
        <v>110.425454545454</v>
      </c>
      <c r="D877" s="4">
        <v>3</v>
      </c>
      <c r="E877" s="4" t="s">
        <v>74</v>
      </c>
    </row>
    <row r="878" spans="1:5" ht="14.25" customHeight="1" x14ac:dyDescent="0.25">
      <c r="A878" s="31">
        <v>41713</v>
      </c>
      <c r="B878" s="32">
        <v>2028.51025856499</v>
      </c>
      <c r="C878" s="33">
        <v>107.849</v>
      </c>
      <c r="D878" s="4">
        <v>3</v>
      </c>
      <c r="E878" s="4" t="s">
        <v>74</v>
      </c>
    </row>
    <row r="879" spans="1:5" ht="14.25" customHeight="1" x14ac:dyDescent="0.25">
      <c r="A879" s="31">
        <v>41713.5</v>
      </c>
      <c r="B879" s="32">
        <v>2377.9403508958299</v>
      </c>
      <c r="C879" s="33">
        <v>109.603333333333</v>
      </c>
      <c r="D879" s="4">
        <v>3</v>
      </c>
      <c r="E879" s="4" t="s">
        <v>74</v>
      </c>
    </row>
    <row r="880" spans="1:5" ht="14.25" customHeight="1" x14ac:dyDescent="0.25">
      <c r="A880" s="31">
        <v>41714</v>
      </c>
      <c r="B880" s="32">
        <v>1952.47576309285</v>
      </c>
      <c r="C880" s="33">
        <v>110.65714285714201</v>
      </c>
      <c r="D880" s="4">
        <v>3</v>
      </c>
      <c r="E880" s="4" t="s">
        <v>74</v>
      </c>
    </row>
    <row r="881" spans="1:5" ht="14.25" customHeight="1" x14ac:dyDescent="0.25">
      <c r="A881" s="31">
        <v>41714.5</v>
      </c>
      <c r="B881" s="32">
        <v>2220.3295659833302</v>
      </c>
      <c r="C881" s="33">
        <v>110.18583333333299</v>
      </c>
      <c r="D881" s="4">
        <v>3</v>
      </c>
      <c r="E881" s="4" t="s">
        <v>74</v>
      </c>
    </row>
    <row r="882" spans="1:5" ht="14.25" customHeight="1" x14ac:dyDescent="0.25">
      <c r="A882" s="31">
        <v>41715</v>
      </c>
      <c r="B882" s="32">
        <v>1874.4952763250001</v>
      </c>
      <c r="C882" s="33">
        <v>108.954999999999</v>
      </c>
      <c r="D882" s="4">
        <v>3</v>
      </c>
      <c r="E882" s="4" t="s">
        <v>74</v>
      </c>
    </row>
    <row r="883" spans="1:5" ht="14.25" customHeight="1" x14ac:dyDescent="0.25">
      <c r="A883" s="31">
        <v>41715.5</v>
      </c>
      <c r="B883" s="32">
        <v>2408.1716978958302</v>
      </c>
      <c r="C883" s="33">
        <v>111.346666666666</v>
      </c>
      <c r="D883" s="4">
        <v>3</v>
      </c>
      <c r="E883" s="4" t="s">
        <v>74</v>
      </c>
    </row>
    <row r="884" spans="1:5" ht="14.25" customHeight="1" x14ac:dyDescent="0.25">
      <c r="A884" s="31">
        <v>41716</v>
      </c>
      <c r="B884" s="32">
        <v>2348.2187846291599</v>
      </c>
      <c r="C884" s="33">
        <v>109.24166666666601</v>
      </c>
      <c r="D884" s="4">
        <v>3</v>
      </c>
      <c r="E884" s="4" t="s">
        <v>74</v>
      </c>
    </row>
    <row r="885" spans="1:5" ht="14.25" customHeight="1" x14ac:dyDescent="0.25">
      <c r="A885" s="31">
        <v>41716.5</v>
      </c>
      <c r="B885" s="32">
        <v>2781.20463690833</v>
      </c>
      <c r="C885" s="33">
        <v>110.784166666666</v>
      </c>
      <c r="D885" s="4">
        <v>3</v>
      </c>
      <c r="E885" s="4" t="s">
        <v>74</v>
      </c>
    </row>
    <row r="886" spans="1:5" ht="14.25" customHeight="1" x14ac:dyDescent="0.25">
      <c r="A886" s="31">
        <v>41717</v>
      </c>
      <c r="B886" s="32">
        <v>2134.7472275291602</v>
      </c>
      <c r="C886" s="33">
        <v>110.38166666666601</v>
      </c>
      <c r="D886" s="4">
        <v>3</v>
      </c>
      <c r="E886" s="4" t="s">
        <v>74</v>
      </c>
    </row>
    <row r="887" spans="1:5" ht="14.25" customHeight="1" x14ac:dyDescent="0.25">
      <c r="A887" s="31">
        <v>41717.5</v>
      </c>
      <c r="B887" s="32">
        <v>2486.2344025124899</v>
      </c>
      <c r="C887" s="33">
        <v>110.847499999999</v>
      </c>
      <c r="D887" s="4">
        <v>3</v>
      </c>
      <c r="E887" s="4" t="s">
        <v>74</v>
      </c>
    </row>
    <row r="888" spans="1:5" ht="14.25" customHeight="1" x14ac:dyDescent="0.25">
      <c r="A888" s="31">
        <v>41718</v>
      </c>
      <c r="B888" s="32">
        <v>2081.8465858208301</v>
      </c>
      <c r="C888" s="33">
        <v>110.451666666666</v>
      </c>
      <c r="D888" s="4">
        <v>3</v>
      </c>
      <c r="E888" s="4" t="s">
        <v>74</v>
      </c>
    </row>
    <row r="889" spans="1:5" ht="14.25" customHeight="1" x14ac:dyDescent="0.25">
      <c r="A889" s="31">
        <v>41718.5</v>
      </c>
      <c r="B889" s="32">
        <v>2492.7292517333299</v>
      </c>
      <c r="C889" s="33">
        <v>110.620833333333</v>
      </c>
      <c r="D889" s="4">
        <v>3</v>
      </c>
      <c r="E889" s="4" t="s">
        <v>74</v>
      </c>
    </row>
    <row r="890" spans="1:5" ht="14.25" customHeight="1" x14ac:dyDescent="0.25">
      <c r="A890" s="31">
        <v>41719</v>
      </c>
      <c r="B890" s="32">
        <v>2041.2911814045401</v>
      </c>
      <c r="C890" s="33">
        <v>110.66181818181801</v>
      </c>
      <c r="D890" s="4">
        <v>3</v>
      </c>
      <c r="E890" s="4" t="s">
        <v>74</v>
      </c>
    </row>
    <row r="891" spans="1:5" ht="14.25" customHeight="1" x14ac:dyDescent="0.25">
      <c r="A891" s="31">
        <v>41719.5</v>
      </c>
      <c r="B891" s="32">
        <v>2261.4539451958299</v>
      </c>
      <c r="C891" s="33">
        <v>109.99166666666601</v>
      </c>
      <c r="D891" s="4">
        <v>3</v>
      </c>
      <c r="E891" s="4" t="s">
        <v>74</v>
      </c>
    </row>
    <row r="892" spans="1:5" ht="14.25" customHeight="1" x14ac:dyDescent="0.25">
      <c r="A892" s="31">
        <v>41720</v>
      </c>
      <c r="B892" s="32">
        <v>2236.3815262166599</v>
      </c>
      <c r="C892" s="33">
        <v>111.17444444444401</v>
      </c>
      <c r="D892" s="4">
        <v>3</v>
      </c>
      <c r="E892" s="4" t="s">
        <v>74</v>
      </c>
    </row>
    <row r="893" spans="1:5" ht="14.25" customHeight="1" x14ac:dyDescent="0.25">
      <c r="A893" s="31">
        <v>41720.5</v>
      </c>
      <c r="B893" s="32">
        <v>2294.4026380458299</v>
      </c>
      <c r="C893" s="33">
        <v>111.35250000000001</v>
      </c>
      <c r="D893" s="4">
        <v>3</v>
      </c>
      <c r="E893" s="4" t="s">
        <v>74</v>
      </c>
    </row>
    <row r="894" spans="1:5" ht="14.25" customHeight="1" x14ac:dyDescent="0.25">
      <c r="A894" s="31">
        <v>41721</v>
      </c>
      <c r="B894" s="32">
        <v>1918.97782055624</v>
      </c>
      <c r="C894" s="33">
        <v>111.416249999999</v>
      </c>
      <c r="D894" s="4">
        <v>3</v>
      </c>
      <c r="E894" s="4" t="s">
        <v>74</v>
      </c>
    </row>
    <row r="895" spans="1:5" ht="14.25" customHeight="1" x14ac:dyDescent="0.25">
      <c r="A895" s="31">
        <v>41721.5</v>
      </c>
      <c r="B895" s="32">
        <v>2049.31759405499</v>
      </c>
      <c r="C895" s="33">
        <v>112.17400000000001</v>
      </c>
      <c r="D895" s="4">
        <v>3</v>
      </c>
      <c r="E895" s="4" t="s">
        <v>74</v>
      </c>
    </row>
    <row r="896" spans="1:5" ht="14.25" customHeight="1" x14ac:dyDescent="0.25">
      <c r="A896" s="31">
        <v>41722</v>
      </c>
      <c r="B896" s="32">
        <v>1942.2035167500001</v>
      </c>
      <c r="C896" s="33">
        <v>109.81</v>
      </c>
      <c r="D896" s="4">
        <v>3</v>
      </c>
      <c r="E896" s="4" t="s">
        <v>74</v>
      </c>
    </row>
    <row r="897" spans="1:5" ht="14.25" customHeight="1" x14ac:dyDescent="0.25">
      <c r="A897" s="31">
        <v>41722.5</v>
      </c>
      <c r="B897" s="32">
        <v>2079.3220612045402</v>
      </c>
      <c r="C897" s="33">
        <v>108.751818181818</v>
      </c>
      <c r="D897" s="4">
        <v>3</v>
      </c>
      <c r="E897" s="4" t="s">
        <v>74</v>
      </c>
    </row>
    <row r="898" spans="1:5" ht="14.25" customHeight="1" x14ac:dyDescent="0.25">
      <c r="A898" s="31">
        <v>41723</v>
      </c>
      <c r="B898" s="32">
        <v>2228.21130526874</v>
      </c>
      <c r="C898" s="33">
        <v>112.31874999999999</v>
      </c>
      <c r="D898" s="4">
        <v>3</v>
      </c>
      <c r="E898" s="4" t="s">
        <v>74</v>
      </c>
    </row>
    <row r="899" spans="1:5" ht="14.25" customHeight="1" x14ac:dyDescent="0.25">
      <c r="A899" s="31">
        <v>41723.5</v>
      </c>
      <c r="B899" s="32">
        <v>2356.6979502374902</v>
      </c>
      <c r="C899" s="33">
        <v>110.475833333333</v>
      </c>
      <c r="D899" s="4">
        <v>3</v>
      </c>
      <c r="E899" s="4" t="s">
        <v>74</v>
      </c>
    </row>
    <row r="900" spans="1:5" ht="14.25" customHeight="1" x14ac:dyDescent="0.25">
      <c r="A900" s="31">
        <v>41724</v>
      </c>
      <c r="B900" s="32">
        <v>2131.2112628357099</v>
      </c>
      <c r="C900" s="33">
        <v>110.97571428571401</v>
      </c>
      <c r="D900" s="4">
        <v>3</v>
      </c>
      <c r="E900" s="4" t="s">
        <v>74</v>
      </c>
    </row>
    <row r="901" spans="1:5" ht="14.25" customHeight="1" x14ac:dyDescent="0.25">
      <c r="A901" s="31">
        <v>41724.5</v>
      </c>
      <c r="B901" s="32">
        <v>2234.2020854749899</v>
      </c>
      <c r="C901" s="33">
        <v>109.71583333333299</v>
      </c>
      <c r="D901" s="4">
        <v>3</v>
      </c>
      <c r="E901" s="4" t="s">
        <v>74</v>
      </c>
    </row>
    <row r="902" spans="1:5" ht="14.25" customHeight="1" x14ac:dyDescent="0.25">
      <c r="A902" s="31">
        <v>41725</v>
      </c>
      <c r="B902" s="32">
        <v>1989.2252733749899</v>
      </c>
      <c r="C902" s="33">
        <v>111.19416666666601</v>
      </c>
      <c r="D902" s="4">
        <v>3</v>
      </c>
      <c r="E902" s="4" t="s">
        <v>74</v>
      </c>
    </row>
    <row r="903" spans="1:5" ht="14.25" customHeight="1" x14ac:dyDescent="0.25">
      <c r="A903" s="31">
        <v>41725.5</v>
      </c>
      <c r="B903" s="32">
        <v>2125.4146722874898</v>
      </c>
      <c r="C903" s="33">
        <v>111.43833333333301</v>
      </c>
      <c r="D903" s="4">
        <v>3</v>
      </c>
      <c r="E903" s="4" t="s">
        <v>74</v>
      </c>
    </row>
    <row r="904" spans="1:5" ht="14.25" customHeight="1" x14ac:dyDescent="0.25">
      <c r="A904" s="31">
        <v>41726</v>
      </c>
      <c r="B904" s="32">
        <v>2170.7718819333199</v>
      </c>
      <c r="C904" s="33">
        <v>111.075555555555</v>
      </c>
      <c r="D904" s="4">
        <v>3</v>
      </c>
      <c r="E904" s="4" t="s">
        <v>74</v>
      </c>
    </row>
    <row r="905" spans="1:5" ht="14.25" customHeight="1" x14ac:dyDescent="0.25">
      <c r="A905" s="31">
        <v>41726.5</v>
      </c>
      <c r="B905" s="32">
        <v>2196.29722014444</v>
      </c>
      <c r="C905" s="33">
        <v>111.92333333333301</v>
      </c>
      <c r="D905" s="4">
        <v>3</v>
      </c>
      <c r="E905" s="4" t="s">
        <v>74</v>
      </c>
    </row>
    <row r="906" spans="1:5" ht="14.25" customHeight="1" x14ac:dyDescent="0.25">
      <c r="A906" s="31">
        <v>41727</v>
      </c>
      <c r="B906" s="32">
        <v>1865.2321135875</v>
      </c>
      <c r="C906" s="33">
        <v>109.86</v>
      </c>
      <c r="D906" s="4">
        <v>3</v>
      </c>
      <c r="E906" s="4" t="s">
        <v>74</v>
      </c>
    </row>
    <row r="907" spans="1:5" ht="14.25" customHeight="1" x14ac:dyDescent="0.25">
      <c r="A907" s="31">
        <v>41727.5</v>
      </c>
      <c r="B907" s="32">
        <v>1895.44555601666</v>
      </c>
      <c r="C907" s="33">
        <v>111.73111111111101</v>
      </c>
      <c r="D907" s="4">
        <v>3</v>
      </c>
      <c r="E907" s="4" t="s">
        <v>74</v>
      </c>
    </row>
    <row r="908" spans="1:5" ht="14.25" customHeight="1" x14ac:dyDescent="0.25">
      <c r="A908" s="31">
        <v>41728</v>
      </c>
      <c r="B908" s="32">
        <v>1872.2638883899899</v>
      </c>
      <c r="C908" s="33">
        <v>109.65</v>
      </c>
      <c r="D908" s="4">
        <v>3</v>
      </c>
      <c r="E908" s="4" t="s">
        <v>74</v>
      </c>
    </row>
    <row r="909" spans="1:5" ht="14.25" customHeight="1" x14ac:dyDescent="0.25">
      <c r="A909" s="31">
        <v>41728.5</v>
      </c>
      <c r="B909" s="32">
        <v>2022.95829487777</v>
      </c>
      <c r="C909" s="33">
        <v>109.64444444444401</v>
      </c>
      <c r="D909" s="4">
        <v>3</v>
      </c>
      <c r="E909" s="4" t="s">
        <v>74</v>
      </c>
    </row>
    <row r="910" spans="1:5" ht="14.25" customHeight="1" x14ac:dyDescent="0.25">
      <c r="A910" s="31">
        <v>41729</v>
      </c>
      <c r="B910" s="32">
        <v>1790.18647413333</v>
      </c>
      <c r="C910" s="33">
        <v>113.766666666666</v>
      </c>
      <c r="D910" s="4">
        <v>3</v>
      </c>
      <c r="E910" s="4" t="s">
        <v>74</v>
      </c>
    </row>
    <row r="911" spans="1:5" ht="14.25" customHeight="1" x14ac:dyDescent="0.25">
      <c r="A911" s="31">
        <v>41729.5</v>
      </c>
      <c r="B911" s="32">
        <v>2015.71379709999</v>
      </c>
      <c r="C911" s="33">
        <v>109.075</v>
      </c>
      <c r="D911" s="4">
        <v>3</v>
      </c>
      <c r="E911" s="4" t="s">
        <v>74</v>
      </c>
    </row>
    <row r="912" spans="1:5" ht="14.25" customHeight="1" x14ac:dyDescent="0.25">
      <c r="A912" s="31">
        <v>41730</v>
      </c>
      <c r="B912" s="32">
        <v>2113.80004124999</v>
      </c>
      <c r="C912" s="33">
        <v>94.158333333333303</v>
      </c>
      <c r="D912" s="4">
        <v>4</v>
      </c>
      <c r="E912" s="4" t="s">
        <v>74</v>
      </c>
    </row>
    <row r="913" spans="1:5" ht="14.25" customHeight="1" x14ac:dyDescent="0.25">
      <c r="A913" s="31">
        <v>41730.5</v>
      </c>
      <c r="B913" s="32">
        <v>2426.57113838636</v>
      </c>
      <c r="C913" s="33">
        <v>95.01</v>
      </c>
      <c r="D913" s="4">
        <v>4</v>
      </c>
      <c r="E913" s="4" t="s">
        <v>74</v>
      </c>
    </row>
    <row r="914" spans="1:5" ht="14.25" customHeight="1" x14ac:dyDescent="0.25">
      <c r="A914" s="31">
        <v>41731</v>
      </c>
      <c r="B914" s="32">
        <v>2448.2077285999999</v>
      </c>
      <c r="C914" s="33">
        <v>97.0042857142857</v>
      </c>
      <c r="D914" s="4">
        <v>4</v>
      </c>
      <c r="E914" s="4" t="s">
        <v>74</v>
      </c>
    </row>
    <row r="915" spans="1:5" ht="14.25" customHeight="1" x14ac:dyDescent="0.25">
      <c r="A915" s="31">
        <v>41731.5</v>
      </c>
      <c r="B915" s="32">
        <v>2647.5638321749898</v>
      </c>
      <c r="C915" s="33">
        <v>91.094999999999999</v>
      </c>
      <c r="D915" s="4">
        <v>4</v>
      </c>
      <c r="E915" s="4" t="s">
        <v>74</v>
      </c>
    </row>
    <row r="916" spans="1:5" ht="14.25" customHeight="1" x14ac:dyDescent="0.25">
      <c r="A916" s="31">
        <v>41732</v>
      </c>
      <c r="B916" s="32">
        <v>2236.15374529583</v>
      </c>
      <c r="C916" s="33">
        <v>93.653333333333293</v>
      </c>
      <c r="D916" s="4">
        <v>4</v>
      </c>
      <c r="E916" s="4" t="s">
        <v>74</v>
      </c>
    </row>
    <row r="917" spans="1:5" ht="14.25" customHeight="1" x14ac:dyDescent="0.25">
      <c r="A917" s="31">
        <v>41732.5</v>
      </c>
      <c r="B917" s="32">
        <v>2960.3368238749899</v>
      </c>
      <c r="C917" s="33">
        <v>93.149999999999906</v>
      </c>
      <c r="D917" s="4">
        <v>4</v>
      </c>
      <c r="E917" s="4" t="s">
        <v>74</v>
      </c>
    </row>
    <row r="918" spans="1:5" ht="14.25" customHeight="1" x14ac:dyDescent="0.25">
      <c r="A918" s="31">
        <v>41733</v>
      </c>
      <c r="B918" s="32">
        <v>2407.5297075374901</v>
      </c>
      <c r="C918" s="33">
        <v>91.319166666666604</v>
      </c>
      <c r="D918" s="4">
        <v>4</v>
      </c>
      <c r="E918" s="4" t="s">
        <v>74</v>
      </c>
    </row>
    <row r="919" spans="1:5" ht="14.25" customHeight="1" x14ac:dyDescent="0.25">
      <c r="A919" s="31">
        <v>41733.5</v>
      </c>
      <c r="B919" s="32">
        <v>3090.4349697999901</v>
      </c>
      <c r="C919" s="33">
        <v>92.242499999999893</v>
      </c>
      <c r="D919" s="4">
        <v>4</v>
      </c>
      <c r="E919" s="4" t="s">
        <v>74</v>
      </c>
    </row>
    <row r="920" spans="1:5" ht="14.25" customHeight="1" x14ac:dyDescent="0.25">
      <c r="A920" s="31">
        <v>41734</v>
      </c>
      <c r="B920" s="32">
        <v>2288.5196504999899</v>
      </c>
      <c r="C920" s="33">
        <v>94.639999999999901</v>
      </c>
      <c r="D920" s="4">
        <v>4</v>
      </c>
      <c r="E920" s="4" t="s">
        <v>74</v>
      </c>
    </row>
    <row r="921" spans="1:5" ht="14.25" customHeight="1" x14ac:dyDescent="0.25">
      <c r="A921" s="31">
        <v>41734.5</v>
      </c>
      <c r="B921" s="32">
        <v>2693.8758898999899</v>
      </c>
      <c r="C921" s="33">
        <v>93.194166666666604</v>
      </c>
      <c r="D921" s="4">
        <v>4</v>
      </c>
      <c r="E921" s="4" t="s">
        <v>74</v>
      </c>
    </row>
    <row r="922" spans="1:5" ht="14.25" customHeight="1" x14ac:dyDescent="0.25">
      <c r="A922" s="31">
        <v>41735</v>
      </c>
      <c r="B922" s="32">
        <v>2206.7949992642798</v>
      </c>
      <c r="C922" s="33">
        <v>93.35</v>
      </c>
      <c r="D922" s="4">
        <v>4</v>
      </c>
      <c r="E922" s="4" t="s">
        <v>74</v>
      </c>
    </row>
    <row r="923" spans="1:5" ht="14.25" customHeight="1" x14ac:dyDescent="0.25">
      <c r="A923" s="31">
        <v>41735.5</v>
      </c>
      <c r="B923" s="32">
        <v>2365.86784169166</v>
      </c>
      <c r="C923" s="33">
        <v>90.462500000000006</v>
      </c>
      <c r="D923" s="4">
        <v>4</v>
      </c>
      <c r="E923" s="4" t="s">
        <v>74</v>
      </c>
    </row>
    <row r="924" spans="1:5" ht="14.25" customHeight="1" x14ac:dyDescent="0.25">
      <c r="A924" s="31">
        <v>41736</v>
      </c>
      <c r="B924" s="32">
        <v>2131.5617423333301</v>
      </c>
      <c r="C924" s="33">
        <v>98.07</v>
      </c>
      <c r="D924" s="4">
        <v>4</v>
      </c>
      <c r="E924" s="4" t="s">
        <v>74</v>
      </c>
    </row>
    <row r="925" spans="1:5" ht="14.25" customHeight="1" x14ac:dyDescent="0.25">
      <c r="A925" s="31">
        <v>41736.5</v>
      </c>
      <c r="B925" s="32">
        <v>2359.2976642333301</v>
      </c>
      <c r="C925" s="33">
        <v>92.285833333333301</v>
      </c>
      <c r="D925" s="4">
        <v>4</v>
      </c>
      <c r="E925" s="4" t="s">
        <v>74</v>
      </c>
    </row>
    <row r="926" spans="1:5" ht="14.25" customHeight="1" x14ac:dyDescent="0.25">
      <c r="A926" s="31">
        <v>41737</v>
      </c>
      <c r="B926" s="32">
        <v>2337.9500703833301</v>
      </c>
      <c r="C926" s="33">
        <v>95.527499999999904</v>
      </c>
      <c r="D926" s="4">
        <v>4</v>
      </c>
      <c r="E926" s="4" t="s">
        <v>74</v>
      </c>
    </row>
    <row r="927" spans="1:5" ht="14.25" customHeight="1" x14ac:dyDescent="0.25">
      <c r="A927" s="31">
        <v>41737.5</v>
      </c>
      <c r="B927" s="32">
        <v>2912.4833422541601</v>
      </c>
      <c r="C927" s="33">
        <v>94.653333333333293</v>
      </c>
      <c r="D927" s="4">
        <v>4</v>
      </c>
      <c r="E927" s="4" t="s">
        <v>74</v>
      </c>
    </row>
    <row r="928" spans="1:5" ht="14.25" customHeight="1" x14ac:dyDescent="0.25">
      <c r="A928" s="31">
        <v>41738</v>
      </c>
      <c r="B928" s="32">
        <v>2295.36409883333</v>
      </c>
      <c r="C928" s="33">
        <v>90.486666666666594</v>
      </c>
      <c r="D928" s="4">
        <v>4</v>
      </c>
      <c r="E928" s="4" t="s">
        <v>74</v>
      </c>
    </row>
    <row r="929" spans="1:5" ht="14.25" customHeight="1" x14ac:dyDescent="0.25">
      <c r="A929" s="31">
        <v>41738.5</v>
      </c>
      <c r="B929" s="32">
        <v>2958.7262230958299</v>
      </c>
      <c r="C929" s="33">
        <v>93.8391666666666</v>
      </c>
      <c r="D929" s="4">
        <v>4</v>
      </c>
      <c r="E929" s="4" t="s">
        <v>74</v>
      </c>
    </row>
    <row r="930" spans="1:5" ht="14.25" customHeight="1" x14ac:dyDescent="0.25">
      <c r="A930" s="31">
        <v>41739</v>
      </c>
      <c r="B930" s="32">
        <v>2372.2789152708301</v>
      </c>
      <c r="C930" s="33">
        <v>94.469166666666595</v>
      </c>
      <c r="D930" s="4">
        <v>4</v>
      </c>
      <c r="E930" s="4" t="s">
        <v>74</v>
      </c>
    </row>
    <row r="931" spans="1:5" ht="14.25" customHeight="1" x14ac:dyDescent="0.25">
      <c r="A931" s="31">
        <v>41739.5</v>
      </c>
      <c r="B931" s="32">
        <v>2944.1665049916601</v>
      </c>
      <c r="C931" s="33">
        <v>93.632499999999993</v>
      </c>
      <c r="D931" s="4">
        <v>4</v>
      </c>
      <c r="E931" s="4" t="s">
        <v>74</v>
      </c>
    </row>
    <row r="932" spans="1:5" ht="14.25" customHeight="1" x14ac:dyDescent="0.25">
      <c r="A932" s="31">
        <v>41740</v>
      </c>
      <c r="B932" s="32">
        <v>2434.2545983291602</v>
      </c>
      <c r="C932" s="33">
        <v>95.8958333333333</v>
      </c>
      <c r="D932" s="4">
        <v>4</v>
      </c>
      <c r="E932" s="4" t="s">
        <v>74</v>
      </c>
    </row>
    <row r="933" spans="1:5" ht="14.25" customHeight="1" x14ac:dyDescent="0.25">
      <c r="A933" s="31">
        <v>41740.5</v>
      </c>
      <c r="B933" s="32">
        <v>2856.5136013041601</v>
      </c>
      <c r="C933" s="33">
        <v>91.8391666666666</v>
      </c>
      <c r="D933" s="4">
        <v>4</v>
      </c>
      <c r="E933" s="4" t="s">
        <v>74</v>
      </c>
    </row>
    <row r="934" spans="1:5" ht="14.25" customHeight="1" x14ac:dyDescent="0.25">
      <c r="A934" s="31">
        <v>41741</v>
      </c>
      <c r="B934" s="32">
        <v>2476.64930895833</v>
      </c>
      <c r="C934" s="33">
        <v>93.137499999999903</v>
      </c>
      <c r="D934" s="4">
        <v>4</v>
      </c>
      <c r="E934" s="4" t="s">
        <v>74</v>
      </c>
    </row>
    <row r="935" spans="1:5" ht="14.25" customHeight="1" x14ac:dyDescent="0.25">
      <c r="A935" s="31">
        <v>41741.5</v>
      </c>
      <c r="B935" s="32">
        <v>2751.0332943083299</v>
      </c>
      <c r="C935" s="33">
        <v>94.092500000000001</v>
      </c>
      <c r="D935" s="4">
        <v>4</v>
      </c>
      <c r="E935" s="4" t="s">
        <v>74</v>
      </c>
    </row>
    <row r="936" spans="1:5" ht="14.25" customHeight="1" x14ac:dyDescent="0.25">
      <c r="A936" s="31">
        <v>41742</v>
      </c>
      <c r="B936" s="32">
        <v>2073.3610607041601</v>
      </c>
      <c r="C936" s="33">
        <v>92.850833333333298</v>
      </c>
      <c r="D936" s="4">
        <v>4</v>
      </c>
      <c r="E936" s="4" t="s">
        <v>74</v>
      </c>
    </row>
    <row r="937" spans="1:5" ht="14.25" customHeight="1" x14ac:dyDescent="0.25">
      <c r="A937" s="31">
        <v>41742.5</v>
      </c>
      <c r="B937" s="32">
        <v>2334.1648400416602</v>
      </c>
      <c r="C937" s="33">
        <v>95.744166666666601</v>
      </c>
      <c r="D937" s="4">
        <v>4</v>
      </c>
      <c r="E937" s="4" t="s">
        <v>74</v>
      </c>
    </row>
    <row r="938" spans="1:5" ht="14.25" customHeight="1" x14ac:dyDescent="0.25">
      <c r="A938" s="31">
        <v>41743</v>
      </c>
      <c r="B938" s="32">
        <v>2055.7750104791598</v>
      </c>
      <c r="C938" s="33">
        <v>92.740833333333299</v>
      </c>
      <c r="D938" s="4">
        <v>4</v>
      </c>
      <c r="E938" s="4" t="s">
        <v>74</v>
      </c>
    </row>
    <row r="939" spans="1:5" ht="14.25" customHeight="1" x14ac:dyDescent="0.25">
      <c r="A939" s="31">
        <v>41743.5</v>
      </c>
      <c r="B939" s="32">
        <v>2477.5667578541602</v>
      </c>
      <c r="C939" s="33">
        <v>90.087500000000006</v>
      </c>
      <c r="D939" s="4">
        <v>4</v>
      </c>
      <c r="E939" s="4" t="s">
        <v>74</v>
      </c>
    </row>
    <row r="940" spans="1:5" ht="14.25" customHeight="1" x14ac:dyDescent="0.25">
      <c r="A940" s="31">
        <v>41744</v>
      </c>
      <c r="B940" s="32">
        <v>2201.8428448958298</v>
      </c>
      <c r="C940" s="33">
        <v>92.152499999999904</v>
      </c>
      <c r="D940" s="4">
        <v>4</v>
      </c>
      <c r="E940" s="4" t="s">
        <v>74</v>
      </c>
    </row>
    <row r="941" spans="1:5" ht="14.25" customHeight="1" x14ac:dyDescent="0.25">
      <c r="A941" s="31">
        <v>41744.5</v>
      </c>
      <c r="B941" s="32">
        <v>2783.7458944458299</v>
      </c>
      <c r="C941" s="33">
        <v>95.6875</v>
      </c>
      <c r="D941" s="4">
        <v>4</v>
      </c>
      <c r="E941" s="4" t="s">
        <v>74</v>
      </c>
    </row>
    <row r="942" spans="1:5" ht="14.25" customHeight="1" x14ac:dyDescent="0.25">
      <c r="A942" s="31">
        <v>41745</v>
      </c>
      <c r="B942" s="32">
        <v>2191.43477437916</v>
      </c>
      <c r="C942" s="33">
        <v>91.192499999999995</v>
      </c>
      <c r="D942" s="4">
        <v>4</v>
      </c>
      <c r="E942" s="4" t="s">
        <v>74</v>
      </c>
    </row>
    <row r="943" spans="1:5" ht="14.25" customHeight="1" x14ac:dyDescent="0.25">
      <c r="A943" s="31">
        <v>41745.5</v>
      </c>
      <c r="B943" s="32">
        <v>2736.8444697791601</v>
      </c>
      <c r="C943" s="33">
        <v>93.9166666666666</v>
      </c>
      <c r="D943" s="4">
        <v>4</v>
      </c>
      <c r="E943" s="4" t="s">
        <v>74</v>
      </c>
    </row>
    <row r="944" spans="1:5" ht="14.25" customHeight="1" x14ac:dyDescent="0.25">
      <c r="A944" s="31">
        <v>41746</v>
      </c>
      <c r="B944" s="32">
        <v>2292.4584675374999</v>
      </c>
      <c r="C944" s="33">
        <v>90.254166666666606</v>
      </c>
      <c r="D944" s="4">
        <v>4</v>
      </c>
      <c r="E944" s="4" t="s">
        <v>74</v>
      </c>
    </row>
    <row r="945" spans="1:5" ht="14.25" customHeight="1" x14ac:dyDescent="0.25">
      <c r="A945" s="31">
        <v>41746.5</v>
      </c>
      <c r="B945" s="32">
        <v>2600.28185396249</v>
      </c>
      <c r="C945" s="33">
        <v>93.100833333333298</v>
      </c>
      <c r="D945" s="4">
        <v>4</v>
      </c>
      <c r="E945" s="4" t="s">
        <v>74</v>
      </c>
    </row>
    <row r="946" spans="1:5" ht="14.25" customHeight="1" x14ac:dyDescent="0.25">
      <c r="A946" s="31">
        <v>41747</v>
      </c>
      <c r="B946" s="32">
        <v>2238.1594617291598</v>
      </c>
      <c r="C946" s="33">
        <v>96.163333333333298</v>
      </c>
      <c r="D946" s="4">
        <v>4</v>
      </c>
      <c r="E946" s="4" t="s">
        <v>74</v>
      </c>
    </row>
    <row r="947" spans="1:5" ht="14.25" customHeight="1" x14ac:dyDescent="0.25">
      <c r="A947" s="31">
        <v>41747.5</v>
      </c>
      <c r="B947" s="32">
        <v>2570.20604453333</v>
      </c>
      <c r="C947" s="33">
        <v>92.972499999999997</v>
      </c>
      <c r="D947" s="4">
        <v>4</v>
      </c>
      <c r="E947" s="4" t="s">
        <v>74</v>
      </c>
    </row>
    <row r="948" spans="1:5" ht="14.25" customHeight="1" x14ac:dyDescent="0.25">
      <c r="A948" s="31">
        <v>41748</v>
      </c>
      <c r="B948" s="32">
        <v>2178.1450835374999</v>
      </c>
      <c r="C948" s="33">
        <v>88.909999999999897</v>
      </c>
      <c r="D948" s="4">
        <v>4</v>
      </c>
      <c r="E948" s="4" t="s">
        <v>74</v>
      </c>
    </row>
    <row r="949" spans="1:5" ht="14.25" customHeight="1" x14ac:dyDescent="0.25">
      <c r="A949" s="31">
        <v>41748.5</v>
      </c>
      <c r="B949" s="32">
        <v>2458.4068403333299</v>
      </c>
      <c r="C949" s="33">
        <v>93.142499999999899</v>
      </c>
      <c r="D949" s="4">
        <v>4</v>
      </c>
      <c r="E949" s="4" t="s">
        <v>74</v>
      </c>
    </row>
    <row r="950" spans="1:5" ht="14.25" customHeight="1" x14ac:dyDescent="0.25">
      <c r="A950" s="31">
        <v>41749</v>
      </c>
      <c r="B950" s="32">
        <v>1947.3650472541599</v>
      </c>
      <c r="C950" s="33">
        <v>93.240833333333299</v>
      </c>
      <c r="D950" s="4">
        <v>4</v>
      </c>
      <c r="E950" s="4" t="s">
        <v>74</v>
      </c>
    </row>
    <row r="951" spans="1:5" ht="14.25" customHeight="1" x14ac:dyDescent="0.25">
      <c r="A951" s="31">
        <v>41749.5</v>
      </c>
      <c r="B951" s="32">
        <v>2177.5841689416602</v>
      </c>
      <c r="C951" s="33">
        <v>91.870833333333294</v>
      </c>
      <c r="D951" s="4">
        <v>4</v>
      </c>
      <c r="E951" s="4" t="s">
        <v>74</v>
      </c>
    </row>
    <row r="952" spans="1:5" ht="14.25" customHeight="1" x14ac:dyDescent="0.25">
      <c r="A952" s="31">
        <v>41750</v>
      </c>
      <c r="B952" s="32">
        <v>1923.60790184999</v>
      </c>
      <c r="C952" s="33">
        <v>92.873333333333306</v>
      </c>
      <c r="D952" s="4">
        <v>4</v>
      </c>
      <c r="E952" s="4" t="s">
        <v>74</v>
      </c>
    </row>
    <row r="953" spans="1:5" ht="14.25" customHeight="1" x14ac:dyDescent="0.25">
      <c r="A953" s="31">
        <v>41750.5</v>
      </c>
      <c r="B953" s="32">
        <v>2084.3268327874898</v>
      </c>
      <c r="C953" s="33">
        <v>88.707499999999996</v>
      </c>
      <c r="D953" s="4">
        <v>4</v>
      </c>
      <c r="E953" s="4" t="s">
        <v>74</v>
      </c>
    </row>
    <row r="954" spans="1:5" ht="14.25" customHeight="1" x14ac:dyDescent="0.25">
      <c r="A954" s="31">
        <v>41751</v>
      </c>
      <c r="B954" s="32">
        <v>2178.3010684624901</v>
      </c>
      <c r="C954" s="33">
        <v>92.928333333333299</v>
      </c>
      <c r="D954" s="4">
        <v>4</v>
      </c>
      <c r="E954" s="4" t="s">
        <v>74</v>
      </c>
    </row>
    <row r="955" spans="1:5" ht="14.25" customHeight="1" x14ac:dyDescent="0.25">
      <c r="A955" s="31">
        <v>41751.5</v>
      </c>
      <c r="B955" s="32">
        <v>2342.1035759041602</v>
      </c>
      <c r="C955" s="33">
        <v>94.216666666666598</v>
      </c>
      <c r="D955" s="4">
        <v>4</v>
      </c>
      <c r="E955" s="4" t="s">
        <v>74</v>
      </c>
    </row>
    <row r="956" spans="1:5" ht="14.25" customHeight="1" x14ac:dyDescent="0.25">
      <c r="A956" s="31">
        <v>41752</v>
      </c>
      <c r="B956" s="32">
        <v>1986.8119818208299</v>
      </c>
      <c r="C956" s="33">
        <v>90.968333333333305</v>
      </c>
      <c r="D956" s="4">
        <v>4</v>
      </c>
      <c r="E956" s="4" t="s">
        <v>74</v>
      </c>
    </row>
    <row r="957" spans="1:5" ht="14.25" customHeight="1" x14ac:dyDescent="0.25">
      <c r="A957" s="31">
        <v>41752.5</v>
      </c>
      <c r="B957" s="32">
        <v>2492.27483820416</v>
      </c>
      <c r="C957" s="33">
        <v>93.7708333333333</v>
      </c>
      <c r="D957" s="4">
        <v>4</v>
      </c>
      <c r="E957" s="4" t="s">
        <v>74</v>
      </c>
    </row>
    <row r="958" spans="1:5" ht="14.25" customHeight="1" x14ac:dyDescent="0.25">
      <c r="A958" s="31">
        <v>41753</v>
      </c>
      <c r="B958" s="32">
        <v>2011.5389245375</v>
      </c>
      <c r="C958" s="33">
        <v>97.500833333333304</v>
      </c>
      <c r="D958" s="4">
        <v>4</v>
      </c>
      <c r="E958" s="4" t="s">
        <v>74</v>
      </c>
    </row>
    <row r="959" spans="1:5" ht="14.25" customHeight="1" x14ac:dyDescent="0.25">
      <c r="A959" s="31">
        <v>41753.5</v>
      </c>
      <c r="B959" s="32">
        <v>2541.34914761666</v>
      </c>
      <c r="C959" s="33">
        <v>95.994166666666601</v>
      </c>
      <c r="D959" s="4">
        <v>4</v>
      </c>
      <c r="E959" s="4" t="s">
        <v>74</v>
      </c>
    </row>
    <row r="960" spans="1:5" ht="14.25" customHeight="1" x14ac:dyDescent="0.25">
      <c r="A960" s="31">
        <v>41754</v>
      </c>
      <c r="B960" s="32">
        <v>1869.39257215833</v>
      </c>
      <c r="C960" s="33">
        <v>92.954166666666595</v>
      </c>
      <c r="D960" s="4">
        <v>4</v>
      </c>
      <c r="E960" s="4" t="s">
        <v>74</v>
      </c>
    </row>
    <row r="961" spans="1:5" ht="14.25" customHeight="1" x14ac:dyDescent="0.25">
      <c r="A961" s="31">
        <v>41754.5</v>
      </c>
      <c r="B961" s="32">
        <v>2113.9166695624899</v>
      </c>
      <c r="C961" s="33">
        <v>93.922499999999999</v>
      </c>
      <c r="D961" s="4">
        <v>4</v>
      </c>
      <c r="E961" s="4" t="s">
        <v>74</v>
      </c>
    </row>
    <row r="962" spans="1:5" ht="14.25" customHeight="1" x14ac:dyDescent="0.25">
      <c r="A962" s="31">
        <v>41755</v>
      </c>
      <c r="B962" s="32">
        <v>2041.3888132874899</v>
      </c>
      <c r="C962" s="33">
        <v>94.066666666666606</v>
      </c>
      <c r="D962" s="4">
        <v>4</v>
      </c>
      <c r="E962" s="4" t="s">
        <v>74</v>
      </c>
    </row>
    <row r="963" spans="1:5" ht="14.25" customHeight="1" x14ac:dyDescent="0.25">
      <c r="A963" s="31">
        <v>41755.5</v>
      </c>
      <c r="B963" s="32">
        <v>2392.579391925</v>
      </c>
      <c r="C963" s="33">
        <v>91.638333333333307</v>
      </c>
      <c r="D963" s="4">
        <v>4</v>
      </c>
      <c r="E963" s="4" t="s">
        <v>74</v>
      </c>
    </row>
    <row r="964" spans="1:5" ht="14.25" customHeight="1" x14ac:dyDescent="0.25">
      <c r="A964" s="31">
        <v>41756</v>
      </c>
      <c r="B964" s="32">
        <v>1847.6206024749899</v>
      </c>
      <c r="C964" s="33">
        <v>92.293333333333294</v>
      </c>
      <c r="D964" s="4">
        <v>4</v>
      </c>
      <c r="E964" s="4" t="s">
        <v>74</v>
      </c>
    </row>
    <row r="965" spans="1:5" ht="14.25" customHeight="1" x14ac:dyDescent="0.25">
      <c r="A965" s="31">
        <v>41756.5</v>
      </c>
      <c r="B965" s="32">
        <v>2103.7799291791598</v>
      </c>
      <c r="C965" s="33">
        <v>90.272499999999994</v>
      </c>
      <c r="D965" s="4">
        <v>4</v>
      </c>
      <c r="E965" s="4" t="s">
        <v>74</v>
      </c>
    </row>
    <row r="966" spans="1:5" ht="14.25" customHeight="1" x14ac:dyDescent="0.25">
      <c r="A966" s="31">
        <v>41757</v>
      </c>
      <c r="B966" s="32">
        <v>1684.3235995374901</v>
      </c>
      <c r="C966" s="33">
        <v>96.438333333333304</v>
      </c>
      <c r="D966" s="4">
        <v>4</v>
      </c>
      <c r="E966" s="4" t="s">
        <v>74</v>
      </c>
    </row>
    <row r="967" spans="1:5" ht="14.25" customHeight="1" x14ac:dyDescent="0.25">
      <c r="A967" s="31">
        <v>41757.5</v>
      </c>
      <c r="B967" s="32">
        <v>2057.4672101124902</v>
      </c>
      <c r="C967" s="33">
        <v>93.667500000000004</v>
      </c>
      <c r="D967" s="4">
        <v>4</v>
      </c>
      <c r="E967" s="4" t="s">
        <v>74</v>
      </c>
    </row>
    <row r="968" spans="1:5" ht="14.25" customHeight="1" x14ac:dyDescent="0.25">
      <c r="A968" s="31">
        <v>41758</v>
      </c>
      <c r="B968" s="32">
        <v>2173.1531144277701</v>
      </c>
      <c r="C968" s="33">
        <v>90.662222222222198</v>
      </c>
      <c r="D968" s="4">
        <v>4</v>
      </c>
      <c r="E968" s="4" t="s">
        <v>74</v>
      </c>
    </row>
    <row r="969" spans="1:5" ht="14.25" customHeight="1" x14ac:dyDescent="0.25">
      <c r="A969" s="31">
        <v>41758.5</v>
      </c>
      <c r="B969" s="32">
        <v>2380.5147788583299</v>
      </c>
      <c r="C969" s="33">
        <v>93.676666666666605</v>
      </c>
      <c r="D969" s="4">
        <v>4</v>
      </c>
      <c r="E969" s="4" t="s">
        <v>74</v>
      </c>
    </row>
    <row r="970" spans="1:5" ht="14.25" customHeight="1" x14ac:dyDescent="0.25">
      <c r="A970" s="31">
        <v>41759</v>
      </c>
      <c r="B970" s="32">
        <v>2278.7772955714199</v>
      </c>
      <c r="C970" s="33">
        <v>89.397142857142796</v>
      </c>
      <c r="D970" s="4">
        <v>4</v>
      </c>
      <c r="E970" s="4" t="s">
        <v>74</v>
      </c>
    </row>
    <row r="971" spans="1:5" ht="14.25" customHeight="1" x14ac:dyDescent="0.25">
      <c r="A971" s="31">
        <v>41759.5</v>
      </c>
      <c r="B971" s="32">
        <v>2434.3405128333302</v>
      </c>
      <c r="C971" s="33">
        <v>93.325833333333307</v>
      </c>
      <c r="D971" s="4">
        <v>4</v>
      </c>
      <c r="E971" s="4" t="s">
        <v>74</v>
      </c>
    </row>
    <row r="972" spans="1:5" ht="14.25" customHeight="1" x14ac:dyDescent="0.25">
      <c r="A972" s="31">
        <v>41760</v>
      </c>
      <c r="B972" s="32">
        <v>2006.54166748749</v>
      </c>
      <c r="C972" s="33">
        <v>95.897499999999994</v>
      </c>
      <c r="D972" s="4">
        <v>5</v>
      </c>
      <c r="E972" s="4" t="s">
        <v>74</v>
      </c>
    </row>
    <row r="973" spans="1:5" ht="14.25" customHeight="1" x14ac:dyDescent="0.25">
      <c r="A973" s="31">
        <v>41760.5</v>
      </c>
      <c r="B973" s="32">
        <v>2714.09375346363</v>
      </c>
      <c r="C973" s="33">
        <v>91.956363636363605</v>
      </c>
      <c r="D973" s="4">
        <v>5</v>
      </c>
      <c r="E973" s="4" t="s">
        <v>74</v>
      </c>
    </row>
    <row r="974" spans="1:5" ht="14.25" customHeight="1" x14ac:dyDescent="0.25">
      <c r="A974" s="31">
        <v>41761</v>
      </c>
      <c r="B974" s="32">
        <v>2391.99487152856</v>
      </c>
      <c r="C974" s="33">
        <v>92.462857142857104</v>
      </c>
      <c r="D974" s="4">
        <v>5</v>
      </c>
      <c r="E974" s="4" t="s">
        <v>74</v>
      </c>
    </row>
    <row r="975" spans="1:5" ht="14.25" customHeight="1" x14ac:dyDescent="0.25">
      <c r="A975" s="31">
        <v>41761.5</v>
      </c>
      <c r="B975" s="32">
        <v>2329.3039084624902</v>
      </c>
      <c r="C975" s="33">
        <v>95.384999999999906</v>
      </c>
      <c r="D975" s="4">
        <v>5</v>
      </c>
      <c r="E975" s="4" t="s">
        <v>74</v>
      </c>
    </row>
    <row r="976" spans="1:5" ht="14.25" customHeight="1" x14ac:dyDescent="0.25">
      <c r="A976" s="31">
        <v>41762</v>
      </c>
      <c r="B976" s="32">
        <v>2077.1218812541601</v>
      </c>
      <c r="C976" s="33">
        <v>90.847499999999997</v>
      </c>
      <c r="D976" s="4">
        <v>5</v>
      </c>
      <c r="E976" s="4" t="s">
        <v>74</v>
      </c>
    </row>
    <row r="977" spans="1:5" ht="14.25" customHeight="1" x14ac:dyDescent="0.25">
      <c r="A977" s="31">
        <v>41762.5</v>
      </c>
      <c r="B977" s="32">
        <v>2290.5947934124902</v>
      </c>
      <c r="C977" s="33">
        <v>93.663333333333298</v>
      </c>
      <c r="D977" s="4">
        <v>5</v>
      </c>
      <c r="E977" s="4" t="s">
        <v>74</v>
      </c>
    </row>
    <row r="978" spans="1:5" ht="14.25" customHeight="1" x14ac:dyDescent="0.25">
      <c r="A978" s="31">
        <v>41763</v>
      </c>
      <c r="B978" s="32">
        <v>1952.5976356333299</v>
      </c>
      <c r="C978" s="33">
        <v>90.486666666666594</v>
      </c>
      <c r="D978" s="4">
        <v>5</v>
      </c>
      <c r="E978" s="4" t="s">
        <v>74</v>
      </c>
    </row>
    <row r="979" spans="1:5" ht="14.25" customHeight="1" x14ac:dyDescent="0.25">
      <c r="A979" s="31">
        <v>41763.5</v>
      </c>
      <c r="B979" s="32">
        <v>2205.2421286318099</v>
      </c>
      <c r="C979" s="33">
        <v>97.206363636363605</v>
      </c>
      <c r="D979" s="4">
        <v>5</v>
      </c>
      <c r="E979" s="4" t="s">
        <v>74</v>
      </c>
    </row>
    <row r="980" spans="1:5" ht="14.25" customHeight="1" x14ac:dyDescent="0.25">
      <c r="A980" s="31">
        <v>41764</v>
      </c>
      <c r="B980" s="32">
        <v>1820.63976945833</v>
      </c>
      <c r="C980" s="33">
        <v>95.418333333333294</v>
      </c>
      <c r="D980" s="4">
        <v>5</v>
      </c>
      <c r="E980" s="4" t="s">
        <v>74</v>
      </c>
    </row>
    <row r="981" spans="1:5" ht="14.25" customHeight="1" x14ac:dyDescent="0.25">
      <c r="A981" s="31">
        <v>41764.5</v>
      </c>
      <c r="B981" s="32">
        <v>1949.2376995124901</v>
      </c>
      <c r="C981" s="33">
        <v>96.343333333333305</v>
      </c>
      <c r="D981" s="4">
        <v>5</v>
      </c>
      <c r="E981" s="4" t="s">
        <v>74</v>
      </c>
    </row>
    <row r="982" spans="1:5" ht="14.25" customHeight="1" x14ac:dyDescent="0.25">
      <c r="A982" s="31">
        <v>41765</v>
      </c>
      <c r="B982" s="32">
        <v>2011.5588322041599</v>
      </c>
      <c r="C982" s="33">
        <v>91.496666666666599</v>
      </c>
      <c r="D982" s="4">
        <v>5</v>
      </c>
      <c r="E982" s="4" t="s">
        <v>74</v>
      </c>
    </row>
    <row r="983" spans="1:5" ht="14.25" customHeight="1" x14ac:dyDescent="0.25">
      <c r="A983" s="31">
        <v>41765.5</v>
      </c>
      <c r="B983" s="32">
        <v>2407.8819831791602</v>
      </c>
      <c r="C983" s="33">
        <v>93.445833333333297</v>
      </c>
      <c r="D983" s="4">
        <v>5</v>
      </c>
      <c r="E983" s="4" t="s">
        <v>74</v>
      </c>
    </row>
    <row r="984" spans="1:5" ht="14.25" customHeight="1" x14ac:dyDescent="0.25">
      <c r="A984" s="31">
        <v>41766</v>
      </c>
      <c r="B984" s="32">
        <v>2108.0878239458302</v>
      </c>
      <c r="C984" s="33">
        <v>98.274999999999906</v>
      </c>
      <c r="D984" s="4">
        <v>5</v>
      </c>
      <c r="E984" s="4" t="s">
        <v>74</v>
      </c>
    </row>
    <row r="985" spans="1:5" ht="14.25" customHeight="1" x14ac:dyDescent="0.25">
      <c r="A985" s="31">
        <v>41766.5</v>
      </c>
      <c r="B985" s="32">
        <v>2425.3941229549901</v>
      </c>
      <c r="C985" s="33">
        <v>94.355999999999995</v>
      </c>
      <c r="D985" s="4">
        <v>5</v>
      </c>
      <c r="E985" s="4" t="s">
        <v>74</v>
      </c>
    </row>
    <row r="986" spans="1:5" ht="14.25" customHeight="1" x14ac:dyDescent="0.25">
      <c r="A986" s="31">
        <v>41767</v>
      </c>
      <c r="B986" s="32">
        <v>2276.4651883285601</v>
      </c>
      <c r="C986" s="33">
        <v>93.0085714285714</v>
      </c>
      <c r="D986" s="4">
        <v>5</v>
      </c>
      <c r="E986" s="4" t="s">
        <v>74</v>
      </c>
    </row>
    <row r="987" spans="1:5" ht="14.25" customHeight="1" x14ac:dyDescent="0.25">
      <c r="A987" s="31">
        <v>41767.5</v>
      </c>
      <c r="B987" s="32">
        <v>2385.3081387208299</v>
      </c>
      <c r="C987" s="33">
        <v>94.266666666666595</v>
      </c>
      <c r="D987" s="4">
        <v>5</v>
      </c>
      <c r="E987" s="4" t="s">
        <v>74</v>
      </c>
    </row>
    <row r="988" spans="1:5" ht="14.25" customHeight="1" x14ac:dyDescent="0.25">
      <c r="A988" s="31">
        <v>41768</v>
      </c>
      <c r="B988" s="32">
        <v>2207.3602180749999</v>
      </c>
      <c r="C988" s="33">
        <v>94.058333333333294</v>
      </c>
      <c r="D988" s="4">
        <v>5</v>
      </c>
      <c r="E988" s="4" t="s">
        <v>74</v>
      </c>
    </row>
    <row r="989" spans="1:5" ht="14.25" customHeight="1" x14ac:dyDescent="0.25">
      <c r="A989" s="31">
        <v>41768.5</v>
      </c>
      <c r="B989" s="32">
        <v>2288.4663373499902</v>
      </c>
      <c r="C989" s="33">
        <v>94.706666666666607</v>
      </c>
      <c r="D989" s="4">
        <v>5</v>
      </c>
      <c r="E989" s="4" t="s">
        <v>74</v>
      </c>
    </row>
    <row r="990" spans="1:5" ht="14.25" customHeight="1" x14ac:dyDescent="0.25">
      <c r="A990" s="31">
        <v>41769</v>
      </c>
      <c r="B990" s="32">
        <v>2266.71607263332</v>
      </c>
      <c r="C990" s="33">
        <v>92.304999999999893</v>
      </c>
      <c r="D990" s="4">
        <v>5</v>
      </c>
      <c r="E990" s="4" t="s">
        <v>74</v>
      </c>
    </row>
    <row r="991" spans="1:5" ht="14.25" customHeight="1" x14ac:dyDescent="0.25">
      <c r="A991" s="31">
        <v>41769.5</v>
      </c>
      <c r="B991" s="32">
        <v>2149.3511236791601</v>
      </c>
      <c r="C991" s="33">
        <v>91.306666666666601</v>
      </c>
      <c r="D991" s="4">
        <v>5</v>
      </c>
      <c r="E991" s="4" t="s">
        <v>74</v>
      </c>
    </row>
    <row r="992" spans="1:5" ht="14.25" customHeight="1" x14ac:dyDescent="0.25">
      <c r="A992" s="31">
        <v>41770</v>
      </c>
      <c r="B992" s="32">
        <v>1762.31032626666</v>
      </c>
      <c r="C992" s="33">
        <v>90.8958333333333</v>
      </c>
      <c r="D992" s="4">
        <v>5</v>
      </c>
      <c r="E992" s="4" t="s">
        <v>74</v>
      </c>
    </row>
    <row r="993" spans="1:5" ht="14.25" customHeight="1" x14ac:dyDescent="0.25">
      <c r="A993" s="31">
        <v>41770.5</v>
      </c>
      <c r="B993" s="32">
        <v>2091.57613969166</v>
      </c>
      <c r="C993" s="33">
        <v>92.348333333333301</v>
      </c>
      <c r="D993" s="4">
        <v>5</v>
      </c>
      <c r="E993" s="4" t="s">
        <v>74</v>
      </c>
    </row>
    <row r="994" spans="1:5" ht="14.25" customHeight="1" x14ac:dyDescent="0.25">
      <c r="A994" s="31">
        <v>41771</v>
      </c>
      <c r="B994" s="32">
        <v>1767.7216455299899</v>
      </c>
      <c r="C994" s="33">
        <v>95.63</v>
      </c>
      <c r="D994" s="4">
        <v>5</v>
      </c>
      <c r="E994" s="4" t="s">
        <v>74</v>
      </c>
    </row>
    <row r="995" spans="1:5" ht="14.25" customHeight="1" x14ac:dyDescent="0.25">
      <c r="A995" s="31">
        <v>41771.5</v>
      </c>
      <c r="B995" s="32">
        <v>2194.2849347363599</v>
      </c>
      <c r="C995" s="33">
        <v>93.398181818181797</v>
      </c>
      <c r="D995" s="4">
        <v>5</v>
      </c>
      <c r="E995" s="4" t="s">
        <v>74</v>
      </c>
    </row>
    <row r="996" spans="1:5" ht="14.25" customHeight="1" x14ac:dyDescent="0.25">
      <c r="A996" s="31">
        <v>41772</v>
      </c>
      <c r="B996" s="32">
        <v>2256.8843618562501</v>
      </c>
      <c r="C996" s="33">
        <v>96.203749999999999</v>
      </c>
      <c r="D996" s="4">
        <v>5</v>
      </c>
      <c r="E996" s="4" t="s">
        <v>74</v>
      </c>
    </row>
    <row r="997" spans="1:5" ht="14.25" customHeight="1" x14ac:dyDescent="0.25">
      <c r="A997" s="31">
        <v>41772.5</v>
      </c>
      <c r="B997" s="32">
        <v>2440.1407365749901</v>
      </c>
      <c r="C997" s="33">
        <v>94.444166666666604</v>
      </c>
      <c r="D997" s="4">
        <v>5</v>
      </c>
      <c r="E997" s="4" t="s">
        <v>74</v>
      </c>
    </row>
    <row r="998" spans="1:5" ht="14.25" customHeight="1" x14ac:dyDescent="0.25">
      <c r="A998" s="31">
        <v>41773</v>
      </c>
      <c r="B998" s="32">
        <v>2054.2260679208298</v>
      </c>
      <c r="C998" s="33">
        <v>92.017499999999998</v>
      </c>
      <c r="D998" s="4">
        <v>5</v>
      </c>
      <c r="E998" s="4" t="s">
        <v>74</v>
      </c>
    </row>
    <row r="999" spans="1:5" ht="14.25" customHeight="1" x14ac:dyDescent="0.25">
      <c r="A999" s="31">
        <v>41773.5</v>
      </c>
      <c r="B999" s="32">
        <v>2363.7651461291598</v>
      </c>
      <c r="C999" s="33">
        <v>95.212499999999906</v>
      </c>
      <c r="D999" s="4">
        <v>5</v>
      </c>
      <c r="E999" s="4" t="s">
        <v>74</v>
      </c>
    </row>
    <row r="1000" spans="1:5" ht="14.25" customHeight="1" x14ac:dyDescent="0.25">
      <c r="A1000" s="31">
        <v>41774</v>
      </c>
      <c r="B1000" s="32">
        <v>2197.8695865333302</v>
      </c>
      <c r="C1000" s="33">
        <v>95.262222222222206</v>
      </c>
      <c r="D1000" s="4">
        <v>5</v>
      </c>
      <c r="E1000" s="4" t="s">
        <v>74</v>
      </c>
    </row>
    <row r="1001" spans="1:5" ht="14.25" customHeight="1" x14ac:dyDescent="0.25">
      <c r="A1001" s="31">
        <v>41774.5</v>
      </c>
      <c r="B1001" s="32">
        <v>2418.2252856916598</v>
      </c>
      <c r="C1001" s="33">
        <v>92.738333333333301</v>
      </c>
      <c r="D1001" s="4">
        <v>5</v>
      </c>
      <c r="E1001" s="4" t="s">
        <v>74</v>
      </c>
    </row>
    <row r="1002" spans="1:5" ht="14.25" customHeight="1" x14ac:dyDescent="0.25">
      <c r="A1002" s="31">
        <v>41775</v>
      </c>
      <c r="B1002" s="32">
        <v>2219.37749874375</v>
      </c>
      <c r="C1002" s="33">
        <v>96.783749999999998</v>
      </c>
      <c r="D1002" s="4">
        <v>5</v>
      </c>
      <c r="E1002" s="4" t="s">
        <v>74</v>
      </c>
    </row>
    <row r="1003" spans="1:5" ht="14.25" customHeight="1" x14ac:dyDescent="0.25">
      <c r="A1003" s="31">
        <v>41775.5</v>
      </c>
      <c r="B1003" s="32">
        <v>2426.06493250416</v>
      </c>
      <c r="C1003" s="33">
        <v>94.048333333333304</v>
      </c>
      <c r="D1003" s="4">
        <v>5</v>
      </c>
      <c r="E1003" s="4" t="s">
        <v>74</v>
      </c>
    </row>
    <row r="1004" spans="1:5" ht="14.25" customHeight="1" x14ac:dyDescent="0.25">
      <c r="A1004" s="31">
        <v>41776</v>
      </c>
      <c r="B1004" s="32">
        <v>2061.1680646954501</v>
      </c>
      <c r="C1004" s="33">
        <v>91.727272727272705</v>
      </c>
      <c r="D1004" s="4">
        <v>5</v>
      </c>
      <c r="E1004" s="4" t="s">
        <v>74</v>
      </c>
    </row>
    <row r="1005" spans="1:5" ht="14.25" customHeight="1" x14ac:dyDescent="0.25">
      <c r="A1005" s="31">
        <v>41776.5</v>
      </c>
      <c r="B1005" s="32">
        <v>2398.4183871208202</v>
      </c>
      <c r="C1005" s="33">
        <v>92.79</v>
      </c>
      <c r="D1005" s="4">
        <v>5</v>
      </c>
      <c r="E1005" s="4" t="s">
        <v>74</v>
      </c>
    </row>
    <row r="1006" spans="1:5" ht="14.25" customHeight="1" x14ac:dyDescent="0.25">
      <c r="A1006" s="31">
        <v>41777</v>
      </c>
      <c r="B1006" s="32">
        <v>1932.5191484818099</v>
      </c>
      <c r="C1006" s="33">
        <v>91.99</v>
      </c>
      <c r="D1006" s="4">
        <v>5</v>
      </c>
      <c r="E1006" s="4" t="s">
        <v>74</v>
      </c>
    </row>
    <row r="1007" spans="1:5" ht="14.25" customHeight="1" x14ac:dyDescent="0.25">
      <c r="A1007" s="31">
        <v>41777.5</v>
      </c>
      <c r="B1007" s="32">
        <v>2209.34832387499</v>
      </c>
      <c r="C1007" s="33">
        <v>90.05</v>
      </c>
      <c r="D1007" s="4">
        <v>5</v>
      </c>
      <c r="E1007" s="4" t="s">
        <v>74</v>
      </c>
    </row>
    <row r="1008" spans="1:5" ht="14.25" customHeight="1" x14ac:dyDescent="0.25">
      <c r="A1008" s="31">
        <v>41778</v>
      </c>
      <c r="B1008" s="32">
        <v>1804.0047631083301</v>
      </c>
      <c r="C1008" s="33">
        <v>93.491666666666603</v>
      </c>
      <c r="D1008" s="4">
        <v>5</v>
      </c>
      <c r="E1008" s="4" t="s">
        <v>74</v>
      </c>
    </row>
    <row r="1009" spans="1:5" ht="14.25" customHeight="1" x14ac:dyDescent="0.25">
      <c r="A1009" s="31">
        <v>41778.5</v>
      </c>
      <c r="B1009" s="32">
        <v>2239.4996949791598</v>
      </c>
      <c r="C1009" s="33">
        <v>90.999166666666596</v>
      </c>
      <c r="D1009" s="4">
        <v>5</v>
      </c>
      <c r="E1009" s="4" t="s">
        <v>74</v>
      </c>
    </row>
    <row r="1010" spans="1:5" ht="14.25" customHeight="1" x14ac:dyDescent="0.25">
      <c r="A1010" s="31">
        <v>41779</v>
      </c>
      <c r="B1010" s="32">
        <v>2215.2909385708299</v>
      </c>
      <c r="C1010" s="33">
        <v>93.266666666666595</v>
      </c>
      <c r="D1010" s="4">
        <v>5</v>
      </c>
      <c r="E1010" s="4" t="s">
        <v>74</v>
      </c>
    </row>
    <row r="1011" spans="1:5" ht="14.25" customHeight="1" x14ac:dyDescent="0.25">
      <c r="A1011" s="31">
        <v>41779.5</v>
      </c>
      <c r="B1011" s="32">
        <v>2526.5955351749899</v>
      </c>
      <c r="C1011" s="33">
        <v>91.999166666666596</v>
      </c>
      <c r="D1011" s="4">
        <v>5</v>
      </c>
      <c r="E1011" s="4" t="s">
        <v>74</v>
      </c>
    </row>
    <row r="1012" spans="1:5" ht="14.25" customHeight="1" x14ac:dyDescent="0.25">
      <c r="A1012" s="31">
        <v>41780</v>
      </c>
      <c r="B1012" s="32">
        <v>2102.5246024374901</v>
      </c>
      <c r="C1012" s="33">
        <v>90.307500000000005</v>
      </c>
      <c r="D1012" s="4">
        <v>5</v>
      </c>
      <c r="E1012" s="4" t="s">
        <v>74</v>
      </c>
    </row>
    <row r="1013" spans="1:5" ht="14.25" customHeight="1" x14ac:dyDescent="0.25">
      <c r="A1013" s="31">
        <v>41780.5</v>
      </c>
      <c r="B1013" s="32">
        <v>2350.89282996666</v>
      </c>
      <c r="C1013" s="33">
        <v>91.424166666666594</v>
      </c>
      <c r="D1013" s="4">
        <v>5</v>
      </c>
      <c r="E1013" s="4" t="s">
        <v>74</v>
      </c>
    </row>
    <row r="1014" spans="1:5" ht="14.25" customHeight="1" x14ac:dyDescent="0.25">
      <c r="A1014" s="31">
        <v>41781</v>
      </c>
      <c r="B1014" s="32">
        <v>2121.1059986833302</v>
      </c>
      <c r="C1014" s="33">
        <v>92.987499999999997</v>
      </c>
      <c r="D1014" s="4">
        <v>5</v>
      </c>
      <c r="E1014" s="4" t="s">
        <v>74</v>
      </c>
    </row>
    <row r="1015" spans="1:5" ht="14.25" customHeight="1" x14ac:dyDescent="0.25">
      <c r="A1015" s="31">
        <v>41781.5</v>
      </c>
      <c r="B1015" s="32">
        <v>2473.74528315416</v>
      </c>
      <c r="C1015" s="33">
        <v>96.709166666666604</v>
      </c>
      <c r="D1015" s="4">
        <v>5</v>
      </c>
      <c r="E1015" s="4" t="s">
        <v>74</v>
      </c>
    </row>
    <row r="1016" spans="1:5" ht="14.25" customHeight="1" x14ac:dyDescent="0.25">
      <c r="A1016" s="31">
        <v>41782</v>
      </c>
      <c r="B1016" s="32">
        <v>2153.7002823791599</v>
      </c>
      <c r="C1016" s="33">
        <v>94.152500000000003</v>
      </c>
      <c r="D1016" s="4">
        <v>5</v>
      </c>
      <c r="E1016" s="4" t="s">
        <v>74</v>
      </c>
    </row>
    <row r="1017" spans="1:5" ht="14.25" customHeight="1" x14ac:dyDescent="0.25">
      <c r="A1017" s="31">
        <v>41782.5</v>
      </c>
      <c r="B1017" s="32">
        <v>2502.3010268374901</v>
      </c>
      <c r="C1017" s="33">
        <v>94.873333333333306</v>
      </c>
      <c r="D1017" s="4">
        <v>5</v>
      </c>
      <c r="E1017" s="4" t="s">
        <v>74</v>
      </c>
    </row>
    <row r="1018" spans="1:5" ht="14.25" customHeight="1" x14ac:dyDescent="0.25">
      <c r="A1018" s="31">
        <v>41783</v>
      </c>
      <c r="B1018" s="32">
        <v>2305.6693803666599</v>
      </c>
      <c r="C1018" s="33">
        <v>95.133333333333297</v>
      </c>
      <c r="D1018" s="4">
        <v>5</v>
      </c>
      <c r="E1018" s="4" t="s">
        <v>74</v>
      </c>
    </row>
    <row r="1019" spans="1:5" ht="14.25" customHeight="1" x14ac:dyDescent="0.25">
      <c r="A1019" s="31">
        <v>41783.5</v>
      </c>
      <c r="B1019" s="32">
        <v>2412.1884145583299</v>
      </c>
      <c r="C1019" s="33">
        <v>93.0208333333333</v>
      </c>
      <c r="D1019" s="4">
        <v>5</v>
      </c>
      <c r="E1019" s="4" t="s">
        <v>74</v>
      </c>
    </row>
    <row r="1020" spans="1:5" ht="14.25" customHeight="1" x14ac:dyDescent="0.25">
      <c r="A1020" s="31">
        <v>41784</v>
      </c>
      <c r="B1020" s="32">
        <v>2151.8897925285601</v>
      </c>
      <c r="C1020" s="33">
        <v>96.294285714285706</v>
      </c>
      <c r="D1020" s="4">
        <v>5</v>
      </c>
      <c r="E1020" s="4" t="s">
        <v>74</v>
      </c>
    </row>
    <row r="1021" spans="1:5" ht="14.25" customHeight="1" x14ac:dyDescent="0.25">
      <c r="A1021" s="31">
        <v>41784.5</v>
      </c>
      <c r="B1021" s="32">
        <v>2256.65196733333</v>
      </c>
      <c r="C1021" s="33">
        <v>94.922499999999999</v>
      </c>
      <c r="D1021" s="4">
        <v>5</v>
      </c>
      <c r="E1021" s="4" t="s">
        <v>74</v>
      </c>
    </row>
    <row r="1022" spans="1:5" ht="14.25" customHeight="1" x14ac:dyDescent="0.25">
      <c r="A1022" s="31">
        <v>41785</v>
      </c>
      <c r="B1022" s="32">
        <v>1836.86610517083</v>
      </c>
      <c r="C1022" s="33">
        <v>92.642499999999998</v>
      </c>
      <c r="D1022" s="4">
        <v>5</v>
      </c>
      <c r="E1022" s="4" t="s">
        <v>74</v>
      </c>
    </row>
    <row r="1023" spans="1:5" ht="14.25" customHeight="1" x14ac:dyDescent="0.25">
      <c r="A1023" s="31">
        <v>41785.5</v>
      </c>
      <c r="B1023" s="32">
        <v>2239.7297245291602</v>
      </c>
      <c r="C1023" s="33">
        <v>93.298333333333304</v>
      </c>
      <c r="D1023" s="4">
        <v>5</v>
      </c>
      <c r="E1023" s="4" t="s">
        <v>74</v>
      </c>
    </row>
    <row r="1024" spans="1:5" ht="14.25" customHeight="1" x14ac:dyDescent="0.25">
      <c r="A1024" s="31">
        <v>41786</v>
      </c>
      <c r="B1024" s="32">
        <v>2140.23545285416</v>
      </c>
      <c r="C1024" s="33">
        <v>90.047499999999999</v>
      </c>
      <c r="D1024" s="4">
        <v>5</v>
      </c>
      <c r="E1024" s="4" t="s">
        <v>74</v>
      </c>
    </row>
    <row r="1025" spans="1:5" ht="14.25" customHeight="1" x14ac:dyDescent="0.25">
      <c r="A1025" s="31">
        <v>41786.5</v>
      </c>
      <c r="B1025" s="32">
        <v>2506.3152242749902</v>
      </c>
      <c r="C1025" s="33">
        <v>93.348333333333301</v>
      </c>
      <c r="D1025" s="4">
        <v>5</v>
      </c>
      <c r="E1025" s="4" t="s">
        <v>74</v>
      </c>
    </row>
    <row r="1026" spans="1:5" ht="14.25" customHeight="1" x14ac:dyDescent="0.25">
      <c r="A1026" s="31">
        <v>41787</v>
      </c>
      <c r="B1026" s="32">
        <v>2137.7923270874899</v>
      </c>
      <c r="C1026" s="33">
        <v>91.872500000000002</v>
      </c>
      <c r="D1026" s="4">
        <v>5</v>
      </c>
      <c r="E1026" s="4" t="s">
        <v>74</v>
      </c>
    </row>
    <row r="1027" spans="1:5" ht="14.25" customHeight="1" x14ac:dyDescent="0.25">
      <c r="A1027" s="31">
        <v>41787.5</v>
      </c>
      <c r="B1027" s="32">
        <v>2460.35066638749</v>
      </c>
      <c r="C1027" s="33">
        <v>89.765833333333305</v>
      </c>
      <c r="D1027" s="4">
        <v>5</v>
      </c>
      <c r="E1027" s="4" t="s">
        <v>74</v>
      </c>
    </row>
    <row r="1028" spans="1:5" ht="14.25" customHeight="1" x14ac:dyDescent="0.25">
      <c r="A1028" s="31">
        <v>41788</v>
      </c>
      <c r="B1028" s="32">
        <v>2122.5202968374902</v>
      </c>
      <c r="C1028" s="33">
        <v>93.4583333333333</v>
      </c>
      <c r="D1028" s="4">
        <v>5</v>
      </c>
      <c r="E1028" s="4" t="s">
        <v>74</v>
      </c>
    </row>
    <row r="1029" spans="1:5" ht="14.25" customHeight="1" x14ac:dyDescent="0.25">
      <c r="A1029" s="31">
        <v>41788.5</v>
      </c>
      <c r="B1029" s="32">
        <v>2413.4504149291602</v>
      </c>
      <c r="C1029" s="33">
        <v>91.805833333333297</v>
      </c>
      <c r="D1029" s="4">
        <v>5</v>
      </c>
      <c r="E1029" s="4" t="s">
        <v>74</v>
      </c>
    </row>
    <row r="1030" spans="1:5" ht="14.25" customHeight="1" x14ac:dyDescent="0.25">
      <c r="A1030" s="31">
        <v>41789</v>
      </c>
      <c r="B1030" s="32">
        <v>2454.0782498888798</v>
      </c>
      <c r="C1030" s="33">
        <v>94.952222222222204</v>
      </c>
      <c r="D1030" s="4">
        <v>5</v>
      </c>
      <c r="E1030" s="4" t="s">
        <v>74</v>
      </c>
    </row>
    <row r="1031" spans="1:5" ht="14.25" customHeight="1" x14ac:dyDescent="0.25">
      <c r="A1031" s="31">
        <v>41789.5</v>
      </c>
      <c r="B1031" s="32">
        <v>2702.1822030666599</v>
      </c>
      <c r="C1031" s="33">
        <v>95.894166666666607</v>
      </c>
      <c r="D1031" s="4">
        <v>5</v>
      </c>
      <c r="E1031" s="4" t="s">
        <v>74</v>
      </c>
    </row>
    <row r="1032" spans="1:5" ht="14.25" customHeight="1" x14ac:dyDescent="0.25">
      <c r="A1032" s="31">
        <v>41790</v>
      </c>
      <c r="B1032" s="32">
        <v>2678.7584678062399</v>
      </c>
      <c r="C1032" s="33">
        <v>90.924999999999997</v>
      </c>
      <c r="D1032" s="4">
        <v>5</v>
      </c>
      <c r="E1032" s="4" t="s">
        <v>74</v>
      </c>
    </row>
    <row r="1033" spans="1:5" ht="14.25" customHeight="1" x14ac:dyDescent="0.25">
      <c r="A1033" s="31">
        <v>41790.5</v>
      </c>
      <c r="B1033" s="32">
        <v>2736.0415722318098</v>
      </c>
      <c r="C1033" s="33">
        <v>91.3272727272727</v>
      </c>
      <c r="D1033" s="4">
        <v>5</v>
      </c>
      <c r="E1033" s="4" t="s">
        <v>74</v>
      </c>
    </row>
    <row r="1034" spans="1:5" ht="14.25" customHeight="1" x14ac:dyDescent="0.25">
      <c r="A1034" s="31">
        <v>41791</v>
      </c>
      <c r="B1034" s="32">
        <v>2425.2262150699898</v>
      </c>
      <c r="C1034" s="33">
        <v>89.527999999999906</v>
      </c>
      <c r="D1034" s="4">
        <v>6</v>
      </c>
      <c r="E1034" s="4" t="s">
        <v>74</v>
      </c>
    </row>
    <row r="1035" spans="1:5" ht="14.25" customHeight="1" x14ac:dyDescent="0.25">
      <c r="A1035" s="31">
        <v>41791.5</v>
      </c>
      <c r="B1035" s="32">
        <v>2471.2303256999899</v>
      </c>
      <c r="C1035" s="33">
        <v>95.992499999999893</v>
      </c>
      <c r="D1035" s="4">
        <v>6</v>
      </c>
      <c r="E1035" s="4" t="s">
        <v>74</v>
      </c>
    </row>
    <row r="1036" spans="1:5" ht="14.25" customHeight="1" x14ac:dyDescent="0.25">
      <c r="A1036" s="31">
        <v>41792</v>
      </c>
      <c r="B1036" s="32">
        <v>2015.5064658958299</v>
      </c>
      <c r="C1036" s="33">
        <v>95.757499999999993</v>
      </c>
      <c r="D1036" s="4">
        <v>6</v>
      </c>
      <c r="E1036" s="4" t="s">
        <v>74</v>
      </c>
    </row>
    <row r="1037" spans="1:5" ht="14.25" customHeight="1" x14ac:dyDescent="0.25">
      <c r="A1037" s="31">
        <v>41792.5</v>
      </c>
      <c r="B1037" s="32">
        <v>2465.7789927958302</v>
      </c>
      <c r="C1037" s="33">
        <v>88.090833333333293</v>
      </c>
      <c r="D1037" s="4">
        <v>6</v>
      </c>
      <c r="E1037" s="4" t="s">
        <v>74</v>
      </c>
    </row>
    <row r="1038" spans="1:5" ht="14.25" customHeight="1" x14ac:dyDescent="0.25">
      <c r="A1038" s="31">
        <v>41793</v>
      </c>
      <c r="B1038" s="32">
        <v>1971.19641015555</v>
      </c>
      <c r="C1038" s="33">
        <v>91.118888888888804</v>
      </c>
      <c r="D1038" s="4">
        <v>6</v>
      </c>
      <c r="E1038" s="4" t="s">
        <v>74</v>
      </c>
    </row>
    <row r="1039" spans="1:5" ht="14.25" customHeight="1" x14ac:dyDescent="0.25">
      <c r="A1039" s="31">
        <v>41793.5</v>
      </c>
      <c r="B1039" s="32">
        <v>2330.57700935</v>
      </c>
      <c r="C1039" s="33">
        <v>88.774166666666602</v>
      </c>
      <c r="D1039" s="4">
        <v>6</v>
      </c>
      <c r="E1039" s="4" t="s">
        <v>74</v>
      </c>
    </row>
    <row r="1040" spans="1:5" ht="14.25" customHeight="1" x14ac:dyDescent="0.25">
      <c r="A1040" s="31">
        <v>41794</v>
      </c>
      <c r="B1040" s="32">
        <v>2225.8439881541599</v>
      </c>
      <c r="C1040" s="33">
        <v>91.893333333333302</v>
      </c>
      <c r="D1040" s="4">
        <v>6</v>
      </c>
      <c r="E1040" s="4" t="s">
        <v>74</v>
      </c>
    </row>
    <row r="1041" spans="1:5" ht="14.25" customHeight="1" x14ac:dyDescent="0.25">
      <c r="A1041" s="31">
        <v>41794.5</v>
      </c>
      <c r="B1041" s="32">
        <v>2563.3973150874899</v>
      </c>
      <c r="C1041" s="33">
        <v>91.952500000000001</v>
      </c>
      <c r="D1041" s="4">
        <v>6</v>
      </c>
      <c r="E1041" s="4" t="s">
        <v>74</v>
      </c>
    </row>
    <row r="1042" spans="1:5" ht="14.25" customHeight="1" x14ac:dyDescent="0.25">
      <c r="A1042" s="31">
        <v>41795</v>
      </c>
      <c r="B1042" s="32">
        <v>2178.5005601166599</v>
      </c>
      <c r="C1042" s="33">
        <v>94.504999999999995</v>
      </c>
      <c r="D1042" s="4">
        <v>6</v>
      </c>
      <c r="E1042" s="4" t="s">
        <v>74</v>
      </c>
    </row>
    <row r="1043" spans="1:5" ht="14.25" customHeight="1" x14ac:dyDescent="0.25">
      <c r="A1043" s="31">
        <v>41795.5</v>
      </c>
      <c r="B1043" s="32">
        <v>2503.8253872708201</v>
      </c>
      <c r="C1043" s="33">
        <v>91.514999999999901</v>
      </c>
      <c r="D1043" s="4">
        <v>6</v>
      </c>
      <c r="E1043" s="4" t="s">
        <v>74</v>
      </c>
    </row>
    <row r="1044" spans="1:5" ht="14.25" customHeight="1" x14ac:dyDescent="0.25">
      <c r="A1044" s="31">
        <v>41796</v>
      </c>
      <c r="B1044" s="32">
        <v>2083.68529156666</v>
      </c>
      <c r="C1044" s="33">
        <v>92.745000000000005</v>
      </c>
      <c r="D1044" s="4">
        <v>6</v>
      </c>
      <c r="E1044" s="4" t="s">
        <v>74</v>
      </c>
    </row>
    <row r="1045" spans="1:5" ht="14.25" customHeight="1" x14ac:dyDescent="0.25">
      <c r="A1045" s="31">
        <v>41796.5</v>
      </c>
      <c r="B1045" s="32">
        <v>2555.2738623083301</v>
      </c>
      <c r="C1045" s="33">
        <v>89.092499999999902</v>
      </c>
      <c r="D1045" s="4">
        <v>6</v>
      </c>
      <c r="E1045" s="4" t="s">
        <v>74</v>
      </c>
    </row>
    <row r="1046" spans="1:5" ht="14.25" customHeight="1" x14ac:dyDescent="0.25">
      <c r="A1046" s="31">
        <v>41797</v>
      </c>
      <c r="B1046" s="32">
        <v>2183.7037006874998</v>
      </c>
      <c r="C1046" s="33">
        <v>98.242499999999893</v>
      </c>
      <c r="D1046" s="4">
        <v>6</v>
      </c>
      <c r="E1046" s="4" t="s">
        <v>74</v>
      </c>
    </row>
    <row r="1047" spans="1:5" ht="14.25" customHeight="1" x14ac:dyDescent="0.25">
      <c r="A1047" s="31">
        <v>41797.5</v>
      </c>
      <c r="B1047" s="32">
        <v>2578.8708050083301</v>
      </c>
      <c r="C1047" s="33">
        <v>93.010833333333295</v>
      </c>
      <c r="D1047" s="4">
        <v>6</v>
      </c>
      <c r="E1047" s="4" t="s">
        <v>74</v>
      </c>
    </row>
    <row r="1048" spans="1:5" ht="14.25" customHeight="1" x14ac:dyDescent="0.25">
      <c r="A1048" s="31">
        <v>41798</v>
      </c>
      <c r="B1048" s="32">
        <v>2021.06139560833</v>
      </c>
      <c r="C1048" s="33">
        <v>92.356666666666598</v>
      </c>
      <c r="D1048" s="4">
        <v>6</v>
      </c>
      <c r="E1048" s="4" t="s">
        <v>74</v>
      </c>
    </row>
    <row r="1049" spans="1:5" ht="14.25" customHeight="1" x14ac:dyDescent="0.25">
      <c r="A1049" s="31">
        <v>41798.5</v>
      </c>
      <c r="B1049" s="32">
        <v>2307.6349154958298</v>
      </c>
      <c r="C1049" s="33">
        <v>93.078333333333305</v>
      </c>
      <c r="D1049" s="4">
        <v>6</v>
      </c>
      <c r="E1049" s="4" t="s">
        <v>74</v>
      </c>
    </row>
    <row r="1050" spans="1:5" ht="14.25" customHeight="1" x14ac:dyDescent="0.25">
      <c r="A1050" s="31">
        <v>41799</v>
      </c>
      <c r="B1050" s="32">
        <v>1877.57732694583</v>
      </c>
      <c r="C1050" s="33">
        <v>92.907499999999899</v>
      </c>
      <c r="D1050" s="4">
        <v>6</v>
      </c>
      <c r="E1050" s="4" t="s">
        <v>74</v>
      </c>
    </row>
    <row r="1051" spans="1:5" ht="14.25" customHeight="1" x14ac:dyDescent="0.25">
      <c r="A1051" s="31">
        <v>41799.5</v>
      </c>
      <c r="B1051" s="32">
        <v>2290.7028185624899</v>
      </c>
      <c r="C1051" s="33">
        <v>92.074999999999903</v>
      </c>
      <c r="D1051" s="4">
        <v>6</v>
      </c>
      <c r="E1051" s="4" t="s">
        <v>74</v>
      </c>
    </row>
    <row r="1052" spans="1:5" ht="14.25" customHeight="1" x14ac:dyDescent="0.25">
      <c r="A1052" s="31">
        <v>41800</v>
      </c>
      <c r="B1052" s="32">
        <v>2201.9893836583301</v>
      </c>
      <c r="C1052" s="33">
        <v>90.574166666666599</v>
      </c>
      <c r="D1052" s="4">
        <v>6</v>
      </c>
      <c r="E1052" s="4" t="s">
        <v>74</v>
      </c>
    </row>
    <row r="1053" spans="1:5" ht="14.25" customHeight="1" x14ac:dyDescent="0.25">
      <c r="A1053" s="31">
        <v>41800.5</v>
      </c>
      <c r="B1053" s="32">
        <v>2536.5788713624902</v>
      </c>
      <c r="C1053" s="33">
        <v>91.566666666666606</v>
      </c>
      <c r="D1053" s="4">
        <v>6</v>
      </c>
      <c r="E1053" s="4" t="s">
        <v>74</v>
      </c>
    </row>
    <row r="1054" spans="1:5" ht="14.25" customHeight="1" x14ac:dyDescent="0.25">
      <c r="A1054" s="31">
        <v>41801</v>
      </c>
      <c r="B1054" s="32">
        <v>2227.0405394958302</v>
      </c>
      <c r="C1054" s="33">
        <v>90.649999999999906</v>
      </c>
      <c r="D1054" s="4">
        <v>6</v>
      </c>
      <c r="E1054" s="4" t="s">
        <v>74</v>
      </c>
    </row>
    <row r="1055" spans="1:5" ht="14.25" customHeight="1" x14ac:dyDescent="0.25">
      <c r="A1055" s="31">
        <v>41801.5</v>
      </c>
      <c r="B1055" s="32">
        <v>2665.6304535374902</v>
      </c>
      <c r="C1055" s="33">
        <v>93.179999999999893</v>
      </c>
      <c r="D1055" s="4">
        <v>6</v>
      </c>
      <c r="E1055" s="4" t="s">
        <v>74</v>
      </c>
    </row>
    <row r="1056" spans="1:5" ht="14.25" customHeight="1" x14ac:dyDescent="0.25">
      <c r="A1056" s="31">
        <v>41802</v>
      </c>
      <c r="B1056" s="32">
        <v>2358.7919673049901</v>
      </c>
      <c r="C1056" s="33">
        <v>92.728999999999999</v>
      </c>
      <c r="D1056" s="4">
        <v>6</v>
      </c>
      <c r="E1056" s="4" t="s">
        <v>74</v>
      </c>
    </row>
    <row r="1057" spans="1:5" ht="14.25" customHeight="1" x14ac:dyDescent="0.25">
      <c r="A1057" s="31">
        <v>41802.5</v>
      </c>
      <c r="B1057" s="32">
        <v>2582.399825</v>
      </c>
      <c r="C1057" s="33">
        <v>91.346666666666593</v>
      </c>
      <c r="D1057" s="4">
        <v>6</v>
      </c>
      <c r="E1057" s="4" t="s">
        <v>74</v>
      </c>
    </row>
    <row r="1058" spans="1:5" ht="14.25" customHeight="1" x14ac:dyDescent="0.25">
      <c r="A1058" s="31">
        <v>41803</v>
      </c>
      <c r="B1058" s="32">
        <v>2205.4939439708301</v>
      </c>
      <c r="C1058" s="33">
        <v>97.366666666666603</v>
      </c>
      <c r="D1058" s="4">
        <v>6</v>
      </c>
      <c r="E1058" s="4" t="s">
        <v>74</v>
      </c>
    </row>
    <row r="1059" spans="1:5" ht="14.25" customHeight="1" x14ac:dyDescent="0.25">
      <c r="A1059" s="31">
        <v>41803.5</v>
      </c>
      <c r="B1059" s="32">
        <v>2531.0467592124901</v>
      </c>
      <c r="C1059" s="33">
        <v>90.375833333333304</v>
      </c>
      <c r="D1059" s="4">
        <v>6</v>
      </c>
      <c r="E1059" s="4" t="s">
        <v>74</v>
      </c>
    </row>
    <row r="1060" spans="1:5" ht="14.25" customHeight="1" x14ac:dyDescent="0.25">
      <c r="A1060" s="31">
        <v>41804</v>
      </c>
      <c r="B1060" s="32">
        <v>2264.1822469833301</v>
      </c>
      <c r="C1060" s="33">
        <v>87.474999999999994</v>
      </c>
      <c r="D1060" s="4">
        <v>6</v>
      </c>
      <c r="E1060" s="4" t="s">
        <v>74</v>
      </c>
    </row>
    <row r="1061" spans="1:5" ht="14.25" customHeight="1" x14ac:dyDescent="0.25">
      <c r="A1061" s="31">
        <v>41804.5</v>
      </c>
      <c r="B1061" s="32">
        <v>2578.9773850833299</v>
      </c>
      <c r="C1061" s="33">
        <v>94.589999999999904</v>
      </c>
      <c r="D1061" s="4">
        <v>6</v>
      </c>
      <c r="E1061" s="4" t="s">
        <v>74</v>
      </c>
    </row>
    <row r="1062" spans="1:5" ht="14.25" customHeight="1" x14ac:dyDescent="0.25">
      <c r="A1062" s="31">
        <v>41805</v>
      </c>
      <c r="B1062" s="32">
        <v>2073.3362390083298</v>
      </c>
      <c r="C1062" s="33">
        <v>92.352500000000006</v>
      </c>
      <c r="D1062" s="4">
        <v>6</v>
      </c>
      <c r="E1062" s="4" t="s">
        <v>74</v>
      </c>
    </row>
    <row r="1063" spans="1:5" ht="14.25" customHeight="1" x14ac:dyDescent="0.25">
      <c r="A1063" s="31">
        <v>41805.5</v>
      </c>
      <c r="B1063" s="32">
        <v>2549.9073886291599</v>
      </c>
      <c r="C1063" s="33">
        <v>93.919166666666598</v>
      </c>
      <c r="D1063" s="4">
        <v>6</v>
      </c>
      <c r="E1063" s="4" t="s">
        <v>74</v>
      </c>
    </row>
    <row r="1064" spans="1:5" ht="14.25" customHeight="1" x14ac:dyDescent="0.25">
      <c r="A1064" s="31">
        <v>41806</v>
      </c>
      <c r="B1064" s="32">
        <v>2066.1066521041598</v>
      </c>
      <c r="C1064" s="33">
        <v>92.703333333333305</v>
      </c>
      <c r="D1064" s="4">
        <v>6</v>
      </c>
      <c r="E1064" s="4" t="s">
        <v>74</v>
      </c>
    </row>
    <row r="1065" spans="1:5" ht="14.25" customHeight="1" x14ac:dyDescent="0.25">
      <c r="A1065" s="31">
        <v>41806.5</v>
      </c>
      <c r="B1065" s="32">
        <v>2391.6909986791602</v>
      </c>
      <c r="C1065" s="33">
        <v>89.927499999999995</v>
      </c>
      <c r="D1065" s="4">
        <v>6</v>
      </c>
      <c r="E1065" s="4" t="s">
        <v>74</v>
      </c>
    </row>
    <row r="1066" spans="1:5" ht="14.25" customHeight="1" x14ac:dyDescent="0.25">
      <c r="A1066" s="31">
        <v>41807</v>
      </c>
      <c r="B1066" s="32">
        <v>2231.3980455291598</v>
      </c>
      <c r="C1066" s="33">
        <v>92.654999999999902</v>
      </c>
      <c r="D1066" s="4">
        <v>6</v>
      </c>
      <c r="E1066" s="4" t="s">
        <v>74</v>
      </c>
    </row>
    <row r="1067" spans="1:5" ht="14.25" customHeight="1" x14ac:dyDescent="0.25">
      <c r="A1067" s="31">
        <v>41807.5</v>
      </c>
      <c r="B1067" s="32">
        <v>2742.09098012499</v>
      </c>
      <c r="C1067" s="33">
        <v>93.805833333333297</v>
      </c>
      <c r="D1067" s="4">
        <v>6</v>
      </c>
      <c r="E1067" s="4" t="s">
        <v>74</v>
      </c>
    </row>
    <row r="1068" spans="1:5" ht="14.25" customHeight="1" x14ac:dyDescent="0.25">
      <c r="A1068" s="31">
        <v>41808</v>
      </c>
      <c r="B1068" s="32">
        <v>2318.3316843083298</v>
      </c>
      <c r="C1068" s="33">
        <v>91.402500000000003</v>
      </c>
      <c r="D1068" s="4">
        <v>6</v>
      </c>
      <c r="E1068" s="4" t="s">
        <v>74</v>
      </c>
    </row>
    <row r="1069" spans="1:5" ht="14.25" customHeight="1" x14ac:dyDescent="0.25">
      <c r="A1069" s="31">
        <v>41808.5</v>
      </c>
      <c r="B1069" s="32">
        <v>2765.9187628833301</v>
      </c>
      <c r="C1069" s="33">
        <v>92.496666666666599</v>
      </c>
      <c r="D1069" s="4">
        <v>6</v>
      </c>
      <c r="E1069" s="4" t="s">
        <v>74</v>
      </c>
    </row>
    <row r="1070" spans="1:5" ht="14.25" customHeight="1" x14ac:dyDescent="0.25">
      <c r="A1070" s="31">
        <v>41809</v>
      </c>
      <c r="B1070" s="32">
        <v>2283.41872064166</v>
      </c>
      <c r="C1070" s="33">
        <v>90.926666666666605</v>
      </c>
      <c r="D1070" s="4">
        <v>6</v>
      </c>
      <c r="E1070" s="4" t="s">
        <v>74</v>
      </c>
    </row>
    <row r="1071" spans="1:5" ht="14.25" customHeight="1" x14ac:dyDescent="0.25">
      <c r="A1071" s="31">
        <v>41809.5</v>
      </c>
      <c r="B1071" s="32">
        <v>2579.1935956208299</v>
      </c>
      <c r="C1071" s="33">
        <v>95.913333333333298</v>
      </c>
      <c r="D1071" s="4">
        <v>6</v>
      </c>
      <c r="E1071" s="4" t="s">
        <v>74</v>
      </c>
    </row>
    <row r="1072" spans="1:5" ht="14.25" customHeight="1" x14ac:dyDescent="0.25">
      <c r="A1072" s="31">
        <v>41810</v>
      </c>
      <c r="B1072" s="32">
        <v>2345.47395315833</v>
      </c>
      <c r="C1072" s="33">
        <v>92.822500000000005</v>
      </c>
      <c r="D1072" s="4">
        <v>6</v>
      </c>
      <c r="E1072" s="4" t="s">
        <v>74</v>
      </c>
    </row>
    <row r="1073" spans="1:5" ht="14.25" customHeight="1" x14ac:dyDescent="0.25">
      <c r="A1073" s="31">
        <v>41810.5</v>
      </c>
      <c r="B1073" s="32">
        <v>2774.09424652499</v>
      </c>
      <c r="C1073" s="33">
        <v>93.805833333333297</v>
      </c>
      <c r="D1073" s="4">
        <v>6</v>
      </c>
      <c r="E1073" s="4" t="s">
        <v>74</v>
      </c>
    </row>
    <row r="1074" spans="1:5" ht="14.25" customHeight="1" x14ac:dyDescent="0.25">
      <c r="A1074" s="31">
        <v>41811</v>
      </c>
      <c r="B1074" s="32">
        <v>2511.9457208888798</v>
      </c>
      <c r="C1074" s="33">
        <v>96.0555555555555</v>
      </c>
      <c r="D1074" s="4">
        <v>6</v>
      </c>
      <c r="E1074" s="4" t="s">
        <v>74</v>
      </c>
    </row>
    <row r="1075" spans="1:5" ht="14.25" customHeight="1" x14ac:dyDescent="0.25">
      <c r="A1075" s="31">
        <v>41811.5</v>
      </c>
      <c r="B1075" s="32">
        <v>2589.7789234666602</v>
      </c>
      <c r="C1075" s="33">
        <v>91.576666666666597</v>
      </c>
      <c r="D1075" s="4">
        <v>6</v>
      </c>
      <c r="E1075" s="4" t="s">
        <v>74</v>
      </c>
    </row>
    <row r="1076" spans="1:5" ht="14.25" customHeight="1" x14ac:dyDescent="0.25">
      <c r="A1076" s="31">
        <v>41812</v>
      </c>
      <c r="B1076" s="32">
        <v>2260.8152649937501</v>
      </c>
      <c r="C1076" s="33">
        <v>90.302499999999995</v>
      </c>
      <c r="D1076" s="4">
        <v>6</v>
      </c>
      <c r="E1076" s="4" t="s">
        <v>74</v>
      </c>
    </row>
    <row r="1077" spans="1:5" ht="14.25" customHeight="1" x14ac:dyDescent="0.25">
      <c r="A1077" s="31">
        <v>41812.5</v>
      </c>
      <c r="B1077" s="32">
        <v>2314.3122076</v>
      </c>
      <c r="C1077" s="33">
        <v>93.009166666666601</v>
      </c>
      <c r="D1077" s="4">
        <v>6</v>
      </c>
      <c r="E1077" s="4" t="s">
        <v>74</v>
      </c>
    </row>
    <row r="1078" spans="1:5" ht="14.25" customHeight="1" x14ac:dyDescent="0.25">
      <c r="A1078" s="31">
        <v>41813</v>
      </c>
      <c r="B1078" s="32">
        <v>2167.0786755899899</v>
      </c>
      <c r="C1078" s="33">
        <v>95.102000000000004</v>
      </c>
      <c r="D1078" s="4">
        <v>6</v>
      </c>
      <c r="E1078" s="4" t="s">
        <v>74</v>
      </c>
    </row>
    <row r="1079" spans="1:5" ht="14.25" customHeight="1" x14ac:dyDescent="0.25">
      <c r="A1079" s="31">
        <v>41813.5</v>
      </c>
      <c r="B1079" s="32">
        <v>2499.29126914166</v>
      </c>
      <c r="C1079" s="33">
        <v>93.831666666666607</v>
      </c>
      <c r="D1079" s="4">
        <v>6</v>
      </c>
      <c r="E1079" s="4" t="s">
        <v>74</v>
      </c>
    </row>
    <row r="1080" spans="1:5" ht="14.25" customHeight="1" x14ac:dyDescent="0.25">
      <c r="A1080" s="31">
        <v>41814</v>
      </c>
      <c r="B1080" s="32">
        <v>2245.5092780908999</v>
      </c>
      <c r="C1080" s="33">
        <v>92.270909090909001</v>
      </c>
      <c r="D1080" s="4">
        <v>6</v>
      </c>
      <c r="E1080" s="4" t="s">
        <v>74</v>
      </c>
    </row>
    <row r="1081" spans="1:5" ht="14.25" customHeight="1" x14ac:dyDescent="0.25">
      <c r="A1081" s="31">
        <v>41814.5</v>
      </c>
      <c r="B1081" s="32">
        <v>2493.59503287083</v>
      </c>
      <c r="C1081" s="33">
        <v>95.849166666666605</v>
      </c>
      <c r="D1081" s="4">
        <v>6</v>
      </c>
      <c r="E1081" s="4" t="s">
        <v>74</v>
      </c>
    </row>
    <row r="1082" spans="1:5" ht="14.25" customHeight="1" x14ac:dyDescent="0.25">
      <c r="A1082" s="31">
        <v>41815</v>
      </c>
      <c r="B1082" s="32">
        <v>2274.4805100541598</v>
      </c>
      <c r="C1082" s="33">
        <v>92.894999999999897</v>
      </c>
      <c r="D1082" s="4">
        <v>6</v>
      </c>
      <c r="E1082" s="4" t="s">
        <v>74</v>
      </c>
    </row>
    <row r="1083" spans="1:5" ht="14.25" customHeight="1" x14ac:dyDescent="0.25">
      <c r="A1083" s="31">
        <v>41815.5</v>
      </c>
      <c r="B1083" s="32">
        <v>2519.4081521583298</v>
      </c>
      <c r="C1083" s="33">
        <v>97.459166666666604</v>
      </c>
      <c r="D1083" s="4">
        <v>6</v>
      </c>
      <c r="E1083" s="4" t="s">
        <v>74</v>
      </c>
    </row>
    <row r="1084" spans="1:5" ht="14.25" customHeight="1" x14ac:dyDescent="0.25">
      <c r="A1084" s="31">
        <v>41816</v>
      </c>
      <c r="B1084" s="32">
        <v>2344.2071731041601</v>
      </c>
      <c r="C1084" s="33">
        <v>90.898333333333298</v>
      </c>
      <c r="D1084" s="4">
        <v>6</v>
      </c>
      <c r="E1084" s="4" t="s">
        <v>74</v>
      </c>
    </row>
    <row r="1085" spans="1:5" ht="14.25" customHeight="1" x14ac:dyDescent="0.25">
      <c r="A1085" s="31">
        <v>41816.5</v>
      </c>
      <c r="B1085" s="32">
        <v>2672.66476106666</v>
      </c>
      <c r="C1085" s="33">
        <v>92.4224999999999</v>
      </c>
      <c r="D1085" s="4">
        <v>6</v>
      </c>
      <c r="E1085" s="4" t="s">
        <v>74</v>
      </c>
    </row>
    <row r="1086" spans="1:5" ht="14.25" customHeight="1" x14ac:dyDescent="0.25">
      <c r="A1086" s="31">
        <v>41817</v>
      </c>
      <c r="B1086" s="32">
        <v>2233.1198583833302</v>
      </c>
      <c r="C1086" s="33">
        <v>96.047499999999999</v>
      </c>
      <c r="D1086" s="4">
        <v>6</v>
      </c>
      <c r="E1086" s="4" t="s">
        <v>74</v>
      </c>
    </row>
    <row r="1087" spans="1:5" ht="14.25" customHeight="1" x14ac:dyDescent="0.25">
      <c r="A1087" s="31">
        <v>41817.5</v>
      </c>
      <c r="B1087" s="32">
        <v>2668.0619382708301</v>
      </c>
      <c r="C1087" s="33">
        <v>92.858333333333306</v>
      </c>
      <c r="D1087" s="4">
        <v>6</v>
      </c>
      <c r="E1087" s="4" t="s">
        <v>74</v>
      </c>
    </row>
    <row r="1088" spans="1:5" ht="14.25" customHeight="1" x14ac:dyDescent="0.25">
      <c r="A1088" s="31">
        <v>41818</v>
      </c>
      <c r="B1088" s="32">
        <v>2219.4378834791601</v>
      </c>
      <c r="C1088" s="33">
        <v>96.7766666666666</v>
      </c>
      <c r="D1088" s="4">
        <v>6</v>
      </c>
      <c r="E1088" s="4" t="s">
        <v>74</v>
      </c>
    </row>
    <row r="1089" spans="1:5" ht="14.25" customHeight="1" x14ac:dyDescent="0.25">
      <c r="A1089" s="31">
        <v>41818.5</v>
      </c>
      <c r="B1089" s="32">
        <v>2484.5921682708299</v>
      </c>
      <c r="C1089" s="33">
        <v>93.782499999999999</v>
      </c>
      <c r="D1089" s="4">
        <v>6</v>
      </c>
      <c r="E1089" s="4" t="s">
        <v>74</v>
      </c>
    </row>
    <row r="1090" spans="1:5" ht="14.25" customHeight="1" x14ac:dyDescent="0.25">
      <c r="A1090" s="31">
        <v>41819</v>
      </c>
      <c r="B1090" s="32">
        <v>1975.0117345541601</v>
      </c>
      <c r="C1090" s="33">
        <v>91.845833333333303</v>
      </c>
      <c r="D1090" s="4">
        <v>6</v>
      </c>
      <c r="E1090" s="4" t="s">
        <v>74</v>
      </c>
    </row>
    <row r="1091" spans="1:5" ht="14.25" customHeight="1" x14ac:dyDescent="0.25">
      <c r="A1091" s="31">
        <v>41819.5</v>
      </c>
      <c r="B1091" s="32">
        <v>2351.1718993333302</v>
      </c>
      <c r="C1091" s="33">
        <v>94.476666666666603</v>
      </c>
      <c r="D1091" s="4">
        <v>6</v>
      </c>
      <c r="E1091" s="4" t="s">
        <v>74</v>
      </c>
    </row>
    <row r="1092" spans="1:5" ht="14.25" customHeight="1" x14ac:dyDescent="0.25">
      <c r="A1092" s="31">
        <v>41820</v>
      </c>
      <c r="B1092" s="32">
        <v>2140.66846049374</v>
      </c>
      <c r="C1092" s="33">
        <v>95.429999999999893</v>
      </c>
      <c r="D1092" s="4">
        <v>6</v>
      </c>
      <c r="E1092" s="4" t="s">
        <v>74</v>
      </c>
    </row>
    <row r="1093" spans="1:5" ht="14.25" customHeight="1" x14ac:dyDescent="0.25">
      <c r="A1093" s="31">
        <v>41820.5</v>
      </c>
      <c r="B1093" s="32">
        <v>2271.0611251458299</v>
      </c>
      <c r="C1093" s="33">
        <v>92.961666666666602</v>
      </c>
      <c r="D1093" s="4">
        <v>6</v>
      </c>
      <c r="E1093" s="4" t="s">
        <v>74</v>
      </c>
    </row>
    <row r="1094" spans="1:5" ht="14.25" customHeight="1" x14ac:dyDescent="0.25">
      <c r="A1094" s="31">
        <v>41821</v>
      </c>
      <c r="B1094" s="32">
        <v>2574.4839794437498</v>
      </c>
      <c r="C1094" s="33">
        <v>94.661249999999995</v>
      </c>
      <c r="D1094" s="4">
        <v>7</v>
      </c>
      <c r="E1094" s="4" t="s">
        <v>74</v>
      </c>
    </row>
    <row r="1095" spans="1:5" ht="14.25" customHeight="1" x14ac:dyDescent="0.25">
      <c r="A1095" s="31">
        <v>41821.5</v>
      </c>
      <c r="B1095" s="32">
        <v>2609.5576928791602</v>
      </c>
      <c r="C1095" s="33">
        <v>91.629166666666606</v>
      </c>
      <c r="D1095" s="4">
        <v>7</v>
      </c>
      <c r="E1095" s="4" t="s">
        <v>74</v>
      </c>
    </row>
    <row r="1096" spans="1:5" ht="14.25" customHeight="1" x14ac:dyDescent="0.25">
      <c r="A1096" s="31">
        <v>41822</v>
      </c>
      <c r="B1096" s="32">
        <v>2346.5856706916602</v>
      </c>
      <c r="C1096" s="33">
        <v>93.872500000000002</v>
      </c>
      <c r="D1096" s="4">
        <v>7</v>
      </c>
      <c r="E1096" s="4" t="s">
        <v>74</v>
      </c>
    </row>
    <row r="1097" spans="1:5" ht="14.25" customHeight="1" x14ac:dyDescent="0.25">
      <c r="A1097" s="31">
        <v>41822.5</v>
      </c>
      <c r="B1097" s="32">
        <v>2516.7227591958299</v>
      </c>
      <c r="C1097" s="33">
        <v>94.749166666666596</v>
      </c>
      <c r="D1097" s="4">
        <v>7</v>
      </c>
      <c r="E1097" s="4" t="s">
        <v>74</v>
      </c>
    </row>
    <row r="1098" spans="1:5" ht="14.25" customHeight="1" x14ac:dyDescent="0.25">
      <c r="A1098" s="31">
        <v>41823</v>
      </c>
      <c r="B1098" s="32">
        <v>2310.1774498208301</v>
      </c>
      <c r="C1098" s="33">
        <v>94.245000000000005</v>
      </c>
      <c r="D1098" s="4">
        <v>7</v>
      </c>
      <c r="E1098" s="4" t="s">
        <v>74</v>
      </c>
    </row>
    <row r="1099" spans="1:5" ht="14.25" customHeight="1" x14ac:dyDescent="0.25">
      <c r="A1099" s="31">
        <v>41823.5</v>
      </c>
      <c r="B1099" s="32">
        <v>2751.0745728249999</v>
      </c>
      <c r="C1099" s="33">
        <v>90.465000000000003</v>
      </c>
      <c r="D1099" s="4">
        <v>7</v>
      </c>
      <c r="E1099" s="4" t="s">
        <v>74</v>
      </c>
    </row>
    <row r="1100" spans="1:5" ht="14.25" customHeight="1" x14ac:dyDescent="0.25">
      <c r="A1100" s="31">
        <v>41824</v>
      </c>
      <c r="B1100" s="32">
        <v>2400.1643356333302</v>
      </c>
      <c r="C1100" s="33">
        <v>94.051666666666605</v>
      </c>
      <c r="D1100" s="4">
        <v>7</v>
      </c>
      <c r="E1100" s="4" t="s">
        <v>74</v>
      </c>
    </row>
    <row r="1101" spans="1:5" ht="14.25" customHeight="1" x14ac:dyDescent="0.25">
      <c r="A1101" s="31">
        <v>41824.5</v>
      </c>
      <c r="B1101" s="32">
        <v>2722.1102453374901</v>
      </c>
      <c r="C1101" s="33">
        <v>94.584166666666604</v>
      </c>
      <c r="D1101" s="4">
        <v>7</v>
      </c>
      <c r="E1101" s="4" t="s">
        <v>74</v>
      </c>
    </row>
    <row r="1102" spans="1:5" ht="14.25" customHeight="1" x14ac:dyDescent="0.25">
      <c r="A1102" s="31">
        <v>41825</v>
      </c>
      <c r="B1102" s="32">
        <v>2495.8680823333302</v>
      </c>
      <c r="C1102" s="33">
        <v>90.363333333333301</v>
      </c>
      <c r="D1102" s="4">
        <v>7</v>
      </c>
      <c r="E1102" s="4" t="s">
        <v>74</v>
      </c>
    </row>
    <row r="1103" spans="1:5" ht="14.25" customHeight="1" x14ac:dyDescent="0.25">
      <c r="A1103" s="31">
        <v>41825.5</v>
      </c>
      <c r="B1103" s="32">
        <v>2687.2987756124899</v>
      </c>
      <c r="C1103" s="33">
        <v>94.014166666666597</v>
      </c>
      <c r="D1103" s="4">
        <v>7</v>
      </c>
      <c r="E1103" s="4" t="s">
        <v>74</v>
      </c>
    </row>
    <row r="1104" spans="1:5" ht="14.25" customHeight="1" x14ac:dyDescent="0.25">
      <c r="A1104" s="31">
        <v>41826</v>
      </c>
      <c r="B1104" s="32">
        <v>2199.4620709124902</v>
      </c>
      <c r="C1104" s="33">
        <v>91.417500000000004</v>
      </c>
      <c r="D1104" s="4">
        <v>7</v>
      </c>
      <c r="E1104" s="4" t="s">
        <v>74</v>
      </c>
    </row>
    <row r="1105" spans="1:5" ht="14.25" customHeight="1" x14ac:dyDescent="0.25">
      <c r="A1105" s="31">
        <v>41826.5</v>
      </c>
      <c r="B1105" s="32">
        <v>2519.9222484124898</v>
      </c>
      <c r="C1105" s="33">
        <v>94.453333333333305</v>
      </c>
      <c r="D1105" s="4">
        <v>7</v>
      </c>
      <c r="E1105" s="4" t="s">
        <v>74</v>
      </c>
    </row>
    <row r="1106" spans="1:5" ht="14.25" customHeight="1" x14ac:dyDescent="0.25">
      <c r="A1106" s="31">
        <v>41827</v>
      </c>
      <c r="B1106" s="32">
        <v>2144.8894027624901</v>
      </c>
      <c r="C1106" s="33">
        <v>94.170833333333306</v>
      </c>
      <c r="D1106" s="4">
        <v>7</v>
      </c>
      <c r="E1106" s="4" t="s">
        <v>74</v>
      </c>
    </row>
    <row r="1107" spans="1:5" ht="14.25" customHeight="1" x14ac:dyDescent="0.25">
      <c r="A1107" s="31">
        <v>41827.5</v>
      </c>
      <c r="B1107" s="32">
        <v>2539.6737235833298</v>
      </c>
      <c r="C1107" s="33">
        <v>93.12</v>
      </c>
      <c r="D1107" s="4">
        <v>7</v>
      </c>
      <c r="E1107" s="4" t="s">
        <v>74</v>
      </c>
    </row>
    <row r="1108" spans="1:5" ht="14.25" customHeight="1" x14ac:dyDescent="0.25">
      <c r="A1108" s="31">
        <v>41828</v>
      </c>
      <c r="B1108" s="32">
        <v>2440.8228677041602</v>
      </c>
      <c r="C1108" s="33">
        <v>96.348333333333301</v>
      </c>
      <c r="D1108" s="4">
        <v>7</v>
      </c>
      <c r="E1108" s="4" t="s">
        <v>74</v>
      </c>
    </row>
    <row r="1109" spans="1:5" ht="14.25" customHeight="1" x14ac:dyDescent="0.25">
      <c r="A1109" s="31">
        <v>41828.5</v>
      </c>
      <c r="B1109" s="32">
        <v>2736.0700492958299</v>
      </c>
      <c r="C1109" s="33">
        <v>92.232500000000002</v>
      </c>
      <c r="D1109" s="4">
        <v>7</v>
      </c>
      <c r="E1109" s="4" t="s">
        <v>74</v>
      </c>
    </row>
    <row r="1110" spans="1:5" ht="14.25" customHeight="1" x14ac:dyDescent="0.25">
      <c r="A1110" s="31">
        <v>41829</v>
      </c>
      <c r="B1110" s="32">
        <v>2403.47110140416</v>
      </c>
      <c r="C1110" s="33">
        <v>95.015833333333305</v>
      </c>
      <c r="D1110" s="4">
        <v>7</v>
      </c>
      <c r="E1110" s="4" t="s">
        <v>74</v>
      </c>
    </row>
    <row r="1111" spans="1:5" ht="14.25" customHeight="1" x14ac:dyDescent="0.25">
      <c r="A1111" s="31">
        <v>41829.5</v>
      </c>
      <c r="B1111" s="32">
        <v>2780.5965677541599</v>
      </c>
      <c r="C1111" s="33">
        <v>93.649166666666602</v>
      </c>
      <c r="D1111" s="4">
        <v>7</v>
      </c>
      <c r="E1111" s="4" t="s">
        <v>74</v>
      </c>
    </row>
    <row r="1112" spans="1:5" ht="14.25" customHeight="1" x14ac:dyDescent="0.25">
      <c r="A1112" s="31">
        <v>41830</v>
      </c>
      <c r="B1112" s="32">
        <v>2162.8221352833302</v>
      </c>
      <c r="C1112" s="33">
        <v>93.278333333333293</v>
      </c>
      <c r="D1112" s="4">
        <v>7</v>
      </c>
      <c r="E1112" s="4" t="s">
        <v>74</v>
      </c>
    </row>
    <row r="1113" spans="1:5" ht="14.25" customHeight="1" x14ac:dyDescent="0.25">
      <c r="A1113" s="31">
        <v>41830.5</v>
      </c>
      <c r="B1113" s="32">
        <v>2573.8093451916602</v>
      </c>
      <c r="C1113" s="33">
        <v>92.955833333333302</v>
      </c>
      <c r="D1113" s="4">
        <v>7</v>
      </c>
      <c r="E1113" s="4" t="s">
        <v>74</v>
      </c>
    </row>
    <row r="1114" spans="1:5" ht="14.25" customHeight="1" x14ac:dyDescent="0.25">
      <c r="A1114" s="31">
        <v>41831</v>
      </c>
      <c r="B1114" s="32">
        <v>2343.7493510458198</v>
      </c>
      <c r="C1114" s="33">
        <v>90.924166666666594</v>
      </c>
      <c r="D1114" s="4">
        <v>7</v>
      </c>
      <c r="E1114" s="4" t="s">
        <v>74</v>
      </c>
    </row>
    <row r="1115" spans="1:5" ht="14.25" customHeight="1" x14ac:dyDescent="0.25">
      <c r="A1115" s="31">
        <v>41831.5</v>
      </c>
      <c r="B1115" s="32">
        <v>2857.1240147541598</v>
      </c>
      <c r="C1115" s="33">
        <v>92.703333333333305</v>
      </c>
      <c r="D1115" s="4">
        <v>7</v>
      </c>
      <c r="E1115" s="4" t="s">
        <v>74</v>
      </c>
    </row>
    <row r="1116" spans="1:5" ht="14.25" customHeight="1" x14ac:dyDescent="0.25">
      <c r="A1116" s="31">
        <v>41832</v>
      </c>
      <c r="B1116" s="32">
        <v>2318.55609405416</v>
      </c>
      <c r="C1116" s="33">
        <v>93.4016666666666</v>
      </c>
      <c r="D1116" s="4">
        <v>7</v>
      </c>
      <c r="E1116" s="4" t="s">
        <v>74</v>
      </c>
    </row>
    <row r="1117" spans="1:5" ht="14.25" customHeight="1" x14ac:dyDescent="0.25">
      <c r="A1117" s="31">
        <v>41832.5</v>
      </c>
      <c r="B1117" s="32">
        <v>2505.1996293375</v>
      </c>
      <c r="C1117" s="33">
        <v>90.633333333333297</v>
      </c>
      <c r="D1117" s="4">
        <v>7</v>
      </c>
      <c r="E1117" s="4" t="s">
        <v>74</v>
      </c>
    </row>
    <row r="1118" spans="1:5" ht="14.25" customHeight="1" x14ac:dyDescent="0.25">
      <c r="A1118" s="31">
        <v>41833</v>
      </c>
      <c r="B1118" s="32">
        <v>2020.46666515416</v>
      </c>
      <c r="C1118" s="33">
        <v>92.266666666666595</v>
      </c>
      <c r="D1118" s="4">
        <v>7</v>
      </c>
      <c r="E1118" s="4" t="s">
        <v>74</v>
      </c>
    </row>
    <row r="1119" spans="1:5" ht="14.25" customHeight="1" x14ac:dyDescent="0.25">
      <c r="A1119" s="31">
        <v>41833.5</v>
      </c>
      <c r="B1119" s="32">
        <v>2413.80579378333</v>
      </c>
      <c r="C1119" s="33">
        <v>91.115833333333299</v>
      </c>
      <c r="D1119" s="4">
        <v>7</v>
      </c>
      <c r="E1119" s="4" t="s">
        <v>74</v>
      </c>
    </row>
    <row r="1120" spans="1:5" ht="14.25" customHeight="1" x14ac:dyDescent="0.25">
      <c r="A1120" s="31">
        <v>41834</v>
      </c>
      <c r="B1120" s="32">
        <v>1996.57660631249</v>
      </c>
      <c r="C1120" s="33">
        <v>92.415833333333296</v>
      </c>
      <c r="D1120" s="4">
        <v>7</v>
      </c>
      <c r="E1120" s="4" t="s">
        <v>74</v>
      </c>
    </row>
    <row r="1121" spans="1:5" ht="14.25" customHeight="1" x14ac:dyDescent="0.25">
      <c r="A1121" s="31">
        <v>41834.5</v>
      </c>
      <c r="B1121" s="32">
        <v>2352.0824248041599</v>
      </c>
      <c r="C1121" s="33">
        <v>94.924166666666594</v>
      </c>
      <c r="D1121" s="4">
        <v>7</v>
      </c>
      <c r="E1121" s="4" t="s">
        <v>74</v>
      </c>
    </row>
    <row r="1122" spans="1:5" ht="14.25" customHeight="1" x14ac:dyDescent="0.25">
      <c r="A1122" s="31">
        <v>41835</v>
      </c>
      <c r="B1122" s="32">
        <v>2143.90196194583</v>
      </c>
      <c r="C1122" s="33">
        <v>86.441666666666606</v>
      </c>
      <c r="D1122" s="4">
        <v>7</v>
      </c>
      <c r="E1122" s="4" t="s">
        <v>74</v>
      </c>
    </row>
    <row r="1123" spans="1:5" ht="14.25" customHeight="1" x14ac:dyDescent="0.25">
      <c r="A1123" s="31">
        <v>41835.5</v>
      </c>
      <c r="B1123" s="32">
        <v>2606.9075596708299</v>
      </c>
      <c r="C1123" s="33">
        <v>93.585833333333298</v>
      </c>
      <c r="D1123" s="4">
        <v>7</v>
      </c>
      <c r="E1123" s="4" t="s">
        <v>74</v>
      </c>
    </row>
    <row r="1124" spans="1:5" ht="14.25" customHeight="1" x14ac:dyDescent="0.25">
      <c r="A1124" s="31">
        <v>41836</v>
      </c>
      <c r="B1124" s="32">
        <v>2324.38466607499</v>
      </c>
      <c r="C1124" s="33">
        <v>91.088333333333296</v>
      </c>
      <c r="D1124" s="4">
        <v>7</v>
      </c>
      <c r="E1124" s="4" t="s">
        <v>74</v>
      </c>
    </row>
    <row r="1125" spans="1:5" ht="14.25" customHeight="1" x14ac:dyDescent="0.25">
      <c r="A1125" s="31">
        <v>41836.5</v>
      </c>
      <c r="B1125" s="32">
        <v>2648.5148793624899</v>
      </c>
      <c r="C1125" s="33">
        <v>89.025833333333296</v>
      </c>
      <c r="D1125" s="4">
        <v>7</v>
      </c>
      <c r="E1125" s="4" t="s">
        <v>74</v>
      </c>
    </row>
    <row r="1126" spans="1:5" ht="14.25" customHeight="1" x14ac:dyDescent="0.25">
      <c r="A1126" s="31">
        <v>41837</v>
      </c>
      <c r="B1126" s="32">
        <v>2291.0671482749899</v>
      </c>
      <c r="C1126" s="33">
        <v>92.524166666666602</v>
      </c>
      <c r="D1126" s="4">
        <v>7</v>
      </c>
      <c r="E1126" s="4" t="s">
        <v>74</v>
      </c>
    </row>
    <row r="1127" spans="1:5" ht="14.25" customHeight="1" x14ac:dyDescent="0.25">
      <c r="A1127" s="31">
        <v>41837.5</v>
      </c>
      <c r="B1127" s="32">
        <v>2642.4324848708302</v>
      </c>
      <c r="C1127" s="33">
        <v>90.219166666666595</v>
      </c>
      <c r="D1127" s="4">
        <v>7</v>
      </c>
      <c r="E1127" s="4" t="s">
        <v>74</v>
      </c>
    </row>
    <row r="1128" spans="1:5" ht="14.25" customHeight="1" x14ac:dyDescent="0.25">
      <c r="A1128" s="31">
        <v>41838</v>
      </c>
      <c r="B1128" s="32">
        <v>2486.63121728749</v>
      </c>
      <c r="C1128" s="33">
        <v>93.884166666666601</v>
      </c>
      <c r="D1128" s="4">
        <v>7</v>
      </c>
      <c r="E1128" s="4" t="s">
        <v>74</v>
      </c>
    </row>
    <row r="1129" spans="1:5" ht="14.25" customHeight="1" x14ac:dyDescent="0.25">
      <c r="A1129" s="31">
        <v>41838.5</v>
      </c>
      <c r="B1129" s="32">
        <v>2778.6083636916601</v>
      </c>
      <c r="C1129" s="33">
        <v>93.745833333333294</v>
      </c>
      <c r="D1129" s="4">
        <v>7</v>
      </c>
      <c r="E1129" s="4" t="s">
        <v>74</v>
      </c>
    </row>
    <row r="1130" spans="1:5" ht="14.25" customHeight="1" x14ac:dyDescent="0.25">
      <c r="A1130" s="31">
        <v>41839</v>
      </c>
      <c r="B1130" s="32">
        <v>2422.4372520291599</v>
      </c>
      <c r="C1130" s="33">
        <v>95.747499999999903</v>
      </c>
      <c r="D1130" s="4">
        <v>7</v>
      </c>
      <c r="E1130" s="4" t="s">
        <v>74</v>
      </c>
    </row>
    <row r="1131" spans="1:5" ht="14.25" customHeight="1" x14ac:dyDescent="0.25">
      <c r="A1131" s="31">
        <v>41839.5</v>
      </c>
      <c r="B1131" s="32">
        <v>2721.7999010458302</v>
      </c>
      <c r="C1131" s="33">
        <v>90.974166666666605</v>
      </c>
      <c r="D1131" s="4">
        <v>7</v>
      </c>
      <c r="E1131" s="4" t="s">
        <v>74</v>
      </c>
    </row>
    <row r="1132" spans="1:5" ht="14.25" customHeight="1" x14ac:dyDescent="0.25">
      <c r="A1132" s="31">
        <v>41840</v>
      </c>
      <c r="B1132" s="32">
        <v>2212.9776560874898</v>
      </c>
      <c r="C1132" s="33">
        <v>94.1666666666666</v>
      </c>
      <c r="D1132" s="4">
        <v>7</v>
      </c>
      <c r="E1132" s="4" t="s">
        <v>74</v>
      </c>
    </row>
    <row r="1133" spans="1:5" ht="14.25" customHeight="1" x14ac:dyDescent="0.25">
      <c r="A1133" s="31">
        <v>41840.5</v>
      </c>
      <c r="B1133" s="32">
        <v>2501.9361610916599</v>
      </c>
      <c r="C1133" s="33">
        <v>96.384166666666601</v>
      </c>
      <c r="D1133" s="4">
        <v>7</v>
      </c>
      <c r="E1133" s="4" t="s">
        <v>74</v>
      </c>
    </row>
    <row r="1134" spans="1:5" ht="14.25" customHeight="1" x14ac:dyDescent="0.25">
      <c r="A1134" s="31">
        <v>41841</v>
      </c>
      <c r="B1134" s="32">
        <v>2111.5541722166599</v>
      </c>
      <c r="C1134" s="33">
        <v>94.815833333333302</v>
      </c>
      <c r="D1134" s="4">
        <v>7</v>
      </c>
      <c r="E1134" s="4" t="s">
        <v>74</v>
      </c>
    </row>
    <row r="1135" spans="1:5" ht="14.25" customHeight="1" x14ac:dyDescent="0.25">
      <c r="A1135" s="31">
        <v>41841.5</v>
      </c>
      <c r="B1135" s="32">
        <v>2530.7492368666599</v>
      </c>
      <c r="C1135" s="33">
        <v>95.547499999999999</v>
      </c>
      <c r="D1135" s="4">
        <v>7</v>
      </c>
      <c r="E1135" s="4" t="s">
        <v>74</v>
      </c>
    </row>
    <row r="1136" spans="1:5" ht="14.25" customHeight="1" x14ac:dyDescent="0.25">
      <c r="A1136" s="31">
        <v>41842</v>
      </c>
      <c r="B1136" s="32">
        <v>2497.3223774458202</v>
      </c>
      <c r="C1136" s="33">
        <v>90.974999999999895</v>
      </c>
      <c r="D1136" s="4">
        <v>7</v>
      </c>
      <c r="E1136" s="4" t="s">
        <v>74</v>
      </c>
    </row>
    <row r="1137" spans="1:5" ht="14.25" customHeight="1" x14ac:dyDescent="0.25">
      <c r="A1137" s="31">
        <v>41842.5</v>
      </c>
      <c r="B1137" s="32">
        <v>2732.7460427999999</v>
      </c>
      <c r="C1137" s="33">
        <v>92.144166666666607</v>
      </c>
      <c r="D1137" s="4">
        <v>7</v>
      </c>
      <c r="E1137" s="4" t="s">
        <v>74</v>
      </c>
    </row>
    <row r="1138" spans="1:5" ht="14.25" customHeight="1" x14ac:dyDescent="0.25">
      <c r="A1138" s="31">
        <v>41843</v>
      </c>
      <c r="B1138" s="32">
        <v>2439.8128192833301</v>
      </c>
      <c r="C1138" s="33">
        <v>91.504444444444403</v>
      </c>
      <c r="D1138" s="4">
        <v>7</v>
      </c>
      <c r="E1138" s="4" t="s">
        <v>74</v>
      </c>
    </row>
    <row r="1139" spans="1:5" ht="14.25" customHeight="1" x14ac:dyDescent="0.25">
      <c r="A1139" s="31">
        <v>41843.5</v>
      </c>
      <c r="B1139" s="32">
        <v>2564.54435559999</v>
      </c>
      <c r="C1139" s="33">
        <v>94.920833333333306</v>
      </c>
      <c r="D1139" s="4">
        <v>7</v>
      </c>
      <c r="E1139" s="4" t="s">
        <v>74</v>
      </c>
    </row>
    <row r="1140" spans="1:5" ht="14.25" customHeight="1" x14ac:dyDescent="0.25">
      <c r="A1140" s="31">
        <v>41844</v>
      </c>
      <c r="B1140" s="32">
        <v>2039.49136985833</v>
      </c>
      <c r="C1140" s="33">
        <v>95.2141666666666</v>
      </c>
      <c r="D1140" s="4">
        <v>7</v>
      </c>
      <c r="E1140" s="4" t="s">
        <v>74</v>
      </c>
    </row>
    <row r="1141" spans="1:5" ht="14.25" customHeight="1" x14ac:dyDescent="0.25">
      <c r="A1141" s="31">
        <v>41844.5</v>
      </c>
      <c r="B1141" s="32">
        <v>2476.18546571249</v>
      </c>
      <c r="C1141" s="33">
        <v>94.086666666666602</v>
      </c>
      <c r="D1141" s="4">
        <v>7</v>
      </c>
      <c r="E1141" s="4" t="s">
        <v>74</v>
      </c>
    </row>
    <row r="1142" spans="1:5" ht="14.25" customHeight="1" x14ac:dyDescent="0.25">
      <c r="A1142" s="31">
        <v>41845</v>
      </c>
      <c r="B1142" s="32">
        <v>2162.33460924166</v>
      </c>
      <c r="C1142" s="33">
        <v>92.909999999999897</v>
      </c>
      <c r="D1142" s="4">
        <v>7</v>
      </c>
      <c r="E1142" s="4" t="s">
        <v>74</v>
      </c>
    </row>
    <row r="1143" spans="1:5" ht="14.25" customHeight="1" x14ac:dyDescent="0.25">
      <c r="A1143" s="31">
        <v>41845.5</v>
      </c>
      <c r="B1143" s="32">
        <v>2505.5693950791601</v>
      </c>
      <c r="C1143" s="33">
        <v>92.474166666666605</v>
      </c>
      <c r="D1143" s="4">
        <v>7</v>
      </c>
      <c r="E1143" s="4" t="s">
        <v>74</v>
      </c>
    </row>
    <row r="1144" spans="1:5" ht="14.25" customHeight="1" x14ac:dyDescent="0.25">
      <c r="A1144" s="31">
        <v>41846</v>
      </c>
      <c r="B1144" s="32">
        <v>2241.4802592041601</v>
      </c>
      <c r="C1144" s="33">
        <v>89.757499999999993</v>
      </c>
      <c r="D1144" s="4">
        <v>7</v>
      </c>
      <c r="E1144" s="4" t="s">
        <v>74</v>
      </c>
    </row>
    <row r="1145" spans="1:5" ht="14.25" customHeight="1" x14ac:dyDescent="0.25">
      <c r="A1145" s="31">
        <v>41846.5</v>
      </c>
      <c r="B1145" s="32">
        <v>2905.0637619208301</v>
      </c>
      <c r="C1145" s="33">
        <v>93.077499999999901</v>
      </c>
      <c r="D1145" s="4">
        <v>7</v>
      </c>
      <c r="E1145" s="4" t="s">
        <v>74</v>
      </c>
    </row>
    <row r="1146" spans="1:5" ht="14.25" customHeight="1" x14ac:dyDescent="0.25">
      <c r="A1146" s="31">
        <v>41847</v>
      </c>
      <c r="B1146" s="32">
        <v>2179.3773501249898</v>
      </c>
      <c r="C1146" s="33">
        <v>90.888333333333307</v>
      </c>
      <c r="D1146" s="4">
        <v>7</v>
      </c>
      <c r="E1146" s="4" t="s">
        <v>74</v>
      </c>
    </row>
    <row r="1147" spans="1:5" ht="14.25" customHeight="1" x14ac:dyDescent="0.25">
      <c r="A1147" s="31">
        <v>41847.5</v>
      </c>
      <c r="B1147" s="32">
        <v>2483.37733289166</v>
      </c>
      <c r="C1147" s="33">
        <v>93.18</v>
      </c>
      <c r="D1147" s="4">
        <v>7</v>
      </c>
      <c r="E1147" s="4" t="s">
        <v>74</v>
      </c>
    </row>
    <row r="1148" spans="1:5" ht="14.25" customHeight="1" x14ac:dyDescent="0.25">
      <c r="A1148" s="31">
        <v>41848</v>
      </c>
      <c r="B1148" s="32">
        <v>1970.0525984583301</v>
      </c>
      <c r="C1148" s="33">
        <v>92.563333333333304</v>
      </c>
      <c r="D1148" s="4">
        <v>7</v>
      </c>
      <c r="E1148" s="4" t="s">
        <v>74</v>
      </c>
    </row>
    <row r="1149" spans="1:5" ht="14.25" customHeight="1" x14ac:dyDescent="0.25">
      <c r="A1149" s="31">
        <v>41848.5</v>
      </c>
      <c r="B1149" s="32">
        <v>2421.4947473458301</v>
      </c>
      <c r="C1149" s="33">
        <v>94.260833333333295</v>
      </c>
      <c r="D1149" s="4">
        <v>7</v>
      </c>
      <c r="E1149" s="4" t="s">
        <v>74</v>
      </c>
    </row>
    <row r="1150" spans="1:5" ht="14.25" customHeight="1" x14ac:dyDescent="0.25">
      <c r="A1150" s="31">
        <v>41849</v>
      </c>
      <c r="B1150" s="32">
        <v>2258.18339816249</v>
      </c>
      <c r="C1150" s="33">
        <v>88.240833333333299</v>
      </c>
      <c r="D1150" s="4">
        <v>7</v>
      </c>
      <c r="E1150" s="4" t="s">
        <v>74</v>
      </c>
    </row>
    <row r="1151" spans="1:5" ht="14.25" customHeight="1" x14ac:dyDescent="0.25">
      <c r="A1151" s="31">
        <v>41849.5</v>
      </c>
      <c r="B1151" s="32">
        <v>2689.0604894916601</v>
      </c>
      <c r="C1151" s="33">
        <v>92.031666666666595</v>
      </c>
      <c r="D1151" s="4">
        <v>7</v>
      </c>
      <c r="E1151" s="4" t="s">
        <v>74</v>
      </c>
    </row>
    <row r="1152" spans="1:5" ht="14.25" customHeight="1" x14ac:dyDescent="0.25">
      <c r="A1152" s="31">
        <v>41850</v>
      </c>
      <c r="B1152" s="32">
        <v>2404.6785901416602</v>
      </c>
      <c r="C1152" s="33">
        <v>92.867500000000007</v>
      </c>
      <c r="D1152" s="4">
        <v>7</v>
      </c>
      <c r="E1152" s="4" t="s">
        <v>74</v>
      </c>
    </row>
    <row r="1153" spans="1:5" ht="14.25" customHeight="1" x14ac:dyDescent="0.25">
      <c r="A1153" s="31">
        <v>41850.5</v>
      </c>
      <c r="B1153" s="32">
        <v>2544.4278952458299</v>
      </c>
      <c r="C1153" s="33">
        <v>91.5416666666666</v>
      </c>
      <c r="D1153" s="4">
        <v>7</v>
      </c>
      <c r="E1153" s="4" t="s">
        <v>74</v>
      </c>
    </row>
    <row r="1154" spans="1:5" ht="14.25" customHeight="1" x14ac:dyDescent="0.25">
      <c r="A1154" s="31">
        <v>41851</v>
      </c>
      <c r="B1154" s="32">
        <v>2210.3872715416601</v>
      </c>
      <c r="C1154" s="33">
        <v>94.8541666666666</v>
      </c>
      <c r="D1154" s="4">
        <v>7</v>
      </c>
      <c r="E1154" s="4" t="s">
        <v>74</v>
      </c>
    </row>
    <row r="1155" spans="1:5" ht="14.25" customHeight="1" x14ac:dyDescent="0.25">
      <c r="A1155" s="31">
        <v>41851.5</v>
      </c>
      <c r="B1155" s="32">
        <v>2609.8060056208301</v>
      </c>
      <c r="C1155" s="33">
        <v>90.887500000000003</v>
      </c>
      <c r="D1155" s="4">
        <v>7</v>
      </c>
      <c r="E1155" s="4" t="s">
        <v>74</v>
      </c>
    </row>
    <row r="1156" spans="1:5" ht="14.25" customHeight="1" x14ac:dyDescent="0.25">
      <c r="A1156" s="31">
        <v>41852</v>
      </c>
      <c r="B1156" s="32">
        <v>2268.1242514916598</v>
      </c>
      <c r="C1156" s="33">
        <v>92.579166666666595</v>
      </c>
      <c r="D1156" s="4">
        <v>8</v>
      </c>
      <c r="E1156" s="4" t="s">
        <v>74</v>
      </c>
    </row>
    <row r="1157" spans="1:5" ht="14.25" customHeight="1" x14ac:dyDescent="0.25">
      <c r="A1157" s="31">
        <v>41852.5</v>
      </c>
      <c r="B1157" s="32">
        <v>2530.30713499166</v>
      </c>
      <c r="C1157" s="33">
        <v>95.422499999999999</v>
      </c>
      <c r="D1157" s="4">
        <v>8</v>
      </c>
      <c r="E1157" s="4" t="s">
        <v>74</v>
      </c>
    </row>
    <row r="1158" spans="1:5" ht="14.25" customHeight="1" x14ac:dyDescent="0.25">
      <c r="A1158" s="31">
        <v>41853</v>
      </c>
      <c r="B1158" s="32">
        <v>2248.5141886624901</v>
      </c>
      <c r="C1158" s="33">
        <v>94.640833333333305</v>
      </c>
      <c r="D1158" s="4">
        <v>8</v>
      </c>
      <c r="E1158" s="4" t="s">
        <v>74</v>
      </c>
    </row>
    <row r="1159" spans="1:5" ht="14.25" customHeight="1" x14ac:dyDescent="0.25">
      <c r="A1159" s="31">
        <v>41853.5</v>
      </c>
      <c r="B1159" s="32">
        <v>2468.9981134874902</v>
      </c>
      <c r="C1159" s="33">
        <v>94.069166666666604</v>
      </c>
      <c r="D1159" s="4">
        <v>8</v>
      </c>
      <c r="E1159" s="4" t="s">
        <v>74</v>
      </c>
    </row>
    <row r="1160" spans="1:5" ht="14.25" customHeight="1" x14ac:dyDescent="0.25">
      <c r="A1160" s="31">
        <v>41854</v>
      </c>
      <c r="B1160" s="32">
        <v>2007.1091398083299</v>
      </c>
      <c r="C1160" s="33">
        <v>91.788333333333298</v>
      </c>
      <c r="D1160" s="4">
        <v>8</v>
      </c>
      <c r="E1160" s="4" t="s">
        <v>74</v>
      </c>
    </row>
    <row r="1161" spans="1:5" ht="14.25" customHeight="1" x14ac:dyDescent="0.25">
      <c r="A1161" s="31">
        <v>41854.5</v>
      </c>
      <c r="B1161" s="32">
        <v>2283.2115860958302</v>
      </c>
      <c r="C1161" s="33">
        <v>88.107500000000002</v>
      </c>
      <c r="D1161" s="4">
        <v>8</v>
      </c>
      <c r="E1161" s="4" t="s">
        <v>74</v>
      </c>
    </row>
    <row r="1162" spans="1:5" ht="14.25" customHeight="1" x14ac:dyDescent="0.25">
      <c r="A1162" s="31">
        <v>41855</v>
      </c>
      <c r="B1162" s="32">
        <v>1926.3508711791601</v>
      </c>
      <c r="C1162" s="33">
        <v>92.053333333333299</v>
      </c>
      <c r="D1162" s="4">
        <v>8</v>
      </c>
      <c r="E1162" s="4" t="s">
        <v>74</v>
      </c>
    </row>
    <row r="1163" spans="1:5" ht="14.25" customHeight="1" x14ac:dyDescent="0.25">
      <c r="A1163" s="31">
        <v>41855.5</v>
      </c>
      <c r="B1163" s="32">
        <v>2254.4026167624902</v>
      </c>
      <c r="C1163" s="33">
        <v>94.427499999999995</v>
      </c>
      <c r="D1163" s="4">
        <v>8</v>
      </c>
      <c r="E1163" s="4" t="s">
        <v>74</v>
      </c>
    </row>
    <row r="1164" spans="1:5" ht="14.25" customHeight="1" x14ac:dyDescent="0.25">
      <c r="A1164" s="31">
        <v>41856</v>
      </c>
      <c r="B1164" s="32">
        <v>2097.32178277499</v>
      </c>
      <c r="C1164" s="33">
        <v>94.785833333333301</v>
      </c>
      <c r="D1164" s="4">
        <v>8</v>
      </c>
      <c r="E1164" s="4" t="s">
        <v>74</v>
      </c>
    </row>
    <row r="1165" spans="1:5" ht="14.25" customHeight="1" x14ac:dyDescent="0.25">
      <c r="A1165" s="31">
        <v>41856.5</v>
      </c>
      <c r="B1165" s="32">
        <v>2447.0156194791598</v>
      </c>
      <c r="C1165" s="33">
        <v>92.864999999999995</v>
      </c>
      <c r="D1165" s="4">
        <v>8</v>
      </c>
      <c r="E1165" s="4" t="s">
        <v>74</v>
      </c>
    </row>
    <row r="1166" spans="1:5" ht="14.25" customHeight="1" x14ac:dyDescent="0.25">
      <c r="A1166" s="31">
        <v>41857</v>
      </c>
      <c r="B1166" s="32">
        <v>2058.4143178874901</v>
      </c>
      <c r="C1166" s="33">
        <v>91.605833333333294</v>
      </c>
      <c r="D1166" s="4">
        <v>8</v>
      </c>
      <c r="E1166" s="4" t="s">
        <v>74</v>
      </c>
    </row>
    <row r="1167" spans="1:5" ht="14.25" customHeight="1" x14ac:dyDescent="0.25">
      <c r="A1167" s="31">
        <v>41857.5</v>
      </c>
      <c r="B1167" s="32">
        <v>2263.9383129583298</v>
      </c>
      <c r="C1167" s="33">
        <v>94.448333333333295</v>
      </c>
      <c r="D1167" s="4">
        <v>8</v>
      </c>
      <c r="E1167" s="4" t="s">
        <v>74</v>
      </c>
    </row>
    <row r="1168" spans="1:5" ht="14.25" customHeight="1" x14ac:dyDescent="0.25">
      <c r="A1168" s="31">
        <v>41858</v>
      </c>
      <c r="B1168" s="32">
        <v>2234.9891930833301</v>
      </c>
      <c r="C1168" s="33">
        <v>89.094999999999899</v>
      </c>
      <c r="D1168" s="4">
        <v>8</v>
      </c>
      <c r="E1168" s="4" t="s">
        <v>74</v>
      </c>
    </row>
    <row r="1169" spans="1:5" ht="14.25" customHeight="1" x14ac:dyDescent="0.25">
      <c r="A1169" s="31">
        <v>41858.5</v>
      </c>
      <c r="B1169" s="32">
        <v>2535.4648421291599</v>
      </c>
      <c r="C1169" s="33">
        <v>95.37</v>
      </c>
      <c r="D1169" s="4">
        <v>8</v>
      </c>
      <c r="E1169" s="4" t="s">
        <v>74</v>
      </c>
    </row>
    <row r="1170" spans="1:5" ht="14.25" customHeight="1" x14ac:dyDescent="0.25">
      <c r="A1170" s="31">
        <v>41859</v>
      </c>
      <c r="B1170" s="32">
        <v>2119.8378024249901</v>
      </c>
      <c r="C1170" s="33">
        <v>92.759166666666601</v>
      </c>
      <c r="D1170" s="4">
        <v>8</v>
      </c>
      <c r="E1170" s="4" t="s">
        <v>74</v>
      </c>
    </row>
    <row r="1171" spans="1:5" ht="14.25" customHeight="1" x14ac:dyDescent="0.25">
      <c r="A1171" s="31">
        <v>41859.5</v>
      </c>
      <c r="B1171" s="32">
        <v>2611.1508810291598</v>
      </c>
      <c r="C1171" s="33">
        <v>96.861666666666594</v>
      </c>
      <c r="D1171" s="4">
        <v>8</v>
      </c>
      <c r="E1171" s="4" t="s">
        <v>74</v>
      </c>
    </row>
    <row r="1172" spans="1:5" ht="14.25" customHeight="1" x14ac:dyDescent="0.25">
      <c r="A1172" s="31">
        <v>41860</v>
      </c>
      <c r="B1172" s="32">
        <v>2252.2625322999902</v>
      </c>
      <c r="C1172" s="33">
        <v>92.893333333333302</v>
      </c>
      <c r="D1172" s="4">
        <v>8</v>
      </c>
      <c r="E1172" s="4" t="s">
        <v>74</v>
      </c>
    </row>
    <row r="1173" spans="1:5" ht="14.25" customHeight="1" x14ac:dyDescent="0.25">
      <c r="A1173" s="31">
        <v>41860.5</v>
      </c>
      <c r="B1173" s="32">
        <v>2435.58375557916</v>
      </c>
      <c r="C1173" s="33">
        <v>91.62</v>
      </c>
      <c r="D1173" s="4">
        <v>8</v>
      </c>
      <c r="E1173" s="4" t="s">
        <v>74</v>
      </c>
    </row>
    <row r="1174" spans="1:5" ht="14.25" customHeight="1" x14ac:dyDescent="0.25">
      <c r="A1174" s="31">
        <v>41861</v>
      </c>
      <c r="B1174" s="32">
        <v>2012.25450448333</v>
      </c>
      <c r="C1174" s="33">
        <v>95.988333333333301</v>
      </c>
      <c r="D1174" s="4">
        <v>8</v>
      </c>
      <c r="E1174" s="4" t="s">
        <v>74</v>
      </c>
    </row>
    <row r="1175" spans="1:5" ht="14.25" customHeight="1" x14ac:dyDescent="0.25">
      <c r="A1175" s="31">
        <v>41861.5</v>
      </c>
      <c r="B1175" s="32">
        <v>2306.09973747083</v>
      </c>
      <c r="C1175" s="33">
        <v>94.588333333333296</v>
      </c>
      <c r="D1175" s="4">
        <v>8</v>
      </c>
      <c r="E1175" s="4" t="s">
        <v>74</v>
      </c>
    </row>
    <row r="1176" spans="1:5" ht="14.25" customHeight="1" x14ac:dyDescent="0.25">
      <c r="A1176" s="31">
        <v>41862</v>
      </c>
      <c r="B1176" s="32">
        <v>1922.23204700416</v>
      </c>
      <c r="C1176" s="33">
        <v>94.031666666666595</v>
      </c>
      <c r="D1176" s="4">
        <v>8</v>
      </c>
      <c r="E1176" s="4" t="s">
        <v>74</v>
      </c>
    </row>
    <row r="1177" spans="1:5" ht="14.25" customHeight="1" x14ac:dyDescent="0.25">
      <c r="A1177" s="31">
        <v>41862.5</v>
      </c>
      <c r="B1177" s="32">
        <v>2271.5186199166601</v>
      </c>
      <c r="C1177" s="33">
        <v>93.4166666666666</v>
      </c>
      <c r="D1177" s="4">
        <v>8</v>
      </c>
      <c r="E1177" s="4" t="s">
        <v>74</v>
      </c>
    </row>
    <row r="1178" spans="1:5" ht="14.25" customHeight="1" x14ac:dyDescent="0.25">
      <c r="A1178" s="31">
        <v>41863</v>
      </c>
      <c r="B1178" s="32">
        <v>2173.2485973624898</v>
      </c>
      <c r="C1178" s="33">
        <v>91.315833333333302</v>
      </c>
      <c r="D1178" s="4">
        <v>8</v>
      </c>
      <c r="E1178" s="4" t="s">
        <v>74</v>
      </c>
    </row>
    <row r="1179" spans="1:5" ht="14.25" customHeight="1" x14ac:dyDescent="0.25">
      <c r="A1179" s="31">
        <v>41863.5</v>
      </c>
      <c r="B1179" s="32">
        <v>2599.35337378333</v>
      </c>
      <c r="C1179" s="33">
        <v>93.227500000000006</v>
      </c>
      <c r="D1179" s="4">
        <v>8</v>
      </c>
      <c r="E1179" s="4" t="s">
        <v>74</v>
      </c>
    </row>
    <row r="1180" spans="1:5" ht="14.25" customHeight="1" x14ac:dyDescent="0.25">
      <c r="A1180" s="31">
        <v>41864</v>
      </c>
      <c r="B1180" s="32">
        <v>2275.3774637166598</v>
      </c>
      <c r="C1180" s="33">
        <v>95.254999999999995</v>
      </c>
      <c r="D1180" s="4">
        <v>8</v>
      </c>
      <c r="E1180" s="4" t="s">
        <v>74</v>
      </c>
    </row>
    <row r="1181" spans="1:5" ht="14.25" customHeight="1" x14ac:dyDescent="0.25">
      <c r="A1181" s="31">
        <v>41864.5</v>
      </c>
      <c r="B1181" s="32">
        <v>2572.1158187249898</v>
      </c>
      <c r="C1181" s="33">
        <v>95.577500000000001</v>
      </c>
      <c r="D1181" s="4">
        <v>8</v>
      </c>
      <c r="E1181" s="4" t="s">
        <v>74</v>
      </c>
    </row>
    <row r="1182" spans="1:5" ht="14.25" customHeight="1" x14ac:dyDescent="0.25">
      <c r="A1182" s="31">
        <v>41865</v>
      </c>
      <c r="B1182" s="32">
        <v>2332.2469968083201</v>
      </c>
      <c r="C1182" s="33">
        <v>92.415000000000006</v>
      </c>
      <c r="D1182" s="4">
        <v>8</v>
      </c>
      <c r="E1182" s="4" t="s">
        <v>74</v>
      </c>
    </row>
    <row r="1183" spans="1:5" ht="14.25" customHeight="1" x14ac:dyDescent="0.25">
      <c r="A1183" s="31">
        <v>41865.5</v>
      </c>
      <c r="B1183" s="32">
        <v>2522.0577934541602</v>
      </c>
      <c r="C1183" s="33">
        <v>95.493333333333297</v>
      </c>
      <c r="D1183" s="4">
        <v>8</v>
      </c>
      <c r="E1183" s="4" t="s">
        <v>74</v>
      </c>
    </row>
    <row r="1184" spans="1:5" ht="14.25" customHeight="1" x14ac:dyDescent="0.25">
      <c r="A1184" s="31">
        <v>41866</v>
      </c>
      <c r="B1184" s="32">
        <v>2178.5971232791599</v>
      </c>
      <c r="C1184" s="33">
        <v>94.879166666666606</v>
      </c>
      <c r="D1184" s="4">
        <v>8</v>
      </c>
      <c r="E1184" s="4" t="s">
        <v>74</v>
      </c>
    </row>
    <row r="1185" spans="1:5" ht="14.25" customHeight="1" x14ac:dyDescent="0.25">
      <c r="A1185" s="31">
        <v>41866.5</v>
      </c>
      <c r="B1185" s="32">
        <v>2640.2822745583298</v>
      </c>
      <c r="C1185" s="33">
        <v>91.33</v>
      </c>
      <c r="D1185" s="4">
        <v>8</v>
      </c>
      <c r="E1185" s="4" t="s">
        <v>74</v>
      </c>
    </row>
    <row r="1186" spans="1:5" ht="14.25" customHeight="1" x14ac:dyDescent="0.25">
      <c r="A1186" s="31">
        <v>41867</v>
      </c>
      <c r="B1186" s="32">
        <v>2262.52688914583</v>
      </c>
      <c r="C1186" s="33">
        <v>92.034999999999997</v>
      </c>
      <c r="D1186" s="4">
        <v>8</v>
      </c>
      <c r="E1186" s="4" t="s">
        <v>74</v>
      </c>
    </row>
    <row r="1187" spans="1:5" ht="14.25" customHeight="1" x14ac:dyDescent="0.25">
      <c r="A1187" s="31">
        <v>41867.5</v>
      </c>
      <c r="B1187" s="32">
        <v>2547.7255107166602</v>
      </c>
      <c r="C1187" s="33">
        <v>93.301666666666605</v>
      </c>
      <c r="D1187" s="4">
        <v>8</v>
      </c>
      <c r="E1187" s="4" t="s">
        <v>74</v>
      </c>
    </row>
    <row r="1188" spans="1:5" ht="14.25" customHeight="1" x14ac:dyDescent="0.25">
      <c r="A1188" s="31">
        <v>41868</v>
      </c>
      <c r="B1188" s="32">
        <v>2002.28532935416</v>
      </c>
      <c r="C1188" s="33">
        <v>92.251666666666594</v>
      </c>
      <c r="D1188" s="4">
        <v>8</v>
      </c>
      <c r="E1188" s="4" t="s">
        <v>74</v>
      </c>
    </row>
    <row r="1189" spans="1:5" ht="14.25" customHeight="1" x14ac:dyDescent="0.25">
      <c r="A1189" s="31">
        <v>41868.5</v>
      </c>
      <c r="B1189" s="32">
        <v>2471.14781382916</v>
      </c>
      <c r="C1189" s="33">
        <v>93.829166666666595</v>
      </c>
      <c r="D1189" s="4">
        <v>8</v>
      </c>
      <c r="E1189" s="4" t="s">
        <v>74</v>
      </c>
    </row>
    <row r="1190" spans="1:5" ht="14.25" customHeight="1" x14ac:dyDescent="0.25">
      <c r="A1190" s="31">
        <v>41869</v>
      </c>
      <c r="B1190" s="32">
        <v>1884.5189767458301</v>
      </c>
      <c r="C1190" s="33">
        <v>96.950833333333307</v>
      </c>
      <c r="D1190" s="4">
        <v>8</v>
      </c>
      <c r="E1190" s="4" t="s">
        <v>74</v>
      </c>
    </row>
    <row r="1191" spans="1:5" ht="14.25" customHeight="1" x14ac:dyDescent="0.25">
      <c r="A1191" s="31">
        <v>41869.5</v>
      </c>
      <c r="B1191" s="32">
        <v>2284.6860655041601</v>
      </c>
      <c r="C1191" s="33">
        <v>89.111666666666594</v>
      </c>
      <c r="D1191" s="4">
        <v>8</v>
      </c>
      <c r="E1191" s="4" t="s">
        <v>74</v>
      </c>
    </row>
    <row r="1192" spans="1:5" ht="14.25" customHeight="1" x14ac:dyDescent="0.25">
      <c r="A1192" s="31">
        <v>41870</v>
      </c>
      <c r="B1192" s="32">
        <v>2074.9366848416598</v>
      </c>
      <c r="C1192" s="33">
        <v>93.700833333333307</v>
      </c>
      <c r="D1192" s="4">
        <v>8</v>
      </c>
      <c r="E1192" s="4" t="s">
        <v>74</v>
      </c>
    </row>
    <row r="1193" spans="1:5" ht="14.25" customHeight="1" x14ac:dyDescent="0.25">
      <c r="A1193" s="31">
        <v>41870.5</v>
      </c>
      <c r="B1193" s="32">
        <v>2416.9764224291598</v>
      </c>
      <c r="C1193" s="33">
        <v>91.821666666666601</v>
      </c>
      <c r="D1193" s="4">
        <v>8</v>
      </c>
      <c r="E1193" s="4" t="s">
        <v>74</v>
      </c>
    </row>
    <row r="1194" spans="1:5" ht="14.25" customHeight="1" x14ac:dyDescent="0.25">
      <c r="A1194" s="31">
        <v>41871</v>
      </c>
      <c r="B1194" s="32">
        <v>2351.8879272875001</v>
      </c>
      <c r="C1194" s="33">
        <v>91.176666666666605</v>
      </c>
      <c r="D1194" s="4">
        <v>8</v>
      </c>
      <c r="E1194" s="4" t="s">
        <v>74</v>
      </c>
    </row>
    <row r="1195" spans="1:5" ht="14.25" customHeight="1" x14ac:dyDescent="0.25">
      <c r="A1195" s="31">
        <v>41871.5</v>
      </c>
      <c r="B1195" s="32">
        <v>2486.4495979416602</v>
      </c>
      <c r="C1195" s="33">
        <v>93.967499999999902</v>
      </c>
      <c r="D1195" s="4">
        <v>8</v>
      </c>
      <c r="E1195" s="4" t="s">
        <v>74</v>
      </c>
    </row>
    <row r="1196" spans="1:5" ht="14.25" customHeight="1" x14ac:dyDescent="0.25">
      <c r="A1196" s="31">
        <v>41872</v>
      </c>
      <c r="B1196" s="32">
        <v>2205.80877638333</v>
      </c>
      <c r="C1196" s="33">
        <v>96.016666666666694</v>
      </c>
      <c r="D1196" s="4">
        <v>8</v>
      </c>
      <c r="E1196" s="4" t="s">
        <v>74</v>
      </c>
    </row>
    <row r="1197" spans="1:5" ht="14.25" customHeight="1" x14ac:dyDescent="0.25">
      <c r="A1197" s="31">
        <v>41872.5</v>
      </c>
      <c r="B1197" s="32">
        <v>2463.8877806208302</v>
      </c>
      <c r="C1197" s="33">
        <v>93.3</v>
      </c>
      <c r="D1197" s="4">
        <v>8</v>
      </c>
      <c r="E1197" s="4" t="s">
        <v>74</v>
      </c>
    </row>
    <row r="1198" spans="1:5" ht="14.25" customHeight="1" x14ac:dyDescent="0.25">
      <c r="A1198" s="31">
        <v>41873</v>
      </c>
      <c r="B1198" s="32">
        <v>2389.5416550772702</v>
      </c>
      <c r="C1198" s="33">
        <v>93.487272727272696</v>
      </c>
      <c r="D1198" s="4">
        <v>8</v>
      </c>
      <c r="E1198" s="4" t="s">
        <v>74</v>
      </c>
    </row>
    <row r="1199" spans="1:5" ht="14.25" customHeight="1" x14ac:dyDescent="0.25">
      <c r="A1199" s="31">
        <v>41873.5</v>
      </c>
      <c r="B1199" s="32">
        <v>2462.3126748458299</v>
      </c>
      <c r="C1199" s="33">
        <v>92.534166666666593</v>
      </c>
      <c r="D1199" s="4">
        <v>8</v>
      </c>
      <c r="E1199" s="4" t="s">
        <v>74</v>
      </c>
    </row>
    <row r="1200" spans="1:5" ht="14.25" customHeight="1" x14ac:dyDescent="0.25">
      <c r="A1200" s="31">
        <v>41874</v>
      </c>
      <c r="B1200" s="32">
        <v>2597.9697656916601</v>
      </c>
      <c r="C1200" s="33">
        <v>90.468333333333305</v>
      </c>
      <c r="D1200" s="4">
        <v>8</v>
      </c>
      <c r="E1200" s="4" t="s">
        <v>74</v>
      </c>
    </row>
    <row r="1201" spans="1:5" ht="14.25" customHeight="1" x14ac:dyDescent="0.25">
      <c r="A1201" s="31">
        <v>41874.5</v>
      </c>
      <c r="B1201" s="32">
        <v>2343.0126144708302</v>
      </c>
      <c r="C1201" s="33">
        <v>94.832499999999996</v>
      </c>
      <c r="D1201" s="4">
        <v>8</v>
      </c>
      <c r="E1201" s="4" t="s">
        <v>74</v>
      </c>
    </row>
    <row r="1202" spans="1:5" ht="14.25" customHeight="1" x14ac:dyDescent="0.25">
      <c r="A1202" s="31">
        <v>41875</v>
      </c>
      <c r="B1202" s="32">
        <v>1935.67293994999</v>
      </c>
      <c r="C1202" s="33">
        <v>95.144999999999996</v>
      </c>
      <c r="D1202" s="4">
        <v>8</v>
      </c>
      <c r="E1202" s="4" t="s">
        <v>74</v>
      </c>
    </row>
    <row r="1203" spans="1:5" ht="14.25" customHeight="1" x14ac:dyDescent="0.25">
      <c r="A1203" s="31">
        <v>41875.5</v>
      </c>
      <c r="B1203" s="32">
        <v>2169.6442316708199</v>
      </c>
      <c r="C1203" s="33">
        <v>93.267499999999998</v>
      </c>
      <c r="D1203" s="4">
        <v>8</v>
      </c>
      <c r="E1203" s="4" t="s">
        <v>74</v>
      </c>
    </row>
    <row r="1204" spans="1:5" ht="14.25" customHeight="1" x14ac:dyDescent="0.25">
      <c r="A1204" s="31">
        <v>41876</v>
      </c>
      <c r="B1204" s="32">
        <v>1945.7263270999899</v>
      </c>
      <c r="C1204" s="33">
        <v>94.013333333333307</v>
      </c>
      <c r="D1204" s="4">
        <v>8</v>
      </c>
      <c r="E1204" s="4" t="s">
        <v>74</v>
      </c>
    </row>
    <row r="1205" spans="1:5" ht="14.25" customHeight="1" x14ac:dyDescent="0.25">
      <c r="A1205" s="31">
        <v>41876.5</v>
      </c>
      <c r="B1205" s="32">
        <v>2415.7238709749899</v>
      </c>
      <c r="C1205" s="33">
        <v>95.63</v>
      </c>
      <c r="D1205" s="4">
        <v>8</v>
      </c>
      <c r="E1205" s="4" t="s">
        <v>74</v>
      </c>
    </row>
    <row r="1206" spans="1:5" ht="14.25" customHeight="1" x14ac:dyDescent="0.25">
      <c r="A1206" s="31">
        <v>41877</v>
      </c>
      <c r="B1206" s="32">
        <v>2155.8468403083298</v>
      </c>
      <c r="C1206" s="33">
        <v>92.195833333333297</v>
      </c>
      <c r="D1206" s="4">
        <v>8</v>
      </c>
      <c r="E1206" s="4" t="s">
        <v>74</v>
      </c>
    </row>
    <row r="1207" spans="1:5" ht="14.25" customHeight="1" x14ac:dyDescent="0.25">
      <c r="A1207" s="31">
        <v>41877.5</v>
      </c>
      <c r="B1207" s="32">
        <v>2488.4190322208301</v>
      </c>
      <c r="C1207" s="33">
        <v>91.516666666666595</v>
      </c>
      <c r="D1207" s="4">
        <v>8</v>
      </c>
      <c r="E1207" s="4" t="s">
        <v>74</v>
      </c>
    </row>
    <row r="1208" spans="1:5" ht="14.25" customHeight="1" x14ac:dyDescent="0.25">
      <c r="A1208" s="31">
        <v>41878</v>
      </c>
      <c r="B1208" s="32">
        <v>2225.5085196499999</v>
      </c>
      <c r="C1208" s="33">
        <v>94.718333333333305</v>
      </c>
      <c r="D1208" s="4">
        <v>8</v>
      </c>
      <c r="E1208" s="4" t="s">
        <v>74</v>
      </c>
    </row>
    <row r="1209" spans="1:5" ht="14.25" customHeight="1" x14ac:dyDescent="0.25">
      <c r="A1209" s="31">
        <v>41878.5</v>
      </c>
      <c r="B1209" s="32">
        <v>2729.62043478749</v>
      </c>
      <c r="C1209" s="33">
        <v>93.7083333333333</v>
      </c>
      <c r="D1209" s="4">
        <v>8</v>
      </c>
      <c r="E1209" s="4" t="s">
        <v>74</v>
      </c>
    </row>
    <row r="1210" spans="1:5" ht="14.25" customHeight="1" x14ac:dyDescent="0.25">
      <c r="A1210" s="31">
        <v>41879</v>
      </c>
      <c r="B1210" s="32">
        <v>2310.9775189749898</v>
      </c>
      <c r="C1210" s="33">
        <v>88.927499999999995</v>
      </c>
      <c r="D1210" s="4">
        <v>8</v>
      </c>
      <c r="E1210" s="4" t="s">
        <v>74</v>
      </c>
    </row>
    <row r="1211" spans="1:5" ht="14.25" customHeight="1" x14ac:dyDescent="0.25">
      <c r="A1211" s="31">
        <v>41879.5</v>
      </c>
      <c r="B1211" s="32">
        <v>2549.6945594041599</v>
      </c>
      <c r="C1211" s="33">
        <v>92.028333333333293</v>
      </c>
      <c r="D1211" s="4">
        <v>8</v>
      </c>
      <c r="E1211" s="4" t="s">
        <v>74</v>
      </c>
    </row>
    <row r="1212" spans="1:5" ht="14.25" customHeight="1" x14ac:dyDescent="0.25">
      <c r="A1212" s="31">
        <v>41880</v>
      </c>
      <c r="B1212" s="32">
        <v>2250.2431120541601</v>
      </c>
      <c r="C1212" s="33">
        <v>93.161666666666605</v>
      </c>
      <c r="D1212" s="4">
        <v>8</v>
      </c>
      <c r="E1212" s="4" t="s">
        <v>74</v>
      </c>
    </row>
    <row r="1213" spans="1:5" ht="14.25" customHeight="1" x14ac:dyDescent="0.25">
      <c r="A1213" s="31">
        <v>41880.5</v>
      </c>
      <c r="B1213" s="32">
        <v>2474.0586088999898</v>
      </c>
      <c r="C1213" s="33">
        <v>94.2766666666666</v>
      </c>
      <c r="D1213" s="4">
        <v>8</v>
      </c>
      <c r="E1213" s="4" t="s">
        <v>74</v>
      </c>
    </row>
    <row r="1214" spans="1:5" ht="14.25" customHeight="1" x14ac:dyDescent="0.25">
      <c r="A1214" s="31">
        <v>41881</v>
      </c>
      <c r="B1214" s="32">
        <v>2181.92416806249</v>
      </c>
      <c r="C1214" s="33">
        <v>89.2083333333333</v>
      </c>
      <c r="D1214" s="4">
        <v>8</v>
      </c>
      <c r="E1214" s="4" t="s">
        <v>74</v>
      </c>
    </row>
    <row r="1215" spans="1:5" ht="14.25" customHeight="1" x14ac:dyDescent="0.25">
      <c r="A1215" s="31">
        <v>41881.5</v>
      </c>
      <c r="B1215" s="32">
        <v>2459.62038521249</v>
      </c>
      <c r="C1215" s="33">
        <v>94.743333333333297</v>
      </c>
      <c r="D1215" s="4">
        <v>8</v>
      </c>
      <c r="E1215" s="4" t="s">
        <v>74</v>
      </c>
    </row>
    <row r="1216" spans="1:5" ht="14.25" customHeight="1" x14ac:dyDescent="0.25">
      <c r="A1216" s="31">
        <v>41882</v>
      </c>
      <c r="B1216" s="32">
        <v>2001.1209491583299</v>
      </c>
      <c r="C1216" s="33">
        <v>89.875833333333304</v>
      </c>
      <c r="D1216" s="4">
        <v>8</v>
      </c>
      <c r="E1216" s="4" t="s">
        <v>74</v>
      </c>
    </row>
    <row r="1217" spans="1:5" ht="14.25" customHeight="1" x14ac:dyDescent="0.25">
      <c r="A1217" s="31">
        <v>41882.5</v>
      </c>
      <c r="B1217" s="32">
        <v>2264.75547124166</v>
      </c>
      <c r="C1217" s="33">
        <v>90.906666666666595</v>
      </c>
      <c r="D1217" s="4">
        <v>8</v>
      </c>
      <c r="E1217" s="4" t="s">
        <v>74</v>
      </c>
    </row>
    <row r="1218" spans="1:5" ht="14.25" customHeight="1" x14ac:dyDescent="0.25">
      <c r="A1218" s="31">
        <v>41883</v>
      </c>
      <c r="B1218" s="32">
        <v>1921.8538409166599</v>
      </c>
      <c r="C1218" s="33">
        <v>94.0058333333333</v>
      </c>
      <c r="D1218" s="4">
        <v>9</v>
      </c>
      <c r="E1218" s="4" t="s">
        <v>74</v>
      </c>
    </row>
    <row r="1219" spans="1:5" ht="14.25" customHeight="1" x14ac:dyDescent="0.25">
      <c r="A1219" s="31">
        <v>41883.5</v>
      </c>
      <c r="B1219" s="32">
        <v>2338.8713482916601</v>
      </c>
      <c r="C1219" s="33">
        <v>92.414166666666603</v>
      </c>
      <c r="D1219" s="4">
        <v>9</v>
      </c>
      <c r="E1219" s="4" t="s">
        <v>74</v>
      </c>
    </row>
    <row r="1220" spans="1:5" ht="14.25" customHeight="1" x14ac:dyDescent="0.25">
      <c r="A1220" s="31">
        <v>41884</v>
      </c>
      <c r="B1220" s="32">
        <v>2248.2096055541601</v>
      </c>
      <c r="C1220" s="33">
        <v>92.831666666666607</v>
      </c>
      <c r="D1220" s="4">
        <v>9</v>
      </c>
      <c r="E1220" s="4" t="s">
        <v>74</v>
      </c>
    </row>
    <row r="1221" spans="1:5" ht="14.25" customHeight="1" x14ac:dyDescent="0.25">
      <c r="A1221" s="31">
        <v>41884.5</v>
      </c>
      <c r="B1221" s="32">
        <v>2430.7613596208298</v>
      </c>
      <c r="C1221" s="33">
        <v>92.375</v>
      </c>
      <c r="D1221" s="4">
        <v>9</v>
      </c>
      <c r="E1221" s="4" t="s">
        <v>74</v>
      </c>
    </row>
    <row r="1222" spans="1:5" ht="14.25" customHeight="1" x14ac:dyDescent="0.25">
      <c r="A1222" s="31">
        <v>41885</v>
      </c>
      <c r="B1222" s="32">
        <v>2143.8002868999902</v>
      </c>
      <c r="C1222" s="33">
        <v>89.369166666666601</v>
      </c>
      <c r="D1222" s="4">
        <v>9</v>
      </c>
      <c r="E1222" s="4" t="s">
        <v>74</v>
      </c>
    </row>
    <row r="1223" spans="1:5" ht="14.25" customHeight="1" x14ac:dyDescent="0.25">
      <c r="A1223" s="31">
        <v>41885.5</v>
      </c>
      <c r="B1223" s="32">
        <v>2488.10847363333</v>
      </c>
      <c r="C1223" s="33">
        <v>93.370833333333294</v>
      </c>
      <c r="D1223" s="4">
        <v>9</v>
      </c>
      <c r="E1223" s="4" t="s">
        <v>74</v>
      </c>
    </row>
    <row r="1224" spans="1:5" ht="14.25" customHeight="1" x14ac:dyDescent="0.25">
      <c r="A1224" s="31">
        <v>41886</v>
      </c>
      <c r="B1224" s="32">
        <v>2079.2519090791602</v>
      </c>
      <c r="C1224" s="33">
        <v>91.319166666666604</v>
      </c>
      <c r="D1224" s="4">
        <v>9</v>
      </c>
      <c r="E1224" s="4" t="s">
        <v>74</v>
      </c>
    </row>
    <row r="1225" spans="1:5" ht="14.25" customHeight="1" x14ac:dyDescent="0.25">
      <c r="A1225" s="31">
        <v>41886.5</v>
      </c>
      <c r="B1225" s="32">
        <v>2292.28191523333</v>
      </c>
      <c r="C1225" s="33">
        <v>91.633333333333297</v>
      </c>
      <c r="D1225" s="4">
        <v>9</v>
      </c>
      <c r="E1225" s="4" t="s">
        <v>74</v>
      </c>
    </row>
    <row r="1226" spans="1:5" ht="14.25" customHeight="1" x14ac:dyDescent="0.25">
      <c r="A1226" s="31">
        <v>41887</v>
      </c>
      <c r="B1226" s="32">
        <v>2187.0871952124999</v>
      </c>
      <c r="C1226" s="33">
        <v>93.654166666666598</v>
      </c>
      <c r="D1226" s="4">
        <v>9</v>
      </c>
      <c r="E1226" s="4" t="s">
        <v>74</v>
      </c>
    </row>
    <row r="1227" spans="1:5" ht="14.25" customHeight="1" x14ac:dyDescent="0.25">
      <c r="A1227" s="31">
        <v>41887.5</v>
      </c>
      <c r="B1227" s="32">
        <v>2578.1538939624902</v>
      </c>
      <c r="C1227" s="33">
        <v>93.094999999999899</v>
      </c>
      <c r="D1227" s="4">
        <v>9</v>
      </c>
      <c r="E1227" s="4" t="s">
        <v>74</v>
      </c>
    </row>
    <row r="1228" spans="1:5" ht="14.25" customHeight="1" x14ac:dyDescent="0.25">
      <c r="A1228" s="31">
        <v>41888</v>
      </c>
      <c r="B1228" s="32">
        <v>2073.3774350125</v>
      </c>
      <c r="C1228" s="33">
        <v>93.775000000000006</v>
      </c>
      <c r="D1228" s="4">
        <v>9</v>
      </c>
      <c r="E1228" s="4" t="s">
        <v>74</v>
      </c>
    </row>
    <row r="1229" spans="1:5" ht="14.25" customHeight="1" x14ac:dyDescent="0.25">
      <c r="A1229" s="31">
        <v>41888.5</v>
      </c>
      <c r="B1229" s="32">
        <v>2368.6728615124898</v>
      </c>
      <c r="C1229" s="33">
        <v>88.952500000000001</v>
      </c>
      <c r="D1229" s="4">
        <v>9</v>
      </c>
      <c r="E1229" s="4" t="s">
        <v>74</v>
      </c>
    </row>
    <row r="1230" spans="1:5" ht="14.25" customHeight="1" x14ac:dyDescent="0.25">
      <c r="A1230" s="31">
        <v>41889</v>
      </c>
      <c r="B1230" s="32">
        <v>2047.0225873166601</v>
      </c>
      <c r="C1230" s="33">
        <v>92.994166666666601</v>
      </c>
      <c r="D1230" s="4">
        <v>9</v>
      </c>
      <c r="E1230" s="4" t="s">
        <v>74</v>
      </c>
    </row>
    <row r="1231" spans="1:5" ht="14.25" customHeight="1" x14ac:dyDescent="0.25">
      <c r="A1231" s="31">
        <v>41889.5</v>
      </c>
      <c r="B1231" s="32">
        <v>2192.4860586999898</v>
      </c>
      <c r="C1231" s="33">
        <v>97.970833333333303</v>
      </c>
      <c r="D1231" s="4">
        <v>9</v>
      </c>
      <c r="E1231" s="4" t="s">
        <v>74</v>
      </c>
    </row>
    <row r="1232" spans="1:5" ht="14.25" customHeight="1" x14ac:dyDescent="0.25">
      <c r="A1232" s="31">
        <v>41890</v>
      </c>
      <c r="B1232" s="32">
        <v>1873.06487834583</v>
      </c>
      <c r="C1232" s="33">
        <v>92.363333333333301</v>
      </c>
      <c r="D1232" s="4">
        <v>9</v>
      </c>
      <c r="E1232" s="4" t="s">
        <v>74</v>
      </c>
    </row>
    <row r="1233" spans="1:5" ht="14.25" customHeight="1" x14ac:dyDescent="0.25">
      <c r="A1233" s="31">
        <v>41890.5</v>
      </c>
      <c r="B1233" s="32">
        <v>2222.5540251458301</v>
      </c>
      <c r="C1233" s="33">
        <v>93.679166666666603</v>
      </c>
      <c r="D1233" s="4">
        <v>9</v>
      </c>
      <c r="E1233" s="4" t="s">
        <v>74</v>
      </c>
    </row>
    <row r="1234" spans="1:5" ht="14.25" customHeight="1" x14ac:dyDescent="0.25">
      <c r="A1234" s="31">
        <v>41891</v>
      </c>
      <c r="B1234" s="32">
        <v>2121.8563898791599</v>
      </c>
      <c r="C1234" s="33">
        <v>92.120833333333294</v>
      </c>
      <c r="D1234" s="4">
        <v>9</v>
      </c>
      <c r="E1234" s="4" t="s">
        <v>74</v>
      </c>
    </row>
    <row r="1235" spans="1:5" ht="14.25" customHeight="1" x14ac:dyDescent="0.25">
      <c r="A1235" s="31">
        <v>41891.5</v>
      </c>
      <c r="B1235" s="32">
        <v>2453.3169167750002</v>
      </c>
      <c r="C1235" s="33">
        <v>95.302499999999995</v>
      </c>
      <c r="D1235" s="4">
        <v>9</v>
      </c>
      <c r="E1235" s="4" t="s">
        <v>74</v>
      </c>
    </row>
    <row r="1236" spans="1:5" ht="14.25" customHeight="1" x14ac:dyDescent="0.25">
      <c r="A1236" s="31">
        <v>41892</v>
      </c>
      <c r="B1236" s="32">
        <v>2205.2623963208298</v>
      </c>
      <c r="C1236" s="33">
        <v>90.0416666666666</v>
      </c>
      <c r="D1236" s="4">
        <v>9</v>
      </c>
      <c r="E1236" s="4" t="s">
        <v>74</v>
      </c>
    </row>
    <row r="1237" spans="1:5" ht="14.25" customHeight="1" x14ac:dyDescent="0.25">
      <c r="A1237" s="31">
        <v>41892.5</v>
      </c>
      <c r="B1237" s="32">
        <v>2507.6118844083298</v>
      </c>
      <c r="C1237" s="33">
        <v>92.947499999999906</v>
      </c>
      <c r="D1237" s="4">
        <v>9</v>
      </c>
      <c r="E1237" s="4" t="s">
        <v>74</v>
      </c>
    </row>
    <row r="1238" spans="1:5" ht="14.25" customHeight="1" x14ac:dyDescent="0.25">
      <c r="A1238" s="31">
        <v>41893</v>
      </c>
      <c r="B1238" s="32">
        <v>2188.4652711458298</v>
      </c>
      <c r="C1238" s="33">
        <v>94.227500000000006</v>
      </c>
      <c r="D1238" s="4">
        <v>9</v>
      </c>
      <c r="E1238" s="4" t="s">
        <v>74</v>
      </c>
    </row>
    <row r="1239" spans="1:5" ht="14.25" customHeight="1" x14ac:dyDescent="0.25">
      <c r="A1239" s="31">
        <v>41893.5</v>
      </c>
      <c r="B1239" s="32">
        <v>2584.44164734999</v>
      </c>
      <c r="C1239" s="33">
        <v>94.241666666666603</v>
      </c>
      <c r="D1239" s="4">
        <v>9</v>
      </c>
      <c r="E1239" s="4" t="s">
        <v>74</v>
      </c>
    </row>
    <row r="1240" spans="1:5" ht="14.25" customHeight="1" x14ac:dyDescent="0.25">
      <c r="A1240" s="31">
        <v>41894</v>
      </c>
      <c r="B1240" s="32">
        <v>2158.9195386124902</v>
      </c>
      <c r="C1240" s="33">
        <v>91.0266666666666</v>
      </c>
      <c r="D1240" s="4">
        <v>9</v>
      </c>
      <c r="E1240" s="4" t="s">
        <v>74</v>
      </c>
    </row>
    <row r="1241" spans="1:5" ht="14.25" customHeight="1" x14ac:dyDescent="0.25">
      <c r="A1241" s="31">
        <v>41894.5</v>
      </c>
      <c r="B1241" s="32">
        <v>2390.7399585374901</v>
      </c>
      <c r="C1241" s="33">
        <v>92.328333333333305</v>
      </c>
      <c r="D1241" s="4">
        <v>9</v>
      </c>
      <c r="E1241" s="4" t="s">
        <v>74</v>
      </c>
    </row>
    <row r="1242" spans="1:5" ht="14.25" customHeight="1" x14ac:dyDescent="0.25">
      <c r="A1242" s="31">
        <v>41895</v>
      </c>
      <c r="B1242" s="32">
        <v>2250.0891999208302</v>
      </c>
      <c r="C1242" s="33">
        <v>97.080833333333302</v>
      </c>
      <c r="D1242" s="4">
        <v>9</v>
      </c>
      <c r="E1242" s="4" t="s">
        <v>74</v>
      </c>
    </row>
    <row r="1243" spans="1:5" ht="14.25" customHeight="1" x14ac:dyDescent="0.25">
      <c r="A1243" s="31">
        <v>41895.5</v>
      </c>
      <c r="B1243" s="32">
        <v>2573.5470409049899</v>
      </c>
      <c r="C1243" s="33">
        <v>93.259999999999906</v>
      </c>
      <c r="D1243" s="4">
        <v>9</v>
      </c>
      <c r="E1243" s="4" t="s">
        <v>74</v>
      </c>
    </row>
    <row r="1244" spans="1:5" ht="14.25" customHeight="1" x14ac:dyDescent="0.25">
      <c r="A1244" s="31">
        <v>41896</v>
      </c>
      <c r="B1244" s="32">
        <v>1949.9912697541599</v>
      </c>
      <c r="C1244" s="33">
        <v>92.435833333333306</v>
      </c>
      <c r="D1244" s="4">
        <v>9</v>
      </c>
      <c r="E1244" s="4" t="s">
        <v>74</v>
      </c>
    </row>
    <row r="1245" spans="1:5" ht="14.25" customHeight="1" x14ac:dyDescent="0.25">
      <c r="A1245" s="31">
        <v>41896.5</v>
      </c>
      <c r="B1245" s="32">
        <v>2521.4858069583302</v>
      </c>
      <c r="C1245" s="33">
        <v>91.976666666666603</v>
      </c>
      <c r="D1245" s="4">
        <v>9</v>
      </c>
      <c r="E1245" s="4" t="s">
        <v>74</v>
      </c>
    </row>
    <row r="1246" spans="1:5" ht="14.25" customHeight="1" x14ac:dyDescent="0.25">
      <c r="A1246" s="31">
        <v>41897</v>
      </c>
      <c r="B1246" s="32">
        <v>2023.5993877916601</v>
      </c>
      <c r="C1246" s="33">
        <v>92.086666666666602</v>
      </c>
      <c r="D1246" s="4">
        <v>9</v>
      </c>
      <c r="E1246" s="4" t="s">
        <v>74</v>
      </c>
    </row>
    <row r="1247" spans="1:5" ht="14.25" customHeight="1" x14ac:dyDescent="0.25">
      <c r="A1247" s="31">
        <v>41897.5</v>
      </c>
      <c r="B1247" s="32">
        <v>2372.4070769416599</v>
      </c>
      <c r="C1247" s="33">
        <v>92.968333333333305</v>
      </c>
      <c r="D1247" s="4">
        <v>9</v>
      </c>
      <c r="E1247" s="4" t="s">
        <v>74</v>
      </c>
    </row>
    <row r="1248" spans="1:5" ht="14.25" customHeight="1" x14ac:dyDescent="0.25">
      <c r="A1248" s="31">
        <v>41898</v>
      </c>
      <c r="B1248" s="32">
        <v>2288.5283720166599</v>
      </c>
      <c r="C1248" s="33">
        <v>96.536666666666605</v>
      </c>
      <c r="D1248" s="4">
        <v>9</v>
      </c>
      <c r="E1248" s="4" t="s">
        <v>74</v>
      </c>
    </row>
    <row r="1249" spans="1:5" ht="14.25" customHeight="1" x14ac:dyDescent="0.25">
      <c r="A1249" s="31">
        <v>41898.5</v>
      </c>
      <c r="B1249" s="32">
        <v>2750.9170458041599</v>
      </c>
      <c r="C1249" s="33">
        <v>94.171666666666596</v>
      </c>
      <c r="D1249" s="4">
        <v>9</v>
      </c>
      <c r="E1249" s="4" t="s">
        <v>74</v>
      </c>
    </row>
    <row r="1250" spans="1:5" ht="14.25" customHeight="1" x14ac:dyDescent="0.25">
      <c r="A1250" s="31">
        <v>41899</v>
      </c>
      <c r="B1250" s="32">
        <v>2395.3668768041598</v>
      </c>
      <c r="C1250" s="33">
        <v>94.457499999999996</v>
      </c>
      <c r="D1250" s="4">
        <v>9</v>
      </c>
      <c r="E1250" s="4" t="s">
        <v>74</v>
      </c>
    </row>
    <row r="1251" spans="1:5" ht="14.25" customHeight="1" x14ac:dyDescent="0.25">
      <c r="A1251" s="31">
        <v>41899.5</v>
      </c>
      <c r="B1251" s="32">
        <v>2506.8038927499902</v>
      </c>
      <c r="C1251" s="33">
        <v>93.327499999999901</v>
      </c>
      <c r="D1251" s="4">
        <v>9</v>
      </c>
      <c r="E1251" s="4" t="s">
        <v>74</v>
      </c>
    </row>
    <row r="1252" spans="1:5" ht="14.25" customHeight="1" x14ac:dyDescent="0.25">
      <c r="A1252" s="31">
        <v>41900</v>
      </c>
      <c r="B1252" s="32">
        <v>2280.4726940291598</v>
      </c>
      <c r="C1252" s="33">
        <v>96.022499999999994</v>
      </c>
      <c r="D1252" s="4">
        <v>9</v>
      </c>
      <c r="E1252" s="4" t="s">
        <v>74</v>
      </c>
    </row>
    <row r="1253" spans="1:5" ht="14.25" customHeight="1" x14ac:dyDescent="0.25">
      <c r="A1253" s="31">
        <v>41900.5</v>
      </c>
      <c r="B1253" s="32">
        <v>2566.9448365708299</v>
      </c>
      <c r="C1253" s="33">
        <v>94.177499999999995</v>
      </c>
      <c r="D1253" s="4">
        <v>9</v>
      </c>
      <c r="E1253" s="4" t="s">
        <v>74</v>
      </c>
    </row>
    <row r="1254" spans="1:5" ht="14.25" customHeight="1" x14ac:dyDescent="0.25">
      <c r="A1254" s="31">
        <v>41901</v>
      </c>
      <c r="B1254" s="32">
        <v>2116.5523292124899</v>
      </c>
      <c r="C1254" s="33">
        <v>93.3125</v>
      </c>
      <c r="D1254" s="4">
        <v>9</v>
      </c>
      <c r="E1254" s="4" t="s">
        <v>74</v>
      </c>
    </row>
    <row r="1255" spans="1:5" ht="14.25" customHeight="1" x14ac:dyDescent="0.25">
      <c r="A1255" s="31">
        <v>41901.5</v>
      </c>
      <c r="B1255" s="32">
        <v>2461.1738193708302</v>
      </c>
      <c r="C1255" s="33">
        <v>92.627499999999998</v>
      </c>
      <c r="D1255" s="4">
        <v>9</v>
      </c>
      <c r="E1255" s="4" t="s">
        <v>74</v>
      </c>
    </row>
    <row r="1256" spans="1:5" ht="14.25" customHeight="1" x14ac:dyDescent="0.25">
      <c r="A1256" s="31">
        <v>41902</v>
      </c>
      <c r="B1256" s="32">
        <v>2288.29357438332</v>
      </c>
      <c r="C1256" s="33">
        <v>93.024166666666602</v>
      </c>
      <c r="D1256" s="4">
        <v>9</v>
      </c>
      <c r="E1256" s="4" t="s">
        <v>74</v>
      </c>
    </row>
    <row r="1257" spans="1:5" ht="14.25" customHeight="1" x14ac:dyDescent="0.25">
      <c r="A1257" s="31">
        <v>41902.5</v>
      </c>
      <c r="B1257" s="32">
        <v>2493.1580491749901</v>
      </c>
      <c r="C1257" s="33">
        <v>92.092500000000001</v>
      </c>
      <c r="D1257" s="4">
        <v>9</v>
      </c>
      <c r="E1257" s="4" t="s">
        <v>74</v>
      </c>
    </row>
    <row r="1258" spans="1:5" ht="14.25" customHeight="1" x14ac:dyDescent="0.25">
      <c r="A1258" s="31">
        <v>41903</v>
      </c>
      <c r="B1258" s="32">
        <v>1997.42899145416</v>
      </c>
      <c r="C1258" s="33">
        <v>92.263333333333307</v>
      </c>
      <c r="D1258" s="4">
        <v>9</v>
      </c>
      <c r="E1258" s="4" t="s">
        <v>74</v>
      </c>
    </row>
    <row r="1259" spans="1:5" ht="14.25" customHeight="1" x14ac:dyDescent="0.25">
      <c r="A1259" s="31">
        <v>41903.5</v>
      </c>
      <c r="B1259" s="32">
        <v>2123.2153123916601</v>
      </c>
      <c r="C1259" s="33">
        <v>93.793333333333294</v>
      </c>
      <c r="D1259" s="4">
        <v>9</v>
      </c>
      <c r="E1259" s="4" t="s">
        <v>74</v>
      </c>
    </row>
    <row r="1260" spans="1:5" ht="14.25" customHeight="1" x14ac:dyDescent="0.25">
      <c r="A1260" s="31">
        <v>41904</v>
      </c>
      <c r="B1260" s="32">
        <v>1959.9531131199999</v>
      </c>
      <c r="C1260" s="33">
        <v>92.381999999999906</v>
      </c>
      <c r="D1260" s="4">
        <v>9</v>
      </c>
      <c r="E1260" s="4" t="s">
        <v>74</v>
      </c>
    </row>
    <row r="1261" spans="1:5" ht="14.25" customHeight="1" x14ac:dyDescent="0.25">
      <c r="A1261" s="31">
        <v>41904.5</v>
      </c>
      <c r="B1261" s="32">
        <v>2364.44915055416</v>
      </c>
      <c r="C1261" s="33">
        <v>92.907499999999999</v>
      </c>
      <c r="D1261" s="4">
        <v>9</v>
      </c>
      <c r="E1261" s="4" t="s">
        <v>74</v>
      </c>
    </row>
    <row r="1262" spans="1:5" ht="14.25" customHeight="1" x14ac:dyDescent="0.25">
      <c r="A1262" s="31">
        <v>41905</v>
      </c>
      <c r="B1262" s="32">
        <v>2248.0190105124898</v>
      </c>
      <c r="C1262" s="33">
        <v>93.206249999999997</v>
      </c>
      <c r="D1262" s="4">
        <v>9</v>
      </c>
      <c r="E1262" s="4" t="s">
        <v>74</v>
      </c>
    </row>
    <row r="1263" spans="1:5" ht="14.25" customHeight="1" x14ac:dyDescent="0.25">
      <c r="A1263" s="31">
        <v>41905.5</v>
      </c>
      <c r="B1263" s="32">
        <v>2449.8866331333302</v>
      </c>
      <c r="C1263" s="33">
        <v>97.012499999999903</v>
      </c>
      <c r="D1263" s="4">
        <v>9</v>
      </c>
      <c r="E1263" s="4" t="s">
        <v>74</v>
      </c>
    </row>
    <row r="1264" spans="1:5" ht="14.25" customHeight="1" x14ac:dyDescent="0.25">
      <c r="A1264" s="31">
        <v>41906</v>
      </c>
      <c r="B1264" s="32">
        <v>2096.2388598541602</v>
      </c>
      <c r="C1264" s="33">
        <v>89.178333333333299</v>
      </c>
      <c r="D1264" s="4">
        <v>9</v>
      </c>
      <c r="E1264" s="4" t="s">
        <v>74</v>
      </c>
    </row>
    <row r="1265" spans="1:5" ht="14.25" customHeight="1" x14ac:dyDescent="0.25">
      <c r="A1265" s="31">
        <v>41906.5</v>
      </c>
      <c r="B1265" s="32">
        <v>2440.3553028374899</v>
      </c>
      <c r="C1265" s="33">
        <v>90.419166666666598</v>
      </c>
      <c r="D1265" s="4">
        <v>9</v>
      </c>
      <c r="E1265" s="4" t="s">
        <v>74</v>
      </c>
    </row>
    <row r="1266" spans="1:5" ht="14.25" customHeight="1" x14ac:dyDescent="0.25">
      <c r="A1266" s="31">
        <v>41907</v>
      </c>
      <c r="B1266" s="32">
        <v>2174.9172505541601</v>
      </c>
      <c r="C1266" s="33">
        <v>95.5891666666666</v>
      </c>
      <c r="D1266" s="4">
        <v>9</v>
      </c>
      <c r="E1266" s="4" t="s">
        <v>74</v>
      </c>
    </row>
    <row r="1267" spans="1:5" ht="14.25" customHeight="1" x14ac:dyDescent="0.25">
      <c r="A1267" s="31">
        <v>41907.5</v>
      </c>
      <c r="B1267" s="32">
        <v>2413.5105322916602</v>
      </c>
      <c r="C1267" s="33">
        <v>97.796666666666596</v>
      </c>
      <c r="D1267" s="4">
        <v>9</v>
      </c>
      <c r="E1267" s="4" t="s">
        <v>74</v>
      </c>
    </row>
    <row r="1268" spans="1:5" ht="14.25" customHeight="1" x14ac:dyDescent="0.25">
      <c r="A1268" s="31">
        <v>41908</v>
      </c>
      <c r="B1268" s="32">
        <v>2185.6362948291599</v>
      </c>
      <c r="C1268" s="33">
        <v>93.211666666666602</v>
      </c>
      <c r="D1268" s="4">
        <v>9</v>
      </c>
      <c r="E1268" s="4" t="s">
        <v>74</v>
      </c>
    </row>
    <row r="1269" spans="1:5" ht="14.25" customHeight="1" x14ac:dyDescent="0.25">
      <c r="A1269" s="31">
        <v>41908.5</v>
      </c>
      <c r="B1269" s="32">
        <v>2488.2033734500001</v>
      </c>
      <c r="C1269" s="33">
        <v>92.63</v>
      </c>
      <c r="D1269" s="4">
        <v>9</v>
      </c>
      <c r="E1269" s="4" t="s">
        <v>74</v>
      </c>
    </row>
    <row r="1270" spans="1:5" ht="14.25" customHeight="1" x14ac:dyDescent="0.25">
      <c r="A1270" s="31">
        <v>41909</v>
      </c>
      <c r="B1270" s="32">
        <v>2231.6066298124902</v>
      </c>
      <c r="C1270" s="33">
        <v>93.126666666666594</v>
      </c>
      <c r="D1270" s="4">
        <v>9</v>
      </c>
      <c r="E1270" s="4" t="s">
        <v>74</v>
      </c>
    </row>
    <row r="1271" spans="1:5" ht="14.25" customHeight="1" x14ac:dyDescent="0.25">
      <c r="A1271" s="31">
        <v>41909.5</v>
      </c>
      <c r="B1271" s="32">
        <v>2409.3805057374898</v>
      </c>
      <c r="C1271" s="33">
        <v>94.182499999999905</v>
      </c>
      <c r="D1271" s="4">
        <v>9</v>
      </c>
      <c r="E1271" s="4" t="s">
        <v>74</v>
      </c>
    </row>
    <row r="1272" spans="1:5" ht="14.25" customHeight="1" x14ac:dyDescent="0.25">
      <c r="A1272" s="31">
        <v>41910</v>
      </c>
      <c r="B1272" s="32">
        <v>1921.2692918958301</v>
      </c>
      <c r="C1272" s="33">
        <v>92.816666666666606</v>
      </c>
      <c r="D1272" s="4">
        <v>9</v>
      </c>
      <c r="E1272" s="4" t="s">
        <v>74</v>
      </c>
    </row>
    <row r="1273" spans="1:5" ht="14.25" customHeight="1" x14ac:dyDescent="0.25">
      <c r="A1273" s="31">
        <v>41910.5</v>
      </c>
      <c r="B1273" s="32">
        <v>2087.1779811166598</v>
      </c>
      <c r="C1273" s="33">
        <v>89.649166666666602</v>
      </c>
      <c r="D1273" s="4">
        <v>9</v>
      </c>
      <c r="E1273" s="4" t="s">
        <v>74</v>
      </c>
    </row>
    <row r="1274" spans="1:5" ht="14.25" customHeight="1" x14ac:dyDescent="0.25">
      <c r="A1274" s="31">
        <v>41911</v>
      </c>
      <c r="B1274" s="32">
        <v>1892.1575970958299</v>
      </c>
      <c r="C1274" s="33">
        <v>89.694999999999993</v>
      </c>
      <c r="D1274" s="4">
        <v>9</v>
      </c>
      <c r="E1274" s="4" t="s">
        <v>74</v>
      </c>
    </row>
    <row r="1275" spans="1:5" ht="14.25" customHeight="1" x14ac:dyDescent="0.25">
      <c r="A1275" s="31">
        <v>41911.5</v>
      </c>
      <c r="B1275" s="32">
        <v>2173.0139887708301</v>
      </c>
      <c r="C1275" s="33">
        <v>90.165000000000006</v>
      </c>
      <c r="D1275" s="4">
        <v>9</v>
      </c>
      <c r="E1275" s="4" t="s">
        <v>74</v>
      </c>
    </row>
    <row r="1276" spans="1:5" ht="14.25" customHeight="1" x14ac:dyDescent="0.25">
      <c r="A1276" s="31">
        <v>41912</v>
      </c>
      <c r="B1276" s="32">
        <v>1895.0546239416601</v>
      </c>
      <c r="C1276" s="33">
        <v>92.224999999999994</v>
      </c>
      <c r="D1276" s="4">
        <v>9</v>
      </c>
      <c r="E1276" s="4" t="s">
        <v>74</v>
      </c>
    </row>
    <row r="1277" spans="1:5" ht="14.25" customHeight="1" x14ac:dyDescent="0.25">
      <c r="A1277" s="31">
        <v>41912.5</v>
      </c>
      <c r="B1277" s="32">
        <v>2193.5688543291599</v>
      </c>
      <c r="C1277" s="33">
        <v>91.504999999999995</v>
      </c>
      <c r="D1277" s="4">
        <v>9</v>
      </c>
      <c r="E1277" s="4" t="s">
        <v>74</v>
      </c>
    </row>
    <row r="1278" spans="1:5" ht="14.25" customHeight="1" x14ac:dyDescent="0.25">
      <c r="A1278" s="31">
        <v>41913</v>
      </c>
      <c r="B1278" s="32">
        <v>2045.4487360916601</v>
      </c>
      <c r="C1278" s="33">
        <v>95.185833333333306</v>
      </c>
      <c r="D1278" s="4">
        <v>10</v>
      </c>
      <c r="E1278" s="4" t="s">
        <v>74</v>
      </c>
    </row>
    <row r="1279" spans="1:5" ht="14.25" customHeight="1" x14ac:dyDescent="0.25">
      <c r="A1279" s="31">
        <v>41913.5</v>
      </c>
      <c r="B1279" s="32">
        <v>2551.9848045416602</v>
      </c>
      <c r="C1279" s="33">
        <v>92.634166666666601</v>
      </c>
      <c r="D1279" s="4">
        <v>10</v>
      </c>
      <c r="E1279" s="4" t="s">
        <v>74</v>
      </c>
    </row>
    <row r="1280" spans="1:5" ht="14.25" customHeight="1" x14ac:dyDescent="0.25">
      <c r="A1280" s="31">
        <v>41914</v>
      </c>
      <c r="B1280" s="32">
        <v>2031.1868413249899</v>
      </c>
      <c r="C1280" s="33">
        <v>91.8541666666666</v>
      </c>
      <c r="D1280" s="4">
        <v>10</v>
      </c>
      <c r="E1280" s="4" t="s">
        <v>74</v>
      </c>
    </row>
    <row r="1281" spans="1:5" ht="14.25" customHeight="1" x14ac:dyDescent="0.25">
      <c r="A1281" s="31">
        <v>41914.5</v>
      </c>
      <c r="B1281" s="32">
        <v>2302.8370136041599</v>
      </c>
      <c r="C1281" s="33">
        <v>88.734166666666596</v>
      </c>
      <c r="D1281" s="4">
        <v>10</v>
      </c>
      <c r="E1281" s="4" t="s">
        <v>74</v>
      </c>
    </row>
    <row r="1282" spans="1:5" ht="14.25" customHeight="1" x14ac:dyDescent="0.25">
      <c r="A1282" s="31">
        <v>41915</v>
      </c>
      <c r="B1282" s="32">
        <v>2265.20051680714</v>
      </c>
      <c r="C1282" s="33">
        <v>97.854285714285695</v>
      </c>
      <c r="D1282" s="4">
        <v>10</v>
      </c>
      <c r="E1282" s="4" t="s">
        <v>74</v>
      </c>
    </row>
    <row r="1283" spans="1:5" ht="14.25" customHeight="1" x14ac:dyDescent="0.25">
      <c r="A1283" s="31">
        <v>41915.5</v>
      </c>
      <c r="B1283" s="32">
        <v>2274.5985309624898</v>
      </c>
      <c r="C1283" s="33">
        <v>90.266666666666595</v>
      </c>
      <c r="D1283" s="4">
        <v>10</v>
      </c>
      <c r="E1283" s="4" t="s">
        <v>74</v>
      </c>
    </row>
    <row r="1284" spans="1:5" ht="14.25" customHeight="1" x14ac:dyDescent="0.25">
      <c r="A1284" s="31">
        <v>41916</v>
      </c>
      <c r="B1284" s="32">
        <v>2135.9982475583301</v>
      </c>
      <c r="C1284" s="33">
        <v>93.316666666666606</v>
      </c>
      <c r="D1284" s="4">
        <v>10</v>
      </c>
      <c r="E1284" s="4" t="s">
        <v>74</v>
      </c>
    </row>
    <row r="1285" spans="1:5" ht="14.25" customHeight="1" x14ac:dyDescent="0.25">
      <c r="A1285" s="31">
        <v>41916.5</v>
      </c>
      <c r="B1285" s="32">
        <v>2375.1063702249899</v>
      </c>
      <c r="C1285" s="33">
        <v>91.059166666666599</v>
      </c>
      <c r="D1285" s="4">
        <v>10</v>
      </c>
      <c r="E1285" s="4" t="s">
        <v>74</v>
      </c>
    </row>
    <row r="1286" spans="1:5" ht="14.25" customHeight="1" x14ac:dyDescent="0.25">
      <c r="A1286" s="31">
        <v>41917</v>
      </c>
      <c r="B1286" s="32">
        <v>2001.9841070999901</v>
      </c>
      <c r="C1286" s="33">
        <v>96.3808333333333</v>
      </c>
      <c r="D1286" s="4">
        <v>10</v>
      </c>
      <c r="E1286" s="4" t="s">
        <v>74</v>
      </c>
    </row>
    <row r="1287" spans="1:5" ht="14.25" customHeight="1" x14ac:dyDescent="0.25">
      <c r="A1287" s="31">
        <v>41917.5</v>
      </c>
      <c r="B1287" s="32">
        <v>2222.6508015458298</v>
      </c>
      <c r="C1287" s="33">
        <v>94.445833333333297</v>
      </c>
      <c r="D1287" s="4">
        <v>10</v>
      </c>
      <c r="E1287" s="4" t="s">
        <v>74</v>
      </c>
    </row>
    <row r="1288" spans="1:5" ht="14.25" customHeight="1" x14ac:dyDescent="0.25">
      <c r="A1288" s="31">
        <v>41918</v>
      </c>
      <c r="B1288" s="32">
        <v>1869.44751362083</v>
      </c>
      <c r="C1288" s="33">
        <v>89.991666666666603</v>
      </c>
      <c r="D1288" s="4">
        <v>10</v>
      </c>
      <c r="E1288" s="4" t="s">
        <v>74</v>
      </c>
    </row>
    <row r="1289" spans="1:5" ht="14.25" customHeight="1" x14ac:dyDescent="0.25">
      <c r="A1289" s="31">
        <v>41918.5</v>
      </c>
      <c r="B1289" s="32">
        <v>2031.8905010416599</v>
      </c>
      <c r="C1289" s="33">
        <v>93.043333333333294</v>
      </c>
      <c r="D1289" s="4">
        <v>10</v>
      </c>
      <c r="E1289" s="4" t="s">
        <v>74</v>
      </c>
    </row>
    <row r="1290" spans="1:5" ht="14.25" customHeight="1" x14ac:dyDescent="0.25">
      <c r="A1290" s="31">
        <v>41919</v>
      </c>
      <c r="B1290" s="32">
        <v>2070.8754603000002</v>
      </c>
      <c r="C1290" s="33">
        <v>92.8</v>
      </c>
      <c r="D1290" s="4">
        <v>10</v>
      </c>
      <c r="E1290" s="4" t="s">
        <v>74</v>
      </c>
    </row>
    <row r="1291" spans="1:5" ht="14.25" customHeight="1" x14ac:dyDescent="0.25">
      <c r="A1291" s="31">
        <v>41919.5</v>
      </c>
      <c r="B1291" s="32">
        <v>2413.41911486249</v>
      </c>
      <c r="C1291" s="33">
        <v>92.62</v>
      </c>
      <c r="D1291" s="4">
        <v>10</v>
      </c>
      <c r="E1291" s="4" t="s">
        <v>74</v>
      </c>
    </row>
    <row r="1292" spans="1:5" ht="14.25" customHeight="1" x14ac:dyDescent="0.25">
      <c r="A1292" s="31">
        <v>41920</v>
      </c>
      <c r="B1292" s="32">
        <v>2139.0103975458301</v>
      </c>
      <c r="C1292" s="33">
        <v>89.626666666666594</v>
      </c>
      <c r="D1292" s="4">
        <v>10</v>
      </c>
      <c r="E1292" s="4" t="s">
        <v>74</v>
      </c>
    </row>
    <row r="1293" spans="1:5" ht="14.25" customHeight="1" x14ac:dyDescent="0.25">
      <c r="A1293" s="31">
        <v>41920.5</v>
      </c>
      <c r="B1293" s="32">
        <v>2448.6224742749901</v>
      </c>
      <c r="C1293" s="33">
        <v>96.4433333333333</v>
      </c>
      <c r="D1293" s="4">
        <v>10</v>
      </c>
      <c r="E1293" s="4" t="s">
        <v>74</v>
      </c>
    </row>
    <row r="1294" spans="1:5" ht="14.25" customHeight="1" x14ac:dyDescent="0.25">
      <c r="A1294" s="31">
        <v>41921</v>
      </c>
      <c r="B1294" s="32">
        <v>2178.94914845416</v>
      </c>
      <c r="C1294" s="33">
        <v>95.782499999999999</v>
      </c>
      <c r="D1294" s="4">
        <v>10</v>
      </c>
      <c r="E1294" s="4" t="s">
        <v>74</v>
      </c>
    </row>
    <row r="1295" spans="1:5" ht="14.25" customHeight="1" x14ac:dyDescent="0.25">
      <c r="A1295" s="31">
        <v>41921.5</v>
      </c>
      <c r="B1295" s="32">
        <v>2403.7327108333302</v>
      </c>
      <c r="C1295" s="33">
        <v>91.242500000000007</v>
      </c>
      <c r="D1295" s="4">
        <v>10</v>
      </c>
      <c r="E1295" s="4" t="s">
        <v>74</v>
      </c>
    </row>
    <row r="1296" spans="1:5" ht="14.25" customHeight="1" x14ac:dyDescent="0.25">
      <c r="A1296" s="31">
        <v>41922</v>
      </c>
      <c r="B1296" s="32">
        <v>2120.5494546333298</v>
      </c>
      <c r="C1296" s="33">
        <v>94.824999999999903</v>
      </c>
      <c r="D1296" s="4">
        <v>10</v>
      </c>
      <c r="E1296" s="4" t="s">
        <v>74</v>
      </c>
    </row>
    <row r="1297" spans="1:5" ht="14.25" customHeight="1" x14ac:dyDescent="0.25">
      <c r="A1297" s="31">
        <v>41922.5</v>
      </c>
      <c r="B1297" s="32">
        <v>2471.67496623749</v>
      </c>
      <c r="C1297" s="33">
        <v>97.902499999999904</v>
      </c>
      <c r="D1297" s="4">
        <v>10</v>
      </c>
      <c r="E1297" s="4" t="s">
        <v>74</v>
      </c>
    </row>
    <row r="1298" spans="1:5" ht="14.25" customHeight="1" x14ac:dyDescent="0.25">
      <c r="A1298" s="31">
        <v>41923</v>
      </c>
      <c r="B1298" s="32">
        <v>2086.25206199583</v>
      </c>
      <c r="C1298" s="33">
        <v>88.783333333333303</v>
      </c>
      <c r="D1298" s="4">
        <v>10</v>
      </c>
      <c r="E1298" s="4" t="s">
        <v>74</v>
      </c>
    </row>
    <row r="1299" spans="1:5" ht="14.25" customHeight="1" x14ac:dyDescent="0.25">
      <c r="A1299" s="31">
        <v>41923.5</v>
      </c>
      <c r="B1299" s="32">
        <v>2442.8866810416598</v>
      </c>
      <c r="C1299" s="33">
        <v>93.279999999999902</v>
      </c>
      <c r="D1299" s="4">
        <v>10</v>
      </c>
      <c r="E1299" s="4" t="s">
        <v>74</v>
      </c>
    </row>
    <row r="1300" spans="1:5" ht="14.25" customHeight="1" x14ac:dyDescent="0.25">
      <c r="A1300" s="31">
        <v>41924</v>
      </c>
      <c r="B1300" s="32">
        <v>1963.9878850208299</v>
      </c>
      <c r="C1300" s="33">
        <v>89.876666666666594</v>
      </c>
      <c r="D1300" s="4">
        <v>10</v>
      </c>
      <c r="E1300" s="4" t="s">
        <v>74</v>
      </c>
    </row>
    <row r="1301" spans="1:5" ht="14.25" customHeight="1" x14ac:dyDescent="0.25">
      <c r="A1301" s="31">
        <v>41924.5</v>
      </c>
      <c r="B1301" s="32">
        <v>2139.9399515208302</v>
      </c>
      <c r="C1301" s="33">
        <v>93.448333333333295</v>
      </c>
      <c r="D1301" s="4">
        <v>10</v>
      </c>
      <c r="E1301" s="4" t="s">
        <v>74</v>
      </c>
    </row>
    <row r="1302" spans="1:5" ht="14.25" customHeight="1" x14ac:dyDescent="0.25">
      <c r="A1302" s="31">
        <v>41925</v>
      </c>
      <c r="B1302" s="32">
        <v>1766.14336092083</v>
      </c>
      <c r="C1302" s="33">
        <v>89.710833333333298</v>
      </c>
      <c r="D1302" s="4">
        <v>10</v>
      </c>
      <c r="E1302" s="4" t="s">
        <v>74</v>
      </c>
    </row>
    <row r="1303" spans="1:5" ht="14.25" customHeight="1" x14ac:dyDescent="0.25">
      <c r="A1303" s="31">
        <v>41925.5</v>
      </c>
      <c r="B1303" s="32">
        <v>2132.2404888999999</v>
      </c>
      <c r="C1303" s="33">
        <v>93.548333333333304</v>
      </c>
      <c r="D1303" s="4">
        <v>10</v>
      </c>
      <c r="E1303" s="4" t="s">
        <v>74</v>
      </c>
    </row>
    <row r="1304" spans="1:5" ht="14.25" customHeight="1" x14ac:dyDescent="0.25">
      <c r="A1304" s="31">
        <v>41926</v>
      </c>
      <c r="B1304" s="32">
        <v>2083.7589468916599</v>
      </c>
      <c r="C1304" s="33">
        <v>97.102500000000006</v>
      </c>
      <c r="D1304" s="4">
        <v>10</v>
      </c>
      <c r="E1304" s="4" t="s">
        <v>74</v>
      </c>
    </row>
    <row r="1305" spans="1:5" ht="14.25" customHeight="1" x14ac:dyDescent="0.25">
      <c r="A1305" s="31">
        <v>41926.5</v>
      </c>
      <c r="B1305" s="32">
        <v>2341.1671416499998</v>
      </c>
      <c r="C1305" s="33">
        <v>93.54</v>
      </c>
      <c r="D1305" s="4">
        <v>10</v>
      </c>
      <c r="E1305" s="4" t="s">
        <v>74</v>
      </c>
    </row>
    <row r="1306" spans="1:5" ht="14.25" customHeight="1" x14ac:dyDescent="0.25">
      <c r="A1306" s="31">
        <v>41927</v>
      </c>
      <c r="B1306" s="32">
        <v>2093.52091827916</v>
      </c>
      <c r="C1306" s="33">
        <v>96.017499999999899</v>
      </c>
      <c r="D1306" s="4">
        <v>10</v>
      </c>
      <c r="E1306" s="4" t="s">
        <v>74</v>
      </c>
    </row>
    <row r="1307" spans="1:5" ht="14.25" customHeight="1" x14ac:dyDescent="0.25">
      <c r="A1307" s="31">
        <v>41927.5</v>
      </c>
      <c r="B1307" s="32">
        <v>2386.4904451791599</v>
      </c>
      <c r="C1307" s="33">
        <v>95.88</v>
      </c>
      <c r="D1307" s="4">
        <v>10</v>
      </c>
      <c r="E1307" s="4" t="s">
        <v>74</v>
      </c>
    </row>
    <row r="1308" spans="1:5" ht="14.25" customHeight="1" x14ac:dyDescent="0.25">
      <c r="A1308" s="31">
        <v>41928</v>
      </c>
      <c r="B1308" s="32">
        <v>2032.8935772208299</v>
      </c>
      <c r="C1308" s="33">
        <v>97.279166666666598</v>
      </c>
      <c r="D1308" s="4">
        <v>10</v>
      </c>
      <c r="E1308" s="4" t="s">
        <v>74</v>
      </c>
    </row>
    <row r="1309" spans="1:5" ht="14.25" customHeight="1" x14ac:dyDescent="0.25">
      <c r="A1309" s="31">
        <v>41928.5</v>
      </c>
      <c r="B1309" s="32">
        <v>2301.3289821916601</v>
      </c>
      <c r="C1309" s="33">
        <v>92.186666666666596</v>
      </c>
      <c r="D1309" s="4">
        <v>10</v>
      </c>
      <c r="E1309" s="4" t="s">
        <v>74</v>
      </c>
    </row>
    <row r="1310" spans="1:5" ht="14.25" customHeight="1" x14ac:dyDescent="0.25">
      <c r="A1310" s="31">
        <v>41929</v>
      </c>
      <c r="B1310" s="32">
        <v>2119.0852012249902</v>
      </c>
      <c r="C1310" s="33">
        <v>92.573333333333295</v>
      </c>
      <c r="D1310" s="4">
        <v>10</v>
      </c>
      <c r="E1310" s="4" t="s">
        <v>74</v>
      </c>
    </row>
    <row r="1311" spans="1:5" ht="14.25" customHeight="1" x14ac:dyDescent="0.25">
      <c r="A1311" s="31">
        <v>41929.5</v>
      </c>
      <c r="B1311" s="32">
        <v>2325.9137709333299</v>
      </c>
      <c r="C1311" s="33">
        <v>92.292499999999905</v>
      </c>
      <c r="D1311" s="4">
        <v>10</v>
      </c>
      <c r="E1311" s="4" t="s">
        <v>74</v>
      </c>
    </row>
    <row r="1312" spans="1:5" ht="14.25" customHeight="1" x14ac:dyDescent="0.25">
      <c r="A1312" s="31">
        <v>41930</v>
      </c>
      <c r="B1312" s="32">
        <v>2009.09985255833</v>
      </c>
      <c r="C1312" s="33">
        <v>89.856666666666598</v>
      </c>
      <c r="D1312" s="4">
        <v>10</v>
      </c>
      <c r="E1312" s="4" t="s">
        <v>74</v>
      </c>
    </row>
    <row r="1313" spans="1:5" ht="14.25" customHeight="1" x14ac:dyDescent="0.25">
      <c r="A1313" s="31">
        <v>41930.5</v>
      </c>
      <c r="B1313" s="32">
        <v>2283.4003024624899</v>
      </c>
      <c r="C1313" s="33">
        <v>95.3958333333333</v>
      </c>
      <c r="D1313" s="4">
        <v>10</v>
      </c>
      <c r="E1313" s="4" t="s">
        <v>74</v>
      </c>
    </row>
    <row r="1314" spans="1:5" ht="14.25" customHeight="1" x14ac:dyDescent="0.25">
      <c r="A1314" s="31">
        <v>41931</v>
      </c>
      <c r="B1314" s="32">
        <v>1919.3676576749899</v>
      </c>
      <c r="C1314" s="33">
        <v>90.515833333333305</v>
      </c>
      <c r="D1314" s="4">
        <v>10</v>
      </c>
      <c r="E1314" s="4" t="s">
        <v>74</v>
      </c>
    </row>
    <row r="1315" spans="1:5" ht="14.25" customHeight="1" x14ac:dyDescent="0.25">
      <c r="A1315" s="31">
        <v>41931.5</v>
      </c>
      <c r="B1315" s="32">
        <v>2286.60910756249</v>
      </c>
      <c r="C1315" s="33">
        <v>91.726666666666603</v>
      </c>
      <c r="D1315" s="4">
        <v>10</v>
      </c>
      <c r="E1315" s="4" t="s">
        <v>74</v>
      </c>
    </row>
    <row r="1316" spans="1:5" ht="14.25" customHeight="1" x14ac:dyDescent="0.25">
      <c r="A1316" s="31">
        <v>41932</v>
      </c>
      <c r="B1316" s="32">
        <v>1848.7247567541599</v>
      </c>
      <c r="C1316" s="33">
        <v>93.337499999999906</v>
      </c>
      <c r="D1316" s="4">
        <v>10</v>
      </c>
      <c r="E1316" s="4" t="s">
        <v>74</v>
      </c>
    </row>
    <row r="1317" spans="1:5" ht="14.25" customHeight="1" x14ac:dyDescent="0.25">
      <c r="A1317" s="31">
        <v>41932.5</v>
      </c>
      <c r="B1317" s="32">
        <v>2055.5258291749901</v>
      </c>
      <c r="C1317" s="33">
        <v>94.040833333333296</v>
      </c>
      <c r="D1317" s="4">
        <v>10</v>
      </c>
      <c r="E1317" s="4" t="s">
        <v>74</v>
      </c>
    </row>
    <row r="1318" spans="1:5" ht="14.25" customHeight="1" x14ac:dyDescent="0.25">
      <c r="A1318" s="31">
        <v>41933</v>
      </c>
      <c r="B1318" s="32">
        <v>2065.4158662874902</v>
      </c>
      <c r="C1318" s="33">
        <v>91.495833333333294</v>
      </c>
      <c r="D1318" s="4">
        <v>10</v>
      </c>
      <c r="E1318" s="4" t="s">
        <v>74</v>
      </c>
    </row>
    <row r="1319" spans="1:5" ht="14.25" customHeight="1" x14ac:dyDescent="0.25">
      <c r="A1319" s="31">
        <v>41933.5</v>
      </c>
      <c r="B1319" s="32">
        <v>2347.5712044791599</v>
      </c>
      <c r="C1319" s="33">
        <v>91.925833333333301</v>
      </c>
      <c r="D1319" s="4">
        <v>10</v>
      </c>
      <c r="E1319" s="4" t="s">
        <v>74</v>
      </c>
    </row>
    <row r="1320" spans="1:5" ht="14.25" customHeight="1" x14ac:dyDescent="0.25">
      <c r="A1320" s="31">
        <v>41934</v>
      </c>
      <c r="B1320" s="32">
        <v>1953.4718825083301</v>
      </c>
      <c r="C1320" s="33">
        <v>95.820833333333297</v>
      </c>
      <c r="D1320" s="4">
        <v>10</v>
      </c>
      <c r="E1320" s="4" t="s">
        <v>74</v>
      </c>
    </row>
    <row r="1321" spans="1:5" ht="14.25" customHeight="1" x14ac:dyDescent="0.25">
      <c r="A1321" s="31">
        <v>41934.5</v>
      </c>
      <c r="B1321" s="32">
        <v>2347.2038133833298</v>
      </c>
      <c r="C1321" s="33">
        <v>96.074166666666599</v>
      </c>
      <c r="D1321" s="4">
        <v>10</v>
      </c>
      <c r="E1321" s="4" t="s">
        <v>74</v>
      </c>
    </row>
    <row r="1322" spans="1:5" ht="14.25" customHeight="1" x14ac:dyDescent="0.25">
      <c r="A1322" s="31">
        <v>41935</v>
      </c>
      <c r="B1322" s="32">
        <v>2089.9674572541599</v>
      </c>
      <c r="C1322" s="33">
        <v>89.605000000000004</v>
      </c>
      <c r="D1322" s="4">
        <v>10</v>
      </c>
      <c r="E1322" s="4" t="s">
        <v>74</v>
      </c>
    </row>
    <row r="1323" spans="1:5" ht="14.25" customHeight="1" x14ac:dyDescent="0.25">
      <c r="A1323" s="31">
        <v>41935.5</v>
      </c>
      <c r="B1323" s="32">
        <v>2308.8326177374902</v>
      </c>
      <c r="C1323" s="33">
        <v>94.202500000000001</v>
      </c>
      <c r="D1323" s="4">
        <v>10</v>
      </c>
      <c r="E1323" s="4" t="s">
        <v>74</v>
      </c>
    </row>
    <row r="1324" spans="1:5" ht="14.25" customHeight="1" x14ac:dyDescent="0.25">
      <c r="A1324" s="31">
        <v>41936</v>
      </c>
      <c r="B1324" s="32">
        <v>2021.69496208333</v>
      </c>
      <c r="C1324" s="33">
        <v>94.43</v>
      </c>
      <c r="D1324" s="4">
        <v>10</v>
      </c>
      <c r="E1324" s="4" t="s">
        <v>74</v>
      </c>
    </row>
    <row r="1325" spans="1:5" ht="14.25" customHeight="1" x14ac:dyDescent="0.25">
      <c r="A1325" s="31">
        <v>41936.5</v>
      </c>
      <c r="B1325" s="32">
        <v>2344.4569725874899</v>
      </c>
      <c r="C1325" s="33">
        <v>92.056666666666601</v>
      </c>
      <c r="D1325" s="4">
        <v>10</v>
      </c>
      <c r="E1325" s="4" t="s">
        <v>74</v>
      </c>
    </row>
    <row r="1326" spans="1:5" ht="14.25" customHeight="1" x14ac:dyDescent="0.25">
      <c r="A1326" s="31">
        <v>41937</v>
      </c>
      <c r="B1326" s="32">
        <v>1995.2366470833299</v>
      </c>
      <c r="C1326" s="33">
        <v>93.225833333333298</v>
      </c>
      <c r="D1326" s="4">
        <v>10</v>
      </c>
      <c r="E1326" s="4" t="s">
        <v>74</v>
      </c>
    </row>
    <row r="1327" spans="1:5" ht="14.25" customHeight="1" x14ac:dyDescent="0.25">
      <c r="A1327" s="31">
        <v>41937.5</v>
      </c>
      <c r="B1327" s="32">
        <v>2290.1569567916599</v>
      </c>
      <c r="C1327" s="33">
        <v>89.435000000000002</v>
      </c>
      <c r="D1327" s="4">
        <v>10</v>
      </c>
      <c r="E1327" s="4" t="s">
        <v>74</v>
      </c>
    </row>
    <row r="1328" spans="1:5" ht="14.25" customHeight="1" x14ac:dyDescent="0.25">
      <c r="A1328" s="31">
        <v>41938</v>
      </c>
      <c r="B1328" s="32">
        <v>1905.2592441166601</v>
      </c>
      <c r="C1328" s="33">
        <v>89.132499999999993</v>
      </c>
      <c r="D1328" s="4">
        <v>10</v>
      </c>
      <c r="E1328" s="4" t="s">
        <v>74</v>
      </c>
    </row>
    <row r="1329" spans="1:5" ht="14.25" customHeight="1" x14ac:dyDescent="0.25">
      <c r="A1329" s="31">
        <v>41938.5</v>
      </c>
      <c r="B1329" s="32">
        <v>2075.94736607916</v>
      </c>
      <c r="C1329" s="33">
        <v>92.077499999999901</v>
      </c>
      <c r="D1329" s="4">
        <v>10</v>
      </c>
      <c r="E1329" s="4" t="s">
        <v>74</v>
      </c>
    </row>
    <row r="1330" spans="1:5" ht="14.25" customHeight="1" x14ac:dyDescent="0.25">
      <c r="A1330" s="31">
        <v>41939</v>
      </c>
      <c r="B1330" s="32">
        <v>1785.0475021541599</v>
      </c>
      <c r="C1330" s="33">
        <v>89.795833333333306</v>
      </c>
      <c r="D1330" s="4">
        <v>10</v>
      </c>
      <c r="E1330" s="4" t="s">
        <v>74</v>
      </c>
    </row>
    <row r="1331" spans="1:5" ht="14.25" customHeight="1" x14ac:dyDescent="0.25">
      <c r="A1331" s="31">
        <v>41939.5</v>
      </c>
      <c r="B1331" s="32">
        <v>2224.8661248083299</v>
      </c>
      <c r="C1331" s="33">
        <v>91.334999999999994</v>
      </c>
      <c r="D1331" s="4">
        <v>10</v>
      </c>
      <c r="E1331" s="4" t="s">
        <v>74</v>
      </c>
    </row>
    <row r="1332" spans="1:5" ht="14.25" customHeight="1" x14ac:dyDescent="0.25">
      <c r="A1332" s="31">
        <v>41940</v>
      </c>
      <c r="B1332" s="32">
        <v>2128.69922132499</v>
      </c>
      <c r="C1332" s="33">
        <v>91.149166666666602</v>
      </c>
      <c r="D1332" s="4">
        <v>10</v>
      </c>
      <c r="E1332" s="4" t="s">
        <v>74</v>
      </c>
    </row>
    <row r="1333" spans="1:5" ht="14.25" customHeight="1" x14ac:dyDescent="0.25">
      <c r="A1333" s="31">
        <v>41940.5</v>
      </c>
      <c r="B1333" s="32">
        <v>2480.6346454208301</v>
      </c>
      <c r="C1333" s="33">
        <v>91.080833333333302</v>
      </c>
      <c r="D1333" s="4">
        <v>10</v>
      </c>
      <c r="E1333" s="4" t="s">
        <v>74</v>
      </c>
    </row>
    <row r="1334" spans="1:5" ht="14.25" customHeight="1" x14ac:dyDescent="0.25">
      <c r="A1334" s="31">
        <v>41941</v>
      </c>
      <c r="B1334" s="32">
        <v>2124.5476204874999</v>
      </c>
      <c r="C1334" s="33">
        <v>93.509166666666601</v>
      </c>
      <c r="D1334" s="4">
        <v>10</v>
      </c>
      <c r="E1334" s="4" t="s">
        <v>74</v>
      </c>
    </row>
    <row r="1335" spans="1:5" ht="14.25" customHeight="1" x14ac:dyDescent="0.25">
      <c r="A1335" s="31">
        <v>41941.5</v>
      </c>
      <c r="B1335" s="32">
        <v>2571.44064713749</v>
      </c>
      <c r="C1335" s="33">
        <v>92.410833333333301</v>
      </c>
      <c r="D1335" s="4">
        <v>10</v>
      </c>
      <c r="E1335" s="4" t="s">
        <v>74</v>
      </c>
    </row>
    <row r="1336" spans="1:5" ht="14.25" customHeight="1" x14ac:dyDescent="0.25">
      <c r="A1336" s="31">
        <v>41942</v>
      </c>
      <c r="B1336" s="32">
        <v>2217.5268075249901</v>
      </c>
      <c r="C1336" s="33">
        <v>91.293333333333294</v>
      </c>
      <c r="D1336" s="4">
        <v>10</v>
      </c>
      <c r="E1336" s="4" t="s">
        <v>74</v>
      </c>
    </row>
    <row r="1337" spans="1:5" ht="14.25" customHeight="1" x14ac:dyDescent="0.25">
      <c r="A1337" s="31">
        <v>41942.5</v>
      </c>
      <c r="B1337" s="32">
        <v>2683.7011060749901</v>
      </c>
      <c r="C1337" s="33">
        <v>90.894166666666607</v>
      </c>
      <c r="D1337" s="4">
        <v>10</v>
      </c>
      <c r="E1337" s="4" t="s">
        <v>74</v>
      </c>
    </row>
    <row r="1338" spans="1:5" ht="14.25" customHeight="1" x14ac:dyDescent="0.25">
      <c r="A1338" s="31">
        <v>41943</v>
      </c>
      <c r="B1338" s="32">
        <v>2215.4528255416599</v>
      </c>
      <c r="C1338" s="33">
        <v>92.777499999999904</v>
      </c>
      <c r="D1338" s="4">
        <v>10</v>
      </c>
      <c r="E1338" s="4" t="s">
        <v>74</v>
      </c>
    </row>
    <row r="1339" spans="1:5" ht="14.25" customHeight="1" x14ac:dyDescent="0.25">
      <c r="A1339" s="31">
        <v>41943.5</v>
      </c>
      <c r="B1339" s="32">
        <v>2554.6916965374899</v>
      </c>
      <c r="C1339" s="33">
        <v>94.932500000000005</v>
      </c>
      <c r="D1339" s="4">
        <v>10</v>
      </c>
      <c r="E1339" s="4" t="s">
        <v>74</v>
      </c>
    </row>
    <row r="1340" spans="1:5" ht="14.25" customHeight="1" x14ac:dyDescent="0.25">
      <c r="A1340" s="31">
        <v>41944</v>
      </c>
      <c r="B1340" s="32">
        <v>2151.4010383208301</v>
      </c>
      <c r="C1340" s="33">
        <v>92.434166666666599</v>
      </c>
      <c r="D1340" s="4">
        <v>11</v>
      </c>
      <c r="E1340" s="4" t="s">
        <v>74</v>
      </c>
    </row>
    <row r="1341" spans="1:5" ht="14.25" customHeight="1" x14ac:dyDescent="0.25">
      <c r="A1341" s="31">
        <v>41944.5</v>
      </c>
      <c r="B1341" s="32">
        <v>2318.9251723624898</v>
      </c>
      <c r="C1341" s="33">
        <v>93.046666666666596</v>
      </c>
      <c r="D1341" s="4">
        <v>11</v>
      </c>
      <c r="E1341" s="4" t="s">
        <v>74</v>
      </c>
    </row>
    <row r="1342" spans="1:5" ht="14.25" customHeight="1" x14ac:dyDescent="0.25">
      <c r="A1342" s="31">
        <v>41945</v>
      </c>
      <c r="B1342" s="32">
        <v>1916.7523576624901</v>
      </c>
      <c r="C1342" s="33">
        <v>93.422499999999999</v>
      </c>
      <c r="D1342" s="4">
        <v>11</v>
      </c>
      <c r="E1342" s="4" t="s">
        <v>74</v>
      </c>
    </row>
    <row r="1343" spans="1:5" ht="14.25" customHeight="1" x14ac:dyDescent="0.25">
      <c r="A1343" s="31">
        <v>41945.5</v>
      </c>
      <c r="B1343" s="32">
        <v>2233.5855653583299</v>
      </c>
      <c r="C1343" s="33">
        <v>97.349166666666605</v>
      </c>
      <c r="D1343" s="4">
        <v>11</v>
      </c>
      <c r="E1343" s="4" t="s">
        <v>74</v>
      </c>
    </row>
    <row r="1344" spans="1:5" ht="14.25" customHeight="1" x14ac:dyDescent="0.25">
      <c r="A1344" s="31">
        <v>41946</v>
      </c>
      <c r="B1344" s="32">
        <v>1842.9941724181799</v>
      </c>
      <c r="C1344" s="33">
        <v>96.465454545454506</v>
      </c>
      <c r="D1344" s="4">
        <v>11</v>
      </c>
      <c r="E1344" s="4" t="s">
        <v>74</v>
      </c>
    </row>
    <row r="1345" spans="1:5" ht="14.25" customHeight="1" x14ac:dyDescent="0.25">
      <c r="A1345" s="31">
        <v>41946.5</v>
      </c>
      <c r="B1345" s="32">
        <v>2396.8332543874999</v>
      </c>
      <c r="C1345" s="33">
        <v>92.75</v>
      </c>
      <c r="D1345" s="4">
        <v>11</v>
      </c>
      <c r="E1345" s="4" t="s">
        <v>74</v>
      </c>
    </row>
    <row r="1346" spans="1:5" ht="14.25" customHeight="1" x14ac:dyDescent="0.25">
      <c r="A1346" s="31">
        <v>41947</v>
      </c>
      <c r="B1346" s="32">
        <v>2408.6852115666602</v>
      </c>
      <c r="C1346" s="33">
        <v>92.273333333333298</v>
      </c>
      <c r="D1346" s="4">
        <v>11</v>
      </c>
      <c r="E1346" s="4" t="s">
        <v>74</v>
      </c>
    </row>
    <row r="1347" spans="1:5" ht="14.25" customHeight="1" x14ac:dyDescent="0.25">
      <c r="A1347" s="31">
        <v>41947.5</v>
      </c>
      <c r="B1347" s="32">
        <v>2942.7936255916602</v>
      </c>
      <c r="C1347" s="33">
        <v>88.793333333333294</v>
      </c>
      <c r="D1347" s="4">
        <v>11</v>
      </c>
      <c r="E1347" s="4" t="s">
        <v>74</v>
      </c>
    </row>
    <row r="1348" spans="1:5" ht="14.25" customHeight="1" x14ac:dyDescent="0.25">
      <c r="A1348" s="31">
        <v>41948</v>
      </c>
      <c r="B1348" s="32">
        <v>2237.4565533958298</v>
      </c>
      <c r="C1348" s="33">
        <v>87.631666666666604</v>
      </c>
      <c r="D1348" s="4">
        <v>11</v>
      </c>
      <c r="E1348" s="4" t="s">
        <v>74</v>
      </c>
    </row>
    <row r="1349" spans="1:5" ht="14.25" customHeight="1" x14ac:dyDescent="0.25">
      <c r="A1349" s="31">
        <v>41948.5</v>
      </c>
      <c r="B1349" s="32">
        <v>2495.2396494291602</v>
      </c>
      <c r="C1349" s="33">
        <v>90.684166666666599</v>
      </c>
      <c r="D1349" s="4">
        <v>11</v>
      </c>
      <c r="E1349" s="4" t="s">
        <v>74</v>
      </c>
    </row>
    <row r="1350" spans="1:5" ht="14.25" customHeight="1" x14ac:dyDescent="0.25">
      <c r="A1350" s="31">
        <v>41949</v>
      </c>
      <c r="B1350" s="32">
        <v>2130.4837477833298</v>
      </c>
      <c r="C1350" s="33">
        <v>90.214999999999904</v>
      </c>
      <c r="D1350" s="4">
        <v>11</v>
      </c>
      <c r="E1350" s="4" t="s">
        <v>74</v>
      </c>
    </row>
    <row r="1351" spans="1:5" ht="14.25" customHeight="1" x14ac:dyDescent="0.25">
      <c r="A1351" s="31">
        <v>41949.5</v>
      </c>
      <c r="B1351" s="32">
        <v>2358.7742951124901</v>
      </c>
      <c r="C1351" s="33">
        <v>93.018333333333302</v>
      </c>
      <c r="D1351" s="4">
        <v>11</v>
      </c>
      <c r="E1351" s="4" t="s">
        <v>74</v>
      </c>
    </row>
    <row r="1352" spans="1:5" ht="14.25" customHeight="1" x14ac:dyDescent="0.25">
      <c r="A1352" s="31">
        <v>41950</v>
      </c>
      <c r="B1352" s="32">
        <v>2085.4095028833299</v>
      </c>
      <c r="C1352" s="33">
        <v>94.704999999999998</v>
      </c>
      <c r="D1352" s="4">
        <v>11</v>
      </c>
      <c r="E1352" s="4" t="s">
        <v>74</v>
      </c>
    </row>
    <row r="1353" spans="1:5" ht="14.25" customHeight="1" x14ac:dyDescent="0.25">
      <c r="A1353" s="31">
        <v>41950.5</v>
      </c>
      <c r="B1353" s="32">
        <v>2406.06192685</v>
      </c>
      <c r="C1353" s="33">
        <v>94.664166666666603</v>
      </c>
      <c r="D1353" s="4">
        <v>11</v>
      </c>
      <c r="E1353" s="4" t="s">
        <v>74</v>
      </c>
    </row>
    <row r="1354" spans="1:5" ht="14.25" customHeight="1" x14ac:dyDescent="0.25">
      <c r="A1354" s="31">
        <v>41951</v>
      </c>
      <c r="B1354" s="32">
        <v>2127.6195419083301</v>
      </c>
      <c r="C1354" s="33">
        <v>92.75</v>
      </c>
      <c r="D1354" s="4">
        <v>11</v>
      </c>
      <c r="E1354" s="4" t="s">
        <v>74</v>
      </c>
    </row>
    <row r="1355" spans="1:5" ht="14.25" customHeight="1" x14ac:dyDescent="0.25">
      <c r="A1355" s="31">
        <v>41951.5</v>
      </c>
      <c r="B1355" s="32">
        <v>2560.4690787166601</v>
      </c>
      <c r="C1355" s="33">
        <v>91.389999999999901</v>
      </c>
      <c r="D1355" s="4">
        <v>11</v>
      </c>
      <c r="E1355" s="4" t="s">
        <v>74</v>
      </c>
    </row>
    <row r="1356" spans="1:5" ht="14.25" customHeight="1" x14ac:dyDescent="0.25">
      <c r="A1356" s="31">
        <v>41952</v>
      </c>
      <c r="B1356" s="32">
        <v>1850.07687563749</v>
      </c>
      <c r="C1356" s="33">
        <v>93.83</v>
      </c>
      <c r="D1356" s="4">
        <v>11</v>
      </c>
      <c r="E1356" s="4" t="s">
        <v>74</v>
      </c>
    </row>
    <row r="1357" spans="1:5" ht="14.25" customHeight="1" x14ac:dyDescent="0.25">
      <c r="A1357" s="31">
        <v>41952.5</v>
      </c>
      <c r="B1357" s="32">
        <v>2426.7125137999901</v>
      </c>
      <c r="C1357" s="33">
        <v>92.7083333333333</v>
      </c>
      <c r="D1357" s="4">
        <v>11</v>
      </c>
      <c r="E1357" s="4" t="s">
        <v>74</v>
      </c>
    </row>
    <row r="1358" spans="1:5" ht="14.25" customHeight="1" x14ac:dyDescent="0.25">
      <c r="A1358" s="31">
        <v>41953</v>
      </c>
      <c r="B1358" s="32">
        <v>1944.93938328749</v>
      </c>
      <c r="C1358" s="33">
        <v>91.600833333333298</v>
      </c>
      <c r="D1358" s="4">
        <v>11</v>
      </c>
      <c r="E1358" s="4" t="s">
        <v>74</v>
      </c>
    </row>
    <row r="1359" spans="1:5" ht="14.25" customHeight="1" x14ac:dyDescent="0.25">
      <c r="A1359" s="31">
        <v>41953.5</v>
      </c>
      <c r="B1359" s="32">
        <v>2505.62112916666</v>
      </c>
      <c r="C1359" s="33">
        <v>89.942499999999995</v>
      </c>
      <c r="D1359" s="4">
        <v>11</v>
      </c>
      <c r="E1359" s="4" t="s">
        <v>74</v>
      </c>
    </row>
    <row r="1360" spans="1:5" ht="14.25" customHeight="1" x14ac:dyDescent="0.25">
      <c r="A1360" s="31">
        <v>41954</v>
      </c>
      <c r="B1360" s="32">
        <v>2269.7310178791599</v>
      </c>
      <c r="C1360" s="33">
        <v>96.827500000000001</v>
      </c>
      <c r="D1360" s="4">
        <v>11</v>
      </c>
      <c r="E1360" s="4" t="s">
        <v>74</v>
      </c>
    </row>
    <row r="1361" spans="1:5" ht="14.25" customHeight="1" x14ac:dyDescent="0.25">
      <c r="A1361" s="31">
        <v>41954.5</v>
      </c>
      <c r="B1361" s="32">
        <v>2653.8419085916598</v>
      </c>
      <c r="C1361" s="33">
        <v>95.646666666666604</v>
      </c>
      <c r="D1361" s="4">
        <v>11</v>
      </c>
      <c r="E1361" s="4" t="s">
        <v>74</v>
      </c>
    </row>
    <row r="1362" spans="1:5" ht="14.25" customHeight="1" x14ac:dyDescent="0.25">
      <c r="A1362" s="31">
        <v>41955</v>
      </c>
      <c r="B1362" s="32">
        <v>2142.6655492416598</v>
      </c>
      <c r="C1362" s="33">
        <v>91.236666666666594</v>
      </c>
      <c r="D1362" s="4">
        <v>11</v>
      </c>
      <c r="E1362" s="4" t="s">
        <v>74</v>
      </c>
    </row>
    <row r="1363" spans="1:5" ht="14.25" customHeight="1" x14ac:dyDescent="0.25">
      <c r="A1363" s="31">
        <v>41955.5</v>
      </c>
      <c r="B1363" s="32">
        <v>2586.2336037499899</v>
      </c>
      <c r="C1363" s="33">
        <v>91.305833333333297</v>
      </c>
      <c r="D1363" s="4">
        <v>11</v>
      </c>
      <c r="E1363" s="4" t="s">
        <v>74</v>
      </c>
    </row>
    <row r="1364" spans="1:5" ht="14.25" customHeight="1" x14ac:dyDescent="0.25">
      <c r="A1364" s="31">
        <v>41956</v>
      </c>
      <c r="B1364" s="32">
        <v>2057.5499015749901</v>
      </c>
      <c r="C1364" s="33">
        <v>90.596666666666593</v>
      </c>
      <c r="D1364" s="4">
        <v>11</v>
      </c>
      <c r="E1364" s="4" t="s">
        <v>74</v>
      </c>
    </row>
    <row r="1365" spans="1:5" ht="14.25" customHeight="1" x14ac:dyDescent="0.25">
      <c r="A1365" s="31">
        <v>41956.5</v>
      </c>
      <c r="B1365" s="32">
        <v>2420.3933309416602</v>
      </c>
      <c r="C1365" s="33">
        <v>95.46</v>
      </c>
      <c r="D1365" s="4">
        <v>11</v>
      </c>
      <c r="E1365" s="4" t="s">
        <v>74</v>
      </c>
    </row>
    <row r="1366" spans="1:5" ht="14.25" customHeight="1" x14ac:dyDescent="0.25">
      <c r="A1366" s="31">
        <v>41957</v>
      </c>
      <c r="B1366" s="32">
        <v>2060.3646132583299</v>
      </c>
      <c r="C1366" s="33">
        <v>95.662499999999895</v>
      </c>
      <c r="D1366" s="4">
        <v>11</v>
      </c>
      <c r="E1366" s="4" t="s">
        <v>74</v>
      </c>
    </row>
    <row r="1367" spans="1:5" ht="14.25" customHeight="1" x14ac:dyDescent="0.25">
      <c r="A1367" s="31">
        <v>41957.5</v>
      </c>
      <c r="B1367" s="32">
        <v>2679.9089147124901</v>
      </c>
      <c r="C1367" s="33">
        <v>97.945833333333297</v>
      </c>
      <c r="D1367" s="4">
        <v>11</v>
      </c>
      <c r="E1367" s="4" t="s">
        <v>74</v>
      </c>
    </row>
    <row r="1368" spans="1:5" ht="14.25" customHeight="1" x14ac:dyDescent="0.25">
      <c r="A1368" s="31">
        <v>41958</v>
      </c>
      <c r="B1368" s="32">
        <v>2216.1711631458302</v>
      </c>
      <c r="C1368" s="33">
        <v>92.997500000000002</v>
      </c>
      <c r="D1368" s="4">
        <v>11</v>
      </c>
      <c r="E1368" s="4" t="s">
        <v>74</v>
      </c>
    </row>
    <row r="1369" spans="1:5" ht="14.25" customHeight="1" x14ac:dyDescent="0.25">
      <c r="A1369" s="31">
        <v>41958.5</v>
      </c>
      <c r="B1369" s="32">
        <v>2859.29657275416</v>
      </c>
      <c r="C1369" s="33">
        <v>95.619166666666601</v>
      </c>
      <c r="D1369" s="4">
        <v>11</v>
      </c>
      <c r="E1369" s="4" t="s">
        <v>74</v>
      </c>
    </row>
    <row r="1370" spans="1:5" ht="14.25" customHeight="1" x14ac:dyDescent="0.25">
      <c r="A1370" s="31">
        <v>41959</v>
      </c>
      <c r="B1370" s="32">
        <v>2109.5862018166599</v>
      </c>
      <c r="C1370" s="33">
        <v>94.369166666666601</v>
      </c>
      <c r="D1370" s="4">
        <v>11</v>
      </c>
      <c r="E1370" s="4" t="s">
        <v>74</v>
      </c>
    </row>
    <row r="1371" spans="1:5" ht="14.25" customHeight="1" x14ac:dyDescent="0.25">
      <c r="A1371" s="31">
        <v>41959.5</v>
      </c>
      <c r="B1371" s="32">
        <v>2827.9392348166598</v>
      </c>
      <c r="C1371" s="33">
        <v>88.018333333333302</v>
      </c>
      <c r="D1371" s="4">
        <v>11</v>
      </c>
      <c r="E1371" s="4" t="s">
        <v>74</v>
      </c>
    </row>
    <row r="1372" spans="1:5" ht="14.25" customHeight="1" x14ac:dyDescent="0.25">
      <c r="A1372" s="31">
        <v>41960</v>
      </c>
      <c r="B1372" s="32">
        <v>2155.9553043333199</v>
      </c>
      <c r="C1372" s="33">
        <v>90.931666666666601</v>
      </c>
      <c r="D1372" s="4">
        <v>11</v>
      </c>
      <c r="E1372" s="4" t="s">
        <v>74</v>
      </c>
    </row>
    <row r="1373" spans="1:5" ht="14.25" customHeight="1" x14ac:dyDescent="0.25">
      <c r="A1373" s="31">
        <v>41960.5</v>
      </c>
      <c r="B1373" s="32">
        <v>2406.6276335666598</v>
      </c>
      <c r="C1373" s="33">
        <v>94.170833333333306</v>
      </c>
      <c r="D1373" s="4">
        <v>11</v>
      </c>
      <c r="E1373" s="4" t="s">
        <v>74</v>
      </c>
    </row>
    <row r="1374" spans="1:5" ht="14.25" customHeight="1" x14ac:dyDescent="0.25">
      <c r="A1374" s="31">
        <v>41961</v>
      </c>
      <c r="B1374" s="32">
        <v>2279.2814025999901</v>
      </c>
      <c r="C1374" s="33">
        <v>96.814166666666594</v>
      </c>
      <c r="D1374" s="4">
        <v>11</v>
      </c>
      <c r="E1374" s="4" t="s">
        <v>74</v>
      </c>
    </row>
    <row r="1375" spans="1:5" ht="14.25" customHeight="1" x14ac:dyDescent="0.25">
      <c r="A1375" s="31">
        <v>41961.5</v>
      </c>
      <c r="B1375" s="32">
        <v>2478.70375900416</v>
      </c>
      <c r="C1375" s="33">
        <v>92.745000000000005</v>
      </c>
      <c r="D1375" s="4">
        <v>11</v>
      </c>
      <c r="E1375" s="4" t="s">
        <v>74</v>
      </c>
    </row>
    <row r="1376" spans="1:5" ht="14.25" customHeight="1" x14ac:dyDescent="0.25">
      <c r="A1376" s="31">
        <v>41962</v>
      </c>
      <c r="B1376" s="32">
        <v>2198.4836424888799</v>
      </c>
      <c r="C1376" s="33">
        <v>89.886666666666599</v>
      </c>
      <c r="D1376" s="4">
        <v>11</v>
      </c>
      <c r="E1376" s="4" t="s">
        <v>74</v>
      </c>
    </row>
    <row r="1377" spans="1:5" ht="14.25" customHeight="1" x14ac:dyDescent="0.25">
      <c r="A1377" s="31">
        <v>41962.5</v>
      </c>
      <c r="B1377" s="32">
        <v>2294.2215229999902</v>
      </c>
      <c r="C1377" s="33">
        <v>91.894545454545394</v>
      </c>
      <c r="D1377" s="4">
        <v>11</v>
      </c>
      <c r="E1377" s="4" t="s">
        <v>74</v>
      </c>
    </row>
    <row r="1378" spans="1:5" ht="14.25" customHeight="1" x14ac:dyDescent="0.25">
      <c r="A1378" s="31">
        <v>41963</v>
      </c>
      <c r="B1378" s="32">
        <v>2159.42412805714</v>
      </c>
      <c r="C1378" s="33">
        <v>90.055714285714203</v>
      </c>
      <c r="D1378" s="4">
        <v>11</v>
      </c>
      <c r="E1378" s="4" t="s">
        <v>74</v>
      </c>
    </row>
    <row r="1379" spans="1:5" ht="14.25" customHeight="1" x14ac:dyDescent="0.25">
      <c r="A1379" s="31">
        <v>41963.5</v>
      </c>
      <c r="B1379" s="32">
        <v>2379.47266078749</v>
      </c>
      <c r="C1379" s="33">
        <v>92.525833333333296</v>
      </c>
      <c r="D1379" s="4">
        <v>11</v>
      </c>
      <c r="E1379" s="4" t="s">
        <v>74</v>
      </c>
    </row>
    <row r="1380" spans="1:5" ht="14.25" customHeight="1" x14ac:dyDescent="0.25">
      <c r="A1380" s="31">
        <v>41964</v>
      </c>
      <c r="B1380" s="32">
        <v>2352.6478747687402</v>
      </c>
      <c r="C1380" s="33">
        <v>93.71875</v>
      </c>
      <c r="D1380" s="4">
        <v>11</v>
      </c>
      <c r="E1380" s="4" t="s">
        <v>74</v>
      </c>
    </row>
    <row r="1381" spans="1:5" ht="14.25" customHeight="1" x14ac:dyDescent="0.25">
      <c r="A1381" s="31">
        <v>41964.5</v>
      </c>
      <c r="B1381" s="32">
        <v>2646.2014103333299</v>
      </c>
      <c r="C1381" s="33">
        <v>94.435833333333306</v>
      </c>
      <c r="D1381" s="4">
        <v>11</v>
      </c>
      <c r="E1381" s="4" t="s">
        <v>74</v>
      </c>
    </row>
    <row r="1382" spans="1:5" ht="14.25" customHeight="1" x14ac:dyDescent="0.25">
      <c r="A1382" s="31">
        <v>41965</v>
      </c>
      <c r="B1382" s="32">
        <v>2272.50585269166</v>
      </c>
      <c r="C1382" s="33">
        <v>95.419166666666598</v>
      </c>
      <c r="D1382" s="4">
        <v>11</v>
      </c>
      <c r="E1382" s="4" t="s">
        <v>74</v>
      </c>
    </row>
    <row r="1383" spans="1:5" ht="14.25" customHeight="1" x14ac:dyDescent="0.25">
      <c r="A1383" s="31">
        <v>41965.5</v>
      </c>
      <c r="B1383" s="32">
        <v>2652.7158889541602</v>
      </c>
      <c r="C1383" s="33">
        <v>94.839999999999904</v>
      </c>
      <c r="D1383" s="4">
        <v>11</v>
      </c>
      <c r="E1383" s="4" t="s">
        <v>74</v>
      </c>
    </row>
    <row r="1384" spans="1:5" ht="14.25" customHeight="1" x14ac:dyDescent="0.25">
      <c r="A1384" s="31">
        <v>41966</v>
      </c>
      <c r="B1384" s="32">
        <v>2005.0910042666601</v>
      </c>
      <c r="C1384" s="33">
        <v>90.721666666666593</v>
      </c>
      <c r="D1384" s="4">
        <v>11</v>
      </c>
      <c r="E1384" s="4" t="s">
        <v>74</v>
      </c>
    </row>
    <row r="1385" spans="1:5" ht="14.25" customHeight="1" x14ac:dyDescent="0.25">
      <c r="A1385" s="31">
        <v>41966.5</v>
      </c>
      <c r="B1385" s="32">
        <v>2234.64248065416</v>
      </c>
      <c r="C1385" s="33">
        <v>97.636666666666599</v>
      </c>
      <c r="D1385" s="4">
        <v>11</v>
      </c>
      <c r="E1385" s="4" t="s">
        <v>74</v>
      </c>
    </row>
    <row r="1386" spans="1:5" ht="14.25" customHeight="1" x14ac:dyDescent="0.25">
      <c r="A1386" s="31">
        <v>41967</v>
      </c>
      <c r="B1386" s="32">
        <v>1864.3924599833299</v>
      </c>
      <c r="C1386" s="33">
        <v>90.548333333333304</v>
      </c>
      <c r="D1386" s="4">
        <v>11</v>
      </c>
      <c r="E1386" s="4" t="s">
        <v>74</v>
      </c>
    </row>
    <row r="1387" spans="1:5" ht="14.25" customHeight="1" x14ac:dyDescent="0.25">
      <c r="A1387" s="31">
        <v>41967.5</v>
      </c>
      <c r="B1387" s="32">
        <v>2024.61291038333</v>
      </c>
      <c r="C1387" s="33">
        <v>91.250833333333304</v>
      </c>
      <c r="D1387" s="4">
        <v>11</v>
      </c>
      <c r="E1387" s="4" t="s">
        <v>74</v>
      </c>
    </row>
    <row r="1388" spans="1:5" ht="14.25" customHeight="1" x14ac:dyDescent="0.25">
      <c r="A1388" s="31">
        <v>41968</v>
      </c>
      <c r="B1388" s="32">
        <v>2005.26518903749</v>
      </c>
      <c r="C1388" s="33">
        <v>92.099166666666605</v>
      </c>
      <c r="D1388" s="4">
        <v>11</v>
      </c>
      <c r="E1388" s="4" t="s">
        <v>74</v>
      </c>
    </row>
    <row r="1389" spans="1:5" ht="14.25" customHeight="1" x14ac:dyDescent="0.25">
      <c r="A1389" s="31">
        <v>41968.5</v>
      </c>
      <c r="B1389" s="32">
        <v>2374.9275914636301</v>
      </c>
      <c r="C1389" s="33">
        <v>92.097272727272696</v>
      </c>
      <c r="D1389" s="4">
        <v>11</v>
      </c>
      <c r="E1389" s="4" t="s">
        <v>74</v>
      </c>
    </row>
    <row r="1390" spans="1:5" ht="14.25" customHeight="1" x14ac:dyDescent="0.25">
      <c r="A1390" s="31">
        <v>41969</v>
      </c>
      <c r="B1390" s="32">
        <v>2211.1820126428502</v>
      </c>
      <c r="C1390" s="33">
        <v>97.952857142857098</v>
      </c>
      <c r="D1390" s="4">
        <v>11</v>
      </c>
      <c r="E1390" s="4" t="s">
        <v>74</v>
      </c>
    </row>
    <row r="1391" spans="1:5" ht="14.25" customHeight="1" x14ac:dyDescent="0.25">
      <c r="A1391" s="31">
        <v>41969.5</v>
      </c>
      <c r="B1391" s="32">
        <v>2294.1619328166598</v>
      </c>
      <c r="C1391" s="33">
        <v>92.206666666666607</v>
      </c>
      <c r="D1391" s="4">
        <v>11</v>
      </c>
      <c r="E1391" s="4" t="s">
        <v>74</v>
      </c>
    </row>
    <row r="1392" spans="1:5" ht="14.25" customHeight="1" x14ac:dyDescent="0.25">
      <c r="A1392" s="31">
        <v>41970</v>
      </c>
      <c r="B1392" s="32">
        <v>2257.7592412888798</v>
      </c>
      <c r="C1392" s="33">
        <v>96.4433333333333</v>
      </c>
      <c r="D1392" s="4">
        <v>11</v>
      </c>
      <c r="E1392" s="4" t="s">
        <v>74</v>
      </c>
    </row>
    <row r="1393" spans="1:5" ht="14.25" customHeight="1" x14ac:dyDescent="0.25">
      <c r="A1393" s="31">
        <v>41970.5</v>
      </c>
      <c r="B1393" s="32">
        <v>2585.15837254999</v>
      </c>
      <c r="C1393" s="33">
        <v>94.2766666666666</v>
      </c>
      <c r="D1393" s="4">
        <v>11</v>
      </c>
      <c r="E1393" s="4" t="s">
        <v>74</v>
      </c>
    </row>
    <row r="1394" spans="1:5" ht="14.25" customHeight="1" x14ac:dyDescent="0.25">
      <c r="A1394" s="31">
        <v>41971</v>
      </c>
      <c r="B1394" s="32">
        <v>2375.3230907249999</v>
      </c>
      <c r="C1394" s="33">
        <v>90.676666666666605</v>
      </c>
      <c r="D1394" s="4">
        <v>11</v>
      </c>
      <c r="E1394" s="4" t="s">
        <v>74</v>
      </c>
    </row>
    <row r="1395" spans="1:5" ht="14.25" customHeight="1" x14ac:dyDescent="0.25">
      <c r="A1395" s="31">
        <v>41971.5</v>
      </c>
      <c r="B1395" s="32">
        <v>2790.3557368124998</v>
      </c>
      <c r="C1395" s="33">
        <v>92.789166666666603</v>
      </c>
      <c r="D1395" s="4">
        <v>11</v>
      </c>
      <c r="E1395" s="4" t="s">
        <v>74</v>
      </c>
    </row>
    <row r="1396" spans="1:5" ht="14.25" customHeight="1" x14ac:dyDescent="0.25">
      <c r="A1396" s="31">
        <v>41972</v>
      </c>
      <c r="B1396" s="32">
        <v>2180.8448973541599</v>
      </c>
      <c r="C1396" s="33">
        <v>87.263333333333307</v>
      </c>
      <c r="D1396" s="4">
        <v>11</v>
      </c>
      <c r="E1396" s="4" t="s">
        <v>74</v>
      </c>
    </row>
    <row r="1397" spans="1:5" ht="14.25" customHeight="1" x14ac:dyDescent="0.25">
      <c r="A1397" s="31">
        <v>41972.5</v>
      </c>
      <c r="B1397" s="32">
        <v>2363.5114587958301</v>
      </c>
      <c r="C1397" s="33">
        <v>91.471666666666593</v>
      </c>
      <c r="D1397" s="4">
        <v>11</v>
      </c>
      <c r="E1397" s="4" t="s">
        <v>74</v>
      </c>
    </row>
    <row r="1398" spans="1:5" ht="14.25" customHeight="1" x14ac:dyDescent="0.25">
      <c r="A1398" s="31">
        <v>41973</v>
      </c>
      <c r="B1398" s="32">
        <v>1955.8362672041601</v>
      </c>
      <c r="C1398" s="33">
        <v>96.064166666666594</v>
      </c>
      <c r="D1398" s="4">
        <v>11</v>
      </c>
      <c r="E1398" s="4" t="s">
        <v>74</v>
      </c>
    </row>
    <row r="1399" spans="1:5" ht="14.25" customHeight="1" x14ac:dyDescent="0.25">
      <c r="A1399" s="31">
        <v>41973.5</v>
      </c>
      <c r="B1399" s="32">
        <v>2182.4259742499898</v>
      </c>
      <c r="C1399" s="33">
        <v>95.494166666666601</v>
      </c>
      <c r="D1399" s="4">
        <v>11</v>
      </c>
      <c r="E1399" s="4" t="s">
        <v>74</v>
      </c>
    </row>
    <row r="1400" spans="1:5" ht="14.25" customHeight="1" x14ac:dyDescent="0.25">
      <c r="A1400" s="31">
        <v>41974</v>
      </c>
      <c r="B1400" s="32">
        <v>1895.8564256833299</v>
      </c>
      <c r="C1400" s="33">
        <v>94.431666666666601</v>
      </c>
      <c r="D1400" s="4">
        <v>12</v>
      </c>
      <c r="E1400" s="4" t="s">
        <v>74</v>
      </c>
    </row>
    <row r="1401" spans="1:5" ht="14.25" customHeight="1" x14ac:dyDescent="0.25">
      <c r="A1401" s="31">
        <v>41974.5</v>
      </c>
      <c r="B1401" s="32">
        <v>2189.5764108874901</v>
      </c>
      <c r="C1401" s="33">
        <v>92.842499999999902</v>
      </c>
      <c r="D1401" s="4">
        <v>12</v>
      </c>
      <c r="E1401" s="4" t="s">
        <v>74</v>
      </c>
    </row>
    <row r="1402" spans="1:5" ht="14.25" customHeight="1" x14ac:dyDescent="0.25">
      <c r="A1402" s="31">
        <v>41975</v>
      </c>
      <c r="B1402" s="32">
        <v>2183.9110040708301</v>
      </c>
      <c r="C1402" s="33">
        <v>97.060833333333306</v>
      </c>
      <c r="D1402" s="4">
        <v>12</v>
      </c>
      <c r="E1402" s="4" t="s">
        <v>74</v>
      </c>
    </row>
    <row r="1403" spans="1:5" ht="14.25" customHeight="1" x14ac:dyDescent="0.25">
      <c r="A1403" s="31">
        <v>41975.5</v>
      </c>
      <c r="B1403" s="32">
        <v>2385.10862179999</v>
      </c>
      <c r="C1403" s="33">
        <v>92.796666666666596</v>
      </c>
      <c r="D1403" s="4">
        <v>12</v>
      </c>
      <c r="E1403" s="4" t="s">
        <v>74</v>
      </c>
    </row>
    <row r="1404" spans="1:5" ht="14.25" customHeight="1" x14ac:dyDescent="0.25">
      <c r="A1404" s="31">
        <v>41976</v>
      </c>
      <c r="B1404" s="32">
        <v>2154.4983601099898</v>
      </c>
      <c r="C1404" s="33">
        <v>92.504999999999995</v>
      </c>
      <c r="D1404" s="4">
        <v>12</v>
      </c>
      <c r="E1404" s="4" t="s">
        <v>74</v>
      </c>
    </row>
    <row r="1405" spans="1:5" ht="14.25" customHeight="1" x14ac:dyDescent="0.25">
      <c r="A1405" s="31">
        <v>41976.5</v>
      </c>
      <c r="B1405" s="32">
        <v>2305.9135916333298</v>
      </c>
      <c r="C1405" s="33">
        <v>92.484166666666596</v>
      </c>
      <c r="D1405" s="4">
        <v>12</v>
      </c>
      <c r="E1405" s="4" t="s">
        <v>74</v>
      </c>
    </row>
    <row r="1406" spans="1:5" ht="14.25" customHeight="1" x14ac:dyDescent="0.25">
      <c r="A1406" s="31">
        <v>41977</v>
      </c>
      <c r="B1406" s="32">
        <v>2196.01977080999</v>
      </c>
      <c r="C1406" s="33">
        <v>91.757000000000005</v>
      </c>
      <c r="D1406" s="4">
        <v>12</v>
      </c>
      <c r="E1406" s="4" t="s">
        <v>74</v>
      </c>
    </row>
    <row r="1407" spans="1:5" ht="14.25" customHeight="1" x14ac:dyDescent="0.25">
      <c r="A1407" s="31">
        <v>41977.5</v>
      </c>
      <c r="B1407" s="32">
        <v>2522.4646424208299</v>
      </c>
      <c r="C1407" s="33">
        <v>93.080833333333302</v>
      </c>
      <c r="D1407" s="4">
        <v>12</v>
      </c>
      <c r="E1407" s="4" t="s">
        <v>74</v>
      </c>
    </row>
    <row r="1408" spans="1:5" ht="14.25" customHeight="1" x14ac:dyDescent="0.25">
      <c r="A1408" s="31">
        <v>41978</v>
      </c>
      <c r="B1408" s="32">
        <v>2208.3186528055498</v>
      </c>
      <c r="C1408" s="33">
        <v>92.68</v>
      </c>
      <c r="D1408" s="4">
        <v>12</v>
      </c>
      <c r="E1408" s="4" t="s">
        <v>74</v>
      </c>
    </row>
    <row r="1409" spans="1:5" ht="14.25" customHeight="1" x14ac:dyDescent="0.25">
      <c r="A1409" s="31">
        <v>41978.5</v>
      </c>
      <c r="B1409" s="32">
        <v>2698.2957979499902</v>
      </c>
      <c r="C1409" s="33">
        <v>91.634166666666601</v>
      </c>
      <c r="D1409" s="4">
        <v>12</v>
      </c>
      <c r="E1409" s="4" t="s">
        <v>74</v>
      </c>
    </row>
    <row r="1410" spans="1:5" ht="14.25" customHeight="1" x14ac:dyDescent="0.25">
      <c r="A1410" s="31">
        <v>41979</v>
      </c>
      <c r="B1410" s="32">
        <v>2409.15837637083</v>
      </c>
      <c r="C1410" s="33">
        <v>95.111666666666594</v>
      </c>
      <c r="D1410" s="4">
        <v>12</v>
      </c>
      <c r="E1410" s="4" t="s">
        <v>74</v>
      </c>
    </row>
    <row r="1411" spans="1:5" ht="14.25" customHeight="1" x14ac:dyDescent="0.25">
      <c r="A1411" s="31">
        <v>41979.5</v>
      </c>
      <c r="B1411" s="32">
        <v>2971.8434390499901</v>
      </c>
      <c r="C1411" s="33">
        <v>93.984999999999999</v>
      </c>
      <c r="D1411" s="4">
        <v>12</v>
      </c>
      <c r="E1411" s="4" t="s">
        <v>74</v>
      </c>
    </row>
    <row r="1412" spans="1:5" ht="14.25" customHeight="1" x14ac:dyDescent="0.25">
      <c r="A1412" s="31">
        <v>41980</v>
      </c>
      <c r="B1412" s="32">
        <v>2197.7155545416599</v>
      </c>
      <c r="C1412" s="33">
        <v>94.454999999999998</v>
      </c>
      <c r="D1412" s="4">
        <v>12</v>
      </c>
      <c r="E1412" s="4" t="s">
        <v>74</v>
      </c>
    </row>
    <row r="1413" spans="1:5" ht="14.25" customHeight="1" x14ac:dyDescent="0.25">
      <c r="A1413" s="31">
        <v>41980.5</v>
      </c>
      <c r="B1413" s="32">
        <v>2426.7325211499901</v>
      </c>
      <c r="C1413" s="33">
        <v>92.797499999999999</v>
      </c>
      <c r="D1413" s="4">
        <v>12</v>
      </c>
      <c r="E1413" s="4" t="s">
        <v>74</v>
      </c>
    </row>
    <row r="1414" spans="1:5" ht="14.25" customHeight="1" x14ac:dyDescent="0.25">
      <c r="A1414" s="31">
        <v>41981</v>
      </c>
      <c r="B1414" s="32">
        <v>1917.03239828749</v>
      </c>
      <c r="C1414" s="33">
        <v>93.024166666666602</v>
      </c>
      <c r="D1414" s="4">
        <v>12</v>
      </c>
      <c r="E1414" s="4" t="s">
        <v>74</v>
      </c>
    </row>
    <row r="1415" spans="1:5" ht="14.25" customHeight="1" x14ac:dyDescent="0.25">
      <c r="A1415" s="31">
        <v>41981.5</v>
      </c>
      <c r="B1415" s="32">
        <v>2237.1392458958298</v>
      </c>
      <c r="C1415" s="33">
        <v>92.905000000000001</v>
      </c>
      <c r="D1415" s="4">
        <v>12</v>
      </c>
      <c r="E1415" s="4" t="s">
        <v>74</v>
      </c>
    </row>
    <row r="1416" spans="1:5" ht="14.25" customHeight="1" x14ac:dyDescent="0.25">
      <c r="A1416" s="31">
        <v>41982</v>
      </c>
      <c r="B1416" s="32">
        <v>2091.6083745166602</v>
      </c>
      <c r="C1416" s="33">
        <v>92.018333333333302</v>
      </c>
      <c r="D1416" s="4">
        <v>12</v>
      </c>
      <c r="E1416" s="4" t="s">
        <v>74</v>
      </c>
    </row>
    <row r="1417" spans="1:5" ht="14.25" customHeight="1" x14ac:dyDescent="0.25">
      <c r="A1417" s="31">
        <v>41982.5</v>
      </c>
      <c r="B1417" s="32">
        <v>2455.1946747249899</v>
      </c>
      <c r="C1417" s="33">
        <v>94.912499999999994</v>
      </c>
      <c r="D1417" s="4">
        <v>12</v>
      </c>
      <c r="E1417" s="4" t="s">
        <v>74</v>
      </c>
    </row>
    <row r="1418" spans="1:5" ht="14.25" customHeight="1" x14ac:dyDescent="0.25">
      <c r="A1418" s="31">
        <v>41983</v>
      </c>
      <c r="B1418" s="32">
        <v>2079.37890237083</v>
      </c>
      <c r="C1418" s="33">
        <v>93.859166666666596</v>
      </c>
      <c r="D1418" s="4">
        <v>12</v>
      </c>
      <c r="E1418" s="4" t="s">
        <v>74</v>
      </c>
    </row>
    <row r="1419" spans="1:5" ht="14.25" customHeight="1" x14ac:dyDescent="0.25">
      <c r="A1419" s="31">
        <v>41983.5</v>
      </c>
      <c r="B1419" s="32">
        <v>2727.84421164166</v>
      </c>
      <c r="C1419" s="33">
        <v>91.686666666666596</v>
      </c>
      <c r="D1419" s="4">
        <v>12</v>
      </c>
      <c r="E1419" s="4" t="s">
        <v>74</v>
      </c>
    </row>
    <row r="1420" spans="1:5" ht="14.25" customHeight="1" x14ac:dyDescent="0.25">
      <c r="A1420" s="31">
        <v>41984</v>
      </c>
      <c r="B1420" s="32">
        <v>2275.3221316999902</v>
      </c>
      <c r="C1420" s="33">
        <v>93.885833333333295</v>
      </c>
      <c r="D1420" s="4">
        <v>12</v>
      </c>
      <c r="E1420" s="4" t="s">
        <v>74</v>
      </c>
    </row>
    <row r="1421" spans="1:5" ht="14.25" customHeight="1" x14ac:dyDescent="0.25">
      <c r="A1421" s="31">
        <v>41984.5</v>
      </c>
      <c r="B1421" s="32">
        <v>2934.10397338333</v>
      </c>
      <c r="C1421" s="33">
        <v>93.326666666666597</v>
      </c>
      <c r="D1421" s="4">
        <v>12</v>
      </c>
      <c r="E1421" s="4" t="s">
        <v>74</v>
      </c>
    </row>
    <row r="1422" spans="1:5" ht="14.25" customHeight="1" x14ac:dyDescent="0.25">
      <c r="A1422" s="31">
        <v>41985</v>
      </c>
      <c r="B1422" s="32">
        <v>2528.1358425708299</v>
      </c>
      <c r="C1422" s="33">
        <v>94.9375</v>
      </c>
      <c r="D1422" s="4">
        <v>12</v>
      </c>
      <c r="E1422" s="4" t="s">
        <v>74</v>
      </c>
    </row>
    <row r="1423" spans="1:5" ht="14.25" customHeight="1" x14ac:dyDescent="0.25">
      <c r="A1423" s="31">
        <v>41985.5</v>
      </c>
      <c r="B1423" s="32">
        <v>3237.7991635416602</v>
      </c>
      <c r="C1423" s="33">
        <v>94.245833333333294</v>
      </c>
      <c r="D1423" s="4">
        <v>12</v>
      </c>
      <c r="E1423" s="4" t="s">
        <v>74</v>
      </c>
    </row>
    <row r="1424" spans="1:5" ht="14.25" customHeight="1" x14ac:dyDescent="0.25">
      <c r="A1424" s="31">
        <v>41986</v>
      </c>
      <c r="B1424" s="32">
        <v>2579.88358816249</v>
      </c>
      <c r="C1424" s="33">
        <v>89.978333333333296</v>
      </c>
      <c r="D1424" s="4">
        <v>12</v>
      </c>
      <c r="E1424" s="4" t="s">
        <v>74</v>
      </c>
    </row>
    <row r="1425" spans="1:5" ht="14.25" customHeight="1" x14ac:dyDescent="0.25">
      <c r="A1425" s="31">
        <v>41986.5</v>
      </c>
      <c r="B1425" s="32">
        <v>3354.06702878333</v>
      </c>
      <c r="C1425" s="33">
        <v>93.031666666666595</v>
      </c>
      <c r="D1425" s="4">
        <v>12</v>
      </c>
      <c r="E1425" s="4" t="s">
        <v>74</v>
      </c>
    </row>
    <row r="1426" spans="1:5" ht="14.25" customHeight="1" x14ac:dyDescent="0.25">
      <c r="A1426" s="31">
        <v>41987</v>
      </c>
      <c r="B1426" s="32">
        <v>2559.6294510166599</v>
      </c>
      <c r="C1426" s="33">
        <v>92.2708333333333</v>
      </c>
      <c r="D1426" s="4">
        <v>12</v>
      </c>
      <c r="E1426" s="4" t="s">
        <v>74</v>
      </c>
    </row>
    <row r="1427" spans="1:5" ht="14.25" customHeight="1" x14ac:dyDescent="0.25">
      <c r="A1427" s="31">
        <v>41987.5</v>
      </c>
      <c r="B1427" s="32">
        <v>3264.2371815874999</v>
      </c>
      <c r="C1427" s="33">
        <v>93.975833333333298</v>
      </c>
      <c r="D1427" s="4">
        <v>12</v>
      </c>
      <c r="E1427" s="4" t="s">
        <v>74</v>
      </c>
    </row>
    <row r="1428" spans="1:5" ht="14.25" customHeight="1" x14ac:dyDescent="0.25">
      <c r="A1428" s="31">
        <v>41988</v>
      </c>
      <c r="B1428" s="32">
        <v>2490.9887963749902</v>
      </c>
      <c r="C1428" s="33">
        <v>91.39</v>
      </c>
      <c r="D1428" s="4">
        <v>12</v>
      </c>
      <c r="E1428" s="4" t="s">
        <v>74</v>
      </c>
    </row>
    <row r="1429" spans="1:5" ht="14.25" customHeight="1" x14ac:dyDescent="0.25">
      <c r="A1429" s="31">
        <v>41988.5</v>
      </c>
      <c r="B1429" s="32">
        <v>3251.3771467833299</v>
      </c>
      <c r="C1429" s="33">
        <v>89.696666666666601</v>
      </c>
      <c r="D1429" s="4">
        <v>12</v>
      </c>
      <c r="E1429" s="4" t="s">
        <v>74</v>
      </c>
    </row>
    <row r="1430" spans="1:5" ht="14.25" customHeight="1" x14ac:dyDescent="0.25">
      <c r="A1430" s="31">
        <v>41989</v>
      </c>
      <c r="B1430" s="32">
        <v>2665.4244438291598</v>
      </c>
      <c r="C1430" s="33">
        <v>94.949166666666599</v>
      </c>
      <c r="D1430" s="4">
        <v>12</v>
      </c>
      <c r="E1430" s="4" t="s">
        <v>74</v>
      </c>
    </row>
    <row r="1431" spans="1:5" ht="14.25" customHeight="1" x14ac:dyDescent="0.25">
      <c r="A1431" s="31">
        <v>41989.5</v>
      </c>
      <c r="B1431" s="32">
        <v>3741.0290686124899</v>
      </c>
      <c r="C1431" s="33">
        <v>93.538333333333298</v>
      </c>
      <c r="D1431" s="4">
        <v>12</v>
      </c>
      <c r="E1431" s="4" t="s">
        <v>74</v>
      </c>
    </row>
    <row r="1432" spans="1:5" ht="14.25" customHeight="1" x14ac:dyDescent="0.25">
      <c r="A1432" s="31">
        <v>41990</v>
      </c>
      <c r="B1432" s="32">
        <v>2649.4351034708302</v>
      </c>
      <c r="C1432" s="33">
        <v>93.586666666666602</v>
      </c>
      <c r="D1432" s="4">
        <v>12</v>
      </c>
      <c r="E1432" s="4" t="s">
        <v>74</v>
      </c>
    </row>
    <row r="1433" spans="1:5" ht="14.25" customHeight="1" x14ac:dyDescent="0.25">
      <c r="A1433" s="31">
        <v>41990.5</v>
      </c>
      <c r="B1433" s="32">
        <v>2959.3260986374898</v>
      </c>
      <c r="C1433" s="33">
        <v>91.453333333333305</v>
      </c>
      <c r="D1433" s="4">
        <v>12</v>
      </c>
      <c r="E1433" s="4" t="s">
        <v>74</v>
      </c>
    </row>
    <row r="1434" spans="1:5" ht="14.25" customHeight="1" x14ac:dyDescent="0.25">
      <c r="A1434" s="31">
        <v>41991</v>
      </c>
      <c r="B1434" s="32">
        <v>2373.5209118875</v>
      </c>
      <c r="C1434" s="33">
        <v>92.62</v>
      </c>
      <c r="D1434" s="4">
        <v>12</v>
      </c>
      <c r="E1434" s="4" t="s">
        <v>74</v>
      </c>
    </row>
    <row r="1435" spans="1:5" ht="14.25" customHeight="1" x14ac:dyDescent="0.25">
      <c r="A1435" s="31">
        <v>41991.5</v>
      </c>
      <c r="B1435" s="32">
        <v>2643.75417673333</v>
      </c>
      <c r="C1435" s="33">
        <v>95.298333333333304</v>
      </c>
      <c r="D1435" s="4">
        <v>12</v>
      </c>
      <c r="E1435" s="4" t="s">
        <v>74</v>
      </c>
    </row>
    <row r="1436" spans="1:5" ht="14.25" customHeight="1" x14ac:dyDescent="0.25">
      <c r="A1436" s="31">
        <v>41992</v>
      </c>
      <c r="B1436" s="32">
        <v>2349.5559309416599</v>
      </c>
      <c r="C1436" s="33">
        <v>92.412499999999994</v>
      </c>
      <c r="D1436" s="4">
        <v>12</v>
      </c>
      <c r="E1436" s="4" t="s">
        <v>74</v>
      </c>
    </row>
    <row r="1437" spans="1:5" ht="14.25" customHeight="1" x14ac:dyDescent="0.25">
      <c r="A1437" s="31">
        <v>41992.5</v>
      </c>
      <c r="B1437" s="32">
        <v>2650.2210921333299</v>
      </c>
      <c r="C1437" s="33">
        <v>90.366666666666603</v>
      </c>
      <c r="D1437" s="4">
        <v>12</v>
      </c>
      <c r="E1437" s="4" t="s">
        <v>74</v>
      </c>
    </row>
    <row r="1438" spans="1:5" ht="14.25" customHeight="1" x14ac:dyDescent="0.25">
      <c r="A1438" s="31">
        <v>41993</v>
      </c>
      <c r="B1438" s="32">
        <v>2229.1072341291601</v>
      </c>
      <c r="C1438" s="33">
        <v>92.250833333333304</v>
      </c>
      <c r="D1438" s="4">
        <v>12</v>
      </c>
      <c r="E1438" s="4" t="s">
        <v>74</v>
      </c>
    </row>
    <row r="1439" spans="1:5" ht="14.25" customHeight="1" x14ac:dyDescent="0.25">
      <c r="A1439" s="31">
        <v>41993.5</v>
      </c>
      <c r="B1439" s="32">
        <v>2575.2386780583302</v>
      </c>
      <c r="C1439" s="33">
        <v>91.97</v>
      </c>
      <c r="D1439" s="4">
        <v>12</v>
      </c>
      <c r="E1439" s="4" t="s">
        <v>74</v>
      </c>
    </row>
    <row r="1440" spans="1:5" ht="14.25" customHeight="1" x14ac:dyDescent="0.25">
      <c r="A1440" s="31">
        <v>41994</v>
      </c>
      <c r="B1440" s="32">
        <v>2011.6750117916599</v>
      </c>
      <c r="C1440" s="33">
        <v>93.757499999999993</v>
      </c>
      <c r="D1440" s="4">
        <v>12</v>
      </c>
      <c r="E1440" s="4" t="s">
        <v>74</v>
      </c>
    </row>
    <row r="1441" spans="1:5" ht="14.25" customHeight="1" x14ac:dyDescent="0.25">
      <c r="A1441" s="31">
        <v>41994.5</v>
      </c>
      <c r="B1441" s="32">
        <v>2307.4126483291602</v>
      </c>
      <c r="C1441" s="33">
        <v>95.6458333333333</v>
      </c>
      <c r="D1441" s="4">
        <v>12</v>
      </c>
      <c r="E1441" s="4" t="s">
        <v>74</v>
      </c>
    </row>
    <row r="1442" spans="1:5" ht="14.25" customHeight="1" x14ac:dyDescent="0.25">
      <c r="A1442" s="31">
        <v>41995</v>
      </c>
      <c r="B1442" s="32">
        <v>1953.2140380416599</v>
      </c>
      <c r="C1442" s="33">
        <v>92.878333333333302</v>
      </c>
      <c r="D1442" s="4">
        <v>12</v>
      </c>
      <c r="E1442" s="4" t="s">
        <v>74</v>
      </c>
    </row>
    <row r="1443" spans="1:5" ht="14.25" customHeight="1" x14ac:dyDescent="0.25">
      <c r="A1443" s="31">
        <v>41995.5</v>
      </c>
      <c r="B1443" s="32">
        <v>2361.0739734083299</v>
      </c>
      <c r="C1443" s="33">
        <v>92.855833333333294</v>
      </c>
      <c r="D1443" s="4">
        <v>12</v>
      </c>
      <c r="E1443" s="4" t="s">
        <v>74</v>
      </c>
    </row>
    <row r="1444" spans="1:5" ht="14.25" customHeight="1" x14ac:dyDescent="0.25">
      <c r="A1444" s="31">
        <v>41996</v>
      </c>
      <c r="B1444" s="32">
        <v>2209.59354426666</v>
      </c>
      <c r="C1444" s="33">
        <v>93.114999999999995</v>
      </c>
      <c r="D1444" s="4">
        <v>12</v>
      </c>
      <c r="E1444" s="4" t="s">
        <v>74</v>
      </c>
    </row>
    <row r="1445" spans="1:5" ht="14.25" customHeight="1" x14ac:dyDescent="0.25">
      <c r="A1445" s="31">
        <v>41996.5</v>
      </c>
      <c r="B1445" s="32">
        <v>2695.2328788791601</v>
      </c>
      <c r="C1445" s="33">
        <v>92.212499999999906</v>
      </c>
      <c r="D1445" s="4">
        <v>12</v>
      </c>
      <c r="E1445" s="4" t="s">
        <v>74</v>
      </c>
    </row>
    <row r="1446" spans="1:5" ht="14.25" customHeight="1" x14ac:dyDescent="0.25">
      <c r="A1446" s="31">
        <v>41997</v>
      </c>
      <c r="B1446" s="32">
        <v>2273.2429503499998</v>
      </c>
      <c r="C1446" s="33">
        <v>93.219166666666595</v>
      </c>
      <c r="D1446" s="4">
        <v>12</v>
      </c>
      <c r="E1446" s="4" t="s">
        <v>74</v>
      </c>
    </row>
    <row r="1447" spans="1:5" ht="14.25" customHeight="1" x14ac:dyDescent="0.25">
      <c r="A1447" s="31">
        <v>41997.5</v>
      </c>
      <c r="B1447" s="32">
        <v>2567.2627502791602</v>
      </c>
      <c r="C1447" s="33">
        <v>93.787499999999895</v>
      </c>
      <c r="D1447" s="4">
        <v>12</v>
      </c>
      <c r="E1447" s="4" t="s">
        <v>74</v>
      </c>
    </row>
    <row r="1448" spans="1:5" ht="14.25" customHeight="1" x14ac:dyDescent="0.25">
      <c r="A1448" s="31">
        <v>41998</v>
      </c>
      <c r="B1448" s="32">
        <v>2067.9224790958301</v>
      </c>
      <c r="C1448" s="33">
        <v>94.329999999999899</v>
      </c>
      <c r="D1448" s="4">
        <v>12</v>
      </c>
      <c r="E1448" s="4" t="s">
        <v>74</v>
      </c>
    </row>
    <row r="1449" spans="1:5" ht="14.25" customHeight="1" x14ac:dyDescent="0.25">
      <c r="A1449" s="31">
        <v>41998.5</v>
      </c>
      <c r="B1449" s="32">
        <v>2223.43608991666</v>
      </c>
      <c r="C1449" s="33">
        <v>95.224166666666605</v>
      </c>
      <c r="D1449" s="4">
        <v>12</v>
      </c>
      <c r="E1449" s="4" t="s">
        <v>74</v>
      </c>
    </row>
    <row r="1450" spans="1:5" ht="14.25" customHeight="1" x14ac:dyDescent="0.25">
      <c r="A1450" s="31">
        <v>41999</v>
      </c>
      <c r="B1450" s="32">
        <v>1903.0920479833301</v>
      </c>
      <c r="C1450" s="33">
        <v>92.940833333333302</v>
      </c>
      <c r="D1450" s="4">
        <v>12</v>
      </c>
      <c r="E1450" s="4" t="s">
        <v>74</v>
      </c>
    </row>
    <row r="1451" spans="1:5" ht="14.25" customHeight="1" x14ac:dyDescent="0.25">
      <c r="A1451" s="31">
        <v>41999.5</v>
      </c>
      <c r="B1451" s="32">
        <v>2306.4151266624899</v>
      </c>
      <c r="C1451" s="33">
        <v>90.131666666666604</v>
      </c>
      <c r="D1451" s="4">
        <v>12</v>
      </c>
      <c r="E1451" s="4" t="s">
        <v>74</v>
      </c>
    </row>
    <row r="1452" spans="1:5" ht="14.25" customHeight="1" x14ac:dyDescent="0.25">
      <c r="A1452" s="31">
        <v>42000</v>
      </c>
      <c r="B1452" s="32">
        <v>2159.7068845916601</v>
      </c>
      <c r="C1452" s="33">
        <v>90.2141666666666</v>
      </c>
      <c r="D1452" s="4">
        <v>12</v>
      </c>
      <c r="E1452" s="4" t="s">
        <v>74</v>
      </c>
    </row>
    <row r="1453" spans="1:5" ht="14.25" customHeight="1" x14ac:dyDescent="0.25">
      <c r="A1453" s="31">
        <v>42000.5</v>
      </c>
      <c r="B1453" s="32">
        <v>2454.2576683458301</v>
      </c>
      <c r="C1453" s="33">
        <v>91.858333333333306</v>
      </c>
      <c r="D1453" s="4">
        <v>12</v>
      </c>
      <c r="E1453" s="4" t="s">
        <v>74</v>
      </c>
    </row>
    <row r="1454" spans="1:5" ht="14.25" customHeight="1" x14ac:dyDescent="0.25">
      <c r="A1454" s="31">
        <v>42001</v>
      </c>
      <c r="B1454" s="32">
        <v>2020.5694791727201</v>
      </c>
      <c r="C1454" s="33">
        <v>96.48</v>
      </c>
      <c r="D1454" s="4">
        <v>12</v>
      </c>
      <c r="E1454" s="4" t="s">
        <v>74</v>
      </c>
    </row>
    <row r="1455" spans="1:5" ht="14.25" customHeight="1" x14ac:dyDescent="0.25">
      <c r="A1455" s="31">
        <v>42001.5</v>
      </c>
      <c r="B1455" s="32">
        <v>2363.03645631666</v>
      </c>
      <c r="C1455" s="33">
        <v>96.315833333333302</v>
      </c>
      <c r="D1455" s="4">
        <v>12</v>
      </c>
      <c r="E1455" s="4" t="s">
        <v>74</v>
      </c>
    </row>
    <row r="1456" spans="1:5" ht="14.25" customHeight="1" x14ac:dyDescent="0.25">
      <c r="A1456" s="31">
        <v>42002</v>
      </c>
      <c r="B1456" s="32">
        <v>1970.46141897499</v>
      </c>
      <c r="C1456" s="33">
        <v>95.259166666666601</v>
      </c>
      <c r="D1456" s="4">
        <v>12</v>
      </c>
      <c r="E1456" s="4" t="s">
        <v>74</v>
      </c>
    </row>
    <row r="1457" spans="1:5" ht="14.25" customHeight="1" x14ac:dyDescent="0.25">
      <c r="A1457" s="31">
        <v>42002.5</v>
      </c>
      <c r="B1457" s="32">
        <v>2549.5566624166599</v>
      </c>
      <c r="C1457" s="33">
        <v>95.25</v>
      </c>
      <c r="D1457" s="4">
        <v>12</v>
      </c>
      <c r="E1457" s="4" t="s">
        <v>74</v>
      </c>
    </row>
    <row r="1458" spans="1:5" ht="14.25" customHeight="1" x14ac:dyDescent="0.25">
      <c r="A1458" s="31">
        <v>42003</v>
      </c>
      <c r="B1458" s="32">
        <v>2301.8357706833299</v>
      </c>
      <c r="C1458" s="33">
        <v>94.122500000000002</v>
      </c>
      <c r="D1458" s="4">
        <v>12</v>
      </c>
      <c r="E1458" s="4" t="s">
        <v>74</v>
      </c>
    </row>
    <row r="1459" spans="1:5" ht="14.25" customHeight="1" x14ac:dyDescent="0.25">
      <c r="A1459" s="31">
        <v>42003.5</v>
      </c>
      <c r="B1459" s="32">
        <v>2660.8662708624902</v>
      </c>
      <c r="C1459" s="33">
        <v>92.79</v>
      </c>
      <c r="D1459" s="4">
        <v>12</v>
      </c>
      <c r="E1459" s="4" t="s">
        <v>74</v>
      </c>
    </row>
    <row r="1460" spans="1:5" ht="14.25" customHeight="1" x14ac:dyDescent="0.25">
      <c r="A1460" s="31">
        <v>42004</v>
      </c>
      <c r="B1460" s="32">
        <v>2197.6303354583301</v>
      </c>
      <c r="C1460" s="33">
        <v>90.688333333333304</v>
      </c>
      <c r="D1460" s="4">
        <v>12</v>
      </c>
      <c r="E1460" s="4" t="s">
        <v>74</v>
      </c>
    </row>
    <row r="1461" spans="1:5" ht="14.25" customHeight="1" x14ac:dyDescent="0.25">
      <c r="A1461" s="31">
        <v>42004.5</v>
      </c>
      <c r="B1461" s="32">
        <v>2379.96887625416</v>
      </c>
      <c r="C1461" s="33">
        <v>96.152500000000003</v>
      </c>
      <c r="D1461" s="4">
        <v>12</v>
      </c>
      <c r="E1461" s="4" t="s">
        <v>74</v>
      </c>
    </row>
  </sheetData>
  <autoFilter ref="A1:E1461" xr:uid="{00000000-0009-0000-0000-000002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5E0B3"/>
  </sheetPr>
  <dimension ref="A1:AH1000"/>
  <sheetViews>
    <sheetView showGridLines="0" tabSelected="1" topLeftCell="A8" workbookViewId="0">
      <selection activeCell="D66" sqref="D66"/>
    </sheetView>
  </sheetViews>
  <sheetFormatPr defaultColWidth="14.42578125" defaultRowHeight="15" customHeight="1" x14ac:dyDescent="0.25"/>
  <cols>
    <col min="1" max="1" width="20.5703125" customWidth="1"/>
    <col min="2" max="2" width="44.7109375" customWidth="1"/>
    <col min="3" max="3" width="17.42578125" customWidth="1"/>
    <col min="4" max="4" width="25.42578125" customWidth="1"/>
    <col min="5" max="5" width="22.140625" customWidth="1"/>
    <col min="6" max="6" width="16.42578125" customWidth="1"/>
    <col min="7" max="7" width="17.7109375" customWidth="1"/>
    <col min="8" max="11" width="14.5703125" customWidth="1"/>
    <col min="12" max="12" width="15.28515625" customWidth="1"/>
    <col min="13" max="13" width="14.5703125" customWidth="1"/>
    <col min="14" max="14" width="15.28515625" customWidth="1"/>
    <col min="15" max="17" width="14.5703125" customWidth="1"/>
    <col min="18" max="18" width="18.42578125" customWidth="1"/>
    <col min="19" max="34" width="8.7109375" customWidth="1"/>
  </cols>
  <sheetData>
    <row r="1" spans="1:34" ht="27.75" customHeight="1" x14ac:dyDescent="0.25">
      <c r="A1" s="108" t="s">
        <v>75</v>
      </c>
      <c r="B1" s="113"/>
      <c r="C1" s="113"/>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row>
    <row r="2" spans="1:34" ht="27.75" customHeight="1" x14ac:dyDescent="0.25">
      <c r="A2" s="35" t="s">
        <v>76</v>
      </c>
      <c r="B2" s="35"/>
      <c r="C2" s="35"/>
      <c r="D2" s="35"/>
      <c r="E2" s="35"/>
      <c r="F2" s="35"/>
      <c r="G2" s="35"/>
      <c r="H2" s="35"/>
      <c r="I2" s="35"/>
      <c r="J2" s="35"/>
      <c r="K2" s="35"/>
      <c r="L2" s="35"/>
      <c r="M2" s="35"/>
      <c r="N2" s="35"/>
      <c r="O2" s="35"/>
      <c r="P2" s="7"/>
      <c r="Q2" s="7"/>
      <c r="R2" s="7"/>
      <c r="S2" s="7"/>
      <c r="T2" s="7"/>
      <c r="U2" s="7"/>
      <c r="V2" s="7"/>
      <c r="W2" s="7"/>
      <c r="X2" s="7"/>
      <c r="Y2" s="7"/>
      <c r="Z2" s="7"/>
      <c r="AA2" s="7"/>
      <c r="AB2" s="7"/>
      <c r="AC2" s="7"/>
      <c r="AD2" s="7"/>
      <c r="AE2" s="7"/>
      <c r="AF2" s="7"/>
      <c r="AG2" s="7"/>
      <c r="AH2" s="7"/>
    </row>
    <row r="3" spans="1:34" ht="27.75" customHeight="1" x14ac:dyDescent="0.25">
      <c r="A3" s="35" t="s">
        <v>77</v>
      </c>
      <c r="B3" s="35"/>
      <c r="C3" s="35"/>
      <c r="D3" s="35"/>
      <c r="E3" s="35"/>
      <c r="F3" s="35"/>
      <c r="G3" s="35"/>
      <c r="H3" s="35"/>
      <c r="I3" s="35"/>
      <c r="J3" s="35"/>
      <c r="K3" s="35"/>
      <c r="L3" s="35"/>
      <c r="M3" s="35"/>
      <c r="N3" s="35"/>
      <c r="O3" s="35"/>
      <c r="P3" s="7"/>
      <c r="Q3" s="7"/>
      <c r="R3" s="7"/>
      <c r="S3" s="7"/>
      <c r="T3" s="7"/>
      <c r="U3" s="7"/>
      <c r="V3" s="7"/>
      <c r="W3" s="7"/>
      <c r="X3" s="7"/>
      <c r="Y3" s="7"/>
      <c r="Z3" s="7"/>
      <c r="AA3" s="7"/>
      <c r="AB3" s="7"/>
      <c r="AC3" s="7"/>
      <c r="AD3" s="7"/>
      <c r="AE3" s="7"/>
      <c r="AF3" s="7"/>
      <c r="AG3" s="7"/>
      <c r="AH3" s="7"/>
    </row>
    <row r="4" spans="1:34" ht="27.75" customHeight="1" x14ac:dyDescent="0.25">
      <c r="A4" s="35" t="s">
        <v>78</v>
      </c>
      <c r="B4" s="35"/>
      <c r="C4" s="35"/>
      <c r="D4" s="35"/>
      <c r="E4" s="35"/>
      <c r="F4" s="35"/>
      <c r="G4" s="35"/>
      <c r="H4" s="35"/>
      <c r="I4" s="35"/>
      <c r="J4" s="35"/>
      <c r="K4" s="35"/>
      <c r="L4" s="35"/>
      <c r="M4" s="35"/>
      <c r="N4" s="35"/>
      <c r="O4" s="35"/>
      <c r="P4" s="7"/>
      <c r="Q4" s="7"/>
      <c r="R4" s="7"/>
      <c r="S4" s="7"/>
      <c r="T4" s="7"/>
      <c r="U4" s="7"/>
      <c r="V4" s="7"/>
      <c r="W4" s="7"/>
      <c r="X4" s="7"/>
      <c r="Y4" s="7"/>
      <c r="Z4" s="7"/>
      <c r="AA4" s="7"/>
      <c r="AB4" s="7"/>
      <c r="AC4" s="7"/>
      <c r="AD4" s="7"/>
      <c r="AE4" s="7"/>
      <c r="AF4" s="7"/>
      <c r="AG4" s="7"/>
      <c r="AH4" s="7"/>
    </row>
    <row r="5" spans="1:34" ht="27.75" customHeight="1" x14ac:dyDescent="0.25">
      <c r="A5" s="35" t="s">
        <v>79</v>
      </c>
      <c r="B5" s="35"/>
      <c r="C5" s="35"/>
      <c r="D5" s="35"/>
      <c r="E5" s="35"/>
      <c r="F5" s="35"/>
      <c r="G5" s="35"/>
      <c r="H5" s="35"/>
      <c r="I5" s="35"/>
      <c r="J5" s="35"/>
      <c r="K5" s="35"/>
      <c r="L5" s="35"/>
      <c r="M5" s="35"/>
      <c r="N5" s="35"/>
      <c r="O5" s="35"/>
      <c r="P5" s="7"/>
      <c r="Q5" s="7"/>
      <c r="R5" s="7"/>
      <c r="S5" s="7"/>
      <c r="T5" s="7"/>
      <c r="U5" s="7"/>
      <c r="V5" s="7"/>
      <c r="W5" s="7"/>
      <c r="X5" s="7"/>
      <c r="Y5" s="7"/>
      <c r="Z5" s="7"/>
      <c r="AA5" s="7"/>
      <c r="AB5" s="7"/>
      <c r="AC5" s="7"/>
      <c r="AD5" s="7"/>
      <c r="AE5" s="7"/>
      <c r="AF5" s="7"/>
      <c r="AG5" s="7"/>
      <c r="AH5" s="7"/>
    </row>
    <row r="6" spans="1:34" ht="47.25" customHeight="1" x14ac:dyDescent="0.25">
      <c r="A6" s="208" t="s">
        <v>80</v>
      </c>
      <c r="B6" s="197"/>
      <c r="C6" s="197"/>
      <c r="D6" s="197"/>
      <c r="E6" s="197"/>
      <c r="F6" s="197"/>
      <c r="G6" s="197"/>
      <c r="H6" s="197"/>
      <c r="I6" s="197"/>
      <c r="J6" s="197"/>
      <c r="K6" s="197"/>
      <c r="L6" s="197"/>
      <c r="M6" s="197"/>
      <c r="N6" s="197"/>
      <c r="O6" s="197"/>
      <c r="P6" s="7"/>
      <c r="Q6" s="7"/>
      <c r="R6" s="7"/>
      <c r="S6" s="7"/>
      <c r="T6" s="7"/>
      <c r="U6" s="7"/>
      <c r="V6" s="7"/>
      <c r="W6" s="7"/>
      <c r="X6" s="7"/>
      <c r="Y6" s="7"/>
      <c r="Z6" s="7"/>
      <c r="AA6" s="7"/>
      <c r="AB6" s="7"/>
      <c r="AC6" s="7"/>
      <c r="AD6" s="7"/>
      <c r="AE6" s="7"/>
      <c r="AF6" s="7"/>
      <c r="AG6" s="7"/>
      <c r="AH6" s="7"/>
    </row>
    <row r="7" spans="1:34" ht="18.75" customHeight="1" x14ac:dyDescent="0.25">
      <c r="A7" s="208" t="s">
        <v>81</v>
      </c>
      <c r="B7" s="197"/>
      <c r="C7" s="197"/>
      <c r="D7" s="197"/>
      <c r="E7" s="197"/>
      <c r="F7" s="197"/>
      <c r="G7" s="197"/>
      <c r="H7" s="197"/>
      <c r="I7" s="197"/>
      <c r="J7" s="197"/>
      <c r="K7" s="197"/>
      <c r="L7" s="197"/>
      <c r="M7" s="197"/>
      <c r="N7" s="197"/>
      <c r="O7" s="197"/>
      <c r="P7" s="7"/>
      <c r="Q7" s="7"/>
      <c r="R7" s="7"/>
      <c r="S7" s="7"/>
      <c r="T7" s="7"/>
      <c r="U7" s="7"/>
      <c r="V7" s="7"/>
      <c r="W7" s="7"/>
      <c r="X7" s="7"/>
      <c r="Y7" s="7"/>
      <c r="Z7" s="7"/>
      <c r="AA7" s="7"/>
      <c r="AB7" s="7"/>
      <c r="AC7" s="7"/>
      <c r="AD7" s="7"/>
      <c r="AE7" s="7"/>
      <c r="AF7" s="7"/>
      <c r="AG7" s="7"/>
      <c r="AH7" s="7"/>
    </row>
    <row r="8" spans="1:34" ht="27.75" customHeight="1" x14ac:dyDescent="0.25">
      <c r="A8" s="36" t="s">
        <v>82</v>
      </c>
      <c r="B8" s="35"/>
      <c r="C8" s="35"/>
      <c r="D8" s="35"/>
      <c r="E8" s="35"/>
      <c r="F8" s="35"/>
      <c r="G8" s="35"/>
      <c r="H8" s="35"/>
      <c r="I8" s="35"/>
      <c r="J8" s="35"/>
      <c r="K8" s="35"/>
      <c r="L8" s="35"/>
      <c r="M8" s="35"/>
      <c r="N8" s="35"/>
      <c r="O8" s="35"/>
      <c r="P8" s="7"/>
      <c r="Q8" s="7"/>
      <c r="R8" s="7"/>
      <c r="S8" s="7"/>
      <c r="T8" s="7"/>
      <c r="U8" s="7"/>
      <c r="V8" s="7"/>
      <c r="W8" s="7"/>
      <c r="X8" s="7"/>
      <c r="Y8" s="7"/>
      <c r="Z8" s="7"/>
      <c r="AA8" s="7"/>
      <c r="AB8" s="7"/>
      <c r="AC8" s="7"/>
      <c r="AD8" s="7"/>
      <c r="AE8" s="7"/>
      <c r="AF8" s="7"/>
      <c r="AG8" s="7"/>
      <c r="AH8" s="7"/>
    </row>
    <row r="9" spans="1:34" ht="27.75" customHeight="1" x14ac:dyDescent="0.25">
      <c r="A9" s="35" t="s">
        <v>83</v>
      </c>
      <c r="B9" s="35"/>
      <c r="C9" s="35"/>
      <c r="D9" s="35"/>
      <c r="E9" s="35"/>
      <c r="F9" s="35"/>
      <c r="G9" s="35"/>
      <c r="H9" s="35"/>
      <c r="I9" s="35"/>
      <c r="J9" s="35"/>
      <c r="K9" s="35"/>
      <c r="L9" s="35"/>
      <c r="M9" s="35"/>
      <c r="N9" s="35"/>
      <c r="O9" s="35"/>
      <c r="P9" s="7"/>
      <c r="Q9" s="7"/>
      <c r="R9" s="7"/>
      <c r="S9" s="7"/>
      <c r="T9" s="7"/>
      <c r="U9" s="7"/>
      <c r="V9" s="7"/>
      <c r="W9" s="7"/>
      <c r="X9" s="7"/>
      <c r="Y9" s="7"/>
      <c r="Z9" s="7"/>
      <c r="AA9" s="7"/>
      <c r="AB9" s="7"/>
      <c r="AC9" s="7"/>
      <c r="AD9" s="7"/>
      <c r="AE9" s="7"/>
      <c r="AF9" s="7"/>
      <c r="AG9" s="7"/>
      <c r="AH9" s="7"/>
    </row>
    <row r="10" spans="1:34" ht="27.75" customHeight="1" x14ac:dyDescent="0.25">
      <c r="A10" s="35" t="s">
        <v>84</v>
      </c>
      <c r="B10" s="35"/>
      <c r="C10" s="35"/>
      <c r="D10" s="35"/>
      <c r="E10" s="35"/>
      <c r="F10" s="35"/>
      <c r="G10" s="35"/>
      <c r="H10" s="35"/>
      <c r="I10" s="35"/>
      <c r="J10" s="35"/>
      <c r="K10" s="35"/>
      <c r="L10" s="35"/>
      <c r="M10" s="35"/>
      <c r="N10" s="35"/>
      <c r="O10" s="35"/>
      <c r="P10" s="7"/>
      <c r="Q10" s="7"/>
      <c r="R10" s="7"/>
      <c r="S10" s="7"/>
      <c r="T10" s="7"/>
      <c r="U10" s="7"/>
      <c r="V10" s="7"/>
      <c r="W10" s="7"/>
      <c r="X10" s="7"/>
      <c r="Y10" s="7"/>
      <c r="Z10" s="7"/>
      <c r="AA10" s="7"/>
      <c r="AB10" s="7"/>
      <c r="AC10" s="7"/>
      <c r="AD10" s="7"/>
      <c r="AE10" s="7"/>
      <c r="AF10" s="7"/>
      <c r="AG10" s="7"/>
      <c r="AH10" s="7"/>
    </row>
    <row r="11" spans="1:34" ht="40.5" customHeight="1" x14ac:dyDescent="0.25">
      <c r="A11" s="205" t="s">
        <v>85</v>
      </c>
      <c r="B11" s="206"/>
      <c r="C11" s="206"/>
      <c r="D11" s="206"/>
      <c r="E11" s="206"/>
      <c r="F11" s="206"/>
      <c r="G11" s="206"/>
      <c r="H11" s="206"/>
      <c r="I11" s="206"/>
      <c r="J11" s="206"/>
      <c r="K11" s="206"/>
      <c r="L11" s="206"/>
      <c r="M11" s="206"/>
      <c r="N11" s="206"/>
      <c r="O11" s="206"/>
      <c r="P11" s="206"/>
      <c r="Q11" s="206"/>
      <c r="R11" s="206"/>
      <c r="S11" s="206"/>
      <c r="T11" s="206"/>
      <c r="U11" s="206"/>
      <c r="V11" s="206"/>
      <c r="W11" s="206"/>
      <c r="X11" s="206"/>
      <c r="Y11" s="206"/>
      <c r="Z11" s="206"/>
      <c r="AA11" s="206"/>
      <c r="AB11" s="206"/>
      <c r="AC11" s="206"/>
      <c r="AD11" s="206"/>
      <c r="AE11" s="206"/>
      <c r="AF11" s="206"/>
      <c r="AG11" s="206"/>
      <c r="AH11" s="206"/>
    </row>
    <row r="12" spans="1:34" ht="23.25" customHeight="1" x14ac:dyDescent="0.25">
      <c r="A12" s="205" t="s">
        <v>86</v>
      </c>
      <c r="B12" s="206"/>
      <c r="C12" s="206"/>
      <c r="D12" s="206"/>
      <c r="E12" s="206"/>
      <c r="F12" s="206"/>
      <c r="G12" s="206"/>
      <c r="H12" s="206"/>
      <c r="I12" s="206"/>
      <c r="J12" s="206"/>
      <c r="K12" s="206"/>
      <c r="L12" s="206"/>
      <c r="M12" s="206"/>
      <c r="N12" s="206"/>
      <c r="O12" s="206"/>
      <c r="P12" s="206"/>
      <c r="Q12" s="206"/>
      <c r="R12" s="206"/>
      <c r="S12" s="206"/>
      <c r="T12" s="206"/>
      <c r="U12" s="206"/>
      <c r="V12" s="206"/>
      <c r="W12" s="206"/>
      <c r="X12" s="206"/>
      <c r="Y12" s="206"/>
      <c r="Z12" s="206"/>
      <c r="AA12" s="206"/>
      <c r="AB12" s="206"/>
      <c r="AC12" s="206"/>
      <c r="AD12" s="206"/>
      <c r="AE12" s="206"/>
      <c r="AF12" s="206"/>
      <c r="AG12" s="206"/>
      <c r="AH12" s="206"/>
    </row>
    <row r="13" spans="1:34" ht="27.75" customHeight="1" x14ac:dyDescent="0.25">
      <c r="A13" s="114" t="s">
        <v>87</v>
      </c>
      <c r="B13" s="115"/>
      <c r="C13" s="116">
        <v>41640</v>
      </c>
      <c r="D13" s="116">
        <v>41671</v>
      </c>
      <c r="E13" s="116">
        <v>41699</v>
      </c>
      <c r="F13" s="116">
        <v>41730</v>
      </c>
      <c r="G13" s="116">
        <v>41760</v>
      </c>
      <c r="H13" s="116">
        <v>41791</v>
      </c>
      <c r="I13" s="116">
        <v>41821</v>
      </c>
      <c r="J13" s="116">
        <v>41852</v>
      </c>
      <c r="K13" s="116">
        <v>41883</v>
      </c>
      <c r="L13" s="116">
        <v>41913</v>
      </c>
      <c r="M13" s="116">
        <v>41944</v>
      </c>
      <c r="N13" s="116">
        <v>41974</v>
      </c>
      <c r="O13" s="117"/>
      <c r="P13" s="117"/>
      <c r="Q13" s="117"/>
      <c r="R13" s="117"/>
      <c r="S13" s="117"/>
      <c r="T13" s="117"/>
      <c r="U13" s="117"/>
      <c r="V13" s="117"/>
      <c r="W13" s="117"/>
      <c r="X13" s="117"/>
      <c r="Y13" s="117"/>
      <c r="Z13" s="117"/>
      <c r="AA13" s="117"/>
      <c r="AB13" s="117"/>
      <c r="AC13" s="117"/>
      <c r="AD13" s="117"/>
      <c r="AE13" s="117"/>
      <c r="AF13" s="117"/>
      <c r="AG13" s="117"/>
      <c r="AH13" s="117"/>
    </row>
    <row r="14" spans="1:34" ht="27.75" customHeight="1" x14ac:dyDescent="0.25">
      <c r="A14" s="117"/>
      <c r="B14" s="115" t="s">
        <v>88</v>
      </c>
      <c r="C14" s="115">
        <v>1</v>
      </c>
      <c r="D14" s="115">
        <v>2</v>
      </c>
      <c r="E14" s="115">
        <v>3</v>
      </c>
      <c r="F14" s="115">
        <v>4</v>
      </c>
      <c r="G14" s="115">
        <v>5</v>
      </c>
      <c r="H14" s="115">
        <v>6</v>
      </c>
      <c r="I14" s="115">
        <v>7</v>
      </c>
      <c r="J14" s="115">
        <v>8</v>
      </c>
      <c r="K14" s="115">
        <v>9</v>
      </c>
      <c r="L14" s="115">
        <v>10</v>
      </c>
      <c r="M14" s="115">
        <v>11</v>
      </c>
      <c r="N14" s="115">
        <v>12</v>
      </c>
      <c r="O14" s="118"/>
      <c r="P14" s="118"/>
      <c r="Q14" s="118"/>
      <c r="R14" s="115"/>
      <c r="S14" s="117"/>
      <c r="T14" s="117"/>
      <c r="U14" s="117"/>
      <c r="V14" s="117"/>
      <c r="W14" s="117"/>
      <c r="X14" s="117"/>
      <c r="Y14" s="117"/>
      <c r="Z14" s="117"/>
      <c r="AA14" s="117"/>
      <c r="AB14" s="117"/>
      <c r="AC14" s="117"/>
      <c r="AD14" s="117"/>
      <c r="AE14" s="117"/>
      <c r="AF14" s="117"/>
      <c r="AG14" s="117"/>
      <c r="AH14" s="117"/>
    </row>
    <row r="15" spans="1:34" ht="27.75" customHeight="1" x14ac:dyDescent="0.25">
      <c r="A15" s="37"/>
      <c r="B15" s="38" t="s">
        <v>89</v>
      </c>
      <c r="C15" s="185">
        <f>AVERAGEIFS('Water Trading Repository Table'!$B:$B,'Water Trading Repository Table'!$E:$E,"Soft",'Water Trading Repository Table'!$D:$D,C$14)+
AVERAGEIFS('Water Trading Repository Table'!$B:$B,'Water Trading Repository Table'!$E:$E,"Hard",'Water Trading Repository Table'!$D:$D,C$14)</f>
        <v>4596.3803179307943</v>
      </c>
      <c r="D15" s="185">
        <f>AVERAGEIFS('Water Trading Repository Table'!$B:$B,'Water Trading Repository Table'!$E:$E,"Soft",'Water Trading Repository Table'!$D:$D,D$14)+
AVERAGEIFS('Water Trading Repository Table'!$B:$B,'Water Trading Repository Table'!$E:$E,"Hard",'Water Trading Repository Table'!$D:$D,D$14)</f>
        <v>4812.1837924222073</v>
      </c>
      <c r="E15" s="185">
        <f>AVERAGEIFS('Water Trading Repository Table'!$B:$B,'Water Trading Repository Table'!$E:$E,"Soft",'Water Trading Repository Table'!$D:$D,E$14)+
AVERAGEIFS('Water Trading Repository Table'!$B:$B,'Water Trading Repository Table'!$E:$E,"Hard",'Water Trading Repository Table'!$D:$D,E$14)</f>
        <v>4255.6290865419523</v>
      </c>
      <c r="F15" s="185">
        <f>AVERAGEIFS('Water Trading Repository Table'!$B:$B,'Water Trading Repository Table'!$E:$E,"Soft",'Water Trading Repository Table'!$D:$D,F$14)+
AVERAGEIFS('Water Trading Repository Table'!$B:$B,'Water Trading Repository Table'!$E:$E,"Hard",'Water Trading Repository Table'!$D:$D,F$14)</f>
        <v>4371.5995084527422</v>
      </c>
      <c r="G15" s="185">
        <f>AVERAGEIFS('Water Trading Repository Table'!$B:$B,'Water Trading Repository Table'!$E:$E,"Soft",'Water Trading Repository Table'!$D:$D,G$14)+
AVERAGEIFS('Water Trading Repository Table'!$B:$B,'Water Trading Repository Table'!$E:$E,"Hard",'Water Trading Repository Table'!$D:$D,G$14)</f>
        <v>4291.5674377322121</v>
      </c>
      <c r="H15" s="185">
        <f>AVERAGEIFS('Water Trading Repository Table'!$B:$B,'Water Trading Repository Table'!$E:$E,"Soft",'Water Trading Repository Table'!$D:$D,H$14)+
AVERAGEIFS('Water Trading Repository Table'!$B:$B,'Water Trading Repository Table'!$E:$E,"Hard",'Water Trading Repository Table'!$D:$D,H$14)</f>
        <v>4459.4993222885223</v>
      </c>
      <c r="I15" s="185">
        <f>AVERAGEIFS('Water Trading Repository Table'!$B:$B,'Water Trading Repository Table'!$E:$E,"Soft",'Water Trading Repository Table'!$D:$D,I$14)+
AVERAGEIFS('Water Trading Repository Table'!$B:$B,'Water Trading Repository Table'!$E:$E,"Hard",'Water Trading Repository Table'!$D:$D,I$14)</f>
        <v>4566.1004945055356</v>
      </c>
      <c r="J15" s="185">
        <f>AVERAGEIFS('Water Trading Repository Table'!$B:$B,'Water Trading Repository Table'!$E:$E,"Soft",'Water Trading Repository Table'!$D:$D,J$14)+
AVERAGEIFS('Water Trading Repository Table'!$B:$B,'Water Trading Repository Table'!$E:$E,"Hard",'Water Trading Repository Table'!$D:$D,J$14)</f>
        <v>4402.1184917630126</v>
      </c>
      <c r="K15" s="185">
        <f>AVERAGEIFS('Water Trading Repository Table'!$B:$B,'Water Trading Repository Table'!$E:$E,"Soft",'Water Trading Repository Table'!$D:$D,K$14)+
AVERAGEIFS('Water Trading Repository Table'!$B:$B,'Water Trading Repository Table'!$E:$E,"Hard",'Water Trading Repository Table'!$D:$D,K$14)</f>
        <v>4306.6863701799084</v>
      </c>
      <c r="L15" s="185">
        <f>AVERAGEIFS('Water Trading Repository Table'!$B:$B,'Water Trading Repository Table'!$E:$E,"Soft",'Water Trading Repository Table'!$D:$D,L$14)+
AVERAGEIFS('Water Trading Repository Table'!$B:$B,'Water Trading Repository Table'!$E:$E,"Hard",'Water Trading Repository Table'!$D:$D,L$14)</f>
        <v>4197.9827625235594</v>
      </c>
      <c r="M15" s="185">
        <f>AVERAGEIFS('Water Trading Repository Table'!$B:$B,'Water Trading Repository Table'!$E:$E,"Soft",'Water Trading Repository Table'!$D:$D,M$14)+
AVERAGEIFS('Water Trading Repository Table'!$B:$B,'Water Trading Repository Table'!$E:$E,"Hard",'Water Trading Repository Table'!$D:$D,M$14)</f>
        <v>4401.8586579853327</v>
      </c>
      <c r="N15" s="185">
        <f>AVERAGEIFS('Water Trading Repository Table'!$B:$B,'Water Trading Repository Table'!$E:$E,"Soft",'Water Trading Repository Table'!$D:$D,N$14)+
AVERAGEIFS('Water Trading Repository Table'!$B:$B,'Water Trading Repository Table'!$E:$E,"Hard",'Water Trading Repository Table'!$D:$D,N$14)</f>
        <v>4624.3990795222862</v>
      </c>
      <c r="O15" s="40"/>
      <c r="P15" s="40"/>
      <c r="Q15" s="40"/>
      <c r="R15" s="40"/>
      <c r="S15" s="4"/>
      <c r="T15" s="4"/>
      <c r="U15" s="4"/>
      <c r="V15" s="4"/>
      <c r="W15" s="4"/>
      <c r="X15" s="4"/>
      <c r="Y15" s="4"/>
      <c r="Z15" s="4"/>
      <c r="AA15" s="4"/>
      <c r="AB15" s="4"/>
      <c r="AC15" s="4"/>
      <c r="AD15" s="4"/>
      <c r="AE15" s="4"/>
      <c r="AF15" s="4"/>
      <c r="AG15" s="4"/>
      <c r="AH15" s="4"/>
    </row>
    <row r="16" spans="1:34" ht="27.75" customHeight="1" x14ac:dyDescent="0.25">
      <c r="A16" s="4"/>
      <c r="B16" s="38" t="s">
        <v>90</v>
      </c>
      <c r="C16" s="39">
        <f>AVERAGEIFS('Water Trading Repository Table'!$C:$C,
            'Water Trading Repository Table'!$E:$E, "Soft",
            'Water Trading Repository Table'!$D:$D, C$14) +
 AVERAGEIFS('Water Trading Repository Table'!$C:$C,
            'Water Trading Repository Table'!$E:$E, "Hard",
            'Water Trading Repository Table'!$D:$D, C$14)</f>
        <v>172.78351447074391</v>
      </c>
      <c r="D16" s="39">
        <f>AVERAGEIFS('Water Trading Repository Table'!$C:$C,
            'Water Trading Repository Table'!$E:$E, "Soft",
            'Water Trading Repository Table'!$D:$D, D$14) +
 AVERAGEIFS('Water Trading Repository Table'!$C:$C,
            'Water Trading Repository Table'!$E:$E, "Hard",
            'Water Trading Repository Table'!$D:$D, D$14)</f>
        <v>173.65898095173625</v>
      </c>
      <c r="E16" s="39">
        <f>AVERAGEIFS('Water Trading Repository Table'!$C:$C,
            'Water Trading Repository Table'!$E:$E, "Soft",
            'Water Trading Repository Table'!$D:$D, E$14) +
 AVERAGEIFS('Water Trading Repository Table'!$C:$C,
            'Water Trading Repository Table'!$E:$E, "Hard",
            'Water Trading Repository Table'!$D:$D, E$14)</f>
        <v>162.99978245647682</v>
      </c>
      <c r="F16" s="39">
        <f>AVERAGEIFS('Water Trading Repository Table'!$C:$C,
            'Water Trading Repository Table'!$E:$E, "Soft",
            'Water Trading Repository Table'!$D:$D, F$14) +
 AVERAGEIFS('Water Trading Repository Table'!$C:$C,
            'Water Trading Repository Table'!$E:$E, "Hard",
            'Water Trading Repository Table'!$D:$D, F$14)</f>
        <v>145.13846433742174</v>
      </c>
      <c r="G16" s="39">
        <f>AVERAGEIFS('Water Trading Repository Table'!$C:$C,
            'Water Trading Repository Table'!$E:$E, "Soft",
            'Water Trading Repository Table'!$D:$D, G$14) +
 AVERAGEIFS('Water Trading Repository Table'!$C:$C,
            'Water Trading Repository Table'!$E:$E, "Hard",
            'Water Trading Repository Table'!$D:$D, G$14)</f>
        <v>142.51870868244652</v>
      </c>
      <c r="H16" s="39">
        <f>AVERAGEIFS('Water Trading Repository Table'!$C:$C,
            'Water Trading Repository Table'!$E:$E, "Soft",
            'Water Trading Repository Table'!$D:$D, H$14) +
 AVERAGEIFS('Water Trading Repository Table'!$C:$C,
            'Water Trading Repository Table'!$E:$E, "Hard",
            'Water Trading Repository Table'!$D:$D, H$14)</f>
        <v>144.31302159932653</v>
      </c>
      <c r="I16" s="39">
        <f>AVERAGEIFS('Water Trading Repository Table'!$C:$C,
            'Water Trading Repository Table'!$E:$E, "Soft",
            'Water Trading Repository Table'!$D:$D, I$14) +
 AVERAGEIFS('Water Trading Repository Table'!$C:$C,
            'Water Trading Repository Table'!$E:$E, "Hard",
            'Water Trading Repository Table'!$D:$D, I$14)</f>
        <v>153.20544086021502</v>
      </c>
      <c r="J16" s="39">
        <f>AVERAGEIFS('Water Trading Repository Table'!$C:$C,
            'Water Trading Repository Table'!$E:$E, "Soft",
            'Water Trading Repository Table'!$D:$D, J$14) +
 AVERAGEIFS('Water Trading Repository Table'!$C:$C,
            'Water Trading Repository Table'!$E:$E, "Hard",
            'Water Trading Repository Table'!$D:$D, J$14)</f>
        <v>149.86508019713253</v>
      </c>
      <c r="K16" s="39">
        <f>AVERAGEIFS('Water Trading Repository Table'!$C:$C,
            'Water Trading Repository Table'!$E:$E, "Soft",
            'Water Trading Repository Table'!$D:$D, K$14) +
 AVERAGEIFS('Water Trading Repository Table'!$C:$C,
            'Water Trading Repository Table'!$E:$E, "Hard",
            'Water Trading Repository Table'!$D:$D, K$14)</f>
        <v>148.13263964646455</v>
      </c>
      <c r="L16" s="39">
        <f>AVERAGEIFS('Water Trading Repository Table'!$C:$C,
            'Water Trading Repository Table'!$E:$E, "Soft",
            'Water Trading Repository Table'!$D:$D, L$14) +
 AVERAGEIFS('Water Trading Repository Table'!$C:$C,
            'Water Trading Repository Table'!$E:$E, "Hard",
            'Water Trading Repository Table'!$D:$D, L$14)</f>
        <v>150.18629788786478</v>
      </c>
      <c r="M16" s="39">
        <f>AVERAGEIFS('Water Trading Repository Table'!$C:$C,
            'Water Trading Repository Table'!$E:$E, "Soft",
            'Water Trading Repository Table'!$D:$D, M$14) +
 AVERAGEIFS('Water Trading Repository Table'!$C:$C,
            'Water Trading Repository Table'!$E:$E, "Hard",
            'Water Trading Repository Table'!$D:$D, M$14)</f>
        <v>147.40191250901864</v>
      </c>
      <c r="N16" s="39">
        <f>AVERAGEIFS('Water Trading Repository Table'!$C:$C,
            'Water Trading Repository Table'!$E:$E, "Soft",
            'Water Trading Repository Table'!$D:$D, N$14) +
 AVERAGEIFS('Water Trading Repository Table'!$C:$C,
            'Water Trading Repository Table'!$E:$E, "Hard",
            'Water Trading Repository Table'!$D:$D, N$14)</f>
        <v>148.75331366080147</v>
      </c>
      <c r="O16" s="40"/>
      <c r="P16" s="40"/>
      <c r="Q16" s="40"/>
      <c r="R16" s="40"/>
      <c r="S16" s="4"/>
      <c r="T16" s="4"/>
      <c r="U16" s="4"/>
      <c r="V16" s="4"/>
      <c r="W16" s="4"/>
      <c r="X16" s="4"/>
      <c r="Y16" s="4"/>
      <c r="Z16" s="4"/>
      <c r="AA16" s="4"/>
      <c r="AB16" s="4"/>
      <c r="AC16" s="4"/>
      <c r="AD16" s="4"/>
      <c r="AE16" s="4"/>
      <c r="AF16" s="4"/>
      <c r="AG16" s="4"/>
      <c r="AH16" s="4"/>
    </row>
    <row r="17" spans="1:34" ht="27.75" customHeight="1" x14ac:dyDescent="0.25">
      <c r="A17" s="114" t="s">
        <v>91</v>
      </c>
      <c r="B17" s="115"/>
      <c r="C17" s="119"/>
      <c r="D17" s="119"/>
      <c r="E17" s="119"/>
      <c r="F17" s="119"/>
      <c r="G17" s="119"/>
      <c r="H17" s="119"/>
      <c r="I17" s="119"/>
      <c r="J17" s="119"/>
      <c r="K17" s="119"/>
      <c r="L17" s="119"/>
      <c r="M17" s="119"/>
      <c r="N17" s="119"/>
      <c r="O17" s="120"/>
      <c r="P17" s="120"/>
      <c r="Q17" s="120"/>
      <c r="R17" s="120"/>
      <c r="S17" s="121"/>
      <c r="T17" s="121"/>
      <c r="U17" s="121"/>
      <c r="V17" s="121"/>
      <c r="W17" s="121"/>
      <c r="X17" s="121"/>
      <c r="Y17" s="121"/>
      <c r="Z17" s="121"/>
      <c r="AA17" s="121"/>
      <c r="AB17" s="121"/>
      <c r="AC17" s="121"/>
      <c r="AD17" s="121"/>
      <c r="AE17" s="121"/>
      <c r="AF17" s="121"/>
      <c r="AG17" s="121"/>
      <c r="AH17" s="121"/>
    </row>
    <row r="18" spans="1:34" ht="27.75" customHeight="1" x14ac:dyDescent="0.25">
      <c r="A18" s="42" t="s">
        <v>74</v>
      </c>
      <c r="B18" s="38" t="s">
        <v>92</v>
      </c>
      <c r="C18" s="185">
        <f>AVERAGEIFS('Water Trading Repository Table'!$B:$B,'Water Trading Repository Table'!$E:$E,"Hard",'Water Trading Repository Table'!$D:$D,C$14)</f>
        <v>2391.3758824827114</v>
      </c>
      <c r="D18" s="185">
        <f>AVERAGEIFS('Water Trading Repository Table'!$B:$B,'Water Trading Repository Table'!$E:$E,"Hard",'Water Trading Repository Table'!$D:$D,D$14)</f>
        <v>2533.2689003303749</v>
      </c>
      <c r="E18" s="185">
        <f>AVERAGEIFS('Water Trading Repository Table'!$B:$B,'Water Trading Repository Table'!$E:$E,"Hard",'Water Trading Repository Table'!$D:$D,E$14)</f>
        <v>2203.7442618771042</v>
      </c>
      <c r="F18" s="185">
        <f>AVERAGEIFS('Water Trading Repository Table'!$B:$B,'Water Trading Repository Table'!$E:$E,"Hard",'Water Trading Repository Table'!$D:$D,F$14)</f>
        <v>2349.5141185681864</v>
      </c>
      <c r="G18" s="185">
        <f>AVERAGEIFS('Water Trading Repository Table'!$B:$B,'Water Trading Repository Table'!$E:$E,"Hard",'Water Trading Repository Table'!$D:$D,G$14)</f>
        <v>2243.584512119523</v>
      </c>
      <c r="H18" s="185">
        <f>AVERAGEIFS('Water Trading Repository Table'!$B:$B,'Water Trading Repository Table'!$E:$E,"Hard",'Water Trading Repository Table'!$D:$D,H$14)</f>
        <v>2359.3149577593058</v>
      </c>
      <c r="I18" s="185">
        <f>AVERAGEIFS('Water Trading Repository Table'!$B:$B,'Water Trading Repository Table'!$E:$E,"Hard",'Water Trading Repository Table'!$D:$D,I$14)</f>
        <v>2443.2652008227428</v>
      </c>
      <c r="J18" s="185">
        <f>AVERAGEIFS('Water Trading Repository Table'!$B:$B,'Water Trading Repository Table'!$E:$E,"Hard",'Water Trading Repository Table'!$D:$D,J$14)</f>
        <v>2300.8485926974759</v>
      </c>
      <c r="K18" s="185">
        <f>AVERAGEIFS('Water Trading Repository Table'!$B:$B,'Water Trading Repository Table'!$E:$E,"Hard",'Water Trading Repository Table'!$D:$D,K$14)</f>
        <v>2261.3424374589526</v>
      </c>
      <c r="L18" s="185">
        <f>AVERAGEIFS('Water Trading Repository Table'!$B:$B,'Water Trading Repository Table'!$E:$E,"Hard",'Water Trading Repository Table'!$D:$D,L$14)</f>
        <v>2188.7956099697999</v>
      </c>
      <c r="M18" s="185">
        <f>AVERAGEIFS('Water Trading Repository Table'!$B:$B,'Water Trading Repository Table'!$E:$E,"Hard",'Water Trading Repository Table'!$D:$D,M$14)</f>
        <v>2303.4374718156046</v>
      </c>
      <c r="N18" s="185">
        <f>AVERAGEIFS('Water Trading Repository Table'!$B:$B,'Water Trading Repository Table'!$E:$E,"Hard",'Water Trading Repository Table'!$D:$D,N$14)</f>
        <v>2443.6005061474129</v>
      </c>
      <c r="O18" s="40"/>
      <c r="P18" s="40"/>
      <c r="Q18" s="40"/>
      <c r="R18" s="40"/>
      <c r="S18" s="4"/>
      <c r="T18" s="4"/>
      <c r="U18" s="4"/>
      <c r="V18" s="4"/>
      <c r="W18" s="4"/>
      <c r="X18" s="4"/>
      <c r="Y18" s="4"/>
      <c r="Z18" s="4"/>
      <c r="AA18" s="4"/>
      <c r="AB18" s="4"/>
      <c r="AC18" s="4"/>
      <c r="AD18" s="4"/>
      <c r="AE18" s="4"/>
      <c r="AF18" s="4"/>
      <c r="AG18" s="4"/>
      <c r="AH18" s="4"/>
    </row>
    <row r="19" spans="1:34" ht="27.75" customHeight="1" x14ac:dyDescent="0.25">
      <c r="A19" s="4"/>
      <c r="B19" s="38" t="s">
        <v>90</v>
      </c>
      <c r="C19" s="39">
        <f>AVERAGEIFS('Water Trading Repository Table'!$C:$C,
            'Water Trading Repository Table'!$E:$E, "Hard",
            'Water Trading Repository Table'!$D:$D, C$14)</f>
        <v>110.48381542382315</v>
      </c>
      <c r="D19" s="39">
        <f>AVERAGEIFS('Water Trading Repository Table'!$C:$C,
            'Water Trading Repository Table'!$E:$E, "Hard",
            'Water Trading Repository Table'!$D:$D, D$14)</f>
        <v>110.62720422979757</v>
      </c>
      <c r="E19" s="39">
        <f>AVERAGEIFS('Water Trading Repository Table'!$C:$C,
            'Water Trading Repository Table'!$E:$E, "Hard",
            'Water Trading Repository Table'!$D:$D, E$14)</f>
        <v>110.55818806730868</v>
      </c>
      <c r="F19" s="39">
        <f>AVERAGEIFS('Water Trading Repository Table'!$C:$C,
            'Water Trading Repository Table'!$E:$E, "Hard",
            'Water Trading Repository Table'!$D:$D, F$14)</f>
        <v>93.17518584656078</v>
      </c>
      <c r="G19" s="39">
        <f>AVERAGEIFS('Water Trading Repository Table'!$C:$C,
            'Water Trading Repository Table'!$E:$E, "Hard",
            'Water Trading Repository Table'!$D:$D, G$14)</f>
        <v>93.408910429176501</v>
      </c>
      <c r="H19" s="39">
        <f>AVERAGEIFS('Water Trading Repository Table'!$C:$C,
            'Water Trading Repository Table'!$E:$E, "Hard",
            'Water Trading Repository Table'!$D:$D, H$14)</f>
        <v>92.851211447811423</v>
      </c>
      <c r="I19" s="39">
        <f>AVERAGEIFS('Water Trading Repository Table'!$C:$C,
            'Water Trading Repository Table'!$E:$E, "Hard",
            'Water Trading Repository Table'!$D:$D, I$14)</f>
        <v>92.809567652329747</v>
      </c>
      <c r="J19" s="39">
        <f>AVERAGEIFS('Water Trading Repository Table'!$C:$C,
            'Water Trading Repository Table'!$E:$E, "Hard",
            'Water Trading Repository Table'!$D:$D, J$14)</f>
        <v>93.14548020527856</v>
      </c>
      <c r="K19" s="39">
        <f>AVERAGEIFS('Water Trading Repository Table'!$C:$C,
            'Water Trading Repository Table'!$E:$E, "Hard",
            'Water Trading Repository Table'!$D:$D, K$14)</f>
        <v>92.989220833333306</v>
      </c>
      <c r="L19" s="39">
        <f>AVERAGEIFS('Water Trading Repository Table'!$C:$C,
            'Water Trading Repository Table'!$E:$E, "Hard",
            'Water Trading Repository Table'!$D:$D, L$14)</f>
        <v>92.823577188940064</v>
      </c>
      <c r="M19" s="39">
        <f>AVERAGEIFS('Water Trading Repository Table'!$C:$C,
            'Water Trading Repository Table'!$E:$E, "Hard",
            'Water Trading Repository Table'!$D:$D, M$14)</f>
        <v>93.029854347041791</v>
      </c>
      <c r="N19" s="39">
        <f>AVERAGEIFS('Water Trading Repository Table'!$C:$C,
            'Water Trading Repository Table'!$E:$E, "Hard",
            'Water Trading Repository Table'!$D:$D, N$14)</f>
        <v>93.232935483870918</v>
      </c>
      <c r="O19" s="40"/>
      <c r="P19" s="40"/>
      <c r="Q19" s="40"/>
      <c r="R19" s="40"/>
      <c r="S19" s="4"/>
      <c r="T19" s="4"/>
      <c r="U19" s="4"/>
      <c r="V19" s="4"/>
      <c r="W19" s="4"/>
      <c r="X19" s="4"/>
      <c r="Y19" s="4"/>
      <c r="Z19" s="4"/>
      <c r="AA19" s="4"/>
      <c r="AB19" s="4"/>
      <c r="AC19" s="4"/>
      <c r="AD19" s="4"/>
      <c r="AE19" s="4"/>
      <c r="AF19" s="4"/>
      <c r="AG19" s="4"/>
      <c r="AH19" s="4"/>
    </row>
    <row r="20" spans="1:34" ht="27.75" customHeight="1" x14ac:dyDescent="0.25">
      <c r="A20" s="114" t="s">
        <v>93</v>
      </c>
      <c r="B20" s="117"/>
      <c r="C20" s="117"/>
      <c r="D20" s="117"/>
      <c r="E20" s="117"/>
      <c r="F20" s="120"/>
      <c r="G20" s="120"/>
      <c r="H20" s="120"/>
      <c r="I20" s="120"/>
      <c r="J20" s="120"/>
      <c r="K20" s="120"/>
      <c r="L20" s="120"/>
      <c r="M20" s="120"/>
      <c r="N20" s="120"/>
      <c r="O20" s="120"/>
      <c r="P20" s="120"/>
      <c r="Q20" s="120"/>
      <c r="R20" s="120"/>
      <c r="S20" s="121"/>
      <c r="T20" s="121"/>
      <c r="U20" s="121"/>
      <c r="V20" s="121"/>
      <c r="W20" s="121"/>
      <c r="X20" s="121"/>
      <c r="Y20" s="121"/>
      <c r="Z20" s="121"/>
      <c r="AA20" s="121"/>
      <c r="AB20" s="121"/>
      <c r="AC20" s="121"/>
      <c r="AD20" s="121"/>
      <c r="AE20" s="121"/>
      <c r="AF20" s="121"/>
      <c r="AG20" s="121"/>
      <c r="AH20" s="121"/>
    </row>
    <row r="21" spans="1:34" ht="27.75" customHeight="1" x14ac:dyDescent="0.25">
      <c r="A21" s="42" t="s">
        <v>73</v>
      </c>
      <c r="B21" s="38" t="s">
        <v>94</v>
      </c>
      <c r="C21" s="185">
        <f>AVERAGEIFS('Water Trading Repository Table'!$B:$B,'Water Trading Repository Table'!$E:$E,"Soft",'Water Trading Repository Table'!$D:$D,C$14)</f>
        <v>2205.0044354480824</v>
      </c>
      <c r="D21" s="185">
        <f>AVERAGEIFS('Water Trading Repository Table'!$B:$B,'Water Trading Repository Table'!$E:$E,"Soft",'Water Trading Repository Table'!$D:$D,D$14)</f>
        <v>2278.9148920918328</v>
      </c>
      <c r="E21" s="185">
        <f>AVERAGEIFS('Water Trading Repository Table'!$B:$B,'Water Trading Repository Table'!$E:$E,"Soft",'Water Trading Repository Table'!$D:$D,E$14)</f>
        <v>2051.8848246648477</v>
      </c>
      <c r="F21" s="185">
        <f>AVERAGEIFS('Water Trading Repository Table'!$B:$B,'Water Trading Repository Table'!$E:$E,"Soft",'Water Trading Repository Table'!$D:$D,F$14)</f>
        <v>2022.0853898845555</v>
      </c>
      <c r="G21" s="185">
        <f>AVERAGEIFS('Water Trading Repository Table'!$B:$B,'Water Trading Repository Table'!$E:$E,"Soft",'Water Trading Repository Table'!$D:$D,G$14)</f>
        <v>2047.9829256126895</v>
      </c>
      <c r="H21" s="185">
        <f>AVERAGEIFS('Water Trading Repository Table'!$B:$B,'Water Trading Repository Table'!$E:$E,"Soft",'Water Trading Repository Table'!$D:$D,H$14)</f>
        <v>2100.1843645292161</v>
      </c>
      <c r="I21" s="185">
        <f>AVERAGEIFS('Water Trading Repository Table'!$B:$B,'Water Trading Repository Table'!$E:$E,"Soft",'Water Trading Repository Table'!$D:$D,I$14)</f>
        <v>2122.8352936827923</v>
      </c>
      <c r="J21" s="185">
        <f>AVERAGEIFS('Water Trading Repository Table'!$B:$B,'Water Trading Repository Table'!$E:$E,"Soft",'Water Trading Repository Table'!$D:$D,J$14)</f>
        <v>2101.2698990655363</v>
      </c>
      <c r="K21" s="185">
        <f>AVERAGEIFS('Water Trading Repository Table'!$B:$B,'Water Trading Repository Table'!$E:$E,"Soft",'Water Trading Repository Table'!$D:$D,K$14)</f>
        <v>2045.3439327209553</v>
      </c>
      <c r="L21" s="185">
        <f>AVERAGEIFS('Water Trading Repository Table'!$B:$B,'Water Trading Repository Table'!$E:$E,"Soft",'Water Trading Repository Table'!$D:$D,L$14)</f>
        <v>2009.1871525537595</v>
      </c>
      <c r="M21" s="185">
        <f>AVERAGEIFS('Water Trading Repository Table'!$B:$B,'Water Trading Repository Table'!$E:$E,"Soft",'Water Trading Repository Table'!$D:$D,M$14)</f>
        <v>2098.4211861697281</v>
      </c>
      <c r="N21" s="185">
        <f>AVERAGEIFS('Water Trading Repository Table'!$B:$B,'Water Trading Repository Table'!$E:$E,"Soft",'Water Trading Repository Table'!$D:$D,N$14)</f>
        <v>2180.7985733748733</v>
      </c>
      <c r="O21" s="40"/>
      <c r="P21" s="40"/>
      <c r="Q21" s="40"/>
      <c r="R21" s="40"/>
      <c r="S21" s="4"/>
      <c r="T21" s="4"/>
      <c r="U21" s="4"/>
      <c r="V21" s="4"/>
      <c r="W21" s="4"/>
      <c r="X21" s="4"/>
      <c r="Y21" s="4"/>
      <c r="Z21" s="4"/>
      <c r="AA21" s="4"/>
      <c r="AB21" s="4"/>
      <c r="AC21" s="4"/>
      <c r="AD21" s="4"/>
      <c r="AE21" s="4"/>
      <c r="AF21" s="4"/>
      <c r="AG21" s="4"/>
      <c r="AH21" s="4"/>
    </row>
    <row r="22" spans="1:34" ht="27.75" customHeight="1" x14ac:dyDescent="0.25">
      <c r="A22" s="4"/>
      <c r="B22" s="38" t="s">
        <v>90</v>
      </c>
      <c r="C22" s="39">
        <f>AVERAGEIFS('Water Trading Repository Table'!$C:$C,
            'Water Trading Repository Table'!$E:$E, "Soft",
            'Water Trading Repository Table'!$D:$D, C$14)</f>
        <v>62.299699046920772</v>
      </c>
      <c r="D22" s="39">
        <f>AVERAGEIFS('Water Trading Repository Table'!$C:$C,
            'Water Trading Repository Table'!$E:$E, "Soft",
            'Water Trading Repository Table'!$D:$D, D$14)</f>
        <v>63.031776721938691</v>
      </c>
      <c r="E22" s="39">
        <f>AVERAGEIFS('Water Trading Repository Table'!$C:$C,
            'Water Trading Repository Table'!$E:$E, "Soft",
            'Water Trading Repository Table'!$D:$D, E$14)</f>
        <v>52.441594389168138</v>
      </c>
      <c r="F22" s="39">
        <f>AVERAGEIFS('Water Trading Repository Table'!$C:$C,
            'Water Trading Repository Table'!$E:$E, "Soft",
            'Water Trading Repository Table'!$D:$D, F$14)</f>
        <v>51.963278490860944</v>
      </c>
      <c r="G22" s="39">
        <f>AVERAGEIFS('Water Trading Repository Table'!$C:$C,
            'Water Trading Repository Table'!$E:$E, "Soft",
            'Water Trading Repository Table'!$D:$D, G$14)</f>
        <v>49.10979825327</v>
      </c>
      <c r="H22" s="39">
        <f>AVERAGEIFS('Water Trading Repository Table'!$C:$C,
            'Water Trading Repository Table'!$E:$E, "Soft",
            'Water Trading Repository Table'!$D:$D, H$14)</f>
        <v>51.461810151515095</v>
      </c>
      <c r="I22" s="39">
        <f>AVERAGEIFS('Water Trading Repository Table'!$C:$C,
            'Water Trading Repository Table'!$E:$E, "Soft",
            'Water Trading Repository Table'!$D:$D, I$14)</f>
        <v>60.395873207885266</v>
      </c>
      <c r="J22" s="39">
        <f>AVERAGEIFS('Water Trading Repository Table'!$C:$C,
            'Water Trading Repository Table'!$E:$E, "Soft",
            'Water Trading Repository Table'!$D:$D, J$14)</f>
        <v>56.719599991853968</v>
      </c>
      <c r="K22" s="39">
        <f>AVERAGEIFS('Water Trading Repository Table'!$C:$C,
            'Water Trading Repository Table'!$E:$E, "Soft",
            'Water Trading Repository Table'!$D:$D, K$14)</f>
        <v>55.143418813131255</v>
      </c>
      <c r="L22" s="39">
        <f>AVERAGEIFS('Water Trading Repository Table'!$C:$C,
            'Water Trading Repository Table'!$E:$E, "Soft",
            'Water Trading Repository Table'!$D:$D, L$14)</f>
        <v>57.362720698924704</v>
      </c>
      <c r="M22" s="39">
        <f>AVERAGEIFS('Water Trading Repository Table'!$C:$C,
            'Water Trading Repository Table'!$E:$E, "Soft",
            'Water Trading Repository Table'!$D:$D, M$14)</f>
        <v>54.372058161976852</v>
      </c>
      <c r="N22" s="39">
        <f>AVERAGEIFS('Water Trading Repository Table'!$C:$C,
            'Water Trading Repository Table'!$E:$E, "Soft",
            'Water Trading Repository Table'!$D:$D, N$14)</f>
        <v>55.520378176930556</v>
      </c>
      <c r="O22" s="40"/>
      <c r="P22" s="40"/>
      <c r="Q22" s="40"/>
      <c r="R22" s="40"/>
      <c r="S22" s="4"/>
      <c r="T22" s="4"/>
      <c r="U22" s="4"/>
      <c r="V22" s="4"/>
      <c r="W22" s="4"/>
      <c r="X22" s="4"/>
      <c r="Y22" s="4"/>
      <c r="Z22" s="4"/>
      <c r="AA22" s="4"/>
      <c r="AB22" s="4"/>
      <c r="AC22" s="4"/>
      <c r="AD22" s="4"/>
      <c r="AE22" s="4"/>
      <c r="AF22" s="4"/>
      <c r="AG22" s="4"/>
      <c r="AH22" s="4"/>
    </row>
    <row r="23" spans="1:34" ht="27.75" customHeight="1" x14ac:dyDescent="0.25">
      <c r="A23" s="121"/>
      <c r="B23" s="117"/>
      <c r="C23" s="117"/>
      <c r="D23" s="117"/>
      <c r="E23" s="117"/>
      <c r="F23" s="121"/>
      <c r="G23" s="121"/>
      <c r="H23" s="121"/>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21"/>
      <c r="AH23" s="121"/>
    </row>
    <row r="24" spans="1:34" ht="27.75" customHeight="1" x14ac:dyDescent="0.25">
      <c r="A24" s="192" t="s">
        <v>95</v>
      </c>
      <c r="B24" s="186" t="s">
        <v>96</v>
      </c>
      <c r="C24" s="186" t="s">
        <v>96</v>
      </c>
      <c r="D24" s="186" t="s">
        <v>96</v>
      </c>
      <c r="E24" s="186" t="s">
        <v>96</v>
      </c>
      <c r="F24" s="186" t="s">
        <v>96</v>
      </c>
      <c r="G24" s="192"/>
      <c r="H24" s="192"/>
      <c r="I24" s="192"/>
      <c r="J24" s="192"/>
      <c r="K24" s="192"/>
      <c r="L24" s="192"/>
      <c r="M24" s="192"/>
      <c r="N24" s="192"/>
      <c r="O24" s="192"/>
      <c r="P24" s="192"/>
      <c r="Q24" s="192"/>
      <c r="R24" s="192"/>
      <c r="S24" s="192"/>
      <c r="T24" s="192"/>
      <c r="U24" s="192"/>
      <c r="V24" s="192"/>
      <c r="W24" s="192"/>
      <c r="X24" s="192"/>
      <c r="Y24" s="192"/>
      <c r="Z24" s="192"/>
      <c r="AA24" s="192"/>
      <c r="AB24" s="192"/>
      <c r="AC24" s="192"/>
      <c r="AD24" s="192"/>
      <c r="AE24" s="192"/>
      <c r="AF24" s="192"/>
      <c r="AG24" s="192"/>
      <c r="AH24" s="192"/>
    </row>
    <row r="25" spans="1:34" ht="27.75" customHeight="1" x14ac:dyDescent="0.25">
      <c r="A25" s="4"/>
      <c r="B25" s="186" t="s">
        <v>96</v>
      </c>
      <c r="C25" s="186" t="s">
        <v>96</v>
      </c>
      <c r="D25" s="186" t="s">
        <v>96</v>
      </c>
      <c r="E25" s="186" t="s">
        <v>96</v>
      </c>
      <c r="F25" s="186" t="s">
        <v>96</v>
      </c>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row>
    <row r="26" spans="1:34" ht="27.75" customHeight="1" x14ac:dyDescent="0.25">
      <c r="A26" s="205" t="s">
        <v>97</v>
      </c>
      <c r="B26" s="206"/>
      <c r="C26" s="206"/>
      <c r="D26" s="206"/>
      <c r="E26" s="206"/>
      <c r="F26" s="206"/>
      <c r="G26" s="206"/>
      <c r="H26" s="206"/>
      <c r="I26" s="206"/>
      <c r="J26" s="206"/>
      <c r="K26" s="206"/>
      <c r="L26" s="206"/>
      <c r="M26" s="206"/>
      <c r="N26" s="206"/>
      <c r="O26" s="206"/>
      <c r="P26" s="206"/>
      <c r="Q26" s="206"/>
      <c r="R26" s="206"/>
      <c r="S26" s="206"/>
      <c r="T26" s="206"/>
      <c r="U26" s="206"/>
      <c r="V26" s="206"/>
      <c r="W26" s="205"/>
      <c r="X26" s="206"/>
      <c r="Y26" s="206"/>
      <c r="Z26" s="206"/>
      <c r="AA26" s="206"/>
      <c r="AB26" s="206"/>
      <c r="AC26" s="206"/>
      <c r="AD26" s="206"/>
      <c r="AE26" s="206"/>
      <c r="AF26" s="206"/>
      <c r="AG26" s="206"/>
      <c r="AH26" s="206"/>
    </row>
    <row r="27" spans="1:34" ht="27.75" customHeight="1" x14ac:dyDescent="0.25">
      <c r="A27" s="205" t="s">
        <v>98</v>
      </c>
      <c r="B27" s="206"/>
      <c r="C27" s="206"/>
      <c r="D27" s="206"/>
      <c r="E27" s="206"/>
      <c r="F27" s="206"/>
      <c r="G27" s="206"/>
      <c r="H27" s="206"/>
      <c r="I27" s="206"/>
      <c r="J27" s="206"/>
      <c r="K27" s="206"/>
      <c r="L27" s="206"/>
      <c r="M27" s="206"/>
      <c r="N27" s="206"/>
      <c r="O27" s="206"/>
      <c r="P27" s="206"/>
      <c r="Q27" s="206"/>
      <c r="R27" s="206"/>
      <c r="S27" s="206"/>
      <c r="T27" s="206"/>
      <c r="U27" s="206"/>
      <c r="V27" s="206"/>
      <c r="W27" s="205"/>
      <c r="X27" s="206"/>
      <c r="Y27" s="206"/>
      <c r="Z27" s="206"/>
      <c r="AA27" s="206"/>
      <c r="AB27" s="206"/>
      <c r="AC27" s="206"/>
      <c r="AD27" s="206"/>
      <c r="AE27" s="206"/>
      <c r="AF27" s="206"/>
      <c r="AG27" s="206"/>
      <c r="AH27" s="206"/>
    </row>
    <row r="28" spans="1:34" ht="27.75" customHeight="1" x14ac:dyDescent="0.25">
      <c r="A28" s="207" t="s">
        <v>99</v>
      </c>
      <c r="B28" s="206"/>
      <c r="C28" s="206"/>
      <c r="D28" s="206"/>
      <c r="E28" s="206"/>
      <c r="F28" s="206"/>
      <c r="G28" s="206"/>
      <c r="H28" s="206"/>
      <c r="I28" s="206"/>
      <c r="J28" s="206"/>
      <c r="K28" s="206"/>
      <c r="L28" s="206"/>
      <c r="M28" s="206"/>
      <c r="N28" s="206"/>
      <c r="O28" s="206"/>
      <c r="P28" s="206"/>
      <c r="Q28" s="206"/>
      <c r="R28" s="206"/>
      <c r="S28" s="206"/>
      <c r="T28" s="206"/>
      <c r="U28" s="206"/>
      <c r="V28" s="206"/>
      <c r="W28" s="205"/>
      <c r="X28" s="206"/>
      <c r="Y28" s="206"/>
      <c r="Z28" s="206"/>
      <c r="AA28" s="206"/>
      <c r="AB28" s="206"/>
      <c r="AC28" s="206"/>
      <c r="AD28" s="206"/>
      <c r="AE28" s="206"/>
      <c r="AF28" s="206"/>
      <c r="AG28" s="206"/>
      <c r="AH28" s="206"/>
    </row>
    <row r="29" spans="1:34" ht="27.7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row>
    <row r="30" spans="1:34" ht="27.7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row>
    <row r="31" spans="1:34" ht="27.7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row>
    <row r="32" spans="1:34" ht="27.7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row>
    <row r="33" spans="1:34" ht="27.7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row>
    <row r="34" spans="1:34" ht="27.7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row>
    <row r="35" spans="1:34" ht="27.7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row>
    <row r="36" spans="1:34" ht="27.75" customHeight="1"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row>
    <row r="37" spans="1:34" ht="27.7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row>
    <row r="38" spans="1:34" ht="27.7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row>
    <row r="39" spans="1:34" ht="27.75" customHeight="1" x14ac:dyDescent="0.25">
      <c r="A39" s="104" t="s">
        <v>100</v>
      </c>
      <c r="B39" s="104"/>
      <c r="C39" s="104"/>
      <c r="D39" s="104"/>
      <c r="E39" s="104"/>
      <c r="F39" s="104"/>
      <c r="G39" s="104"/>
      <c r="H39" s="104"/>
      <c r="I39" s="104"/>
      <c r="J39" s="104"/>
      <c r="K39" s="104"/>
      <c r="L39" s="104"/>
      <c r="M39" s="104"/>
      <c r="N39" s="104"/>
      <c r="O39" s="104"/>
      <c r="P39" s="104"/>
      <c r="Q39" s="104"/>
      <c r="R39" s="104"/>
      <c r="S39" s="104"/>
      <c r="T39" s="104"/>
      <c r="U39" s="104"/>
      <c r="V39" s="104"/>
      <c r="W39" s="104"/>
      <c r="X39" s="104"/>
      <c r="Y39" s="104"/>
      <c r="Z39" s="104"/>
      <c r="AA39" s="104"/>
      <c r="AB39" s="104"/>
      <c r="AC39" s="104"/>
      <c r="AD39" s="104"/>
      <c r="AE39" s="104"/>
      <c r="AF39" s="104"/>
      <c r="AG39" s="104"/>
      <c r="AH39" s="104"/>
    </row>
    <row r="40" spans="1:34" ht="27.75" customHeight="1" x14ac:dyDescent="0.25">
      <c r="A40" s="104" t="s">
        <v>101</v>
      </c>
      <c r="B40" s="104"/>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row>
    <row r="41" spans="1:34" ht="27.75" customHeight="1" x14ac:dyDescent="0.25">
      <c r="A41" s="104" t="s">
        <v>102</v>
      </c>
      <c r="B41" s="104"/>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c r="AA41" s="104"/>
      <c r="AB41" s="104"/>
      <c r="AC41" s="104"/>
      <c r="AD41" s="104"/>
      <c r="AE41" s="104"/>
      <c r="AF41" s="104"/>
      <c r="AG41" s="104"/>
      <c r="AH41" s="104"/>
    </row>
    <row r="42" spans="1:34" ht="27.75" customHeight="1" x14ac:dyDescent="0.25">
      <c r="A42" s="122" t="s">
        <v>103</v>
      </c>
      <c r="B42" s="104"/>
      <c r="C42" s="104"/>
      <c r="D42" s="104"/>
      <c r="E42" s="104"/>
      <c r="F42" s="104"/>
      <c r="G42" s="104"/>
      <c r="H42" s="104"/>
      <c r="I42" s="104"/>
      <c r="J42" s="104"/>
      <c r="K42" s="104"/>
      <c r="L42" s="104"/>
      <c r="M42" s="104"/>
      <c r="N42" s="104"/>
      <c r="O42" s="104"/>
      <c r="P42" s="104"/>
      <c r="Q42" s="104"/>
      <c r="R42" s="104"/>
      <c r="S42" s="104"/>
      <c r="T42" s="104"/>
      <c r="U42" s="104"/>
      <c r="V42" s="104"/>
      <c r="W42" s="104"/>
      <c r="X42" s="104"/>
      <c r="Y42" s="104"/>
      <c r="Z42" s="104"/>
      <c r="AA42" s="104"/>
      <c r="AB42" s="104"/>
      <c r="AC42" s="104"/>
      <c r="AD42" s="104"/>
      <c r="AE42" s="104"/>
      <c r="AF42" s="104"/>
      <c r="AG42" s="104"/>
      <c r="AH42" s="104"/>
    </row>
    <row r="43" spans="1:34" ht="27.75" customHeight="1"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row>
    <row r="44" spans="1:34" ht="27.75" customHeight="1" x14ac:dyDescent="0.25">
      <c r="A44" s="4"/>
      <c r="B44" s="4"/>
      <c r="C44" s="4"/>
      <c r="D44" s="4"/>
      <c r="E44" s="4"/>
      <c r="F44" s="4"/>
      <c r="G44" s="4" t="s">
        <v>104</v>
      </c>
      <c r="H44" s="4"/>
      <c r="I44" s="4"/>
      <c r="J44" s="4"/>
      <c r="K44" s="4"/>
      <c r="L44" s="4"/>
      <c r="M44" s="4"/>
      <c r="N44" s="4"/>
      <c r="O44" s="4"/>
      <c r="P44" s="4"/>
      <c r="Q44" s="4"/>
      <c r="R44" s="4"/>
      <c r="S44" s="4"/>
      <c r="T44" s="4"/>
      <c r="U44" s="4"/>
      <c r="V44" s="4"/>
      <c r="W44" s="4"/>
      <c r="X44" s="4"/>
      <c r="Y44" s="4"/>
      <c r="Z44" s="4"/>
      <c r="AA44" s="4"/>
      <c r="AB44" s="4"/>
      <c r="AC44" s="4"/>
      <c r="AD44" s="4"/>
      <c r="AE44" s="4"/>
      <c r="AF44" s="4"/>
      <c r="AG44" s="4"/>
      <c r="AH44" s="4"/>
    </row>
    <row r="45" spans="1:34" ht="27.75" customHeight="1" x14ac:dyDescent="0.25">
      <c r="A45" s="4"/>
      <c r="B45" s="4"/>
      <c r="C45" s="4"/>
      <c r="D45" s="4"/>
      <c r="E45" s="4"/>
      <c r="F45" s="4"/>
      <c r="G45" s="4" t="s">
        <v>105</v>
      </c>
      <c r="H45" s="4"/>
      <c r="I45" s="4"/>
      <c r="J45" s="4"/>
      <c r="K45" s="4"/>
      <c r="L45" s="4"/>
      <c r="M45" s="4"/>
      <c r="N45" s="4"/>
      <c r="O45" s="4"/>
      <c r="P45" s="4"/>
      <c r="Q45" s="4"/>
      <c r="R45" s="4"/>
      <c r="S45" s="4"/>
      <c r="T45" s="4"/>
      <c r="U45" s="4"/>
      <c r="V45" s="4"/>
      <c r="W45" s="4"/>
      <c r="X45" s="4"/>
      <c r="Y45" s="4"/>
      <c r="Z45" s="4"/>
      <c r="AA45" s="4"/>
      <c r="AB45" s="4"/>
      <c r="AC45" s="4"/>
      <c r="AD45" s="4"/>
      <c r="AE45" s="4"/>
      <c r="AF45" s="4"/>
      <c r="AG45" s="4"/>
      <c r="AH45" s="4"/>
    </row>
    <row r="46" spans="1:34" ht="27.75" customHeight="1" x14ac:dyDescent="0.25">
      <c r="A46" s="4"/>
      <c r="B46" s="4"/>
      <c r="C46" s="4"/>
      <c r="D46" s="4"/>
      <c r="E46" s="4"/>
      <c r="F46" s="4"/>
      <c r="G46" s="4" t="s">
        <v>106</v>
      </c>
      <c r="H46" s="4"/>
      <c r="I46" s="4"/>
      <c r="J46" s="4"/>
      <c r="K46" s="4"/>
      <c r="L46" s="4"/>
      <c r="M46" s="4"/>
      <c r="N46" s="4"/>
      <c r="O46" s="4"/>
      <c r="P46" s="4"/>
      <c r="Q46" s="4"/>
      <c r="R46" s="4"/>
      <c r="S46" s="4"/>
      <c r="T46" s="4"/>
      <c r="U46" s="4"/>
      <c r="V46" s="4"/>
      <c r="W46" s="4"/>
      <c r="X46" s="4"/>
      <c r="Y46" s="4"/>
      <c r="Z46" s="4"/>
      <c r="AA46" s="4"/>
      <c r="AB46" s="4"/>
      <c r="AC46" s="4"/>
      <c r="AD46" s="4"/>
      <c r="AE46" s="4"/>
      <c r="AF46" s="4"/>
      <c r="AG46" s="4"/>
      <c r="AH46" s="4"/>
    </row>
    <row r="47" spans="1:34" ht="27.75" customHeight="1" x14ac:dyDescent="0.25">
      <c r="A47" s="4"/>
      <c r="B47" s="4"/>
      <c r="C47" s="4"/>
      <c r="D47" s="4"/>
      <c r="E47" s="4"/>
      <c r="F47" s="4"/>
      <c r="G47" s="43"/>
      <c r="H47" s="44" t="s">
        <v>107</v>
      </c>
      <c r="I47" s="44" t="s">
        <v>108</v>
      </c>
      <c r="J47" s="4"/>
      <c r="K47" s="4"/>
      <c r="L47" s="4"/>
      <c r="M47" s="4"/>
      <c r="N47" s="4"/>
      <c r="O47" s="4"/>
      <c r="P47" s="4"/>
      <c r="Q47" s="4"/>
      <c r="R47" s="4"/>
      <c r="S47" s="4"/>
      <c r="T47" s="4"/>
      <c r="U47" s="4"/>
      <c r="V47" s="4"/>
      <c r="W47" s="4"/>
      <c r="X47" s="4"/>
      <c r="Y47" s="4"/>
      <c r="Z47" s="4"/>
      <c r="AA47" s="4"/>
      <c r="AB47" s="4"/>
      <c r="AC47" s="4"/>
      <c r="AD47" s="4"/>
      <c r="AE47" s="4"/>
      <c r="AF47" s="4"/>
      <c r="AG47" s="4"/>
      <c r="AH47" s="4"/>
    </row>
    <row r="48" spans="1:34" ht="27.75" customHeight="1" x14ac:dyDescent="0.25">
      <c r="A48" s="4"/>
      <c r="B48" s="4"/>
      <c r="C48" s="4"/>
      <c r="D48" s="4"/>
      <c r="E48" s="4"/>
      <c r="F48" s="4"/>
      <c r="G48" s="44" t="s">
        <v>109</v>
      </c>
      <c r="H48" s="45">
        <v>74</v>
      </c>
      <c r="I48" s="45">
        <v>86</v>
      </c>
      <c r="J48" s="4"/>
      <c r="K48" s="4"/>
      <c r="L48" s="4"/>
      <c r="M48" s="4"/>
      <c r="N48" s="4"/>
      <c r="O48" s="4"/>
      <c r="P48" s="4"/>
      <c r="Q48" s="4"/>
      <c r="R48" s="4"/>
      <c r="S48" s="4"/>
      <c r="T48" s="4"/>
      <c r="U48" s="4"/>
      <c r="V48" s="4"/>
      <c r="W48" s="4"/>
      <c r="X48" s="4"/>
      <c r="Y48" s="4"/>
      <c r="Z48" s="4"/>
      <c r="AA48" s="4"/>
      <c r="AB48" s="4"/>
      <c r="AC48" s="4"/>
      <c r="AD48" s="4"/>
      <c r="AE48" s="4"/>
      <c r="AF48" s="4"/>
      <c r="AG48" s="4"/>
      <c r="AH48" s="4"/>
    </row>
    <row r="49" spans="1:34" ht="27.75" customHeight="1" x14ac:dyDescent="0.25">
      <c r="A49" s="46"/>
      <c r="B49" s="4"/>
      <c r="C49" s="4"/>
      <c r="D49" s="4"/>
      <c r="E49" s="4"/>
      <c r="F49" s="4"/>
      <c r="G49" s="44" t="s">
        <v>110</v>
      </c>
      <c r="H49" s="47">
        <v>80</v>
      </c>
      <c r="I49" s="47">
        <v>100</v>
      </c>
      <c r="J49" s="4"/>
      <c r="K49" s="4"/>
      <c r="L49" s="4"/>
      <c r="M49" s="4"/>
      <c r="N49" s="4"/>
      <c r="O49" s="4"/>
      <c r="P49" s="4"/>
      <c r="Q49" s="4"/>
      <c r="R49" s="4"/>
      <c r="S49" s="4"/>
      <c r="T49" s="4"/>
      <c r="U49" s="4"/>
      <c r="V49" s="4"/>
      <c r="W49" s="4"/>
      <c r="X49" s="4"/>
      <c r="Y49" s="4"/>
      <c r="Z49" s="4"/>
      <c r="AA49" s="4"/>
      <c r="AB49" s="4"/>
      <c r="AC49" s="4"/>
      <c r="AD49" s="4"/>
      <c r="AE49" s="4"/>
      <c r="AF49" s="4"/>
      <c r="AG49" s="4"/>
      <c r="AH49" s="4"/>
    </row>
    <row r="50" spans="1:34" ht="27.75" customHeight="1" x14ac:dyDescent="0.25">
      <c r="A50" s="4"/>
      <c r="B50" s="4"/>
      <c r="C50" s="4"/>
      <c r="D50" s="4"/>
      <c r="E50" s="4"/>
      <c r="F50" s="4"/>
      <c r="G50" s="4" t="s">
        <v>111</v>
      </c>
      <c r="H50" s="4"/>
      <c r="I50" s="4"/>
      <c r="J50" s="4"/>
      <c r="K50" s="4"/>
      <c r="L50" s="4"/>
      <c r="M50" s="4"/>
      <c r="N50" s="4"/>
      <c r="O50" s="4"/>
      <c r="P50" s="4"/>
      <c r="Q50" s="4"/>
      <c r="R50" s="4"/>
      <c r="S50" s="4"/>
      <c r="T50" s="4"/>
      <c r="U50" s="4"/>
      <c r="V50" s="4"/>
      <c r="W50" s="4"/>
      <c r="X50" s="4"/>
      <c r="Y50" s="4"/>
      <c r="Z50" s="4"/>
      <c r="AA50" s="4"/>
      <c r="AB50" s="4"/>
      <c r="AC50" s="4"/>
      <c r="AD50" s="4"/>
      <c r="AE50" s="4"/>
      <c r="AF50" s="4"/>
      <c r="AG50" s="4"/>
      <c r="AH50" s="4"/>
    </row>
    <row r="51" spans="1:34" ht="27.75" customHeight="1" x14ac:dyDescent="0.25">
      <c r="A51" s="4"/>
      <c r="B51" s="4"/>
      <c r="C51" s="4"/>
      <c r="D51" s="4"/>
      <c r="E51" s="4"/>
      <c r="F51" s="4"/>
      <c r="G51" s="48" t="s">
        <v>112</v>
      </c>
      <c r="H51" s="49" t="s">
        <v>113</v>
      </c>
      <c r="I51" s="50">
        <f t="shared" ref="I51:I52" si="0">(I48-H48)/H48</f>
        <v>0.16216216216216217</v>
      </c>
      <c r="J51" s="4"/>
      <c r="K51" s="4"/>
      <c r="L51" s="4"/>
      <c r="M51" s="4"/>
      <c r="N51" s="4"/>
      <c r="O51" s="4"/>
      <c r="P51" s="4"/>
      <c r="Q51" s="4"/>
      <c r="R51" s="4"/>
      <c r="S51" s="4"/>
      <c r="T51" s="4"/>
      <c r="U51" s="4"/>
      <c r="V51" s="4"/>
      <c r="W51" s="4"/>
      <c r="X51" s="4"/>
      <c r="Y51" s="4"/>
      <c r="Z51" s="4"/>
      <c r="AA51" s="4"/>
      <c r="AB51" s="4"/>
      <c r="AC51" s="4"/>
      <c r="AD51" s="4"/>
      <c r="AE51" s="4"/>
      <c r="AF51" s="4"/>
      <c r="AG51" s="4"/>
      <c r="AH51" s="4"/>
    </row>
    <row r="52" spans="1:34" ht="27.75" customHeight="1" x14ac:dyDescent="0.25">
      <c r="A52" s="4"/>
      <c r="B52" s="4"/>
      <c r="C52" s="4"/>
      <c r="D52" s="4"/>
      <c r="E52" s="4"/>
      <c r="F52" s="4"/>
      <c r="G52" s="48" t="s">
        <v>114</v>
      </c>
      <c r="H52" s="49" t="s">
        <v>115</v>
      </c>
      <c r="I52" s="50">
        <f t="shared" si="0"/>
        <v>0.25</v>
      </c>
      <c r="J52" s="4"/>
      <c r="K52" s="4"/>
      <c r="L52" s="4"/>
      <c r="M52" s="4"/>
      <c r="N52" s="4"/>
      <c r="O52" s="4"/>
      <c r="P52" s="4"/>
      <c r="Q52" s="4"/>
      <c r="R52" s="4"/>
      <c r="S52" s="4"/>
      <c r="T52" s="4"/>
      <c r="U52" s="4"/>
      <c r="V52" s="4"/>
      <c r="W52" s="4"/>
      <c r="X52" s="4"/>
      <c r="Y52" s="4"/>
      <c r="Z52" s="4"/>
      <c r="AA52" s="4"/>
      <c r="AB52" s="4"/>
      <c r="AC52" s="4"/>
      <c r="AD52" s="4"/>
      <c r="AE52" s="4"/>
      <c r="AF52" s="4"/>
      <c r="AG52" s="4"/>
      <c r="AH52" s="4"/>
    </row>
    <row r="53" spans="1:34" ht="27.75" customHeight="1" x14ac:dyDescent="0.25">
      <c r="A53" s="4"/>
      <c r="B53" s="4"/>
      <c r="C53" s="4"/>
      <c r="D53" s="4"/>
      <c r="E53" s="4"/>
      <c r="F53" s="4"/>
      <c r="G53" s="4" t="s">
        <v>116</v>
      </c>
      <c r="H53" s="4"/>
      <c r="I53" s="4"/>
      <c r="J53" s="4"/>
      <c r="K53" s="4"/>
      <c r="L53" s="4"/>
      <c r="M53" s="4"/>
      <c r="N53" s="4"/>
      <c r="O53" s="4"/>
      <c r="P53" s="4"/>
      <c r="Q53" s="4"/>
      <c r="R53" s="4"/>
      <c r="S53" s="4"/>
      <c r="T53" s="4"/>
      <c r="U53" s="4"/>
      <c r="V53" s="4"/>
      <c r="W53" s="4"/>
      <c r="X53" s="4"/>
      <c r="Y53" s="4"/>
      <c r="Z53" s="4"/>
      <c r="AA53" s="4"/>
      <c r="AB53" s="4"/>
      <c r="AC53" s="4"/>
      <c r="AD53" s="4"/>
      <c r="AE53" s="4"/>
      <c r="AF53" s="4"/>
      <c r="AG53" s="4"/>
      <c r="AH53" s="4"/>
    </row>
    <row r="54" spans="1:34" ht="27.75" customHeight="1" x14ac:dyDescent="0.25">
      <c r="A54" s="4"/>
      <c r="B54" s="4"/>
      <c r="C54" s="4"/>
      <c r="D54" s="4"/>
      <c r="E54" s="4"/>
      <c r="F54" s="4"/>
      <c r="G54" s="4" t="s">
        <v>117</v>
      </c>
      <c r="H54" s="4"/>
      <c r="I54" s="4"/>
      <c r="J54" s="4"/>
      <c r="K54" s="4"/>
      <c r="L54" s="4"/>
      <c r="M54" s="4"/>
      <c r="N54" s="4"/>
      <c r="O54" s="4"/>
      <c r="P54" s="4"/>
      <c r="Q54" s="4"/>
      <c r="R54" s="4"/>
      <c r="S54" s="4"/>
      <c r="T54" s="4"/>
      <c r="U54" s="4"/>
      <c r="V54" s="4"/>
      <c r="W54" s="4"/>
      <c r="X54" s="4"/>
      <c r="Y54" s="4"/>
      <c r="Z54" s="4"/>
      <c r="AA54" s="4"/>
      <c r="AB54" s="4"/>
      <c r="AC54" s="4"/>
      <c r="AD54" s="4"/>
      <c r="AE54" s="4"/>
      <c r="AF54" s="4"/>
      <c r="AG54" s="4"/>
      <c r="AH54" s="4"/>
    </row>
    <row r="55" spans="1:34" ht="27.75" customHeight="1" x14ac:dyDescent="0.25">
      <c r="A55" s="4"/>
      <c r="B55" s="4"/>
      <c r="C55" s="4"/>
      <c r="D55" s="4"/>
      <c r="E55" s="4"/>
      <c r="F55" s="4"/>
      <c r="G55" s="46"/>
      <c r="H55" s="4"/>
      <c r="I55" s="4"/>
      <c r="J55" s="4"/>
      <c r="K55" s="4"/>
      <c r="L55" s="4"/>
      <c r="M55" s="4"/>
      <c r="N55" s="4"/>
      <c r="O55" s="4"/>
      <c r="P55" s="4"/>
      <c r="Q55" s="4"/>
      <c r="R55" s="4"/>
      <c r="S55" s="4"/>
      <c r="T55" s="4"/>
      <c r="U55" s="4"/>
      <c r="V55" s="4"/>
      <c r="W55" s="4"/>
      <c r="X55" s="4"/>
      <c r="Y55" s="4"/>
      <c r="Z55" s="4"/>
      <c r="AA55" s="4"/>
      <c r="AB55" s="4"/>
      <c r="AC55" s="4"/>
      <c r="AD55" s="4"/>
      <c r="AE55" s="4"/>
      <c r="AF55" s="4"/>
      <c r="AG55" s="4"/>
      <c r="AH55" s="4"/>
    </row>
    <row r="56" spans="1:34" ht="27.75" customHeight="1" x14ac:dyDescent="0.25">
      <c r="A56" s="4"/>
      <c r="B56" s="4"/>
      <c r="C56" s="4"/>
      <c r="D56" s="4"/>
      <c r="E56" s="4"/>
      <c r="F56" s="4"/>
      <c r="G56" s="48" t="s">
        <v>118</v>
      </c>
      <c r="H56" s="51"/>
      <c r="I56" s="52">
        <f>I52/I51</f>
        <v>1.5416666666666665</v>
      </c>
      <c r="J56" s="4"/>
      <c r="K56" s="4"/>
      <c r="L56" s="4"/>
      <c r="M56" s="4"/>
      <c r="N56" s="4"/>
      <c r="O56" s="4"/>
      <c r="P56" s="4"/>
      <c r="Q56" s="4"/>
      <c r="R56" s="4"/>
      <c r="S56" s="4"/>
      <c r="T56" s="4"/>
      <c r="U56" s="4"/>
      <c r="V56" s="4"/>
      <c r="W56" s="4"/>
      <c r="X56" s="4"/>
      <c r="Y56" s="4"/>
      <c r="Z56" s="4"/>
      <c r="AA56" s="4"/>
      <c r="AB56" s="4"/>
      <c r="AC56" s="4"/>
      <c r="AD56" s="4"/>
      <c r="AE56" s="4"/>
      <c r="AF56" s="4"/>
      <c r="AG56" s="4"/>
      <c r="AH56" s="4"/>
    </row>
    <row r="57" spans="1:34" ht="27.75" customHeight="1" x14ac:dyDescent="0.25">
      <c r="A57" s="4"/>
      <c r="B57" s="4"/>
      <c r="C57" s="4"/>
      <c r="D57" s="4"/>
      <c r="E57" s="4"/>
      <c r="F57" s="4"/>
      <c r="G57" s="4" t="s">
        <v>119</v>
      </c>
      <c r="H57" s="4"/>
      <c r="I57" s="4"/>
      <c r="J57" s="4"/>
      <c r="K57" s="4"/>
      <c r="L57" s="4"/>
      <c r="M57" s="4"/>
      <c r="N57" s="4"/>
      <c r="O57" s="4"/>
      <c r="P57" s="4"/>
      <c r="Q57" s="4"/>
      <c r="R57" s="4"/>
      <c r="S57" s="4"/>
      <c r="T57" s="4"/>
      <c r="U57" s="4"/>
      <c r="V57" s="4"/>
      <c r="W57" s="4"/>
      <c r="X57" s="4"/>
      <c r="Y57" s="4"/>
      <c r="Z57" s="4"/>
      <c r="AA57" s="4"/>
      <c r="AB57" s="4"/>
      <c r="AC57" s="4"/>
      <c r="AD57" s="4"/>
      <c r="AE57" s="4"/>
      <c r="AF57" s="4"/>
      <c r="AG57" s="4"/>
      <c r="AH57" s="4"/>
    </row>
    <row r="58" spans="1:34" ht="27.75" customHeight="1" x14ac:dyDescent="0.25">
      <c r="A58" s="4"/>
      <c r="B58" s="4"/>
      <c r="C58" s="4"/>
      <c r="D58" s="4"/>
      <c r="E58" s="4"/>
      <c r="F58" s="4"/>
      <c r="G58" s="4" t="s">
        <v>120</v>
      </c>
      <c r="H58" s="4"/>
      <c r="I58" s="4"/>
      <c r="J58" s="4"/>
      <c r="K58" s="4"/>
      <c r="L58" s="4"/>
      <c r="M58" s="4"/>
      <c r="N58" s="4"/>
      <c r="O58" s="4"/>
      <c r="P58" s="4"/>
      <c r="Q58" s="4"/>
      <c r="R58" s="4"/>
      <c r="S58" s="4"/>
      <c r="T58" s="4"/>
      <c r="U58" s="4"/>
      <c r="V58" s="4"/>
      <c r="W58" s="4"/>
      <c r="X58" s="4"/>
      <c r="Y58" s="4"/>
      <c r="Z58" s="4"/>
      <c r="AA58" s="4"/>
      <c r="AB58" s="4"/>
      <c r="AC58" s="4"/>
      <c r="AD58" s="4"/>
      <c r="AE58" s="4"/>
      <c r="AF58" s="4"/>
      <c r="AG58" s="4"/>
      <c r="AH58" s="4"/>
    </row>
    <row r="59" spans="1:34" ht="27.75" customHeight="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row>
    <row r="60" spans="1:34" ht="27.75" customHeight="1" x14ac:dyDescent="0.25">
      <c r="A60" s="123" t="s">
        <v>121</v>
      </c>
      <c r="B60" s="123"/>
      <c r="C60" s="123"/>
      <c r="D60" s="123"/>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row>
    <row r="61" spans="1:34" ht="27.75" customHeight="1" x14ac:dyDescent="0.25">
      <c r="A61" s="123" t="s">
        <v>122</v>
      </c>
      <c r="B61" s="104"/>
      <c r="C61" s="104"/>
      <c r="D61" s="104"/>
      <c r="E61" s="104"/>
      <c r="F61" s="104"/>
      <c r="G61" s="104"/>
      <c r="H61" s="104"/>
      <c r="I61" s="104"/>
      <c r="J61" s="104"/>
      <c r="K61" s="104"/>
      <c r="L61" s="104"/>
      <c r="M61" s="104"/>
      <c r="N61" s="104"/>
      <c r="O61" s="104"/>
      <c r="P61" s="104"/>
      <c r="Q61" s="104"/>
      <c r="R61" s="104"/>
      <c r="S61" s="104"/>
      <c r="T61" s="104"/>
      <c r="U61" s="104"/>
      <c r="V61" s="104"/>
      <c r="W61" s="104"/>
      <c r="X61" s="104"/>
      <c r="Y61" s="104"/>
      <c r="Z61" s="104"/>
      <c r="AA61" s="104"/>
      <c r="AB61" s="104"/>
      <c r="AC61" s="104"/>
      <c r="AD61" s="104"/>
      <c r="AE61" s="104"/>
      <c r="AF61" s="104"/>
      <c r="AG61" s="104"/>
      <c r="AH61" s="104"/>
    </row>
    <row r="62" spans="1:34" ht="27.75" customHeight="1" x14ac:dyDescent="0.25">
      <c r="A62" s="123" t="s">
        <v>123</v>
      </c>
      <c r="B62" s="104"/>
      <c r="C62" s="104"/>
      <c r="D62" s="104"/>
      <c r="E62" s="104"/>
      <c r="F62" s="104"/>
      <c r="G62" s="104"/>
      <c r="H62" s="104"/>
      <c r="I62" s="104"/>
      <c r="J62" s="104"/>
      <c r="K62" s="104"/>
      <c r="L62" s="104"/>
      <c r="M62" s="104"/>
      <c r="N62" s="104"/>
      <c r="O62" s="104"/>
      <c r="P62" s="104"/>
      <c r="Q62" s="104"/>
      <c r="R62" s="104"/>
      <c r="S62" s="104"/>
      <c r="T62" s="104"/>
      <c r="U62" s="104"/>
      <c r="V62" s="104"/>
      <c r="W62" s="104"/>
      <c r="X62" s="104"/>
      <c r="Y62" s="104"/>
      <c r="Z62" s="104"/>
      <c r="AA62" s="104"/>
      <c r="AB62" s="104"/>
      <c r="AC62" s="104"/>
      <c r="AD62" s="104"/>
      <c r="AE62" s="104"/>
      <c r="AF62" s="104"/>
      <c r="AG62" s="104"/>
      <c r="AH62" s="104"/>
    </row>
    <row r="63" spans="1:34" ht="27.75" customHeight="1" x14ac:dyDescent="0.25">
      <c r="A63" s="46" t="s">
        <v>124</v>
      </c>
      <c r="B63" s="4"/>
      <c r="C63" s="116">
        <v>41640</v>
      </c>
      <c r="D63" s="116">
        <v>41671</v>
      </c>
      <c r="E63" s="116">
        <v>41699</v>
      </c>
      <c r="F63" s="116">
        <v>41730</v>
      </c>
      <c r="G63" s="116">
        <v>41760</v>
      </c>
      <c r="H63" s="116">
        <v>41791</v>
      </c>
      <c r="I63" s="116">
        <v>41821</v>
      </c>
      <c r="J63" s="116">
        <v>41852</v>
      </c>
      <c r="K63" s="116">
        <v>41883</v>
      </c>
      <c r="L63" s="116">
        <v>41913</v>
      </c>
      <c r="M63" s="116">
        <v>41944</v>
      </c>
      <c r="N63" s="116">
        <v>41974</v>
      </c>
      <c r="O63" s="4"/>
      <c r="P63" s="4"/>
      <c r="Q63" s="4"/>
      <c r="R63" s="4"/>
      <c r="S63" s="4"/>
      <c r="T63" s="4"/>
      <c r="U63" s="4"/>
      <c r="V63" s="4"/>
      <c r="W63" s="4"/>
      <c r="X63" s="4"/>
      <c r="Y63" s="4"/>
      <c r="Z63" s="4"/>
      <c r="AA63" s="4"/>
      <c r="AB63" s="4"/>
      <c r="AC63" s="4"/>
      <c r="AD63" s="4"/>
      <c r="AE63" s="4"/>
      <c r="AF63" s="4"/>
      <c r="AG63" s="4"/>
      <c r="AH63" s="4"/>
    </row>
    <row r="64" spans="1:34" ht="27.75" customHeight="1" x14ac:dyDescent="0.25">
      <c r="A64" s="4"/>
      <c r="B64" s="46" t="s">
        <v>125</v>
      </c>
      <c r="C64" s="41">
        <f>C21</f>
        <v>2205.0044354480824</v>
      </c>
      <c r="D64" s="55">
        <f>(D21-C21)/C21</f>
        <v>3.3519414045410284E-2</v>
      </c>
      <c r="E64" s="55">
        <f>(E21-D21)/D$21</f>
        <v>-9.962200353107202E-2</v>
      </c>
      <c r="F64" s="55">
        <f t="shared" ref="F64:N64" si="1">(F21-E21)/E$21</f>
        <v>-1.4522956855124426E-2</v>
      </c>
      <c r="G64" s="55">
        <f t="shared" si="1"/>
        <v>1.2807340311979878E-2</v>
      </c>
      <c r="H64" s="55">
        <f t="shared" si="1"/>
        <v>2.5489196352020148E-2</v>
      </c>
      <c r="I64" s="55">
        <f t="shared" si="1"/>
        <v>1.0785209877826024E-2</v>
      </c>
      <c r="J64" s="55">
        <f t="shared" si="1"/>
        <v>-1.0158769585860532E-2</v>
      </c>
      <c r="K64" s="55">
        <f t="shared" si="1"/>
        <v>-2.6615317893932618E-2</v>
      </c>
      <c r="L64" s="55">
        <f t="shared" si="1"/>
        <v>-1.7677604039480967E-2</v>
      </c>
      <c r="M64" s="55">
        <f t="shared" si="1"/>
        <v>4.4413002294260408E-2</v>
      </c>
      <c r="N64" s="55">
        <f t="shared" si="1"/>
        <v>3.9256841166148131E-2</v>
      </c>
      <c r="O64" s="4"/>
      <c r="P64" s="4"/>
      <c r="Q64" s="4"/>
      <c r="R64" s="4"/>
      <c r="S64" s="4"/>
      <c r="T64" s="4"/>
      <c r="U64" s="4"/>
      <c r="V64" s="4"/>
      <c r="W64" s="4"/>
      <c r="X64" s="4"/>
      <c r="Y64" s="4"/>
      <c r="Z64" s="4"/>
      <c r="AA64" s="4"/>
      <c r="AB64" s="4"/>
      <c r="AC64" s="4"/>
      <c r="AD64" s="4"/>
      <c r="AE64" s="4"/>
      <c r="AF64" s="4"/>
      <c r="AG64" s="4"/>
      <c r="AH64" s="4"/>
    </row>
    <row r="65" spans="1:34" ht="27.75" customHeight="1" x14ac:dyDescent="0.25">
      <c r="A65" s="4"/>
      <c r="B65" s="46" t="s">
        <v>126</v>
      </c>
      <c r="C65" s="39">
        <f>C$22</f>
        <v>62.299699046920772</v>
      </c>
      <c r="D65" s="55">
        <f>(D22-C22)/C$22</f>
        <v>1.1750902271077711E-2</v>
      </c>
      <c r="E65" s="55">
        <f t="shared" ref="E65:N65" si="2">(E22-D22)/D$22</f>
        <v>-0.1680133875884314</v>
      </c>
      <c r="F65" s="55">
        <f t="shared" si="2"/>
        <v>-9.1209259344332758E-3</v>
      </c>
      <c r="G65" s="55">
        <f t="shared" si="2"/>
        <v>-5.4913398855170395E-2</v>
      </c>
      <c r="H65" s="55">
        <f t="shared" si="2"/>
        <v>4.7892925279701903E-2</v>
      </c>
      <c r="I65" s="55">
        <f t="shared" si="2"/>
        <v>0.1736056899294115</v>
      </c>
      <c r="J65" s="55">
        <f t="shared" si="2"/>
        <v>-6.0869609474432186E-2</v>
      </c>
      <c r="K65" s="55">
        <f t="shared" si="2"/>
        <v>-2.7789003782626873E-2</v>
      </c>
      <c r="L65" s="55">
        <f t="shared" si="2"/>
        <v>4.0245997320444857E-2</v>
      </c>
      <c r="M65" s="55">
        <f t="shared" si="2"/>
        <v>-5.2135995303373282E-2</v>
      </c>
      <c r="N65" s="55">
        <f t="shared" si="2"/>
        <v>2.1119671643343097E-2</v>
      </c>
      <c r="O65" s="4"/>
      <c r="P65" s="4"/>
      <c r="Q65" s="4"/>
      <c r="R65" s="4"/>
      <c r="S65" s="4"/>
      <c r="T65" s="4"/>
      <c r="U65" s="4"/>
      <c r="V65" s="4"/>
      <c r="W65" s="4"/>
      <c r="X65" s="4"/>
      <c r="Y65" s="4"/>
      <c r="Z65" s="4"/>
      <c r="AA65" s="4"/>
      <c r="AB65" s="4"/>
      <c r="AC65" s="4"/>
      <c r="AD65" s="4"/>
      <c r="AE65" s="4"/>
      <c r="AF65" s="4"/>
      <c r="AG65" s="4"/>
      <c r="AH65" s="4"/>
    </row>
    <row r="66" spans="1:34" ht="27.75" customHeight="1" x14ac:dyDescent="0.25">
      <c r="A66" s="4"/>
      <c r="B66" s="46" t="s">
        <v>127</v>
      </c>
      <c r="C66" s="41"/>
      <c r="D66" s="41">
        <f>(D$64/D$65)</f>
        <v>2.8524970484956742</v>
      </c>
      <c r="E66" s="41">
        <f t="shared" ref="E66:N66" si="3">(E$64/E$65)</f>
        <v>0.59294086596901352</v>
      </c>
      <c r="F66" s="41">
        <f t="shared" si="3"/>
        <v>1.5922678201231115</v>
      </c>
      <c r="G66" s="41">
        <f t="shared" si="3"/>
        <v>-0.23322796583322392</v>
      </c>
      <c r="H66" s="41">
        <f t="shared" si="3"/>
        <v>0.53221214204727318</v>
      </c>
      <c r="I66" s="41">
        <f t="shared" si="3"/>
        <v>6.2124748804093445E-2</v>
      </c>
      <c r="J66" s="41">
        <f t="shared" si="3"/>
        <v>0.16689395042246238</v>
      </c>
      <c r="K66" s="41">
        <f t="shared" si="3"/>
        <v>0.95776437695013672</v>
      </c>
      <c r="L66" s="41">
        <f t="shared" si="3"/>
        <v>-0.43923881171906731</v>
      </c>
      <c r="M66" s="41">
        <f t="shared" si="3"/>
        <v>-0.85186831163050258</v>
      </c>
      <c r="N66" s="41">
        <f t="shared" si="3"/>
        <v>1.8587808479741139</v>
      </c>
      <c r="O66" s="4"/>
      <c r="P66" s="4"/>
      <c r="Q66" s="4"/>
      <c r="R66" s="4"/>
      <c r="S66" s="4"/>
      <c r="T66" s="4"/>
      <c r="U66" s="4"/>
      <c r="V66" s="4"/>
      <c r="W66" s="4"/>
      <c r="X66" s="4"/>
      <c r="Y66" s="4"/>
      <c r="Z66" s="4"/>
      <c r="AA66" s="4"/>
      <c r="AB66" s="4"/>
      <c r="AC66" s="4"/>
      <c r="AD66" s="4"/>
      <c r="AE66" s="4"/>
      <c r="AF66" s="4"/>
      <c r="AG66" s="4"/>
      <c r="AH66" s="4"/>
    </row>
    <row r="67" spans="1:34" ht="27.75" customHeight="1" x14ac:dyDescent="0.25">
      <c r="A67" s="4"/>
      <c r="B67" s="46" t="s">
        <v>128</v>
      </c>
      <c r="C67" s="41"/>
      <c r="D67" s="41" t="str">
        <f t="shared" ref="D67:N67" si="4">IF(D66&gt;1,"Elastic","Inelastic")</f>
        <v>Elastic</v>
      </c>
      <c r="E67" s="41" t="str">
        <f t="shared" si="4"/>
        <v>Inelastic</v>
      </c>
      <c r="F67" s="41" t="str">
        <f t="shared" si="4"/>
        <v>Elastic</v>
      </c>
      <c r="G67" s="41" t="str">
        <f t="shared" si="4"/>
        <v>Inelastic</v>
      </c>
      <c r="H67" s="41" t="str">
        <f t="shared" si="4"/>
        <v>Inelastic</v>
      </c>
      <c r="I67" s="41" t="str">
        <f t="shared" si="4"/>
        <v>Inelastic</v>
      </c>
      <c r="J67" s="41" t="str">
        <f t="shared" si="4"/>
        <v>Inelastic</v>
      </c>
      <c r="K67" s="41" t="str">
        <f t="shared" si="4"/>
        <v>Inelastic</v>
      </c>
      <c r="L67" s="41" t="str">
        <f t="shared" si="4"/>
        <v>Inelastic</v>
      </c>
      <c r="M67" s="41" t="str">
        <f t="shared" si="4"/>
        <v>Inelastic</v>
      </c>
      <c r="N67" s="41" t="str">
        <f t="shared" si="4"/>
        <v>Elastic</v>
      </c>
      <c r="O67" s="4"/>
      <c r="P67" s="4"/>
      <c r="Q67" s="4"/>
      <c r="R67" s="4"/>
      <c r="S67" s="4"/>
      <c r="T67" s="4"/>
      <c r="U67" s="4"/>
      <c r="V67" s="4"/>
      <c r="W67" s="4"/>
      <c r="X67" s="4"/>
      <c r="Y67" s="4"/>
      <c r="Z67" s="4"/>
      <c r="AA67" s="4"/>
      <c r="AB67" s="4"/>
      <c r="AC67" s="4"/>
      <c r="AD67" s="4"/>
      <c r="AE67" s="4"/>
      <c r="AF67" s="4"/>
      <c r="AG67" s="4"/>
      <c r="AH67" s="4"/>
    </row>
    <row r="68" spans="1:34" ht="27.75" customHeight="1" x14ac:dyDescent="0.25">
      <c r="A68" s="4"/>
      <c r="B68" s="46" t="s">
        <v>129</v>
      </c>
      <c r="C68" s="124">
        <f>AVERAGE(D66:N66)</f>
        <v>0.64464970105482589</v>
      </c>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row>
    <row r="69" spans="1:34" ht="27.75" customHeight="1" x14ac:dyDescent="0.25">
      <c r="A69" s="4"/>
      <c r="B69" s="46"/>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row>
    <row r="70" spans="1:34" ht="27.75" customHeight="1" x14ac:dyDescent="0.25">
      <c r="A70" s="46" t="s">
        <v>130</v>
      </c>
      <c r="B70" s="4"/>
      <c r="C70" s="116">
        <v>41640</v>
      </c>
      <c r="D70" s="116">
        <v>41671</v>
      </c>
      <c r="E70" s="116">
        <v>41699</v>
      </c>
      <c r="F70" s="116">
        <v>41730</v>
      </c>
      <c r="G70" s="116">
        <v>41760</v>
      </c>
      <c r="H70" s="116">
        <v>41791</v>
      </c>
      <c r="I70" s="116">
        <v>41821</v>
      </c>
      <c r="J70" s="116">
        <v>41852</v>
      </c>
      <c r="K70" s="116">
        <v>41883</v>
      </c>
      <c r="L70" s="116">
        <v>41913</v>
      </c>
      <c r="M70" s="116">
        <v>41944</v>
      </c>
      <c r="N70" s="116">
        <v>41974</v>
      </c>
      <c r="O70" s="4"/>
      <c r="P70" s="4"/>
      <c r="Q70" s="4"/>
      <c r="R70" s="4"/>
      <c r="S70" s="4"/>
      <c r="T70" s="4"/>
      <c r="U70" s="4"/>
      <c r="V70" s="4"/>
      <c r="W70" s="4"/>
      <c r="X70" s="4"/>
      <c r="Y70" s="4"/>
      <c r="Z70" s="4"/>
      <c r="AA70" s="4"/>
      <c r="AB70" s="4"/>
      <c r="AC70" s="4"/>
      <c r="AD70" s="4"/>
      <c r="AE70" s="4"/>
      <c r="AF70" s="4"/>
      <c r="AG70" s="4"/>
      <c r="AH70" s="4"/>
    </row>
    <row r="71" spans="1:34" ht="27.75" customHeight="1" x14ac:dyDescent="0.25">
      <c r="A71" s="4"/>
      <c r="B71" s="46" t="s">
        <v>125</v>
      </c>
      <c r="C71" s="41">
        <f>C$18</f>
        <v>2391.3758824827114</v>
      </c>
      <c r="D71" s="55">
        <f>(D18-C18)/C$18</f>
        <v>5.9335305205282511E-2</v>
      </c>
      <c r="E71" s="55">
        <f t="shared" ref="E71:N71" si="5">(E18-D18)/D$18</f>
        <v>-0.13007882361414372</v>
      </c>
      <c r="F71" s="55">
        <f t="shared" si="5"/>
        <v>6.6146448665925686E-2</v>
      </c>
      <c r="G71" s="55">
        <f t="shared" si="5"/>
        <v>-4.5085750118078805E-2</v>
      </c>
      <c r="H71" s="55">
        <f t="shared" si="5"/>
        <v>5.1582833191539473E-2</v>
      </c>
      <c r="I71" s="55">
        <f t="shared" si="5"/>
        <v>3.5582465489544662E-2</v>
      </c>
      <c r="J71" s="55">
        <f t="shared" si="5"/>
        <v>-5.8289459563091943E-2</v>
      </c>
      <c r="K71" s="55">
        <f t="shared" si="5"/>
        <v>-1.7170254211385051E-2</v>
      </c>
      <c r="L71" s="55">
        <f t="shared" si="5"/>
        <v>-3.2081309883642779E-2</v>
      </c>
      <c r="M71" s="55">
        <f t="shared" si="5"/>
        <v>5.2376686668969719E-2</v>
      </c>
      <c r="N71" s="55">
        <f t="shared" si="5"/>
        <v>6.0849506898630827E-2</v>
      </c>
      <c r="O71" s="4"/>
      <c r="P71" s="4"/>
      <c r="Q71" s="4"/>
      <c r="R71" s="4"/>
      <c r="S71" s="4"/>
      <c r="T71" s="4"/>
      <c r="U71" s="4"/>
      <c r="V71" s="4"/>
      <c r="W71" s="4"/>
      <c r="X71" s="4"/>
      <c r="Y71" s="4"/>
      <c r="Z71" s="4"/>
      <c r="AA71" s="4"/>
      <c r="AB71" s="4"/>
      <c r="AC71" s="4"/>
      <c r="AD71" s="4"/>
      <c r="AE71" s="4"/>
      <c r="AF71" s="4"/>
      <c r="AG71" s="4"/>
      <c r="AH71" s="4"/>
    </row>
    <row r="72" spans="1:34" ht="27.75" customHeight="1" x14ac:dyDescent="0.25">
      <c r="A72" s="4"/>
      <c r="B72" s="46" t="s">
        <v>126</v>
      </c>
      <c r="C72" s="41">
        <f>C$19</f>
        <v>110.48381542382315</v>
      </c>
      <c r="D72" s="41">
        <f>(D19-C19)/C$19</f>
        <v>1.2978263415720753E-3</v>
      </c>
      <c r="E72" s="41">
        <f t="shared" ref="E72:N72" si="6">(E19-D19)/D$19</f>
        <v>-6.23862484543412E-4</v>
      </c>
      <c r="F72" s="41">
        <f t="shared" si="6"/>
        <v>-0.15722944202165282</v>
      </c>
      <c r="G72" s="41">
        <f t="shared" si="6"/>
        <v>2.5084423550344715E-3</v>
      </c>
      <c r="H72" s="41">
        <f t="shared" si="6"/>
        <v>-5.9705115797055661E-3</v>
      </c>
      <c r="I72" s="41">
        <f t="shared" si="6"/>
        <v>-4.4850029237456239E-4</v>
      </c>
      <c r="J72" s="41">
        <f t="shared" si="6"/>
        <v>3.6193741814115679E-3</v>
      </c>
      <c r="K72" s="41">
        <f t="shared" si="6"/>
        <v>-1.6775840502500131E-3</v>
      </c>
      <c r="L72" s="41">
        <f t="shared" si="6"/>
        <v>-1.7813209198744547E-3</v>
      </c>
      <c r="M72" s="41">
        <f t="shared" si="6"/>
        <v>2.222249608866671E-3</v>
      </c>
      <c r="N72" s="41">
        <f t="shared" si="6"/>
        <v>2.1829673738018103E-3</v>
      </c>
      <c r="O72" s="4"/>
      <c r="P72" s="4"/>
      <c r="Q72" s="4"/>
      <c r="R72" s="4"/>
      <c r="S72" s="4"/>
      <c r="T72" s="4"/>
      <c r="U72" s="4"/>
      <c r="V72" s="4"/>
      <c r="W72" s="4"/>
      <c r="X72" s="4"/>
      <c r="Y72" s="4"/>
      <c r="Z72" s="4"/>
      <c r="AA72" s="4"/>
      <c r="AB72" s="4"/>
      <c r="AC72" s="4"/>
      <c r="AD72" s="4"/>
      <c r="AE72" s="4"/>
      <c r="AF72" s="4"/>
      <c r="AG72" s="4"/>
      <c r="AH72" s="4"/>
    </row>
    <row r="73" spans="1:34" ht="27.75" customHeight="1" x14ac:dyDescent="0.25">
      <c r="A73" s="4"/>
      <c r="B73" s="46" t="s">
        <v>127</v>
      </c>
      <c r="C73" s="41"/>
      <c r="D73" s="41">
        <f>(D$71/D$72)</f>
        <v>45.718986666127321</v>
      </c>
      <c r="E73" s="41">
        <f t="shared" ref="E73:N73" si="7">(E$71/E$72)</f>
        <v>208.50560313679523</v>
      </c>
      <c r="F73" s="41">
        <f t="shared" si="7"/>
        <v>-0.42070014251412496</v>
      </c>
      <c r="G73" s="41">
        <f t="shared" si="7"/>
        <v>-17.973604227974864</v>
      </c>
      <c r="H73" s="41">
        <f t="shared" si="7"/>
        <v>-8.6396002256951103</v>
      </c>
      <c r="I73" s="41">
        <f t="shared" si="7"/>
        <v>-79.336549149511313</v>
      </c>
      <c r="J73" s="41">
        <f t="shared" si="7"/>
        <v>-16.104844827168122</v>
      </c>
      <c r="K73" s="41">
        <f t="shared" si="7"/>
        <v>10.235108165713747</v>
      </c>
      <c r="L73" s="41">
        <f t="shared" si="7"/>
        <v>18.009842878791222</v>
      </c>
      <c r="M73" s="41">
        <f t="shared" si="7"/>
        <v>23.569218534222806</v>
      </c>
      <c r="N73" s="41">
        <f t="shared" si="7"/>
        <v>27.874675374857571</v>
      </c>
      <c r="O73" s="4"/>
      <c r="P73" s="4"/>
      <c r="Q73" s="4"/>
      <c r="R73" s="4"/>
      <c r="S73" s="4"/>
      <c r="T73" s="4"/>
      <c r="U73" s="4"/>
      <c r="V73" s="4"/>
      <c r="W73" s="4"/>
      <c r="X73" s="4"/>
      <c r="Y73" s="4"/>
      <c r="Z73" s="4"/>
      <c r="AA73" s="4"/>
      <c r="AB73" s="4"/>
      <c r="AC73" s="4"/>
      <c r="AD73" s="4"/>
      <c r="AE73" s="4"/>
      <c r="AF73" s="4"/>
      <c r="AG73" s="4"/>
      <c r="AH73" s="4"/>
    </row>
    <row r="74" spans="1:34" ht="27.75" customHeight="1" x14ac:dyDescent="0.25">
      <c r="A74" s="4"/>
      <c r="B74" s="46" t="s">
        <v>128</v>
      </c>
      <c r="C74" s="41"/>
      <c r="D74" s="41" t="str">
        <f t="shared" ref="D74:N74" si="8">IF(D73&gt;1,"Elastic","Inelastic")</f>
        <v>Elastic</v>
      </c>
      <c r="E74" s="41" t="str">
        <f t="shared" si="8"/>
        <v>Elastic</v>
      </c>
      <c r="F74" s="41" t="str">
        <f t="shared" si="8"/>
        <v>Inelastic</v>
      </c>
      <c r="G74" s="41" t="str">
        <f t="shared" si="8"/>
        <v>Inelastic</v>
      </c>
      <c r="H74" s="41" t="str">
        <f t="shared" si="8"/>
        <v>Inelastic</v>
      </c>
      <c r="I74" s="41" t="str">
        <f t="shared" si="8"/>
        <v>Inelastic</v>
      </c>
      <c r="J74" s="41" t="str">
        <f t="shared" si="8"/>
        <v>Inelastic</v>
      </c>
      <c r="K74" s="41" t="str">
        <f t="shared" si="8"/>
        <v>Elastic</v>
      </c>
      <c r="L74" s="41" t="str">
        <f t="shared" si="8"/>
        <v>Elastic</v>
      </c>
      <c r="M74" s="41" t="str">
        <f t="shared" si="8"/>
        <v>Elastic</v>
      </c>
      <c r="N74" s="41" t="str">
        <f t="shared" si="8"/>
        <v>Elastic</v>
      </c>
      <c r="O74" s="4"/>
      <c r="P74" s="4"/>
      <c r="Q74" s="4"/>
      <c r="R74" s="4"/>
      <c r="S74" s="4"/>
      <c r="T74" s="4"/>
      <c r="U74" s="4"/>
      <c r="V74" s="4"/>
      <c r="W74" s="4"/>
      <c r="X74" s="4"/>
      <c r="Y74" s="4"/>
      <c r="Z74" s="4"/>
      <c r="AA74" s="4"/>
      <c r="AB74" s="4"/>
      <c r="AC74" s="4"/>
      <c r="AD74" s="4"/>
      <c r="AE74" s="4"/>
      <c r="AF74" s="4"/>
      <c r="AG74" s="4"/>
      <c r="AH74" s="4"/>
    </row>
    <row r="75" spans="1:34" ht="27.75" customHeight="1" x14ac:dyDescent="0.25">
      <c r="A75" s="4"/>
      <c r="B75" s="46" t="s">
        <v>129</v>
      </c>
      <c r="C75" s="124">
        <f>AVERAGE(D73:N73)</f>
        <v>19.221648743967666</v>
      </c>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row>
    <row r="76" spans="1:34" ht="27.7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row>
    <row r="77" spans="1:34" ht="27.7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row>
    <row r="78" spans="1:34" ht="27.7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row>
    <row r="79" spans="1:34" ht="27.7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row>
    <row r="80" spans="1:34" ht="27.7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row>
    <row r="81" spans="1:34" ht="27.7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row>
    <row r="82" spans="1:34" ht="27.7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row>
    <row r="83" spans="1:34" ht="27.7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row>
    <row r="84" spans="1:34" ht="27.7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row>
    <row r="85" spans="1:34" ht="27.7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row>
    <row r="86" spans="1:34" ht="27.7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row>
    <row r="87" spans="1:34" ht="27.7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row>
    <row r="88" spans="1:34" ht="27.7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row>
    <row r="89" spans="1:34" ht="27.75" customHeight="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row>
    <row r="90" spans="1:34" ht="27.7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row>
    <row r="91" spans="1:34" ht="27.75" customHeight="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row>
    <row r="92" spans="1:34" ht="27.7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row>
    <row r="93" spans="1:34" ht="27.7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row>
    <row r="94" spans="1:34" ht="27.7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row>
    <row r="95" spans="1:34" ht="27.7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row>
    <row r="96" spans="1:34" ht="27.7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row>
    <row r="97" spans="1:34" ht="27.7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row>
    <row r="98" spans="1:34" ht="27.7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row>
    <row r="99" spans="1:34" ht="27.7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row>
    <row r="100" spans="1:34" ht="27.7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row>
    <row r="101" spans="1:34" ht="27.7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row>
    <row r="102" spans="1:34" ht="27.7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row>
    <row r="103" spans="1:34" ht="27.7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row>
    <row r="104" spans="1:34" ht="27.7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row>
    <row r="105" spans="1:34" ht="27.7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row>
    <row r="106" spans="1:34" ht="27.7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row>
    <row r="107" spans="1:34" ht="27.7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row>
    <row r="108" spans="1:34" ht="27.7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row>
    <row r="109" spans="1:34" ht="27.7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row>
    <row r="110" spans="1:34" ht="27.7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row>
    <row r="111" spans="1:34" ht="27.7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row>
    <row r="112" spans="1:34" ht="27.7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row>
    <row r="113" spans="1:34" ht="27.7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row>
    <row r="114" spans="1:34" ht="27.7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row>
    <row r="115" spans="1:34" ht="27.7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row>
    <row r="116" spans="1:34" ht="27.7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row>
    <row r="117" spans="1:34" ht="27.7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row>
    <row r="118" spans="1:34" ht="27.7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row>
    <row r="119" spans="1:34" ht="27.7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row>
    <row r="120" spans="1:34" ht="27.7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row>
    <row r="121" spans="1:34" ht="27.7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row>
    <row r="122" spans="1:34" ht="27.7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row>
    <row r="123" spans="1:34" ht="27.7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row>
    <row r="124" spans="1:34" ht="27.7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row>
    <row r="125" spans="1:34" ht="27.7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row>
    <row r="126" spans="1:34" ht="27.7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row>
    <row r="127" spans="1:34" ht="27.7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row>
    <row r="128" spans="1:34" ht="27.7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row>
    <row r="129" spans="1:34" ht="27.7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row>
    <row r="130" spans="1:34" ht="27.7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row>
    <row r="131" spans="1:34" ht="27.7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row>
    <row r="132" spans="1:34" ht="27.7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row>
    <row r="133" spans="1:34" ht="27.7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row>
    <row r="134" spans="1:34" ht="27.7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row>
    <row r="135" spans="1:34" ht="27.7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row>
    <row r="136" spans="1:34" ht="27.7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row>
    <row r="137" spans="1:34" ht="27.7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row>
    <row r="138" spans="1:34" ht="27.7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row>
    <row r="139" spans="1:34" ht="27.7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row>
    <row r="140" spans="1:34" ht="27.7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row>
    <row r="141" spans="1:34" ht="27.7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row>
    <row r="142" spans="1:34" ht="27.7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row>
    <row r="143" spans="1:34" ht="27.7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row>
    <row r="144" spans="1:34" ht="27.7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row>
    <row r="145" spans="1:34" ht="27.7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row>
    <row r="146" spans="1:34" ht="27.7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row>
    <row r="147" spans="1:34" ht="27.7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row>
    <row r="148" spans="1:34" ht="27.7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row>
    <row r="149" spans="1:34" ht="27.7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row>
    <row r="150" spans="1:34" ht="27.7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row>
    <row r="151" spans="1:34" ht="27.7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row>
    <row r="152" spans="1:34" ht="27.7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row>
    <row r="153" spans="1:34" ht="27.7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row>
    <row r="154" spans="1:34" ht="27.7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row>
    <row r="155" spans="1:34" ht="27.7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row>
    <row r="156" spans="1:34" ht="27.7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row>
    <row r="157" spans="1:34" ht="27.7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row>
    <row r="158" spans="1:34" ht="27.7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row>
    <row r="159" spans="1:34" ht="27.7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row>
    <row r="160" spans="1:34" ht="27.7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row>
    <row r="161" spans="1:34" ht="27.7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row>
    <row r="162" spans="1:34" ht="27.7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row>
    <row r="163" spans="1:34" ht="27.7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row>
    <row r="164" spans="1:34" ht="27.7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row>
    <row r="165" spans="1:34" ht="27.7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row>
    <row r="166" spans="1:34" ht="27.7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row>
    <row r="167" spans="1:34" ht="27.7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row>
    <row r="168" spans="1:34" ht="27.7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row>
    <row r="169" spans="1:34" ht="27.7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row>
    <row r="170" spans="1:34" ht="27.7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row>
    <row r="171" spans="1:34" ht="27.7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row>
    <row r="172" spans="1:34" ht="27.7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row>
    <row r="173" spans="1:34" ht="27.7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row>
    <row r="174" spans="1:34" ht="27.7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row>
    <row r="175" spans="1:34" ht="27.7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row>
    <row r="176" spans="1:34" ht="27.7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row>
    <row r="177" spans="1:34" ht="27.7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row>
    <row r="178" spans="1:34" ht="27.7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row>
    <row r="179" spans="1:34" ht="27.7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row>
    <row r="180" spans="1:34" ht="27.7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row>
    <row r="181" spans="1:34" ht="27.7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row>
    <row r="182" spans="1:34" ht="27.7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row>
    <row r="183" spans="1:34" ht="27.7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row>
    <row r="184" spans="1:34" ht="27.7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row>
    <row r="185" spans="1:34" ht="27.7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row>
    <row r="186" spans="1:34" ht="27.7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row>
    <row r="187" spans="1:34" ht="27.7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row>
    <row r="188" spans="1:34" ht="27.7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row>
    <row r="189" spans="1:34" ht="27.7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row>
    <row r="190" spans="1:34" ht="27.7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row>
    <row r="191" spans="1:34" ht="27.7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row>
    <row r="192" spans="1:34" ht="27.7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row>
    <row r="193" spans="1:34" ht="27.7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row>
    <row r="194" spans="1:34" ht="27.7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row>
    <row r="195" spans="1:34" ht="27.7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row>
    <row r="196" spans="1:34" ht="27.7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row>
    <row r="197" spans="1:34" ht="27.7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row>
    <row r="198" spans="1:34" ht="27.7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row>
    <row r="199" spans="1:34" ht="27.7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row>
    <row r="200" spans="1:34" ht="27.7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row>
    <row r="201" spans="1:34" ht="27.7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row>
    <row r="202" spans="1:34" ht="27.7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row>
    <row r="203" spans="1:34" ht="27.7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row>
    <row r="204" spans="1:34" ht="27.7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row>
    <row r="205" spans="1:34" ht="27.7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row>
    <row r="206" spans="1:34" ht="27.7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row>
    <row r="207" spans="1:34" ht="27.7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row>
    <row r="208" spans="1:34" ht="27.7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row>
    <row r="209" spans="1:34" ht="27.7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row>
    <row r="210" spans="1:34" ht="27.7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row>
    <row r="211" spans="1:34" ht="27.7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row>
    <row r="212" spans="1:34" ht="27.7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row>
    <row r="213" spans="1:34" ht="27.7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row>
    <row r="214" spans="1:34" ht="27.7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row>
    <row r="215" spans="1:34" ht="27.7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row>
    <row r="216" spans="1:34" ht="27.7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row>
    <row r="217" spans="1:34" ht="27.7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row>
    <row r="218" spans="1:34" ht="27.7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row>
    <row r="219" spans="1:34" ht="27.7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row>
    <row r="220" spans="1:34" ht="27.7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row>
    <row r="221" spans="1:34" ht="27.7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row>
    <row r="222" spans="1:34" ht="27.7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row>
    <row r="223" spans="1:34" ht="27.7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row>
    <row r="224" spans="1:34" ht="27.7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row>
    <row r="225" spans="1:34" ht="27.7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row>
    <row r="226" spans="1:34" ht="27.7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row>
    <row r="227" spans="1:34" ht="27.7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row>
    <row r="228" spans="1:34" ht="27.7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row>
    <row r="229" spans="1:34" ht="27.7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row>
    <row r="230" spans="1:34" ht="27.7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row>
    <row r="231" spans="1:34" ht="27.7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row>
    <row r="232" spans="1:34" ht="27.7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row>
    <row r="233" spans="1:34" ht="27.7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row>
    <row r="234" spans="1:34" ht="27.7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row>
    <row r="235" spans="1:34" ht="27.7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row>
    <row r="236" spans="1:34" ht="27.7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row>
    <row r="237" spans="1:34" ht="27.7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row>
    <row r="238" spans="1:34" ht="27.7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row>
    <row r="239" spans="1:34" ht="27.7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row>
    <row r="240" spans="1:34" ht="27.7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row>
    <row r="241" spans="1:34" ht="27.7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row>
    <row r="242" spans="1:34" ht="27.7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row>
    <row r="243" spans="1:34" ht="27.7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row>
    <row r="244" spans="1:34" ht="27.7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row>
    <row r="245" spans="1:34" ht="27.7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row>
    <row r="246" spans="1:34" ht="27.7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row>
    <row r="247" spans="1:34" ht="27.7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row>
    <row r="248" spans="1:34" ht="27.7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row>
    <row r="249" spans="1:34" ht="27.7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row>
    <row r="250" spans="1:34" ht="27.7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row>
    <row r="251" spans="1:34" ht="27.7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row>
    <row r="252" spans="1:34" ht="27.7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row>
    <row r="253" spans="1:34" ht="27.7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row>
    <row r="254" spans="1:34" ht="27.7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row>
    <row r="255" spans="1:34" ht="27.7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row>
    <row r="256" spans="1:34" ht="27.7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row>
    <row r="257" spans="1:34" ht="27.7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row>
    <row r="258" spans="1:34" ht="27.7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row>
    <row r="259" spans="1:34" ht="27.7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row>
    <row r="260" spans="1:34" ht="27.7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row>
    <row r="261" spans="1:34" ht="27.7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row>
    <row r="262" spans="1:34" ht="27.7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row>
    <row r="263" spans="1:34" ht="27.7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row>
    <row r="264" spans="1:34" ht="27.7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row>
    <row r="265" spans="1:34" ht="27.7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row>
    <row r="266" spans="1:34" ht="27.7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row>
    <row r="267" spans="1:34" ht="27.7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row>
    <row r="268" spans="1:34" ht="27.7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row>
    <row r="269" spans="1:34" ht="27.7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row>
    <row r="270" spans="1:34" ht="27.7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row>
    <row r="271" spans="1:34" ht="27.7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row>
    <row r="272" spans="1:34" ht="27.7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row>
    <row r="273" spans="1:34" ht="27.7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row>
    <row r="274" spans="1:34" ht="27.7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row>
    <row r="275" spans="1:34" ht="27.7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row>
    <row r="276" spans="1:34" ht="27.7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row>
    <row r="277" spans="1:34" ht="27.7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row>
    <row r="278" spans="1:34" ht="27.7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row>
    <row r="279" spans="1:34" ht="27.7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row>
    <row r="280" spans="1:34" ht="27.7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row>
    <row r="281" spans="1:34" ht="27.7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row>
    <row r="282" spans="1:34" ht="27.7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row>
    <row r="283" spans="1:34" ht="27.7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row>
    <row r="284" spans="1:34" ht="27.7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row>
    <row r="285" spans="1:34" ht="27.7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row>
    <row r="286" spans="1:34" ht="27.7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row>
    <row r="287" spans="1:34" ht="27.7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row>
    <row r="288" spans="1:34" ht="27.7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row>
    <row r="289" spans="1:34" ht="27.7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row>
    <row r="290" spans="1:34" ht="27.7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row>
    <row r="291" spans="1:34" ht="27.7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row>
    <row r="292" spans="1:34" ht="27.7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row>
    <row r="293" spans="1:34" ht="27.7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row>
    <row r="294" spans="1:34" ht="27.7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row>
    <row r="295" spans="1:34" ht="27.7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row>
    <row r="296" spans="1:34" ht="27.7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row>
    <row r="297" spans="1:34" ht="27.7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row>
    <row r="298" spans="1:34" ht="27.7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row>
    <row r="299" spans="1:34" ht="27.7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row>
    <row r="300" spans="1:34" ht="27.7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row>
    <row r="301" spans="1:34" ht="27.7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row>
    <row r="302" spans="1:34" ht="27.7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row>
    <row r="303" spans="1:34" ht="27.7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row>
    <row r="304" spans="1:34" ht="27.7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row>
    <row r="305" spans="1:34" ht="27.7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row>
    <row r="306" spans="1:34" ht="27.7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row>
    <row r="307" spans="1:34" ht="27.7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row>
    <row r="308" spans="1:34" ht="27.7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row>
    <row r="309" spans="1:34" ht="27.7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row>
    <row r="310" spans="1:34" ht="27.7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row>
    <row r="311" spans="1:34" ht="27.7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row>
    <row r="312" spans="1:34" ht="27.7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row>
    <row r="313" spans="1:34" ht="27.7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row>
    <row r="314" spans="1:34" ht="27.7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row>
    <row r="315" spans="1:34" ht="27.7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row>
    <row r="316" spans="1:34" ht="27.7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row>
    <row r="317" spans="1:34" ht="27.7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row>
    <row r="318" spans="1:34" ht="27.7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row>
    <row r="319" spans="1:34" ht="27.7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row>
    <row r="320" spans="1:34" ht="27.7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row>
    <row r="321" spans="1:34" ht="27.7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row>
    <row r="322" spans="1:34" ht="27.7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row>
    <row r="323" spans="1:34" ht="27.7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row>
    <row r="324" spans="1:34" ht="27.7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row>
    <row r="325" spans="1:34" ht="27.7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row>
    <row r="326" spans="1:34" ht="27.7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row>
    <row r="327" spans="1:34" ht="27.7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row>
    <row r="328" spans="1:34" ht="27.7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row>
    <row r="329" spans="1:34" ht="27.7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row>
    <row r="330" spans="1:34" ht="27.7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row>
    <row r="331" spans="1:34" ht="27.7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row>
    <row r="332" spans="1:34" ht="27.7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row>
    <row r="333" spans="1:34" ht="27.7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row>
    <row r="334" spans="1:34" ht="27.7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row>
    <row r="335" spans="1:34" ht="27.7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row>
    <row r="336" spans="1:34" ht="27.7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row>
    <row r="337" spans="1:34" ht="27.7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row>
    <row r="338" spans="1:34" ht="27.7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row>
    <row r="339" spans="1:34" ht="27.7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row>
    <row r="340" spans="1:34" ht="27.7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row>
    <row r="341" spans="1:34" ht="27.7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row>
    <row r="342" spans="1:34" ht="27.7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row>
    <row r="343" spans="1:34" ht="27.7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row>
    <row r="344" spans="1:34" ht="27.7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row>
    <row r="345" spans="1:34" ht="27.7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row>
    <row r="346" spans="1:34" ht="27.7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row>
    <row r="347" spans="1:34" ht="27.7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row>
    <row r="348" spans="1:34" ht="27.7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row>
    <row r="349" spans="1:34" ht="27.7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row>
    <row r="350" spans="1:34" ht="27.7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row>
    <row r="351" spans="1:34" ht="27.7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row>
    <row r="352" spans="1:34" ht="27.7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row>
    <row r="353" spans="1:34" ht="27.7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row>
    <row r="354" spans="1:34" ht="27.7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row>
    <row r="355" spans="1:34" ht="27.7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row>
    <row r="356" spans="1:34" ht="27.7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row>
    <row r="357" spans="1:34" ht="27.7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row>
    <row r="358" spans="1:34" ht="27.7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row>
    <row r="359" spans="1:34" ht="27.7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row>
    <row r="360" spans="1:34" ht="27.7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row>
    <row r="361" spans="1:34" ht="27.7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row>
    <row r="362" spans="1:34" ht="27.7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row>
    <row r="363" spans="1:34" ht="27.7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row>
    <row r="364" spans="1:34" ht="27.7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row>
    <row r="365" spans="1:34" ht="27.7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row>
    <row r="366" spans="1:34" ht="27.7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row>
    <row r="367" spans="1:34" ht="27.7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row>
    <row r="368" spans="1:34" ht="27.7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row>
    <row r="369" spans="1:34" ht="27.7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row>
    <row r="370" spans="1:34" ht="27.7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row>
    <row r="371" spans="1:34" ht="27.7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row>
    <row r="372" spans="1:34" ht="27.7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row>
    <row r="373" spans="1:34" ht="27.7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row>
    <row r="374" spans="1:34" ht="27.7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row>
    <row r="375" spans="1:34" ht="27.7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row>
    <row r="376" spans="1:34" ht="27.7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row>
    <row r="377" spans="1:34" ht="27.7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row>
    <row r="378" spans="1:34" ht="27.7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row>
    <row r="379" spans="1:34" ht="27.7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row>
    <row r="380" spans="1:34" ht="27.7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row>
    <row r="381" spans="1:34" ht="27.7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row>
    <row r="382" spans="1:34" ht="27.7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row>
    <row r="383" spans="1:34" ht="27.7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row>
    <row r="384" spans="1:34" ht="27.7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row>
    <row r="385" spans="1:34" ht="27.7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row>
    <row r="386" spans="1:34" ht="27.7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row>
    <row r="387" spans="1:34" ht="27.7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row>
    <row r="388" spans="1:34" ht="27.7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row>
    <row r="389" spans="1:34" ht="27.7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row>
    <row r="390" spans="1:34" ht="27.7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row>
    <row r="391" spans="1:34" ht="27.7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row>
    <row r="392" spans="1:34" ht="27.7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row>
    <row r="393" spans="1:34" ht="27.7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row>
    <row r="394" spans="1:34" ht="27.7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row>
    <row r="395" spans="1:34" ht="27.7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row>
    <row r="396" spans="1:34" ht="27.7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row>
    <row r="397" spans="1:34" ht="27.7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row>
    <row r="398" spans="1:34" ht="27.7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row>
    <row r="399" spans="1:34" ht="27.7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row>
    <row r="400" spans="1:34" ht="27.7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row>
    <row r="401" spans="1:34" ht="27.7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row>
    <row r="402" spans="1:34" ht="27.7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row>
    <row r="403" spans="1:34" ht="27.7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row>
    <row r="404" spans="1:34" ht="27.7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row>
    <row r="405" spans="1:34" ht="27.7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row>
    <row r="406" spans="1:34" ht="27.7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row>
    <row r="407" spans="1:34" ht="27.7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row>
    <row r="408" spans="1:34" ht="27.7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row>
    <row r="409" spans="1:34" ht="27.7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row>
    <row r="410" spans="1:34" ht="27.7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row>
    <row r="411" spans="1:34" ht="27.7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row>
    <row r="412" spans="1:34" ht="27.7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row>
    <row r="413" spans="1:34" ht="27.7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row>
    <row r="414" spans="1:34" ht="27.7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row>
    <row r="415" spans="1:34" ht="27.7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row>
    <row r="416" spans="1:34" ht="27.7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row>
    <row r="417" spans="1:34" ht="27.7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row>
    <row r="418" spans="1:34" ht="27.7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row>
    <row r="419" spans="1:34" ht="27.7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row>
    <row r="420" spans="1:34" ht="27.7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row>
    <row r="421" spans="1:34" ht="27.7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row>
    <row r="422" spans="1:34" ht="27.7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row>
    <row r="423" spans="1:34" ht="27.7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row>
    <row r="424" spans="1:34" ht="27.7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row>
    <row r="425" spans="1:34" ht="27.7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row>
    <row r="426" spans="1:34" ht="27.7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row>
    <row r="427" spans="1:34" ht="27.7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row>
    <row r="428" spans="1:34" ht="27.7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row>
    <row r="429" spans="1:34" ht="27.7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row>
    <row r="430" spans="1:34" ht="27.7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row>
    <row r="431" spans="1:34" ht="27.7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row>
    <row r="432" spans="1:34" ht="27.7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row>
    <row r="433" spans="1:34" ht="27.7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row>
    <row r="434" spans="1:34" ht="27.7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row>
    <row r="435" spans="1:34" ht="27.7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row>
    <row r="436" spans="1:34" ht="27.7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row>
    <row r="437" spans="1:34" ht="27.7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row>
    <row r="438" spans="1:34" ht="27.7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row>
    <row r="439" spans="1:34" ht="27.7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row>
    <row r="440" spans="1:34" ht="27.7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row>
    <row r="441" spans="1:34" ht="27.7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row>
    <row r="442" spans="1:34" ht="27.7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row>
    <row r="443" spans="1:34" ht="27.7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row>
    <row r="444" spans="1:34" ht="27.7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row>
    <row r="445" spans="1:34" ht="27.7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row>
    <row r="446" spans="1:34" ht="27.7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row>
    <row r="447" spans="1:34" ht="27.7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row>
    <row r="448" spans="1:34" ht="27.7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row>
    <row r="449" spans="1:34" ht="27.7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row>
    <row r="450" spans="1:34" ht="27.7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row>
    <row r="451" spans="1:34" ht="27.7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row>
    <row r="452" spans="1:34" ht="27.7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row>
    <row r="453" spans="1:34" ht="27.7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row>
    <row r="454" spans="1:34" ht="27.7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row>
    <row r="455" spans="1:34" ht="27.7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row>
    <row r="456" spans="1:34" ht="27.7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row>
    <row r="457" spans="1:34" ht="27.7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row>
    <row r="458" spans="1:34" ht="27.7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row>
    <row r="459" spans="1:34" ht="27.7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row>
    <row r="460" spans="1:34" ht="27.7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row>
    <row r="461" spans="1:34" ht="27.7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row>
    <row r="462" spans="1:34" ht="27.7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row>
    <row r="463" spans="1:34" ht="27.7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row>
    <row r="464" spans="1:34" ht="27.7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row>
    <row r="465" spans="1:34" ht="27.7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row>
    <row r="466" spans="1:34" ht="27.7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row>
    <row r="467" spans="1:34" ht="27.7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row>
    <row r="468" spans="1:34" ht="27.7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row>
    <row r="469" spans="1:34" ht="27.7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row>
    <row r="470" spans="1:34" ht="27.7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row>
    <row r="471" spans="1:34" ht="27.7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row>
    <row r="472" spans="1:34" ht="27.7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row>
    <row r="473" spans="1:34" ht="27.7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row>
    <row r="474" spans="1:34" ht="27.7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row>
    <row r="475" spans="1:34" ht="27.7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row>
    <row r="476" spans="1:34" ht="27.7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row>
    <row r="477" spans="1:34" ht="27.7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row>
    <row r="478" spans="1:34" ht="27.7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row>
    <row r="479" spans="1:34" ht="27.7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row>
    <row r="480" spans="1:34" ht="27.7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row>
    <row r="481" spans="1:34" ht="27.7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row>
    <row r="482" spans="1:34" ht="27.7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row>
    <row r="483" spans="1:34" ht="27.7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row>
    <row r="484" spans="1:34" ht="27.7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row>
    <row r="485" spans="1:34" ht="27.7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row>
    <row r="486" spans="1:34" ht="27.7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row>
    <row r="487" spans="1:34" ht="27.7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row>
    <row r="488" spans="1:34" ht="27.7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row>
    <row r="489" spans="1:34" ht="27.7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row>
    <row r="490" spans="1:34" ht="27.7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row>
    <row r="491" spans="1:34" ht="27.7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row>
    <row r="492" spans="1:34" ht="27.7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row>
    <row r="493" spans="1:34" ht="27.7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row>
    <row r="494" spans="1:34" ht="27.7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row>
    <row r="495" spans="1:34" ht="27.7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row>
    <row r="496" spans="1:34" ht="27.7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row>
    <row r="497" spans="1:34" ht="27.7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row>
    <row r="498" spans="1:34" ht="27.7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row>
    <row r="499" spans="1:34" ht="27.7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row>
    <row r="500" spans="1:34" ht="27.7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row>
    <row r="501" spans="1:34" ht="27.7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row>
    <row r="502" spans="1:34" ht="27.7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row>
    <row r="503" spans="1:34" ht="27.7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row>
    <row r="504" spans="1:34" ht="27.7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row>
    <row r="505" spans="1:34" ht="27.7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row>
    <row r="506" spans="1:34" ht="27.7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row>
    <row r="507" spans="1:34" ht="27.7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row>
    <row r="508" spans="1:34" ht="27.7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row>
    <row r="509" spans="1:34" ht="27.7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row>
    <row r="510" spans="1:34" ht="27.7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row>
    <row r="511" spans="1:34" ht="27.7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row>
    <row r="512" spans="1:34" ht="27.7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row>
    <row r="513" spans="1:34" ht="27.7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row>
    <row r="514" spans="1:34" ht="27.7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row>
    <row r="515" spans="1:34" ht="27.7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row>
    <row r="516" spans="1:34" ht="27.7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row>
    <row r="517" spans="1:34" ht="27.7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row>
    <row r="518" spans="1:34" ht="27.7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row>
    <row r="519" spans="1:34" ht="27.7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row>
    <row r="520" spans="1:34" ht="27.7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row>
    <row r="521" spans="1:34" ht="27.7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row>
    <row r="522" spans="1:34" ht="27.7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row>
    <row r="523" spans="1:34" ht="27.7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row>
    <row r="524" spans="1:34" ht="27.7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row>
    <row r="525" spans="1:34" ht="27.7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row>
    <row r="526" spans="1:34" ht="27.7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row>
    <row r="527" spans="1:34" ht="27.7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row>
    <row r="528" spans="1:34" ht="27.7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row>
    <row r="529" spans="1:34" ht="27.7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row>
    <row r="530" spans="1:34" ht="27.7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row>
    <row r="531" spans="1:34" ht="27.7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row>
    <row r="532" spans="1:34" ht="27.7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row>
    <row r="533" spans="1:34" ht="27.7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row>
    <row r="534" spans="1:34" ht="27.7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row>
    <row r="535" spans="1:34" ht="27.7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row>
    <row r="536" spans="1:34" ht="27.7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row>
    <row r="537" spans="1:34" ht="27.7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row>
    <row r="538" spans="1:34" ht="27.7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row>
    <row r="539" spans="1:34" ht="27.7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row>
    <row r="540" spans="1:34" ht="27.7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row>
    <row r="541" spans="1:34" ht="27.7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row>
    <row r="542" spans="1:34" ht="27.7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row>
    <row r="543" spans="1:34" ht="27.7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row>
    <row r="544" spans="1:34" ht="27.7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row>
    <row r="545" spans="1:34" ht="27.7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row>
    <row r="546" spans="1:34" ht="27.7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row>
    <row r="547" spans="1:34" ht="27.7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row>
    <row r="548" spans="1:34" ht="27.7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row>
    <row r="549" spans="1:34" ht="27.7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row>
    <row r="550" spans="1:34" ht="27.7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row>
    <row r="551" spans="1:34" ht="27.7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row>
    <row r="552" spans="1:34" ht="27.7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row>
    <row r="553" spans="1:34" ht="27.7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row>
    <row r="554" spans="1:34" ht="27.7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row>
    <row r="555" spans="1:34" ht="27.7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row>
    <row r="556" spans="1:34" ht="27.7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row>
    <row r="557" spans="1:34" ht="27.7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row>
    <row r="558" spans="1:34" ht="27.7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row>
    <row r="559" spans="1:34" ht="27.7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row>
    <row r="560" spans="1:34" ht="27.7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row>
    <row r="561" spans="1:34" ht="27.7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row>
    <row r="562" spans="1:34" ht="27.7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row>
    <row r="563" spans="1:34" ht="27.7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row>
    <row r="564" spans="1:34" ht="27.7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row>
    <row r="565" spans="1:34" ht="27.7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row>
    <row r="566" spans="1:34" ht="27.7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row>
    <row r="567" spans="1:34" ht="27.7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row>
    <row r="568" spans="1:34" ht="27.7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row>
    <row r="569" spans="1:34" ht="27.7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row>
    <row r="570" spans="1:34" ht="27.7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row>
    <row r="571" spans="1:34" ht="27.7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row>
    <row r="572" spans="1:34" ht="27.7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row>
    <row r="573" spans="1:34" ht="27.7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row>
    <row r="574" spans="1:34" ht="27.7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row>
    <row r="575" spans="1:34" ht="27.7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row>
    <row r="576" spans="1:34" ht="27.7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row>
    <row r="577" spans="1:34" ht="27.7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row>
    <row r="578" spans="1:34" ht="27.7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row>
    <row r="579" spans="1:34" ht="27.7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row>
    <row r="580" spans="1:34" ht="27.7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row>
    <row r="581" spans="1:34" ht="27.7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row>
    <row r="582" spans="1:34" ht="27.7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row>
    <row r="583" spans="1:34" ht="27.7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row>
    <row r="584" spans="1:34" ht="27.7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row>
    <row r="585" spans="1:34" ht="27.7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row>
    <row r="586" spans="1:34" ht="27.7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row>
    <row r="587" spans="1:34" ht="27.7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row>
    <row r="588" spans="1:34" ht="27.7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row>
    <row r="589" spans="1:34" ht="27.7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row>
    <row r="590" spans="1:34" ht="27.7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row>
    <row r="591" spans="1:34" ht="27.7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row>
    <row r="592" spans="1:34" ht="27.7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row>
    <row r="593" spans="1:34" ht="27.7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row>
    <row r="594" spans="1:34" ht="27.7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row>
    <row r="595" spans="1:34" ht="27.7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row>
    <row r="596" spans="1:34" ht="27.7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row>
    <row r="597" spans="1:34" ht="27.7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row>
    <row r="598" spans="1:34" ht="27.7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row>
    <row r="599" spans="1:34" ht="27.7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row>
    <row r="600" spans="1:34" ht="27.7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row>
    <row r="601" spans="1:34" ht="27.7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row>
    <row r="602" spans="1:34" ht="27.7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row>
    <row r="603" spans="1:34" ht="27.7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row>
    <row r="604" spans="1:34" ht="27.7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row>
    <row r="605" spans="1:34" ht="27.7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row>
    <row r="606" spans="1:34" ht="27.7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row>
    <row r="607" spans="1:34" ht="27.7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row>
    <row r="608" spans="1:34" ht="27.7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row>
    <row r="609" spans="1:34" ht="27.7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row>
    <row r="610" spans="1:34" ht="27.7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row>
    <row r="611" spans="1:34" ht="27.7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row>
    <row r="612" spans="1:34" ht="27.7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row>
    <row r="613" spans="1:34" ht="27.7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row>
    <row r="614" spans="1:34" ht="27.7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row>
    <row r="615" spans="1:34" ht="27.7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row>
    <row r="616" spans="1:34" ht="27.7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row>
    <row r="617" spans="1:34" ht="27.7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row>
    <row r="618" spans="1:34" ht="27.7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row>
    <row r="619" spans="1:34" ht="27.7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row>
    <row r="620" spans="1:34" ht="27.7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row>
    <row r="621" spans="1:34" ht="27.7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row>
    <row r="622" spans="1:34" ht="27.7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row>
    <row r="623" spans="1:34" ht="27.7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row>
    <row r="624" spans="1:34" ht="27.7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row>
    <row r="625" spans="1:34" ht="27.7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row>
    <row r="626" spans="1:34" ht="27.7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row>
    <row r="627" spans="1:34" ht="27.7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row>
    <row r="628" spans="1:34" ht="27.7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row>
    <row r="629" spans="1:34" ht="27.7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row>
    <row r="630" spans="1:34" ht="27.7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row>
    <row r="631" spans="1:34" ht="27.7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row>
    <row r="632" spans="1:34" ht="27.7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row>
    <row r="633" spans="1:34" ht="27.7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row>
    <row r="634" spans="1:34" ht="27.7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row>
    <row r="635" spans="1:34" ht="27.7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row>
    <row r="636" spans="1:34" ht="27.7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row>
    <row r="637" spans="1:34" ht="27.7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row>
    <row r="638" spans="1:34" ht="27.7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row>
    <row r="639" spans="1:34" ht="27.7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row>
    <row r="640" spans="1:34" ht="27.7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row>
    <row r="641" spans="1:34" ht="27.7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row>
    <row r="642" spans="1:34" ht="27.7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row>
    <row r="643" spans="1:34" ht="27.7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row>
    <row r="644" spans="1:34" ht="27.7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row>
    <row r="645" spans="1:34" ht="27.7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row>
    <row r="646" spans="1:34" ht="27.7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row>
    <row r="647" spans="1:34" ht="27.7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row>
    <row r="648" spans="1:34" ht="27.7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row>
    <row r="649" spans="1:34" ht="27.7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row>
    <row r="650" spans="1:34" ht="27.7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row>
    <row r="651" spans="1:34" ht="27.7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row>
    <row r="652" spans="1:34" ht="27.7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row>
    <row r="653" spans="1:34" ht="27.7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row>
    <row r="654" spans="1:34" ht="27.7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row>
    <row r="655" spans="1:34" ht="27.7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row>
    <row r="656" spans="1:34" ht="27.7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row>
    <row r="657" spans="1:34" ht="27.7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row>
    <row r="658" spans="1:34" ht="27.7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row>
    <row r="659" spans="1:34" ht="27.7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row>
    <row r="660" spans="1:34" ht="27.7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row>
    <row r="661" spans="1:34" ht="27.7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row>
    <row r="662" spans="1:34" ht="27.7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row>
    <row r="663" spans="1:34" ht="27.7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row>
    <row r="664" spans="1:34" ht="27.7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row>
    <row r="665" spans="1:34" ht="27.7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row>
    <row r="666" spans="1:34" ht="27.7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row>
    <row r="667" spans="1:34" ht="27.7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row>
    <row r="668" spans="1:34" ht="27.7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row>
    <row r="669" spans="1:34" ht="27.7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row>
    <row r="670" spans="1:34" ht="27.7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row>
    <row r="671" spans="1:34" ht="27.7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row>
    <row r="672" spans="1:34" ht="27.7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row>
    <row r="673" spans="1:34" ht="27.7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row>
    <row r="674" spans="1:34" ht="27.7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row>
    <row r="675" spans="1:34" ht="27.7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row>
    <row r="676" spans="1:34" ht="27.7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row>
    <row r="677" spans="1:34" ht="27.7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row>
    <row r="678" spans="1:34" ht="27.7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row>
    <row r="679" spans="1:34" ht="27.7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row>
    <row r="680" spans="1:34" ht="27.7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row>
    <row r="681" spans="1:34" ht="27.7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row>
    <row r="682" spans="1:34" ht="27.7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row>
    <row r="683" spans="1:34" ht="27.7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row>
    <row r="684" spans="1:34" ht="27.7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row>
    <row r="685" spans="1:34" ht="27.7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row>
    <row r="686" spans="1:34" ht="27.7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row>
    <row r="687" spans="1:34" ht="27.7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row>
    <row r="688" spans="1:34" ht="27.7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row>
    <row r="689" spans="1:34" ht="27.7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row>
    <row r="690" spans="1:34" ht="27.7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row>
    <row r="691" spans="1:34" ht="27.7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row>
    <row r="692" spans="1:34" ht="27.7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row>
    <row r="693" spans="1:34" ht="27.7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row>
    <row r="694" spans="1:34" ht="27.7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row>
    <row r="695" spans="1:34" ht="27.7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row>
    <row r="696" spans="1:34" ht="27.7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row>
    <row r="697" spans="1:34" ht="27.7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row>
    <row r="698" spans="1:34" ht="27.7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row>
    <row r="699" spans="1:34" ht="27.7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row>
    <row r="700" spans="1:34" ht="27.7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row>
    <row r="701" spans="1:34" ht="27.7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row>
    <row r="702" spans="1:34" ht="27.7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row>
    <row r="703" spans="1:34" ht="27.7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row>
    <row r="704" spans="1:34" ht="27.7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row>
    <row r="705" spans="1:34" ht="27.7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row>
    <row r="706" spans="1:34" ht="27.7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row>
    <row r="707" spans="1:34" ht="27.7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row>
    <row r="708" spans="1:34" ht="27.7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row>
    <row r="709" spans="1:34" ht="27.7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row>
    <row r="710" spans="1:34" ht="27.7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row>
    <row r="711" spans="1:34" ht="27.7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row>
    <row r="712" spans="1:34" ht="27.7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row>
    <row r="713" spans="1:34" ht="27.7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row>
    <row r="714" spans="1:34" ht="27.7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row>
    <row r="715" spans="1:34" ht="27.7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row>
    <row r="716" spans="1:34" ht="27.7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row>
    <row r="717" spans="1:34" ht="27.7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row>
    <row r="718" spans="1:34" ht="27.7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row>
    <row r="719" spans="1:34" ht="27.7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row>
    <row r="720" spans="1:34" ht="27.7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row>
    <row r="721" spans="1:34" ht="27.7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row>
    <row r="722" spans="1:34" ht="27.7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row>
    <row r="723" spans="1:34" ht="27.7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row>
    <row r="724" spans="1:34" ht="27.7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row>
    <row r="725" spans="1:34" ht="27.7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row>
    <row r="726" spans="1:34" ht="27.7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row>
    <row r="727" spans="1:34" ht="27.7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row>
    <row r="728" spans="1:34" ht="27.7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row>
    <row r="729" spans="1:34" ht="27.7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row>
    <row r="730" spans="1:34" ht="27.7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row>
    <row r="731" spans="1:34" ht="27.7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row>
    <row r="732" spans="1:34" ht="27.7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row>
    <row r="733" spans="1:34" ht="27.7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row>
    <row r="734" spans="1:34" ht="27.7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row>
    <row r="735" spans="1:34" ht="27.7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row>
    <row r="736" spans="1:34" ht="27.7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row>
    <row r="737" spans="1:34" ht="27.7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row>
    <row r="738" spans="1:34" ht="27.7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row>
    <row r="739" spans="1:34" ht="27.7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row>
    <row r="740" spans="1:34" ht="27.7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row>
    <row r="741" spans="1:34" ht="27.7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row>
    <row r="742" spans="1:34" ht="27.7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row>
    <row r="743" spans="1:34" ht="27.7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row>
    <row r="744" spans="1:34" ht="27.7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row>
    <row r="745" spans="1:34" ht="27.7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row>
    <row r="746" spans="1:34" ht="27.7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row>
    <row r="747" spans="1:34" ht="27.7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row>
    <row r="748" spans="1:34" ht="27.7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row>
    <row r="749" spans="1:34" ht="27.7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row>
    <row r="750" spans="1:34" ht="27.7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row>
    <row r="751" spans="1:34" ht="27.7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row>
    <row r="752" spans="1:34" ht="27.7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row>
    <row r="753" spans="1:34" ht="27.7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row>
    <row r="754" spans="1:34" ht="27.7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row>
    <row r="755" spans="1:34" ht="27.7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row>
    <row r="756" spans="1:34" ht="27.7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row>
    <row r="757" spans="1:34" ht="27.7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row>
    <row r="758" spans="1:34" ht="27.7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row>
    <row r="759" spans="1:34" ht="27.7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row>
    <row r="760" spans="1:34" ht="27.7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row>
    <row r="761" spans="1:34" ht="27.7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row>
    <row r="762" spans="1:34" ht="27.7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row>
    <row r="763" spans="1:34" ht="27.7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row>
    <row r="764" spans="1:34" ht="27.7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row>
    <row r="765" spans="1:34" ht="27.7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row>
    <row r="766" spans="1:34" ht="27.7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row>
    <row r="767" spans="1:34" ht="27.7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row>
    <row r="768" spans="1:34" ht="27.7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row>
    <row r="769" spans="1:34" ht="27.7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row>
    <row r="770" spans="1:34" ht="27.7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row>
    <row r="771" spans="1:34" ht="27.7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row>
    <row r="772" spans="1:34" ht="27.7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row>
    <row r="773" spans="1:34" ht="27.7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row>
    <row r="774" spans="1:34" ht="27.7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row>
    <row r="775" spans="1:34" ht="27.7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row>
    <row r="776" spans="1:34" ht="27.7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row>
    <row r="777" spans="1:34" ht="27.7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row>
    <row r="778" spans="1:34" ht="27.7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row>
    <row r="779" spans="1:34" ht="27.7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row>
    <row r="780" spans="1:34" ht="27.7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row>
    <row r="781" spans="1:34" ht="27.7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row>
    <row r="782" spans="1:34" ht="27.7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row>
    <row r="783" spans="1:34" ht="27.7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row>
    <row r="784" spans="1:34" ht="27.7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row>
    <row r="785" spans="1:34" ht="27.7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row>
    <row r="786" spans="1:34" ht="27.7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row>
    <row r="787" spans="1:34" ht="27.7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row>
    <row r="788" spans="1:34" ht="27.7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row>
    <row r="789" spans="1:34" ht="27.7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row>
    <row r="790" spans="1:34" ht="27.7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row>
    <row r="791" spans="1:34" ht="27.7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row>
    <row r="792" spans="1:34" ht="27.7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row>
    <row r="793" spans="1:34" ht="27.7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row>
    <row r="794" spans="1:34" ht="27.7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row>
    <row r="795" spans="1:34" ht="27.7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row>
    <row r="796" spans="1:34" ht="27.7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row>
    <row r="797" spans="1:34" ht="27.7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row>
    <row r="798" spans="1:34" ht="27.7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row>
    <row r="799" spans="1:34" ht="27.7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row>
    <row r="800" spans="1:34" ht="27.7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row>
    <row r="801" spans="1:34" ht="27.7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row>
    <row r="802" spans="1:34" ht="27.7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row>
    <row r="803" spans="1:34" ht="27.7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row>
    <row r="804" spans="1:34" ht="27.7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row>
    <row r="805" spans="1:34" ht="27.7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row>
    <row r="806" spans="1:34" ht="27.7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row>
    <row r="807" spans="1:34" ht="27.7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row>
    <row r="808" spans="1:34" ht="27.7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row>
    <row r="809" spans="1:34" ht="27.7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row>
    <row r="810" spans="1:34" ht="27.7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row>
    <row r="811" spans="1:34" ht="27.7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row>
    <row r="812" spans="1:34" ht="27.7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row>
    <row r="813" spans="1:34" ht="27.7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row>
    <row r="814" spans="1:34" ht="27.7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row>
    <row r="815" spans="1:34" ht="27.7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row>
    <row r="816" spans="1:34" ht="27.7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row>
    <row r="817" spans="1:34" ht="27.7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row>
    <row r="818" spans="1:34" ht="27.7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row>
    <row r="819" spans="1:34" ht="27.7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row>
    <row r="820" spans="1:34" ht="27.7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row>
    <row r="821" spans="1:34" ht="27.7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row>
    <row r="822" spans="1:34" ht="27.7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row>
    <row r="823" spans="1:34" ht="27.7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row>
    <row r="824" spans="1:34" ht="27.7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row>
    <row r="825" spans="1:34" ht="27.7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row>
    <row r="826" spans="1:34" ht="27.7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row>
    <row r="827" spans="1:34" ht="27.7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row>
    <row r="828" spans="1:34" ht="27.7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row>
    <row r="829" spans="1:34" ht="27.7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row>
    <row r="830" spans="1:34" ht="27.7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row>
    <row r="831" spans="1:34" ht="27.7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row>
    <row r="832" spans="1:34" ht="27.7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row>
    <row r="833" spans="1:34" ht="27.7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row>
    <row r="834" spans="1:34" ht="27.7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row>
    <row r="835" spans="1:34" ht="27.7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row>
    <row r="836" spans="1:34" ht="27.7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row>
    <row r="837" spans="1:34" ht="27.7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row>
    <row r="838" spans="1:34" ht="27.7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row>
    <row r="839" spans="1:34" ht="27.7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row>
    <row r="840" spans="1:34" ht="27.7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row>
    <row r="841" spans="1:34" ht="27.7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row>
    <row r="842" spans="1:34" ht="27.7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row>
    <row r="843" spans="1:34" ht="27.7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row>
    <row r="844" spans="1:34" ht="27.7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row>
    <row r="845" spans="1:34" ht="27.7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row>
    <row r="846" spans="1:34" ht="27.7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row>
    <row r="847" spans="1:34" ht="27.7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row>
    <row r="848" spans="1:34" ht="27.7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row>
    <row r="849" spans="1:34" ht="27.7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row>
    <row r="850" spans="1:34" ht="27.7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row>
    <row r="851" spans="1:34" ht="27.7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row>
    <row r="852" spans="1:34" ht="27.7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row>
    <row r="853" spans="1:34" ht="27.7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row>
    <row r="854" spans="1:34" ht="27.7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row>
    <row r="855" spans="1:34" ht="27.7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row>
    <row r="856" spans="1:34" ht="27.7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row>
    <row r="857" spans="1:34" ht="27.7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row>
    <row r="858" spans="1:34" ht="27.7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row>
    <row r="859" spans="1:34" ht="27.7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row>
    <row r="860" spans="1:34" ht="27.7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row>
    <row r="861" spans="1:34" ht="27.7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row>
    <row r="862" spans="1:34" ht="27.7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row>
    <row r="863" spans="1:34" ht="27.7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row>
    <row r="864" spans="1:34" ht="27.7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row>
    <row r="865" spans="1:34" ht="27.7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row>
    <row r="866" spans="1:34" ht="27.7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row>
    <row r="867" spans="1:34" ht="27.7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row>
    <row r="868" spans="1:34" ht="27.7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row>
    <row r="869" spans="1:34" ht="27.7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row>
    <row r="870" spans="1:34" ht="27.7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row>
    <row r="871" spans="1:34" ht="27.7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row>
    <row r="872" spans="1:34" ht="27.7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row>
    <row r="873" spans="1:34" ht="27.7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row>
    <row r="874" spans="1:34" ht="27.7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row>
    <row r="875" spans="1:34" ht="27.7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row>
    <row r="876" spans="1:34" ht="27.7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row>
    <row r="877" spans="1:34" ht="27.7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row>
    <row r="878" spans="1:34" ht="27.7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row>
    <row r="879" spans="1:34" ht="27.7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row>
    <row r="880" spans="1:34" ht="27.7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row>
    <row r="881" spans="1:34" ht="27.7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row>
    <row r="882" spans="1:34" ht="27.7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row>
    <row r="883" spans="1:34" ht="27.7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row>
    <row r="884" spans="1:34" ht="27.7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row>
    <row r="885" spans="1:34" ht="27.7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row>
    <row r="886" spans="1:34" ht="27.7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row>
    <row r="887" spans="1:34" ht="27.7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row>
    <row r="888" spans="1:34" ht="27.7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row>
    <row r="889" spans="1:34" ht="27.7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row>
    <row r="890" spans="1:34" ht="27.7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row>
    <row r="891" spans="1:34" ht="27.7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row>
    <row r="892" spans="1:34" ht="27.7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row>
    <row r="893" spans="1:34" ht="27.7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row>
    <row r="894" spans="1:34" ht="27.7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row>
    <row r="895" spans="1:34" ht="27.7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row>
    <row r="896" spans="1:34" ht="27.7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row>
    <row r="897" spans="1:34" ht="27.7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row>
    <row r="898" spans="1:34" ht="27.7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row>
    <row r="899" spans="1:34" ht="27.7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row>
    <row r="900" spans="1:34" ht="27.7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row>
    <row r="901" spans="1:34" ht="27.7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row>
    <row r="902" spans="1:34" ht="27.7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row>
    <row r="903" spans="1:34" ht="27.7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row>
    <row r="904" spans="1:34" ht="27.7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row>
    <row r="905" spans="1:34" ht="27.7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row>
    <row r="906" spans="1:34" ht="27.7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row>
    <row r="907" spans="1:34" ht="27.7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row>
    <row r="908" spans="1:34" ht="27.7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row>
    <row r="909" spans="1:34" ht="27.7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row>
    <row r="910" spans="1:34" ht="27.7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row>
    <row r="911" spans="1:34" ht="27.7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row>
    <row r="912" spans="1:34" ht="27.7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row>
    <row r="913" spans="1:34" ht="27.7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row>
    <row r="914" spans="1:34" ht="27.7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row>
    <row r="915" spans="1:34" ht="27.7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row>
    <row r="916" spans="1:34" ht="27.7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row>
    <row r="917" spans="1:34" ht="27.7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row>
    <row r="918" spans="1:34" ht="27.7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row>
    <row r="919" spans="1:34" ht="27.7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row>
    <row r="920" spans="1:34" ht="27.7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row>
    <row r="921" spans="1:34" ht="27.7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row>
    <row r="922" spans="1:34" ht="27.7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row>
    <row r="923" spans="1:34" ht="27.7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row>
    <row r="924" spans="1:34" ht="27.7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row>
    <row r="925" spans="1:34" ht="27.7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row>
    <row r="926" spans="1:34" ht="27.7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row>
    <row r="927" spans="1:34" ht="27.7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row>
    <row r="928" spans="1:34" ht="27.7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row>
    <row r="929" spans="1:34" ht="27.7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row>
    <row r="930" spans="1:34" ht="27.7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row>
    <row r="931" spans="1:34" ht="27.7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row>
    <row r="932" spans="1:34" ht="27.7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row>
    <row r="933" spans="1:34" ht="27.7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row>
    <row r="934" spans="1:34" ht="27.7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row>
    <row r="935" spans="1:34" ht="27.7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row>
    <row r="936" spans="1:34" ht="27.7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row>
    <row r="937" spans="1:34" ht="27.7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row>
    <row r="938" spans="1:34" ht="27.7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row>
    <row r="939" spans="1:34" ht="27.7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row>
    <row r="940" spans="1:34" ht="27.7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row>
    <row r="941" spans="1:34" ht="27.7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row>
    <row r="942" spans="1:34" ht="27.7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row>
    <row r="943" spans="1:34" ht="27.7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row>
    <row r="944" spans="1:34" ht="27.7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row>
    <row r="945" spans="1:34" ht="27.7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row>
    <row r="946" spans="1:34" ht="27.7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row>
    <row r="947" spans="1:34" ht="27.7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row>
    <row r="948" spans="1:34" ht="27.7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row>
    <row r="949" spans="1:34" ht="27.7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row>
    <row r="950" spans="1:34" ht="27.7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row>
    <row r="951" spans="1:34" ht="27.7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row>
    <row r="952" spans="1:34" ht="27.7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row>
    <row r="953" spans="1:34" ht="27.7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row>
    <row r="954" spans="1:34" ht="27.7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row>
    <row r="955" spans="1:34" ht="27.7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row>
    <row r="956" spans="1:34" ht="27.7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row>
    <row r="957" spans="1:34" ht="27.7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row>
    <row r="958" spans="1:34" ht="27.7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row>
    <row r="959" spans="1:34" ht="27.7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row>
    <row r="960" spans="1:34" ht="27.7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row>
    <row r="961" spans="1:34" ht="27.7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row>
    <row r="962" spans="1:34" ht="27.7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row>
    <row r="963" spans="1:34" ht="27.7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row>
    <row r="964" spans="1:34" ht="27.7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row>
    <row r="965" spans="1:34" ht="27.7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row>
    <row r="966" spans="1:34" ht="27.7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row>
    <row r="967" spans="1:34" ht="27.7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row>
    <row r="968" spans="1:34" ht="27.7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row>
    <row r="969" spans="1:34" ht="27.7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row>
    <row r="970" spans="1:34" ht="27.7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row>
    <row r="971" spans="1:34" ht="27.7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row>
    <row r="972" spans="1:34" ht="27.7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row>
    <row r="973" spans="1:34" ht="27.7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row>
    <row r="974" spans="1:34" ht="27.7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row>
    <row r="975" spans="1:34" ht="27.7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row>
    <row r="976" spans="1:34" ht="27.7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row>
    <row r="977" spans="1:34" ht="27.7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row>
    <row r="978" spans="1:34" ht="27.7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row>
    <row r="979" spans="1:34" ht="27.7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row>
    <row r="980" spans="1:34" ht="27.7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row>
    <row r="981" spans="1:34" ht="27.7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row>
    <row r="982" spans="1:34" ht="27.7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row>
    <row r="983" spans="1:34" ht="27.7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row>
    <row r="984" spans="1:34" ht="27.7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row>
    <row r="985" spans="1:34" ht="27.7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row>
    <row r="986" spans="1:34" ht="27.7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row>
    <row r="987" spans="1:34" ht="27.7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row>
    <row r="988" spans="1:34" ht="27.7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row>
    <row r="989" spans="1:34" ht="27.7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row>
    <row r="990" spans="1:34" ht="27.7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row>
    <row r="991" spans="1:34" ht="27.7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row>
    <row r="992" spans="1:34" ht="27.7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row>
    <row r="993" spans="1:34" ht="27.7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row>
    <row r="994" spans="1:34" ht="27.7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row>
    <row r="995" spans="1:34" ht="27.7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row>
    <row r="996" spans="1:34" ht="27.7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row>
    <row r="997" spans="1:34" ht="27.7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row>
    <row r="998" spans="1:34" ht="27.7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row>
    <row r="999" spans="1:34" ht="27.7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row>
    <row r="1000" spans="1:34" ht="27.7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row>
  </sheetData>
  <mergeCells count="10">
    <mergeCell ref="A27:V27"/>
    <mergeCell ref="A28:V28"/>
    <mergeCell ref="W28:AH28"/>
    <mergeCell ref="A6:O6"/>
    <mergeCell ref="A7:O7"/>
    <mergeCell ref="A11:AH11"/>
    <mergeCell ref="A12:AH12"/>
    <mergeCell ref="A26:V26"/>
    <mergeCell ref="W26:AH26"/>
    <mergeCell ref="W27:AH27"/>
  </mergeCells>
  <conditionalFormatting sqref="C15:N15">
    <cfRule type="colorScale" priority="1">
      <colorScale>
        <cfvo type="min"/>
        <cfvo type="percentile" val="50"/>
        <cfvo type="max"/>
        <color rgb="FFF8696B"/>
        <color rgb="FFFCFCFF"/>
        <color rgb="FF5A8AC6"/>
      </colorScale>
    </cfRule>
  </conditionalFormatting>
  <conditionalFormatting sqref="C16:N17">
    <cfRule type="colorScale" priority="2">
      <colorScale>
        <cfvo type="min"/>
        <cfvo type="percentile" val="50"/>
        <cfvo type="max"/>
        <color rgb="FFF8696B"/>
        <color rgb="FFFCFCFF"/>
        <color rgb="FF5A8AC6"/>
      </colorScale>
    </cfRule>
  </conditionalFormatting>
  <conditionalFormatting sqref="C18:N18">
    <cfRule type="colorScale" priority="3">
      <colorScale>
        <cfvo type="min"/>
        <cfvo type="percentile" val="50"/>
        <cfvo type="max"/>
        <color rgb="FFF8696B"/>
        <color rgb="FFFCFCFF"/>
        <color rgb="FF5A8AC6"/>
      </colorScale>
    </cfRule>
  </conditionalFormatting>
  <conditionalFormatting sqref="C19:N19">
    <cfRule type="colorScale" priority="4">
      <colorScale>
        <cfvo type="min"/>
        <cfvo type="percentile" val="50"/>
        <cfvo type="max"/>
        <color rgb="FFF8696B"/>
        <color rgb="FFFCFCFF"/>
        <color rgb="FF5A8AC6"/>
      </colorScale>
    </cfRule>
  </conditionalFormatting>
  <conditionalFormatting sqref="C21:N21">
    <cfRule type="colorScale" priority="5">
      <colorScale>
        <cfvo type="min"/>
        <cfvo type="percentile" val="50"/>
        <cfvo type="max"/>
        <color rgb="FFF8696B"/>
        <color rgb="FFFCFCFF"/>
        <color rgb="FF5A8AC6"/>
      </colorScale>
    </cfRule>
  </conditionalFormatting>
  <conditionalFormatting sqref="C22:N22">
    <cfRule type="colorScale" priority="6">
      <colorScale>
        <cfvo type="min"/>
        <cfvo type="percentile" val="50"/>
        <cfvo type="max"/>
        <color rgb="FFF8696B"/>
        <color rgb="FFFCFCFF"/>
        <color rgb="FF5A8AC6"/>
      </colorScale>
    </cfRule>
  </conditionalFormatting>
  <conditionalFormatting sqref="C64:N67">
    <cfRule type="colorScale" priority="7">
      <colorScale>
        <cfvo type="min"/>
        <cfvo type="percentile" val="50"/>
        <cfvo type="max"/>
        <color rgb="FFF8696B"/>
        <color rgb="FFFCFCFF"/>
        <color rgb="FF5A8AC6"/>
      </colorScale>
    </cfRule>
  </conditionalFormatting>
  <conditionalFormatting sqref="C71:N73">
    <cfRule type="colorScale" priority="8">
      <colorScale>
        <cfvo type="min"/>
        <cfvo type="percentile" val="50"/>
        <cfvo type="max"/>
        <color rgb="FFF8696B"/>
        <color rgb="FFFCFCFF"/>
        <color rgb="FF5A8AC6"/>
      </colorScale>
    </cfRule>
  </conditionalFormatting>
  <conditionalFormatting sqref="C74:N74">
    <cfRule type="colorScale" priority="9">
      <colorScale>
        <cfvo type="min"/>
        <cfvo type="percentile" val="50"/>
        <cfvo type="max"/>
        <color rgb="FFF8696B"/>
        <color rgb="FFFCFCFF"/>
        <color rgb="FF5A8AC6"/>
      </colorScale>
    </cfRule>
  </conditionalFormatting>
  <conditionalFormatting sqref="D67:N67">
    <cfRule type="containsText" dxfId="4" priority="10" operator="containsText" text="Inelastic">
      <formula>NOT(ISERROR(SEARCH(("Inelastic"),(D67))))</formula>
    </cfRule>
    <cfRule type="beginsWith" dxfId="3" priority="11" operator="beginsWith" text="Elastic">
      <formula>LEFT((D67),LEN("Elastic"))=("Elastic")</formula>
    </cfRule>
  </conditionalFormatting>
  <conditionalFormatting sqref="D74:N74">
    <cfRule type="containsText" dxfId="2" priority="12" operator="containsText" text="Inelastic">
      <formula>NOT(ISERROR(SEARCH(("Inelastic"),(D74))))</formula>
    </cfRule>
    <cfRule type="beginsWith" dxfId="1" priority="13" operator="beginsWith" text="Elastic">
      <formula>LEFT((D74),LEN("Elastic"))=("Elastic")</formula>
    </cfRule>
  </conditionalFormatting>
  <conditionalFormatting sqref="F20:Q20 O18:Q19 O21:Q22">
    <cfRule type="colorScale" priority="14">
      <colorScale>
        <cfvo type="min"/>
        <cfvo type="percentile" val="50"/>
        <cfvo type="max"/>
        <color rgb="FFF8696B"/>
        <color rgb="FFFCFCFF"/>
        <color rgb="FF5A8AC6"/>
      </colorScale>
    </cfRule>
  </conditionalFormatting>
  <conditionalFormatting sqref="O15:Q17">
    <cfRule type="colorScale" priority="15">
      <colorScale>
        <cfvo type="min"/>
        <cfvo type="percentile" val="50"/>
        <cfvo type="max"/>
        <color rgb="FFF8696B"/>
        <color rgb="FFFCFCFF"/>
        <color rgb="FF5A8AC6"/>
      </colorScale>
    </cfRule>
  </conditionalFormatting>
  <pageMargins left="0.7" right="0.7" top="0.75" bottom="0.75"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5E0B3"/>
  </sheetPr>
  <dimension ref="A1:Z1000"/>
  <sheetViews>
    <sheetView showGridLines="0" workbookViewId="0">
      <selection activeCell="V22" sqref="V22"/>
    </sheetView>
  </sheetViews>
  <sheetFormatPr defaultColWidth="14.42578125" defaultRowHeight="15" customHeight="1" x14ac:dyDescent="0.25"/>
  <cols>
    <col min="1" max="1" width="22.28515625" customWidth="1"/>
    <col min="2" max="2" width="10.7109375" customWidth="1"/>
    <col min="3" max="3" width="25.42578125" customWidth="1"/>
    <col min="4" max="4" width="28.42578125" customWidth="1"/>
    <col min="5" max="5" width="16.42578125" customWidth="1"/>
    <col min="6" max="6" width="15.140625" customWidth="1"/>
    <col min="7" max="16" width="14.85546875" customWidth="1"/>
    <col min="17" max="17" width="15.85546875" customWidth="1"/>
    <col min="18" max="18" width="15.42578125" customWidth="1"/>
    <col min="19" max="26" width="8.7109375" customWidth="1"/>
  </cols>
  <sheetData>
    <row r="1" spans="1:26" ht="13.5" customHeight="1" x14ac:dyDescent="0.4">
      <c r="A1" s="125" t="s">
        <v>131</v>
      </c>
      <c r="B1" s="126"/>
      <c r="C1" s="126"/>
      <c r="D1" s="126"/>
      <c r="E1" s="126"/>
      <c r="F1" s="126"/>
      <c r="G1" s="126"/>
      <c r="H1" s="126"/>
      <c r="I1" s="126"/>
      <c r="J1" s="126"/>
      <c r="K1" s="126"/>
      <c r="L1" s="126"/>
      <c r="M1" s="126"/>
      <c r="N1" s="126"/>
      <c r="O1" s="126"/>
      <c r="P1" s="126"/>
      <c r="Q1" s="126"/>
      <c r="R1" s="126"/>
      <c r="S1" s="126"/>
      <c r="T1" s="126"/>
      <c r="U1" s="126"/>
      <c r="V1" s="126"/>
      <c r="W1" s="126"/>
      <c r="X1" s="126"/>
      <c r="Y1" s="126"/>
      <c r="Z1" s="126"/>
    </row>
    <row r="2" spans="1:26" ht="13.5" customHeight="1" x14ac:dyDescent="0.25">
      <c r="A2" s="35" t="s">
        <v>132</v>
      </c>
      <c r="B2" s="35"/>
      <c r="C2" s="35"/>
      <c r="D2" s="35"/>
      <c r="E2" s="35"/>
      <c r="F2" s="35"/>
      <c r="G2" s="35"/>
      <c r="H2" s="35"/>
      <c r="I2" s="35"/>
      <c r="J2" s="35"/>
      <c r="K2" s="35"/>
      <c r="L2" s="35"/>
      <c r="M2" s="35"/>
      <c r="N2" s="35"/>
      <c r="O2" s="35"/>
      <c r="P2" s="35"/>
      <c r="Q2" s="35"/>
      <c r="R2" s="35"/>
      <c r="S2" s="35"/>
      <c r="T2" s="35"/>
      <c r="U2" s="35"/>
      <c r="V2" s="35"/>
      <c r="W2" s="35"/>
      <c r="X2" s="35"/>
      <c r="Y2" s="35"/>
      <c r="Z2" s="35"/>
    </row>
    <row r="3" spans="1:26" ht="13.5" customHeight="1" x14ac:dyDescent="0.25">
      <c r="A3" s="35" t="s">
        <v>133</v>
      </c>
      <c r="B3" s="35"/>
      <c r="C3" s="35"/>
      <c r="D3" s="35"/>
      <c r="E3" s="35"/>
      <c r="F3" s="35"/>
      <c r="G3" s="35"/>
      <c r="H3" s="35"/>
      <c r="I3" s="35"/>
      <c r="J3" s="35"/>
      <c r="K3" s="35"/>
      <c r="L3" s="35"/>
      <c r="M3" s="35"/>
      <c r="N3" s="35"/>
      <c r="O3" s="35"/>
      <c r="P3" s="35"/>
      <c r="Q3" s="35"/>
      <c r="R3" s="35"/>
      <c r="S3" s="35"/>
      <c r="T3" s="35"/>
      <c r="U3" s="35"/>
      <c r="V3" s="35"/>
      <c r="W3" s="35"/>
      <c r="X3" s="35"/>
      <c r="Y3" s="35"/>
      <c r="Z3" s="35"/>
    </row>
    <row r="4" spans="1:26" ht="54.75" customHeight="1" x14ac:dyDescent="0.25">
      <c r="A4" s="208" t="s">
        <v>134</v>
      </c>
      <c r="B4" s="197"/>
      <c r="C4" s="197"/>
      <c r="D4" s="197"/>
      <c r="E4" s="197"/>
      <c r="F4" s="197"/>
      <c r="G4" s="197"/>
      <c r="H4" s="197"/>
      <c r="I4" s="197"/>
      <c r="J4" s="197"/>
      <c r="K4" s="197"/>
      <c r="L4" s="197"/>
      <c r="M4" s="197"/>
      <c r="N4" s="197"/>
      <c r="O4" s="197"/>
      <c r="P4" s="197"/>
      <c r="Q4" s="197"/>
      <c r="R4" s="197"/>
      <c r="S4" s="35"/>
      <c r="T4" s="35"/>
      <c r="U4" s="35"/>
      <c r="V4" s="35"/>
      <c r="W4" s="35"/>
      <c r="X4" s="35"/>
      <c r="Y4" s="35"/>
      <c r="Z4" s="35"/>
    </row>
    <row r="5" spans="1:26" ht="56.25" customHeight="1" x14ac:dyDescent="0.25">
      <c r="A5" s="207" t="s">
        <v>135</v>
      </c>
      <c r="B5" s="206"/>
      <c r="C5" s="206"/>
      <c r="D5" s="206"/>
      <c r="E5" s="206"/>
      <c r="F5" s="206"/>
      <c r="G5" s="206"/>
      <c r="H5" s="206"/>
      <c r="I5" s="206"/>
      <c r="J5" s="206"/>
      <c r="K5" s="206"/>
      <c r="L5" s="206"/>
      <c r="M5" s="206"/>
      <c r="N5" s="206"/>
      <c r="O5" s="206"/>
      <c r="P5" s="206"/>
      <c r="Q5" s="206"/>
      <c r="R5" s="206"/>
      <c r="S5" s="206"/>
      <c r="T5" s="35"/>
      <c r="U5" s="35"/>
      <c r="V5" s="35"/>
      <c r="W5" s="35"/>
      <c r="X5" s="35"/>
      <c r="Y5" s="35"/>
      <c r="Z5" s="35"/>
    </row>
    <row r="6" spans="1:26" ht="56.25" customHeight="1" x14ac:dyDescent="0.25">
      <c r="A6" s="210" t="s">
        <v>136</v>
      </c>
      <c r="B6" s="197"/>
      <c r="C6" s="197"/>
      <c r="D6" s="197"/>
      <c r="E6" s="197"/>
      <c r="F6" s="197"/>
      <c r="G6" s="197"/>
      <c r="H6" s="197"/>
      <c r="I6" s="197"/>
      <c r="J6" s="197"/>
      <c r="K6" s="197"/>
      <c r="L6" s="197"/>
      <c r="M6" s="197"/>
      <c r="N6" s="197"/>
      <c r="O6" s="197"/>
      <c r="P6" s="197"/>
      <c r="Q6" s="197"/>
      <c r="R6" s="35"/>
      <c r="S6" s="35"/>
      <c r="T6" s="35"/>
      <c r="U6" s="35"/>
      <c r="V6" s="35"/>
      <c r="W6" s="35"/>
      <c r="X6" s="35"/>
      <c r="Y6" s="35"/>
      <c r="Z6" s="35"/>
    </row>
    <row r="7" spans="1:26" ht="24.75" customHeight="1" x14ac:dyDescent="0.25">
      <c r="A7" s="211" t="s">
        <v>137</v>
      </c>
      <c r="B7" s="197"/>
      <c r="C7" s="197"/>
      <c r="D7" s="197"/>
      <c r="E7" s="197"/>
      <c r="F7" s="197"/>
      <c r="G7" s="197"/>
      <c r="H7" s="197"/>
      <c r="I7" s="197"/>
      <c r="J7" s="197"/>
      <c r="K7" s="197"/>
      <c r="L7" s="197"/>
      <c r="M7" s="197"/>
      <c r="N7" s="197"/>
      <c r="O7" s="62"/>
      <c r="P7" s="62"/>
      <c r="Q7" s="62"/>
      <c r="R7" s="35"/>
      <c r="S7" s="35"/>
      <c r="T7" s="35"/>
      <c r="U7" s="35"/>
      <c r="V7" s="35"/>
      <c r="W7" s="35"/>
      <c r="X7" s="35"/>
      <c r="Y7" s="35"/>
      <c r="Z7" s="35"/>
    </row>
    <row r="8" spans="1:26" ht="13.5" customHeight="1" x14ac:dyDescent="0.25">
      <c r="A8" s="36" t="s">
        <v>138</v>
      </c>
      <c r="B8" s="36"/>
      <c r="C8" s="36"/>
      <c r="D8" s="36"/>
      <c r="E8" s="36"/>
      <c r="F8" s="36"/>
      <c r="G8" s="36"/>
      <c r="H8" s="36"/>
      <c r="I8" s="36"/>
      <c r="J8" s="36"/>
      <c r="K8" s="36"/>
      <c r="L8" s="36"/>
      <c r="M8" s="36"/>
      <c r="N8" s="36"/>
      <c r="O8" s="36"/>
      <c r="P8" s="36"/>
      <c r="Q8" s="36"/>
      <c r="R8" s="36"/>
      <c r="S8" s="36"/>
      <c r="T8" s="36"/>
      <c r="U8" s="36"/>
      <c r="V8" s="36"/>
      <c r="W8" s="36"/>
      <c r="X8" s="36"/>
      <c r="Y8" s="36"/>
      <c r="Z8" s="36"/>
    </row>
    <row r="9" spans="1:26" ht="13.5" customHeight="1" x14ac:dyDescent="0.25">
      <c r="A9" s="36" t="s">
        <v>84</v>
      </c>
      <c r="B9" s="35"/>
      <c r="C9" s="35"/>
      <c r="D9" s="35"/>
      <c r="E9" s="35"/>
      <c r="F9" s="35"/>
      <c r="G9" s="35"/>
      <c r="H9" s="35"/>
      <c r="I9" s="35"/>
      <c r="J9" s="35"/>
      <c r="K9" s="35"/>
      <c r="L9" s="35"/>
      <c r="M9" s="35"/>
      <c r="N9" s="35"/>
      <c r="O9" s="35"/>
      <c r="P9" s="35"/>
      <c r="Q9" s="35"/>
      <c r="R9" s="35"/>
      <c r="S9" s="35"/>
      <c r="T9" s="35"/>
      <c r="U9" s="35"/>
      <c r="V9" s="35"/>
      <c r="W9" s="35"/>
      <c r="X9" s="35"/>
      <c r="Y9" s="35"/>
      <c r="Z9" s="35"/>
    </row>
    <row r="10" spans="1:26" ht="13.5" customHeight="1"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83.25" customHeight="1" x14ac:dyDescent="0.25">
      <c r="A11" s="205" t="s">
        <v>139</v>
      </c>
      <c r="B11" s="206"/>
      <c r="C11" s="206"/>
      <c r="D11" s="206"/>
      <c r="E11" s="206"/>
      <c r="F11" s="206"/>
      <c r="G11" s="206"/>
      <c r="H11" s="206"/>
      <c r="I11" s="206"/>
      <c r="J11" s="206"/>
      <c r="K11" s="206"/>
      <c r="L11" s="206"/>
      <c r="M11" s="206"/>
      <c r="N11" s="206"/>
      <c r="O11" s="206"/>
      <c r="P11" s="206"/>
      <c r="Q11" s="206"/>
      <c r="R11" s="206"/>
      <c r="S11" s="206"/>
      <c r="T11" s="206"/>
      <c r="U11" s="206"/>
      <c r="V11" s="123"/>
      <c r="W11" s="128"/>
      <c r="X11" s="128"/>
      <c r="Y11" s="128"/>
      <c r="Z11" s="128"/>
    </row>
    <row r="12" spans="1:26" ht="33" customHeight="1" x14ac:dyDescent="0.25">
      <c r="A12" s="205" t="s">
        <v>140</v>
      </c>
      <c r="B12" s="206"/>
      <c r="C12" s="206"/>
      <c r="D12" s="206"/>
      <c r="E12" s="206"/>
      <c r="F12" s="206"/>
      <c r="G12" s="206"/>
      <c r="H12" s="206"/>
      <c r="I12" s="206"/>
      <c r="J12" s="206"/>
      <c r="K12" s="152"/>
      <c r="L12" s="152"/>
      <c r="M12" s="152"/>
      <c r="N12" s="152"/>
      <c r="O12" s="152"/>
      <c r="P12" s="152"/>
      <c r="Q12" s="152"/>
      <c r="R12" s="152"/>
      <c r="S12" s="152"/>
      <c r="T12" s="152"/>
      <c r="U12" s="152"/>
      <c r="V12" s="123"/>
      <c r="W12" s="128"/>
      <c r="X12" s="128"/>
      <c r="Y12" s="128"/>
      <c r="Z12" s="128"/>
    </row>
    <row r="13" spans="1:26" ht="13.5" customHeight="1" x14ac:dyDescent="0.25">
      <c r="A13" s="115" t="s">
        <v>141</v>
      </c>
      <c r="B13" s="115"/>
      <c r="C13" s="115"/>
      <c r="D13" s="115"/>
      <c r="E13" s="129">
        <v>41821</v>
      </c>
      <c r="F13" s="129">
        <v>41852</v>
      </c>
      <c r="G13" s="129">
        <v>41883</v>
      </c>
      <c r="H13" s="129">
        <v>41913</v>
      </c>
      <c r="I13" s="129">
        <v>41944</v>
      </c>
      <c r="J13" s="129">
        <v>41974</v>
      </c>
      <c r="K13" s="129">
        <v>42005</v>
      </c>
      <c r="L13" s="129">
        <v>42036</v>
      </c>
      <c r="M13" s="129">
        <v>42064</v>
      </c>
      <c r="N13" s="129">
        <v>42095</v>
      </c>
      <c r="O13" s="129">
        <v>42125</v>
      </c>
      <c r="P13" s="129">
        <v>42156</v>
      </c>
      <c r="Q13" s="130" t="s">
        <v>142</v>
      </c>
      <c r="R13" s="121"/>
      <c r="S13" s="121"/>
      <c r="T13" s="121"/>
      <c r="U13" s="121"/>
      <c r="V13" s="121"/>
      <c r="W13" s="121"/>
      <c r="X13" s="121"/>
      <c r="Y13" s="121"/>
      <c r="Z13" s="121"/>
    </row>
    <row r="14" spans="1:26" ht="13.5" customHeight="1" x14ac:dyDescent="0.25">
      <c r="A14" s="115"/>
      <c r="B14" s="115"/>
      <c r="C14" s="115"/>
      <c r="D14" s="115"/>
      <c r="E14" s="131">
        <f t="shared" ref="E14:P14" si="0">MONTH(E13)</f>
        <v>7</v>
      </c>
      <c r="F14" s="131">
        <f t="shared" si="0"/>
        <v>8</v>
      </c>
      <c r="G14" s="131">
        <f t="shared" si="0"/>
        <v>9</v>
      </c>
      <c r="H14" s="131">
        <f t="shared" si="0"/>
        <v>10</v>
      </c>
      <c r="I14" s="131">
        <f t="shared" si="0"/>
        <v>11</v>
      </c>
      <c r="J14" s="131">
        <f t="shared" si="0"/>
        <v>12</v>
      </c>
      <c r="K14" s="131">
        <f t="shared" si="0"/>
        <v>1</v>
      </c>
      <c r="L14" s="131">
        <f t="shared" si="0"/>
        <v>2</v>
      </c>
      <c r="M14" s="131">
        <f t="shared" si="0"/>
        <v>3</v>
      </c>
      <c r="N14" s="131">
        <f t="shared" si="0"/>
        <v>4</v>
      </c>
      <c r="O14" s="131">
        <f t="shared" si="0"/>
        <v>5</v>
      </c>
      <c r="P14" s="131">
        <f t="shared" si="0"/>
        <v>6</v>
      </c>
      <c r="Q14" s="130"/>
      <c r="R14" s="121"/>
      <c r="S14" s="121"/>
      <c r="T14" s="121"/>
      <c r="U14" s="121"/>
      <c r="V14" s="121"/>
      <c r="W14" s="121"/>
      <c r="X14" s="121"/>
      <c r="Y14" s="121"/>
      <c r="Z14" s="121"/>
    </row>
    <row r="15" spans="1:26" ht="13.5" customHeight="1" x14ac:dyDescent="0.25">
      <c r="A15" s="58" t="s">
        <v>143</v>
      </c>
      <c r="B15" s="38" t="s">
        <v>144</v>
      </c>
      <c r="C15" s="26"/>
      <c r="D15" s="26"/>
      <c r="E15" s="63">
        <f>AVERAGEIFS('Water Trading Repository Table'!$C:$C,
            'Water Trading Repository Table'!$A:$A, "&gt;=" &amp; E$13,
            'Water Trading Repository Table'!$A:$A, "&lt;" &amp; EDATE(E$13, 1))</f>
        <v>76.602720430107496</v>
      </c>
      <c r="F15" s="63">
        <f>AVERAGEIFS('Water Trading Repository Table'!$C:$C,
            'Water Trading Repository Table'!$A:$A, "&gt;=" &amp; F$13,
            'Water Trading Repository Table'!$A:$A, "&lt;" &amp; EDATE(F$13, 1))</f>
        <v>74.932540098566292</v>
      </c>
      <c r="G15" s="63">
        <f>AVERAGEIFS('Water Trading Repository Table'!$C:$C,
            'Water Trading Repository Table'!$A:$A, "&gt;=" &amp; G$13,
            'Water Trading Repository Table'!$A:$A, "&lt;" &amp; EDATE(G$13, 1))</f>
        <v>74.066319823232305</v>
      </c>
      <c r="H15" s="63">
        <f>AVERAGEIFS('Water Trading Repository Table'!$C:$C,
            'Water Trading Repository Table'!$A:$A, "&gt;=" &amp; H$13,
            'Water Trading Repository Table'!$A:$A, "&lt;" &amp; EDATE(H$13, 1))</f>
        <v>75.093148943932377</v>
      </c>
      <c r="I15" s="63">
        <f>AVERAGEIFS('Water Trading Repository Table'!$C:$C,
            'Water Trading Repository Table'!$A:$A, "&gt;=" &amp; I$13,
            'Water Trading Repository Table'!$A:$A, "&lt;" &amp; EDATE(I$13, 1))</f>
        <v>73.700956254509322</v>
      </c>
      <c r="J15" s="63">
        <f>AVERAGEIFS('Water Trading Repository Table'!$C:$C,
            'Water Trading Repository Table'!$A:$A, "&gt;=" &amp; J$13,
            'Water Trading Repository Table'!$A:$A, "&lt;" &amp; EDATE(J$13, 1))</f>
        <v>74.376656830400748</v>
      </c>
      <c r="K15" s="63">
        <f>AVERAGEIFS('Water Trading Repository Table'!$C:$C,
            'Water Trading Repository Table'!$A:$A, "&gt;=1/1/2014",
            'Water Trading Repository Table'!$A:$A, "&lt;2/1/2014")</f>
        <v>86.391757235371969</v>
      </c>
      <c r="L15" s="63">
        <f>AVERAGEIFS('Water Trading Repository Table'!$C:$C,
            'Water Trading Repository Table'!$A:$A, "&gt;=2/1/2014",
            'Water Trading Repository Table'!$A:$A, "&lt;3/1/2014")</f>
        <v>86.829490475868141</v>
      </c>
      <c r="M15" s="63">
        <f>AVERAGEIFS('Water Trading Repository Table'!$C:$C,
            'Water Trading Repository Table'!$A:$A, "&gt;=3/1/2014",
            'Water Trading Repository Table'!$A:$A, "&lt;4/1/2014")</f>
        <v>81.49989122823844</v>
      </c>
      <c r="N15" s="63">
        <f>AVERAGEIFS('Water Trading Repository Table'!$C:$C,
            'Water Trading Repository Table'!$A:$A, "&gt;=4/1/2014",
            'Water Trading Repository Table'!$A:$A, "&lt;5/1/2014")</f>
        <v>72.569232168710826</v>
      </c>
      <c r="O15" s="63">
        <f>AVERAGEIFS('Water Trading Repository Table'!$C:$C,
            'Water Trading Repository Table'!$A:$A, "&gt;=5/1/2014",
            'Water Trading Repository Table'!$A:$A, "&lt;6/1/2014")</f>
        <v>71.259354341223244</v>
      </c>
      <c r="P15" s="63">
        <f>AVERAGEIFS('Water Trading Repository Table'!$C:$C,
            'Water Trading Repository Table'!$A:$A, "&gt;=6/1/2014",
            'Water Trading Repository Table'!$A:$A, "&lt;7/1/2014")</f>
        <v>72.156510799663252</v>
      </c>
      <c r="Q15" s="63">
        <f>SUM(E15:P15)</f>
        <v>919.47857862982448</v>
      </c>
      <c r="R15" s="26"/>
      <c r="S15" s="26"/>
      <c r="T15" s="26"/>
      <c r="U15" s="26"/>
      <c r="V15" s="26"/>
      <c r="W15" s="26"/>
      <c r="X15" s="26"/>
      <c r="Y15" s="26"/>
      <c r="Z15" s="26"/>
    </row>
    <row r="16" spans="1:26" ht="13.5" customHeight="1" x14ac:dyDescent="0.25">
      <c r="A16" s="58" t="s">
        <v>143</v>
      </c>
      <c r="B16" s="38" t="s">
        <v>145</v>
      </c>
      <c r="C16" s="26"/>
      <c r="D16" s="26"/>
      <c r="E16" s="64">
        <f>AVERAGEIFS('Water Trading Repository Table'!$B:$B,
            'Water Trading Repository Table'!$A:$A, "&gt;=" &amp; E$13,
            'Water Trading Repository Table'!$A:$A, "&lt;" &amp; EDATE(E$13, 1))</f>
        <v>2283.0502472527673</v>
      </c>
      <c r="F16" s="64">
        <f>AVERAGEIFS('Water Trading Repository Table'!$B:$B,
            'Water Trading Repository Table'!$A:$A, "&gt;=" &amp; F$13,
            'Water Trading Repository Table'!$A:$A, "&lt;" &amp; EDATE(F$13, 1))</f>
        <v>2201.0592458815067</v>
      </c>
      <c r="G16" s="64">
        <f>AVERAGEIFS('Water Trading Repository Table'!$B:$B,
            'Water Trading Repository Table'!$A:$A, "&gt;=" &amp; G$13,
            'Water Trading Repository Table'!$A:$A, "&lt;" &amp; EDATE(G$13, 1))</f>
        <v>2153.3431850899528</v>
      </c>
      <c r="H16" s="64">
        <f>AVERAGEIFS('Water Trading Repository Table'!$B:$B,
            'Water Trading Repository Table'!$A:$A, "&gt;=" &amp; H$13,
            'Water Trading Repository Table'!$A:$A, "&lt;" &amp; EDATE(H$13, 1))</f>
        <v>2098.9913812617792</v>
      </c>
      <c r="I16" s="64">
        <f>AVERAGEIFS('Water Trading Repository Table'!$B:$B,
            'Water Trading Repository Table'!$A:$A, "&gt;=" &amp; I$13,
            'Water Trading Repository Table'!$A:$A, "&lt;" &amp; EDATE(I$13, 1))</f>
        <v>2200.9293289926659</v>
      </c>
      <c r="J16" s="64">
        <f>AVERAGEIFS('Water Trading Repository Table'!$B:$B,
            'Water Trading Repository Table'!$A:$A, "&gt;=" &amp; J$13,
            'Water Trading Repository Table'!$A:$A, "&lt;" &amp; EDATE(J$13, 1))</f>
        <v>2312.1995397611418</v>
      </c>
      <c r="K16" s="63">
        <f>AVERAGEIFS('Water Trading Repository Table'!$B:$B,
            'Water Trading Repository Table'!$A:$A, "&gt;=1/1/2014",
            'Water Trading Repository Table'!$A:$A, "&lt;2/1/2014")</f>
        <v>2298.1901589653967</v>
      </c>
      <c r="L16" s="63">
        <f>AVERAGEIFS('Water Trading Repository Table'!$B:$B,
            'Water Trading Repository Table'!$A:$A, "&gt;=2/1/2014",
            'Water Trading Repository Table'!$A:$A, "&lt;3/1/2014")</f>
        <v>2406.0918962111036</v>
      </c>
      <c r="M16" s="63">
        <f>AVERAGEIFS('Water Trading Repository Table'!$B:$B,
            'Water Trading Repository Table'!$A:$A, "&gt;=3/1/2014",
            'Water Trading Repository Table'!$A:$A, "&lt;4/1/2014")</f>
        <v>2127.8145432709766</v>
      </c>
      <c r="N16" s="63">
        <f>AVERAGEIFS('Water Trading Repository Table'!$B:$B,
            'Water Trading Repository Table'!$A:$A, "&gt;=4/1/2014",
            'Water Trading Repository Table'!$A:$A, "&lt;5/1/2014")</f>
        <v>2185.7997542263706</v>
      </c>
      <c r="O16" s="63">
        <f>AVERAGEIFS('Water Trading Repository Table'!$C:$C,
            'Water Trading Repository Table'!$A:$A, "&gt;=5/1/2014",
            'Water Trading Repository Table'!$A:$A, "&lt;6/1/2014")</f>
        <v>71.259354341223244</v>
      </c>
      <c r="P16" s="63">
        <f>AVERAGEIFS('Water Trading Repository Table'!$C:$C,
            'Water Trading Repository Table'!$A:$A, "&gt;=6/1/2014",
            'Water Trading Repository Table'!$A:$A, "&lt;7/1/2014")</f>
        <v>72.156510799663252</v>
      </c>
      <c r="Q16" s="64">
        <f>SUM(E16:P16)</f>
        <v>22410.885146054545</v>
      </c>
      <c r="R16" s="26"/>
      <c r="S16" s="26"/>
      <c r="T16" s="26"/>
      <c r="U16" s="26"/>
      <c r="V16" s="26"/>
      <c r="W16" s="26"/>
      <c r="X16" s="26"/>
      <c r="Y16" s="26"/>
      <c r="Z16" s="26"/>
    </row>
    <row r="17" spans="1:26" ht="13.5" customHeight="1" x14ac:dyDescent="0.25">
      <c r="A17" s="117"/>
      <c r="B17" s="117"/>
      <c r="C17" s="117"/>
      <c r="D17" s="117"/>
      <c r="E17" s="153"/>
      <c r="F17" s="153"/>
      <c r="G17" s="153"/>
      <c r="H17" s="153"/>
      <c r="I17" s="153"/>
      <c r="J17" s="153"/>
      <c r="K17" s="153"/>
      <c r="L17" s="153"/>
      <c r="M17" s="153"/>
      <c r="N17" s="153"/>
      <c r="O17" s="153"/>
      <c r="P17" s="153"/>
      <c r="Q17" s="153"/>
      <c r="R17" s="117"/>
      <c r="S17" s="117"/>
      <c r="T17" s="117"/>
      <c r="U17" s="117"/>
      <c r="V17" s="117"/>
      <c r="W17" s="117"/>
      <c r="X17" s="117"/>
      <c r="Y17" s="117"/>
      <c r="Z17" s="117"/>
    </row>
    <row r="18" spans="1:26" ht="13.5" customHeight="1"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3.5" customHeight="1"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3.5" customHeight="1"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3.5" customHeight="1"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3.5" customHeight="1"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3.5" customHeight="1"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3.5" customHeight="1"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3.5" customHeight="1"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3.5" customHeight="1"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3.5" customHeight="1"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3.5" customHeight="1"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3.5" customHeight="1"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3.5" customHeight="1"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3.5" customHeight="1"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3.5" customHeight="1"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3.5" customHeight="1"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3.5" customHeight="1"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3.5" customHeight="1"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3.5" customHeight="1" x14ac:dyDescent="0.25">
      <c r="A36" s="154" t="s">
        <v>95</v>
      </c>
      <c r="B36" s="193" t="s">
        <v>146</v>
      </c>
      <c r="C36" s="192"/>
      <c r="D36" s="192"/>
      <c r="E36" s="192"/>
      <c r="F36" s="192"/>
      <c r="G36" s="192"/>
      <c r="H36" s="192"/>
      <c r="I36" s="192"/>
      <c r="J36" s="192"/>
      <c r="K36" s="192"/>
      <c r="L36" s="192"/>
      <c r="M36" s="192"/>
      <c r="N36" s="192"/>
      <c r="O36" s="192"/>
      <c r="P36" s="192"/>
      <c r="Q36" s="192"/>
      <c r="R36" s="192"/>
      <c r="S36" s="192"/>
      <c r="T36" s="192"/>
      <c r="U36" s="192"/>
      <c r="V36" s="192"/>
      <c r="W36" s="192"/>
      <c r="X36" s="192"/>
      <c r="Y36" s="192"/>
      <c r="Z36" s="192"/>
    </row>
    <row r="37" spans="1:26" ht="13.5" customHeight="1"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3.5" customHeight="1"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3.5" customHeight="1"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96" customHeight="1" x14ac:dyDescent="0.25">
      <c r="A40" s="207" t="s">
        <v>147</v>
      </c>
      <c r="B40" s="206"/>
      <c r="C40" s="206"/>
      <c r="D40" s="206"/>
      <c r="E40" s="206"/>
      <c r="F40" s="206"/>
      <c r="G40" s="206"/>
      <c r="H40" s="206"/>
      <c r="I40" s="206"/>
      <c r="J40" s="206"/>
      <c r="K40" s="206"/>
      <c r="L40" s="206"/>
      <c r="M40" s="206"/>
      <c r="N40" s="206"/>
      <c r="O40" s="206"/>
      <c r="P40" s="206"/>
      <c r="Q40" s="206"/>
      <c r="R40" s="206"/>
      <c r="S40" s="206"/>
      <c r="T40" s="206"/>
      <c r="U40" s="206"/>
      <c r="V40" s="123"/>
      <c r="W40" s="128"/>
      <c r="X40" s="128"/>
      <c r="Y40" s="128"/>
      <c r="Z40" s="128"/>
    </row>
    <row r="41" spans="1:26" ht="36" customHeight="1" x14ac:dyDescent="0.25">
      <c r="A41" s="205" t="s">
        <v>148</v>
      </c>
      <c r="B41" s="206"/>
      <c r="C41" s="206"/>
      <c r="D41" s="206"/>
      <c r="E41" s="206"/>
      <c r="F41" s="206"/>
      <c r="G41" s="206"/>
      <c r="H41" s="206"/>
      <c r="I41" s="206"/>
      <c r="J41" s="206"/>
      <c r="K41" s="206"/>
      <c r="L41" s="206"/>
      <c r="M41" s="206"/>
      <c r="N41" s="152"/>
      <c r="O41" s="152"/>
      <c r="P41" s="152"/>
      <c r="Q41" s="152"/>
      <c r="R41" s="152"/>
      <c r="S41" s="152"/>
      <c r="T41" s="152"/>
      <c r="U41" s="152"/>
      <c r="V41" s="123"/>
      <c r="W41" s="128"/>
      <c r="X41" s="128"/>
      <c r="Y41" s="128"/>
      <c r="Z41" s="128"/>
    </row>
    <row r="42" spans="1:26" ht="36" customHeight="1" x14ac:dyDescent="0.25">
      <c r="A42" s="205" t="s">
        <v>149</v>
      </c>
      <c r="B42" s="206"/>
      <c r="C42" s="206"/>
      <c r="D42" s="206"/>
      <c r="E42" s="206"/>
      <c r="F42" s="206"/>
      <c r="G42" s="206"/>
      <c r="H42" s="206"/>
      <c r="I42" s="206"/>
      <c r="J42" s="206"/>
      <c r="K42" s="206"/>
      <c r="L42" s="206"/>
      <c r="M42" s="206"/>
      <c r="N42" s="152"/>
      <c r="O42" s="152"/>
      <c r="P42" s="152"/>
      <c r="Q42" s="152"/>
      <c r="R42" s="152"/>
      <c r="S42" s="152"/>
      <c r="T42" s="152"/>
      <c r="U42" s="152"/>
      <c r="V42" s="123"/>
      <c r="W42" s="128"/>
      <c r="X42" s="128"/>
      <c r="Y42" s="128"/>
      <c r="Z42" s="128"/>
    </row>
    <row r="43" spans="1:26" ht="13.5" customHeight="1" x14ac:dyDescent="0.25">
      <c r="A43" s="38" t="s">
        <v>150</v>
      </c>
      <c r="B43" s="26"/>
      <c r="C43" s="58" t="s">
        <v>151</v>
      </c>
      <c r="D43" s="58" t="s">
        <v>152</v>
      </c>
      <c r="E43" s="58"/>
      <c r="F43" s="4"/>
      <c r="G43" s="4"/>
      <c r="H43" s="4"/>
      <c r="I43" s="4"/>
      <c r="J43" s="4"/>
      <c r="K43" s="4"/>
      <c r="L43" s="4"/>
      <c r="M43" s="4"/>
      <c r="N43" s="4"/>
      <c r="O43" s="4"/>
      <c r="P43" s="4"/>
      <c r="Q43" s="4"/>
      <c r="R43" s="4"/>
      <c r="S43" s="4"/>
      <c r="T43" s="4"/>
      <c r="U43" s="4"/>
      <c r="V43" s="4"/>
      <c r="W43" s="4"/>
      <c r="X43" s="4"/>
      <c r="Y43" s="4"/>
      <c r="Z43" s="4"/>
    </row>
    <row r="44" spans="1:26" ht="13.5" customHeight="1" x14ac:dyDescent="0.25">
      <c r="A44" s="65" t="s">
        <v>153</v>
      </c>
      <c r="B44" s="26"/>
      <c r="C44" s="61">
        <f>AVERAGEIFS('Water Trading Repository Table'!$C:$C,
            'Water Trading Repository Table'!$D:$D, "&gt;=1",
            'Water Trading Repository Table'!$D:$D, "&lt;=3")</f>
        <v>84.842964841069204</v>
      </c>
      <c r="D44" s="41">
        <f>AVERAGEIFS('Water Trading Repository Table'!$B:$B,
            'Water Trading Repository Table'!$D:$D, "&gt;=1",
            'Water Trading Repository Table'!$D:$D, "&lt;=3")</f>
        <v>2273.0746540359828</v>
      </c>
      <c r="E44" s="61"/>
      <c r="F44" s="4"/>
      <c r="G44" s="4"/>
      <c r="H44" s="4"/>
      <c r="I44" s="4"/>
      <c r="J44" s="4"/>
      <c r="K44" s="4"/>
      <c r="L44" s="4"/>
      <c r="M44" s="4"/>
      <c r="N44" s="4"/>
      <c r="O44" s="4"/>
      <c r="P44" s="4"/>
      <c r="Q44" s="4"/>
      <c r="R44" s="4"/>
      <c r="S44" s="4"/>
      <c r="T44" s="4"/>
      <c r="U44" s="4"/>
      <c r="V44" s="4"/>
      <c r="W44" s="4"/>
      <c r="X44" s="4"/>
      <c r="Y44" s="4"/>
      <c r="Z44" s="4"/>
    </row>
    <row r="45" spans="1:26" ht="29.25" customHeight="1" x14ac:dyDescent="0.25">
      <c r="A45" s="65" t="s">
        <v>154</v>
      </c>
      <c r="B45" s="26"/>
      <c r="C45" s="61">
        <f>AVERAGEIFS('Water Trading Repository Table'!$C:$C,
            'Water Trading Repository Table'!$D:$D, "&gt;=4",
            'Water Trading Repository Table'!$D:$D, "&lt;=6")</f>
        <v>71.986948061858712</v>
      </c>
      <c r="D45" s="41">
        <f>AVERAGEIFS('Water Trading Repository Table'!$B:$B,
            'Water Trading Repository Table'!$D:$D, "&gt;=4",
            'Water Trading Repository Table'!$D:$D, "&lt;=6")</f>
        <v>2186.6568983073435</v>
      </c>
      <c r="E45" s="61"/>
      <c r="F45" s="4"/>
      <c r="G45" s="4"/>
      <c r="H45" s="4"/>
      <c r="I45" s="4"/>
      <c r="J45" s="4"/>
      <c r="K45" s="4"/>
      <c r="L45" s="4"/>
      <c r="M45" s="4"/>
      <c r="N45" s="4"/>
      <c r="O45" s="4"/>
      <c r="P45" s="4"/>
      <c r="Q45" s="4"/>
      <c r="R45" s="4"/>
      <c r="S45" s="4"/>
      <c r="T45" s="4"/>
      <c r="U45" s="4"/>
      <c r="V45" s="4"/>
      <c r="W45" s="4"/>
      <c r="X45" s="4"/>
      <c r="Y45" s="4"/>
      <c r="Z45" s="4"/>
    </row>
    <row r="46" spans="1:26" ht="45.75" customHeight="1" x14ac:dyDescent="0.25">
      <c r="A46" s="65" t="s">
        <v>155</v>
      </c>
      <c r="B46" s="26"/>
      <c r="C46" s="188">
        <f>AVERAGEIFS('Water Trading Repository Table'!$C:$C,
            'Water Trading Repository Table'!$D:$D, "&gt;=7",
            'Water Trading Repository Table'!$D:$D, "&lt;=9")</f>
        <v>75.212855120498432</v>
      </c>
      <c r="D46" s="41">
        <f>AVERAGEIFS('Water Trading Repository Table'!$B:$B,
            'Water Trading Repository Table'!$D:$D, "&gt;=7",
            'Water Trading Repository Table'!$D:$D, "&lt;=9")</f>
        <v>2213.1270634767498</v>
      </c>
      <c r="E46" s="61"/>
      <c r="F46" s="4"/>
      <c r="G46" s="4"/>
      <c r="H46" s="4"/>
      <c r="I46" s="4"/>
      <c r="J46" s="4"/>
      <c r="K46" s="4"/>
      <c r="L46" s="4"/>
      <c r="M46" s="4"/>
      <c r="N46" s="4"/>
      <c r="O46" s="4"/>
      <c r="P46" s="4"/>
      <c r="Q46" s="4"/>
      <c r="R46" s="4"/>
      <c r="S46" s="4"/>
      <c r="T46" s="4"/>
      <c r="U46" s="4"/>
      <c r="V46" s="4"/>
      <c r="W46" s="4"/>
      <c r="X46" s="4"/>
      <c r="Y46" s="4"/>
      <c r="Z46" s="4"/>
    </row>
    <row r="47" spans="1:26" ht="38.25" customHeight="1" x14ac:dyDescent="0.25">
      <c r="A47" s="65" t="s">
        <v>156</v>
      </c>
      <c r="B47" s="26"/>
      <c r="C47" s="61">
        <f>AVERAGEIFS('Water Trading Repository Table'!$C:$C,
            'Water Trading Repository Table'!$D:$D, "&gt;=10",
            'Water Trading Repository Table'!$D:$D, "&lt;=12")</f>
        <v>74.39774637651746</v>
      </c>
      <c r="D47" s="41">
        <f>AVERAGEIFS('Water Trading Repository Table'!$B:$B,
            'Water Trading Repository Table'!$D:$D, "&gt;=10",
            'Water Trading Repository Table'!$D:$D, "&lt;=12")</f>
        <v>2204.0738958857687</v>
      </c>
      <c r="E47" s="61"/>
      <c r="F47" s="4"/>
      <c r="G47" s="4"/>
      <c r="H47" s="4"/>
      <c r="I47" s="4"/>
      <c r="J47" s="4"/>
      <c r="K47" s="4"/>
      <c r="L47" s="4"/>
      <c r="M47" s="4"/>
      <c r="N47" s="4"/>
      <c r="O47" s="4"/>
      <c r="P47" s="4"/>
      <c r="Q47" s="4"/>
      <c r="R47" s="4"/>
      <c r="S47" s="4"/>
      <c r="T47" s="4"/>
      <c r="U47" s="4"/>
      <c r="V47" s="4"/>
      <c r="W47" s="4"/>
      <c r="X47" s="4"/>
      <c r="Y47" s="4"/>
      <c r="Z47" s="4"/>
    </row>
    <row r="48" spans="1:26" ht="13.5" customHeight="1" x14ac:dyDescent="0.25">
      <c r="A48" s="65"/>
      <c r="B48" s="26"/>
      <c r="C48" s="61"/>
      <c r="D48" s="41"/>
      <c r="E48" s="61"/>
      <c r="F48" s="4"/>
      <c r="G48" s="4"/>
      <c r="H48" s="4"/>
      <c r="I48" s="4"/>
      <c r="J48" s="4"/>
      <c r="K48" s="4"/>
      <c r="L48" s="4"/>
      <c r="M48" s="4"/>
      <c r="N48" s="4"/>
      <c r="O48" s="4"/>
      <c r="P48" s="4"/>
      <c r="Q48" s="4"/>
      <c r="R48" s="4"/>
      <c r="S48" s="4"/>
      <c r="T48" s="4"/>
      <c r="U48" s="4"/>
      <c r="V48" s="4"/>
      <c r="W48" s="4"/>
      <c r="X48" s="4"/>
      <c r="Y48" s="4"/>
      <c r="Z48" s="4"/>
    </row>
    <row r="49" spans="1:26" ht="13.5" customHeight="1" x14ac:dyDescent="0.25">
      <c r="A49" s="192" t="s">
        <v>95</v>
      </c>
      <c r="B49" s="193" t="s">
        <v>157</v>
      </c>
      <c r="C49" s="192"/>
      <c r="D49" s="192"/>
      <c r="E49" s="192"/>
      <c r="F49" s="192"/>
      <c r="G49" s="192"/>
      <c r="H49" s="192"/>
      <c r="I49" s="192"/>
      <c r="J49" s="192"/>
      <c r="K49" s="192"/>
      <c r="L49" s="192"/>
      <c r="M49" s="192"/>
      <c r="N49" s="192"/>
      <c r="O49" s="192"/>
      <c r="P49" s="192"/>
      <c r="Q49" s="192"/>
      <c r="R49" s="192"/>
      <c r="S49" s="192"/>
      <c r="T49" s="192"/>
      <c r="U49" s="192"/>
      <c r="V49" s="192"/>
      <c r="W49" s="192"/>
      <c r="X49" s="192"/>
      <c r="Y49" s="192"/>
      <c r="Z49" s="192"/>
    </row>
    <row r="50" spans="1:26" ht="13.5" customHeight="1"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57" customHeight="1" x14ac:dyDescent="0.25">
      <c r="A51" s="212" t="s">
        <v>158</v>
      </c>
      <c r="B51" s="206"/>
      <c r="C51" s="206"/>
      <c r="D51" s="206"/>
      <c r="E51" s="206"/>
      <c r="F51" s="206"/>
      <c r="G51" s="206"/>
      <c r="H51" s="206"/>
      <c r="I51" s="206"/>
      <c r="J51" s="206"/>
      <c r="K51" s="206"/>
      <c r="L51" s="206"/>
      <c r="M51" s="206"/>
      <c r="N51" s="206"/>
      <c r="O51" s="206"/>
      <c r="P51" s="206"/>
      <c r="Q51" s="206"/>
      <c r="R51" s="155"/>
      <c r="S51" s="155"/>
      <c r="T51" s="155"/>
      <c r="U51" s="155"/>
      <c r="V51" s="155"/>
      <c r="W51" s="155"/>
      <c r="X51" s="155"/>
      <c r="Y51" s="155"/>
      <c r="Z51" s="155"/>
    </row>
    <row r="52" spans="1:26" ht="13.5" customHeight="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59.25" customHeight="1" x14ac:dyDescent="0.25">
      <c r="A53" s="205" t="s">
        <v>159</v>
      </c>
      <c r="B53" s="206"/>
      <c r="C53" s="206"/>
      <c r="D53" s="206"/>
      <c r="E53" s="206"/>
      <c r="F53" s="206"/>
      <c r="G53" s="206"/>
      <c r="H53" s="206"/>
      <c r="I53" s="206"/>
      <c r="J53" s="206"/>
      <c r="K53" s="206"/>
      <c r="L53" s="206"/>
      <c r="M53" s="206"/>
      <c r="N53" s="206"/>
      <c r="O53" s="206"/>
      <c r="P53" s="206"/>
      <c r="Q53" s="104"/>
      <c r="R53" s="104"/>
      <c r="S53" s="104"/>
      <c r="T53" s="104"/>
      <c r="U53" s="104"/>
      <c r="V53" s="104"/>
      <c r="W53" s="104"/>
      <c r="X53" s="104"/>
      <c r="Y53" s="104"/>
      <c r="Z53" s="104"/>
    </row>
    <row r="54" spans="1:26" ht="13.5" customHeight="1" x14ac:dyDescent="0.25">
      <c r="A54" s="121"/>
      <c r="B54" s="121"/>
      <c r="C54" s="121"/>
      <c r="D54" s="121"/>
      <c r="E54" s="156" t="s">
        <v>160</v>
      </c>
      <c r="F54" s="156" t="s">
        <v>160</v>
      </c>
      <c r="G54" s="156" t="s">
        <v>160</v>
      </c>
      <c r="H54" s="156" t="s">
        <v>161</v>
      </c>
      <c r="I54" s="156" t="s">
        <v>161</v>
      </c>
      <c r="J54" s="156" t="s">
        <v>161</v>
      </c>
      <c r="K54" s="156" t="s">
        <v>162</v>
      </c>
      <c r="L54" s="156" t="s">
        <v>162</v>
      </c>
      <c r="M54" s="156" t="s">
        <v>162</v>
      </c>
      <c r="N54" s="156" t="s">
        <v>163</v>
      </c>
      <c r="O54" s="156" t="s">
        <v>163</v>
      </c>
      <c r="P54" s="156" t="s">
        <v>163</v>
      </c>
      <c r="Q54" s="121"/>
      <c r="R54" s="121"/>
      <c r="S54" s="121"/>
      <c r="T54" s="121"/>
      <c r="U54" s="121"/>
      <c r="V54" s="121"/>
      <c r="W54" s="121"/>
      <c r="X54" s="121"/>
      <c r="Y54" s="121"/>
      <c r="Z54" s="121"/>
    </row>
    <row r="55" spans="1:26" ht="13.5" customHeight="1" x14ac:dyDescent="0.25">
      <c r="A55" s="114" t="s">
        <v>12</v>
      </c>
      <c r="B55" s="114" t="s">
        <v>16</v>
      </c>
      <c r="C55" s="114" t="s">
        <v>164</v>
      </c>
      <c r="D55" s="121"/>
      <c r="E55" s="129">
        <v>41456</v>
      </c>
      <c r="F55" s="129">
        <v>41487</v>
      </c>
      <c r="G55" s="129">
        <v>41518</v>
      </c>
      <c r="H55" s="129">
        <v>41548</v>
      </c>
      <c r="I55" s="129">
        <v>41579</v>
      </c>
      <c r="J55" s="129">
        <v>41609</v>
      </c>
      <c r="K55" s="129">
        <v>41640</v>
      </c>
      <c r="L55" s="129">
        <v>41671</v>
      </c>
      <c r="M55" s="129">
        <v>41699</v>
      </c>
      <c r="N55" s="129">
        <v>41730</v>
      </c>
      <c r="O55" s="129">
        <v>41760</v>
      </c>
      <c r="P55" s="129">
        <v>41791</v>
      </c>
      <c r="Q55" s="114" t="s">
        <v>142</v>
      </c>
      <c r="R55" s="121"/>
      <c r="S55" s="121"/>
      <c r="T55" s="121"/>
      <c r="U55" s="121"/>
      <c r="V55" s="121"/>
      <c r="W55" s="121"/>
      <c r="X55" s="121"/>
      <c r="Y55" s="121"/>
      <c r="Z55" s="121"/>
    </row>
    <row r="56" spans="1:26" ht="13.5" customHeight="1" x14ac:dyDescent="0.25">
      <c r="A56" s="4" t="s">
        <v>44</v>
      </c>
      <c r="B56" s="4" t="s">
        <v>46</v>
      </c>
      <c r="C56" s="4" t="s">
        <v>45</v>
      </c>
      <c r="D56" s="4"/>
      <c r="E56" s="188">
        <f>SUMIFS('Data Repository Table'!$J:$J,
        'Data Repository Table'!$A:$A, "Financial Actual",
        'Data Repository Table'!$C:$C, "Kootha",
        'Data Repository Table'!$B:$B, "Revenues",
        'Data Repository Table'!$D:$D, "&gt;=" &amp; E$55,
        'Data Repository Table'!$D:$D, "&lt;" &amp; EDATE(E$55, 1))</f>
        <v>5914581.1976700742</v>
      </c>
      <c r="F56" s="188">
        <f>SUMIFS('Data Repository Table'!$J:$J,
        'Data Repository Table'!$A:$A, "Financial Actual",
        'Data Repository Table'!$C:$C, "Kootha",
        'Data Repository Table'!$B:$B, "Revenues",
        'Data Repository Table'!$D:$D, "&gt;=" &amp; F$55,
        'Data Repository Table'!$D:$D, "&lt;" &amp; EDATE(F$55, 1))</f>
        <v>5696664.2399759311</v>
      </c>
      <c r="G56" s="188">
        <f>SUMIFS('Data Repository Table'!$J:$J,
        'Data Repository Table'!$A:$A, "Financial Actual",
        'Data Repository Table'!$C:$C, "Kootha",
        'Data Repository Table'!$B:$B, "Revenues",
        'Data Repository Table'!$D:$D, "&gt;=" &amp; G$55,
        'Data Repository Table'!$D:$D, "&lt;" &amp; EDATE(G$55, 1))</f>
        <v>5260681.8298072498</v>
      </c>
      <c r="H56" s="188">
        <f>SUMIFS('Data Repository Table'!$J:$J,
        'Data Repository Table'!$A:$A, "Financial Actual",
        'Data Repository Table'!$C:$C, "Kootha",
        'Data Repository Table'!$B:$B, "Revenues",
        'Data Repository Table'!$D:$D, "&gt;=" &amp; H$55,
        'Data Repository Table'!$D:$D, "&lt;" &amp; EDATE(H$55, 1))</f>
        <v>5221955.4924466992</v>
      </c>
      <c r="I56" s="188">
        <f>SUMIFS('Data Repository Table'!$J:$J,
        'Data Repository Table'!$A:$A, "Financial Actual",
        'Data Repository Table'!$C:$C, "Kootha",
        'Data Repository Table'!$B:$B, "Revenues",
        'Data Repository Table'!$D:$D, "&gt;=" &amp; I$55,
        'Data Repository Table'!$D:$D, "&lt;" &amp; EDATE(I$55, 1))</f>
        <v>5514147.1707946751</v>
      </c>
      <c r="J56" s="188">
        <f>SUMIFS('Data Repository Table'!$J:$J,
        'Data Repository Table'!$A:$A, "Financial Actual",
        'Data Repository Table'!$C:$C, "Kootha",
        'Data Repository Table'!$B:$B, "Revenues",
        'Data Repository Table'!$D:$D, "&gt;=" &amp; J$55,
        'Data Repository Table'!$D:$D, "&lt;" &amp; EDATE(J$55, 1))</f>
        <v>5380892.2001862573</v>
      </c>
      <c r="K56" s="188">
        <f>SUMIFS('Data Repository Table'!$J:$J,
        'Data Repository Table'!$A:$A, "Financial Actual",
        'Data Repository Table'!$C:$C, "Kootha",
        'Data Repository Table'!$B:$B, "Revenues",
        'Data Repository Table'!$D:$D, "&gt;=" &amp; K$55,
        'Data Repository Table'!$D:$D, "&lt;" &amp; EDATE(K$55, 1))</f>
        <v>7822599.7200296307</v>
      </c>
      <c r="L56" s="188">
        <f>SUMIFS('Data Repository Table'!$J:$J,
        'Data Repository Table'!$A:$A, "Financial Actual",
        'Data Repository Table'!$C:$C, "Kootha",
        'Data Repository Table'!$B:$B, "Revenues",
        'Data Repository Table'!$D:$D, "&gt;=" &amp; L$55,
        'Data Repository Table'!$D:$D, "&lt;" &amp; EDATE(L$55, 1))</f>
        <v>6924324.6322913244</v>
      </c>
      <c r="M56" s="188">
        <f>SUMIFS('Data Repository Table'!$J:$J,
        'Data Repository Table'!$A:$A, "Financial Actual",
        'Data Repository Table'!$C:$C, "Kootha",
        'Data Repository Table'!$B:$B, "Revenues",
        'Data Repository Table'!$D:$D, "&gt;=" &amp; M$55,
        'Data Repository Table'!$D:$D, "&lt;" &amp; EDATE(M$55, 1))</f>
        <v>7297789.3913026378</v>
      </c>
      <c r="N56" s="188">
        <f>SUMIFS('Data Repository Table'!$J:$J,
        'Data Repository Table'!$A:$A, "Financial Actual",
        'Data Repository Table'!$C:$C, "Kootha",
        'Data Repository Table'!$B:$B, "Revenues",
        'Data Repository Table'!$D:$D, "&gt;=" &amp; N$55,
        'Data Repository Table'!$D:$D, "&lt;" &amp; EDATE(N$55, 1))</f>
        <v>5332240.4186026063</v>
      </c>
      <c r="O56" s="188">
        <f>SUMIFS('Data Repository Table'!$J:$J,
        'Data Repository Table'!$A:$A, "Financial Actual",
        'Data Repository Table'!$C:$C, "Kootha",
        'Data Repository Table'!$B:$B, "Revenues",
        'Data Repository Table'!$D:$D, "&gt;=" &amp; O$55,
        'Data Repository Table'!$D:$D, "&lt;" &amp; EDATE(O$55, 1))</f>
        <v>5394917.135688588</v>
      </c>
      <c r="P56" s="188">
        <f>SUMIFS('Data Repository Table'!$J:$J,
        'Data Repository Table'!$A:$A, "Financial Actual",
        'Data Repository Table'!$C:$C, "Kootha",
        'Data Repository Table'!$B:$B, "Revenues",
        'Data Repository Table'!$D:$D, "&gt;=" &amp; P$55,
        'Data Repository Table'!$D:$D, "&lt;" &amp; EDATE(P$55, 1))</f>
        <v>5184163.8693572879</v>
      </c>
      <c r="Q56" s="54">
        <f>SUM(E56:P56)</f>
        <v>70944957.298152953</v>
      </c>
      <c r="R56" s="4"/>
      <c r="S56" s="4"/>
      <c r="T56" s="4"/>
      <c r="U56" s="4"/>
      <c r="V56" s="4"/>
      <c r="W56" s="4"/>
      <c r="X56" s="4"/>
      <c r="Y56" s="4"/>
      <c r="Z56" s="4"/>
    </row>
    <row r="57" spans="1:26" ht="13.5" customHeight="1" x14ac:dyDescent="0.25">
      <c r="A57" s="4" t="s">
        <v>44</v>
      </c>
      <c r="B57" s="4" t="s">
        <v>54</v>
      </c>
      <c r="C57" s="4" t="s">
        <v>45</v>
      </c>
      <c r="D57" s="4"/>
      <c r="E57" s="187">
        <f>SUMIFS('Data Repository Table'!$J:$J,
        'Data Repository Table'!$A:$A, "Financial Actual",
        'Data Repository Table'!$C:$C, "Surjek",
        'Data Repository Table'!$B:$B, "Revenues",
        'Data Repository Table'!$D:$D, "&gt;=" &amp; E$55,
        'Data Repository Table'!$D:$D, "&lt;" &amp; EDATE(E$55, 1))</f>
        <v>17328050.972999997</v>
      </c>
      <c r="F57" s="187">
        <f>SUMIFS('Data Repository Table'!$J:$J,
        'Data Repository Table'!$A:$A, "Financial Actual",
        'Data Repository Table'!$C:$C, "Surjek",
        'Data Repository Table'!$B:$B, "Revenues",
        'Data Repository Table'!$D:$D, "&gt;=" &amp; F$55,
        'Data Repository Table'!$D:$D, "&lt;" &amp; EDATE(F$55, 1))</f>
        <v>14604314.435999997</v>
      </c>
      <c r="G57" s="187">
        <f>SUMIFS('Data Repository Table'!$J:$J,
        'Data Repository Table'!$A:$A, "Financial Actual",
        'Data Repository Table'!$C:$C, "Surjek",
        'Data Repository Table'!$B:$B, "Revenues",
        'Data Repository Table'!$D:$D, "&gt;=" &amp; G$55,
        'Data Repository Table'!$D:$D, "&lt;" &amp; EDATE(G$55, 1))</f>
        <v>16135900.118999999</v>
      </c>
      <c r="H57" s="187">
        <f>SUMIFS('Data Repository Table'!$J:$J,
        'Data Repository Table'!$A:$A, "Financial Actual",
        'Data Repository Table'!$C:$C, "Surjek",
        'Data Repository Table'!$B:$B, "Revenues",
        'Data Repository Table'!$D:$D, "&gt;=" &amp; H$55,
        'Data Repository Table'!$D:$D, "&lt;" &amp; EDATE(H$55, 1))</f>
        <v>15151633.271999998</v>
      </c>
      <c r="I57" s="187">
        <f>SUMIFS('Data Repository Table'!$J:$J,
        'Data Repository Table'!$A:$A, "Financial Actual",
        'Data Repository Table'!$C:$C, "Surjek",
        'Data Repository Table'!$B:$B, "Revenues",
        'Data Repository Table'!$D:$D, "&gt;=" &amp; I$55,
        'Data Repository Table'!$D:$D, "&lt;" &amp; EDATE(I$55, 1))</f>
        <v>13832900.801999997</v>
      </c>
      <c r="J57" s="187">
        <f>SUMIFS('Data Repository Table'!$J:$J,
        'Data Repository Table'!$A:$A, "Financial Actual",
        'Data Repository Table'!$C:$C, "Surjek",
        'Data Repository Table'!$B:$B, "Revenues",
        'Data Repository Table'!$D:$D, "&gt;=" &amp; J$55,
        'Data Repository Table'!$D:$D, "&lt;" &amp; EDATE(J$55, 1))</f>
        <v>15562959.623999998</v>
      </c>
      <c r="K57" s="66">
        <v>0</v>
      </c>
      <c r="L57" s="66">
        <v>0</v>
      </c>
      <c r="M57" s="66">
        <v>0</v>
      </c>
      <c r="N57" s="66">
        <f>SUMIFS('Data Repository Table'!$J:$J,
        'Data Repository Table'!$A:$A, "Financial Actual",
        'Data Repository Table'!$C:$C, "Surjek",
        'Data Repository Table'!$B:$B, "Revenues",
        'Data Repository Table'!$D:$D, "&gt;=" &amp; N$55,
        'Data Repository Table'!$D:$D, "&lt;" &amp; EDATE(N$55, 1))</f>
        <v>18268435.046</v>
      </c>
      <c r="O57" s="66">
        <f>SUMIFS('Data Repository Table'!$J:$J,
        'Data Repository Table'!$A:$A, "Financial Actual",
        'Data Repository Table'!$C:$C, "Surjek",
        'Data Repository Table'!$B:$B, "Revenues",
        'Data Repository Table'!$D:$D, "&gt;=" &amp; O$55,
        'Data Repository Table'!$D:$D, "&lt;" &amp; EDATE(O$55, 1))</f>
        <v>14627298.491999999</v>
      </c>
      <c r="P57" s="66">
        <f>SUMIFS('Data Repository Table'!$J:$J,
        'Data Repository Table'!$A:$A, "Financial Actual",
        'Data Repository Table'!$C:$C, "Surjek",
        'Data Repository Table'!$B:$B, "Revenues",
        'Data Repository Table'!$D:$D, "&gt;=" &amp; P$55,
        'Data Repository Table'!$D:$D, "&lt;" &amp; EDATE(P$55, 1))</f>
        <v>16164167.273999998</v>
      </c>
      <c r="Q57" s="54">
        <f>SUM(E57:P57)</f>
        <v>141675660.03799999</v>
      </c>
      <c r="R57" s="40"/>
      <c r="S57" s="4"/>
      <c r="T57" s="4"/>
      <c r="U57" s="4"/>
      <c r="V57" s="4"/>
      <c r="W57" s="4"/>
      <c r="X57" s="4"/>
      <c r="Y57" s="4"/>
      <c r="Z57" s="4"/>
    </row>
    <row r="58" spans="1:26" ht="13.5" customHeight="1" x14ac:dyDescent="0.25">
      <c r="A58" s="4" t="s">
        <v>44</v>
      </c>
      <c r="B58" s="4" t="s">
        <v>55</v>
      </c>
      <c r="C58" s="4" t="s">
        <v>45</v>
      </c>
      <c r="D58" s="4"/>
      <c r="E58" s="66">
        <f>SUMIFS('Data Repository Table'!$J:$J,
        'Data Repository Table'!$A:$A, "Financial Actual",
        'Data Repository Table'!$C:$C, "Jutik",
        'Data Repository Table'!$B:$B, "Revenues",
        'Data Repository Table'!$D:$D, "&gt;=" &amp; E$55,
        'Data Repository Table'!$D:$D, "&lt;" &amp; EDATE(E$55, 1))</f>
        <v>12716846.793</v>
      </c>
      <c r="F58" s="66">
        <f>SUMIFS('Data Repository Table'!$J:$J,
        'Data Repository Table'!$A:$A, "Financial Actual",
        'Data Repository Table'!$C:$C, "Jutik",
        'Data Repository Table'!$B:$B, "Revenues",
        'Data Repository Table'!$D:$D, "&gt;=" &amp; F$55,
        'Data Repository Table'!$D:$D, "&lt;" &amp; EDATE(F$55, 1))</f>
        <v>13050243.880999997</v>
      </c>
      <c r="G58" s="66">
        <f>SUMIFS('Data Repository Table'!$J:$J,
        'Data Repository Table'!$A:$A, "Financial Actual",
        'Data Repository Table'!$C:$C, "Jutik",
        'Data Repository Table'!$B:$B, "Revenues",
        'Data Repository Table'!$D:$D, "&gt;=" &amp; G$55,
        'Data Repository Table'!$D:$D, "&lt;" &amp; EDATE(G$55, 1))</f>
        <v>13235472.919</v>
      </c>
      <c r="H58" s="66">
        <f>SUMIFS('Data Repository Table'!$J:$J,
        'Data Repository Table'!$A:$A, "Financial Actual",
        'Data Repository Table'!$C:$C, "Jutik",
        'Data Repository Table'!$B:$B, "Revenues",
        'Data Repository Table'!$D:$D, "&gt;=" &amp; H$55,
        'Data Repository Table'!$D:$D, "&lt;" &amp; EDATE(H$55, 1))</f>
        <v>11815762.267000001</v>
      </c>
      <c r="I58" s="66">
        <f>SUMIFS('Data Repository Table'!$J:$J,
        'Data Repository Table'!$A:$A, "Financial Actual",
        'Data Repository Table'!$C:$C, "Jutik",
        'Data Repository Table'!$B:$B, "Revenues",
        'Data Repository Table'!$D:$D, "&gt;=" &amp; I$55,
        'Data Repository Table'!$D:$D, "&lt;" &amp; EDATE(I$55, 1))</f>
        <v>11881724.445</v>
      </c>
      <c r="J58" s="66">
        <f>SUMIFS('Data Repository Table'!$J:$J,
        'Data Repository Table'!$A:$A, "Financial Actual",
        'Data Repository Table'!$C:$C, "Jutik",
        'Data Repository Table'!$B:$B, "Revenues",
        'Data Repository Table'!$D:$D, "&gt;=" &amp; J$55,
        'Data Repository Table'!$D:$D, "&lt;" &amp; EDATE(J$55, 1))</f>
        <v>11127131.811999999</v>
      </c>
      <c r="K58" s="66">
        <f>SUMIFS('Data Repository Table'!$J:$J,
        'Data Repository Table'!$A:$A, "Financial Actual",
        'Data Repository Table'!$C:$C, "Jutik",
        'Data Repository Table'!$B:$B, "Revenues",
        'Data Repository Table'!$D:$D, "&gt;=" &amp; K$55,
        'Data Repository Table'!$D:$D, "&lt;" &amp; EDATE(K$55, 1))</f>
        <v>15491089.403999997</v>
      </c>
      <c r="L58" s="66">
        <f>SUMIFS('Data Repository Table'!$J:$J,
        'Data Repository Table'!$A:$A, "Financial Actual",
        'Data Repository Table'!$C:$C, "Jutik",
        'Data Repository Table'!$B:$B, "Revenues",
        'Data Repository Table'!$D:$D, "&gt;=" &amp; L$55,
        'Data Repository Table'!$D:$D, "&lt;" &amp; EDATE(L$55, 1))</f>
        <v>15776843.228999998</v>
      </c>
      <c r="M58" s="66">
        <f>SUMIFS('Data Repository Table'!$J:$J,
        'Data Repository Table'!$A:$A, "Financial Actual",
        'Data Repository Table'!$C:$C, "Jutik",
        'Data Repository Table'!$B:$B, "Revenues",
        'Data Repository Table'!$D:$D, "&gt;=" &amp; M$55,
        'Data Repository Table'!$D:$D, "&lt;" &amp; EDATE(M$55, 1))</f>
        <v>14151791.636999998</v>
      </c>
      <c r="N58" s="66">
        <f>SUMIFS('Data Repository Table'!$J:$J,
        'Data Repository Table'!$A:$A, "Financial Actual",
        'Data Repository Table'!$C:$C, "Jutik",
        'Data Repository Table'!$B:$B, "Revenues",
        'Data Repository Table'!$D:$D, "&gt;=" &amp; N$55,
        'Data Repository Table'!$D:$D, "&lt;" &amp; EDATE(N$55, 1))</f>
        <v>15011361.791999999</v>
      </c>
      <c r="O58" s="66">
        <f>SUMIFS('Data Repository Table'!$J:$J,
        'Data Repository Table'!$A:$A, "Financial Actual",
        'Data Repository Table'!$C:$C, "Jutik",
        'Data Repository Table'!$B:$B, "Revenues",
        'Data Repository Table'!$D:$D, "&gt;=" &amp; O$55,
        'Data Repository Table'!$D:$D, "&lt;" &amp; EDATE(O$55, 1))</f>
        <v>14286635.347000001</v>
      </c>
      <c r="P58" s="66">
        <f>SUMIFS('Data Repository Table'!$J:$J,
        'Data Repository Table'!$A:$A, "Financial Actual",
        'Data Repository Table'!$C:$C, "Jutik",
        'Data Repository Table'!$B:$B, "Revenues",
        'Data Repository Table'!$D:$D, "&gt;=" &amp; P$55,
        'Data Repository Table'!$D:$D, "&lt;" &amp; EDATE(P$55, 1))</f>
        <v>15120321.851</v>
      </c>
      <c r="Q58" s="54">
        <f>SUM(E58:P58)</f>
        <v>163665225.377</v>
      </c>
      <c r="R58" s="4"/>
      <c r="S58" s="4"/>
      <c r="T58" s="4"/>
      <c r="U58" s="4"/>
      <c r="V58" s="4"/>
      <c r="W58" s="4"/>
      <c r="X58" s="4"/>
      <c r="Y58" s="4"/>
      <c r="Z58" s="4"/>
    </row>
    <row r="59" spans="1:26" ht="13.5" customHeight="1" x14ac:dyDescent="0.25">
      <c r="A59" s="4"/>
      <c r="B59" s="4"/>
      <c r="C59" s="4"/>
      <c r="D59" s="4"/>
      <c r="E59" s="66"/>
      <c r="F59" s="66"/>
      <c r="G59" s="66"/>
      <c r="H59" s="66"/>
      <c r="I59" s="66"/>
      <c r="J59" s="66"/>
      <c r="K59" s="66"/>
      <c r="L59" s="66"/>
      <c r="M59" s="66"/>
      <c r="N59" s="66"/>
      <c r="O59" s="66"/>
      <c r="P59" s="66"/>
      <c r="Q59" s="54"/>
      <c r="R59" s="4"/>
      <c r="S59" s="4"/>
      <c r="T59" s="4"/>
      <c r="U59" s="4"/>
      <c r="V59" s="4"/>
      <c r="W59" s="4"/>
      <c r="X59" s="4"/>
      <c r="Y59" s="4"/>
      <c r="Z59" s="4"/>
    </row>
    <row r="60" spans="1:26" ht="13.5" customHeight="1" x14ac:dyDescent="0.25">
      <c r="A60" s="4"/>
      <c r="B60" s="4"/>
      <c r="C60" s="4"/>
      <c r="D60" s="4"/>
      <c r="E60" s="67"/>
      <c r="F60" s="68"/>
      <c r="G60" s="69"/>
      <c r="H60" s="4"/>
      <c r="I60" s="70"/>
      <c r="J60" s="69"/>
      <c r="K60" s="4"/>
      <c r="L60" s="66"/>
      <c r="M60" s="4"/>
      <c r="N60" s="4"/>
      <c r="O60" s="66"/>
      <c r="P60" s="4"/>
      <c r="Q60" s="4"/>
      <c r="R60" s="4"/>
      <c r="S60" s="4"/>
      <c r="T60" s="4"/>
      <c r="U60" s="4"/>
      <c r="V60" s="4"/>
      <c r="W60" s="4"/>
      <c r="X60" s="4"/>
      <c r="Y60" s="4"/>
      <c r="Z60" s="4"/>
    </row>
    <row r="61" spans="1:26" ht="13.5" customHeight="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46.5" customHeight="1" x14ac:dyDescent="0.25">
      <c r="A62" s="212" t="s">
        <v>165</v>
      </c>
      <c r="B62" s="206"/>
      <c r="C62" s="206"/>
      <c r="D62" s="206"/>
      <c r="E62" s="206"/>
      <c r="F62" s="206"/>
      <c r="G62" s="206"/>
      <c r="H62" s="206"/>
      <c r="I62" s="206"/>
      <c r="J62" s="206"/>
      <c r="K62" s="206"/>
      <c r="L62" s="206"/>
      <c r="M62" s="206"/>
      <c r="N62" s="206"/>
      <c r="O62" s="206"/>
      <c r="P62" s="206"/>
      <c r="Q62" s="206"/>
      <c r="R62" s="206"/>
      <c r="S62" s="155"/>
      <c r="T62" s="155"/>
      <c r="U62" s="155"/>
      <c r="V62" s="155"/>
      <c r="W62" s="155"/>
      <c r="X62" s="155"/>
      <c r="Y62" s="155"/>
      <c r="Z62" s="155"/>
    </row>
    <row r="63" spans="1:26" ht="13.5" customHeight="1" x14ac:dyDescent="0.25">
      <c r="A63" s="150" t="s">
        <v>166</v>
      </c>
      <c r="B63" s="155"/>
      <c r="C63" s="155"/>
      <c r="D63" s="155"/>
      <c r="E63" s="155"/>
      <c r="F63" s="155"/>
      <c r="G63" s="155"/>
      <c r="H63" s="155"/>
      <c r="I63" s="155"/>
      <c r="J63" s="155"/>
      <c r="K63" s="155"/>
      <c r="L63" s="155"/>
      <c r="M63" s="155"/>
      <c r="N63" s="155"/>
      <c r="O63" s="155"/>
      <c r="P63" s="155"/>
      <c r="Q63" s="155"/>
      <c r="R63" s="155"/>
      <c r="S63" s="155"/>
      <c r="T63" s="155"/>
      <c r="U63" s="155"/>
      <c r="V63" s="155"/>
      <c r="W63" s="155"/>
      <c r="X63" s="155"/>
      <c r="Y63" s="155"/>
      <c r="Z63" s="155"/>
    </row>
    <row r="64" spans="1:26" ht="13.5" customHeight="1" x14ac:dyDescent="0.25">
      <c r="A64" s="114" t="s">
        <v>12</v>
      </c>
      <c r="B64" s="114" t="s">
        <v>16</v>
      </c>
      <c r="C64" s="114" t="s">
        <v>164</v>
      </c>
      <c r="D64" s="114" t="s">
        <v>150</v>
      </c>
      <c r="E64" s="129">
        <v>41456</v>
      </c>
      <c r="F64" s="129">
        <v>41487</v>
      </c>
      <c r="G64" s="129">
        <v>41518</v>
      </c>
      <c r="H64" s="129">
        <v>41548</v>
      </c>
      <c r="I64" s="129">
        <v>41579</v>
      </c>
      <c r="J64" s="129">
        <v>41609</v>
      </c>
      <c r="K64" s="129">
        <v>41640</v>
      </c>
      <c r="L64" s="129">
        <v>41671</v>
      </c>
      <c r="M64" s="129">
        <v>41699</v>
      </c>
      <c r="N64" s="129">
        <v>41730</v>
      </c>
      <c r="O64" s="129">
        <v>41760</v>
      </c>
      <c r="P64" s="129">
        <v>41791</v>
      </c>
      <c r="Q64" s="114" t="s">
        <v>142</v>
      </c>
      <c r="R64" s="114" t="s">
        <v>167</v>
      </c>
      <c r="S64" s="121"/>
      <c r="T64" s="121"/>
      <c r="U64" s="121"/>
      <c r="V64" s="121"/>
      <c r="W64" s="121"/>
      <c r="X64" s="121"/>
      <c r="Y64" s="121"/>
      <c r="Z64" s="121"/>
    </row>
    <row r="65" spans="1:26" ht="13.5" customHeight="1" x14ac:dyDescent="0.25">
      <c r="A65" s="4" t="s">
        <v>44</v>
      </c>
      <c r="B65" s="4" t="s">
        <v>54</v>
      </c>
      <c r="C65" s="4" t="s">
        <v>45</v>
      </c>
      <c r="D65" s="46" t="s">
        <v>162</v>
      </c>
      <c r="E65" s="66">
        <f>SUMIFS('Data Repository Table'!$J:$J,
        'Data Repository Table'!$A:$A, "Financial Actual",
        'Data Repository Table'!$C:$C, "Surjek",
        'Data Repository Table'!$B:$B, "Revenues",
        'Data Repository Table'!$D:$D, "&gt;=" &amp; E$64,
        'Data Repository Table'!$D:$D, "&lt;" &amp; EDATE(E$64, 1))</f>
        <v>17328050.972999997</v>
      </c>
      <c r="F65" s="66">
        <f>SUMIFS('Data Repository Table'!$J:$J,
        'Data Repository Table'!$A:$A, "Financial Actual",
        'Data Repository Table'!$C:$C, "Surjek",
        'Data Repository Table'!$B:$B, "Revenues",
        'Data Repository Table'!$D:$D, "&gt;=" &amp; F$64,
        'Data Repository Table'!$D:$D, "&lt;" &amp; EDATE(F$64, 1))</f>
        <v>14604314.435999997</v>
      </c>
      <c r="G65" s="66">
        <f>SUMIFS('Data Repository Table'!$J:$J,
        'Data Repository Table'!$A:$A, "Financial Actual",
        'Data Repository Table'!$C:$C, "Surjek",
        'Data Repository Table'!$B:$B, "Revenues",
        'Data Repository Table'!$D:$D, "&gt;=" &amp; G$64,
        'Data Repository Table'!$D:$D, "&lt;" &amp; EDATE(G$64, 1))</f>
        <v>16135900.118999999</v>
      </c>
      <c r="H65" s="66">
        <f>SUMIFS('Data Repository Table'!$J:$J,
        'Data Repository Table'!$A:$A, "Financial Actual",
        'Data Repository Table'!$C:$C, "Surjek",
        'Data Repository Table'!$B:$B, "Revenues",
        'Data Repository Table'!$D:$D, "&gt;=" &amp; H$64,
        'Data Repository Table'!$D:$D, "&lt;" &amp; EDATE(H$64, 1))</f>
        <v>15151633.271999998</v>
      </c>
      <c r="I65" s="66">
        <f>SUMIFS('Data Repository Table'!$J:$J,
        'Data Repository Table'!$A:$A, "Financial Actual",
        'Data Repository Table'!$C:$C, "Surjek",
        'Data Repository Table'!$B:$B, "Revenues",
        'Data Repository Table'!$D:$D, "&gt;=" &amp; I$64,
        'Data Repository Table'!$D:$D, "&lt;" &amp; EDATE(I$64, 1))</f>
        <v>13832900.801999997</v>
      </c>
      <c r="J65" s="66">
        <f>SUMIFS('Data Repository Table'!$J:$J,
        'Data Repository Table'!$A:$A, "Financial Actual",
        'Data Repository Table'!$C:$C, "Surjek",
        'Data Repository Table'!$B:$B, "Revenues",
        'Data Repository Table'!$D:$D, "&gt;=" &amp; J$64,
        'Data Repository Table'!$D:$D, "&lt;" &amp; EDATE(J$64, 1))</f>
        <v>15562959.623999998</v>
      </c>
      <c r="K65" s="66">
        <v>0</v>
      </c>
      <c r="L65" s="66">
        <v>0</v>
      </c>
      <c r="M65" s="66">
        <v>0</v>
      </c>
      <c r="N65" s="66">
        <f>SUMIFS('Data Repository Table'!$J:$J,
        'Data Repository Table'!$A:$A, "Financial Actual",
        'Data Repository Table'!$C:$C, "Surjek",
        'Data Repository Table'!$B:$B, "Revenues",
        'Data Repository Table'!$D:$D, "&gt;=" &amp; N$64,
        'Data Repository Table'!$D:$D, "&lt;" &amp; EDATE(N$64, 1))</f>
        <v>18268435.046</v>
      </c>
      <c r="O65" s="66">
        <f>SUMIFS('Data Repository Table'!$J:$J,
        'Data Repository Table'!$A:$A, "Financial Actual",
        'Data Repository Table'!$C:$C, "Surjek",
        'Data Repository Table'!$B:$B, "Revenues",
        'Data Repository Table'!$D:$D, "&gt;=" &amp; O$64,
        'Data Repository Table'!$D:$D, "&lt;" &amp; EDATE(O$64, 1))</f>
        <v>14627298.491999999</v>
      </c>
      <c r="P65" s="66">
        <f>SUMIFS('Data Repository Table'!$J:$J,
        'Data Repository Table'!$A:$A, "Financial Actual",
        'Data Repository Table'!$C:$C, "Surjek",
        'Data Repository Table'!$B:$B, "Revenues",
        'Data Repository Table'!$D:$D, "&gt;=" &amp; P$64,
        'Data Repository Table'!$D:$D, "&lt;" &amp; EDATE(P$64, 1))</f>
        <v>16164167.273999998</v>
      </c>
      <c r="Q65" s="66">
        <f>SUM(E65:P65)</f>
        <v>141675660.03799999</v>
      </c>
      <c r="R65" s="71">
        <f>(Q69 - Q65) / Q69</f>
        <v>0.2995208254313263</v>
      </c>
      <c r="S65" s="4"/>
      <c r="T65" s="4"/>
      <c r="U65" s="4"/>
      <c r="V65" s="4"/>
      <c r="W65" s="4"/>
      <c r="X65" s="4"/>
      <c r="Y65" s="4"/>
      <c r="Z65" s="4"/>
    </row>
    <row r="66" spans="1:26" ht="13.5" customHeight="1" x14ac:dyDescent="0.25">
      <c r="A66" s="4" t="s">
        <v>44</v>
      </c>
      <c r="B66" s="4" t="s">
        <v>54</v>
      </c>
      <c r="C66" s="4" t="s">
        <v>45</v>
      </c>
      <c r="D66" s="46" t="s">
        <v>163</v>
      </c>
      <c r="E66" s="66">
        <f>SUMIFS('Data Repository Table'!$J:$J,
        'Data Repository Table'!$A:$A, "Financial Actual",
        'Data Repository Table'!$C:$C, "Surjek",
        'Data Repository Table'!$B:$B, "Revenues",
        'Data Repository Table'!$D:$D, "&gt;=" &amp; E$64,
        'Data Repository Table'!$D:$D, "&lt;" &amp; EDATE(E$64, 1))</f>
        <v>17328050.972999997</v>
      </c>
      <c r="F66" s="66">
        <f>SUMIFS('Data Repository Table'!$J:$J,
        'Data Repository Table'!$A:$A, "Financial Actual",
        'Data Repository Table'!$C:$C, "Surjek",
        'Data Repository Table'!$B:$B, "Revenues",
        'Data Repository Table'!$D:$D, "&gt;=" &amp; F$64,
        'Data Repository Table'!$D:$D, "&lt;" &amp; EDATE(F$64, 1))</f>
        <v>14604314.435999997</v>
      </c>
      <c r="G66" s="66">
        <f>SUMIFS('Data Repository Table'!$J:$J,
        'Data Repository Table'!$A:$A, "Financial Actual",
        'Data Repository Table'!$C:$C, "Surjek",
        'Data Repository Table'!$B:$B, "Revenues",
        'Data Repository Table'!$D:$D, "&gt;=" &amp; G$64,
        'Data Repository Table'!$D:$D, "&lt;" &amp; EDATE(G$64, 1))</f>
        <v>16135900.118999999</v>
      </c>
      <c r="H66" s="66">
        <f>SUMIFS('Data Repository Table'!$J:$J,
        'Data Repository Table'!$A:$A, "Financial Actual",
        'Data Repository Table'!$C:$C, "Surjek",
        'Data Repository Table'!$B:$B, "Revenues",
        'Data Repository Table'!$D:$D, "&gt;=" &amp; H$64,
        'Data Repository Table'!$D:$D, "&lt;" &amp; EDATE(H$64, 1))</f>
        <v>15151633.271999998</v>
      </c>
      <c r="I66" s="66">
        <f>SUMIFS('Data Repository Table'!$J:$J,
        'Data Repository Table'!$A:$A, "Financial Actual",
        'Data Repository Table'!$C:$C, "Surjek",
        'Data Repository Table'!$B:$B, "Revenues",
        'Data Repository Table'!$D:$D, "&gt;=" &amp; I$64,
        'Data Repository Table'!$D:$D, "&lt;" &amp; EDATE(I$64, 1))</f>
        <v>13832900.801999997</v>
      </c>
      <c r="J66" s="66">
        <f>SUMIFS('Data Repository Table'!$J:$J,
        'Data Repository Table'!$A:$A, "Financial Actual",
        'Data Repository Table'!$C:$C, "Surjek",
        'Data Repository Table'!$B:$B, "Revenues",
        'Data Repository Table'!$D:$D, "&gt;=" &amp; J$64,
        'Data Repository Table'!$D:$D, "&lt;" &amp; EDATE(J$64, 1))</f>
        <v>15562959.623999998</v>
      </c>
      <c r="K66" s="66">
        <f>SUMIFS('Data Repository Table'!$J:$J,
        'Data Repository Table'!$A:$A, "Financial Actual",
        'Data Repository Table'!$C:$C, "Surjek",
        'Data Repository Table'!$B:$B, "Revenues",
        'Data Repository Table'!$D:$D, "&gt;=" &amp; K$64,
        'Data Repository Table'!$D:$D, "&lt;" &amp; EDATE(K$64, 1))</f>
        <v>22354057.620000001</v>
      </c>
      <c r="L66" s="66">
        <f>SUMIFS('Data Repository Table'!$J:$J,
        'Data Repository Table'!$A:$A, "Financial Actual",
        'Data Repository Table'!$C:$C, "Surjek",
        'Data Repository Table'!$B:$B, "Revenues",
        'Data Repository Table'!$D:$D, "&gt;=" &amp; L$64,
        'Data Repository Table'!$D:$D, "&lt;" &amp; EDATE(L$64, 1))</f>
        <v>18580950.729999997</v>
      </c>
      <c r="M66" s="66">
        <f>SUMIFS('Data Repository Table'!$J:$J,
        'Data Repository Table'!$A:$A, "Financial Actual",
        'Data Repository Table'!$C:$C, "Surjek",
        'Data Repository Table'!$B:$B, "Revenues",
        'Data Repository Table'!$D:$D, "&gt;=" &amp; M$64,
        'Data Repository Table'!$D:$D, "&lt;" &amp; EDATE(M$64, 1))</f>
        <v>19644680.780999999</v>
      </c>
      <c r="N66" s="66">
        <v>0</v>
      </c>
      <c r="O66" s="66">
        <v>0</v>
      </c>
      <c r="P66" s="66">
        <v>0</v>
      </c>
      <c r="Q66" s="54">
        <f>SUM(E66:P66)</f>
        <v>153195448.35699999</v>
      </c>
      <c r="R66" s="71">
        <f>(Q69 - Q66) / Q69</f>
        <v>0.24256416956867055</v>
      </c>
      <c r="S66" s="4"/>
      <c r="T66" s="4"/>
      <c r="U66" s="4"/>
      <c r="V66" s="4"/>
      <c r="W66" s="4"/>
      <c r="X66" s="4"/>
      <c r="Y66" s="4"/>
      <c r="Z66" s="4"/>
    </row>
    <row r="67" spans="1:26" ht="13.5" customHeight="1" x14ac:dyDescent="0.25">
      <c r="A67" s="4" t="s">
        <v>44</v>
      </c>
      <c r="B67" s="4" t="s">
        <v>54</v>
      </c>
      <c r="C67" s="4" t="s">
        <v>45</v>
      </c>
      <c r="D67" s="46" t="s">
        <v>160</v>
      </c>
      <c r="E67" s="66">
        <v>0</v>
      </c>
      <c r="F67" s="66">
        <v>0</v>
      </c>
      <c r="G67" s="66">
        <v>0</v>
      </c>
      <c r="H67" s="66">
        <f>SUMIFS('Data Repository Table'!$J:$J,
        'Data Repository Table'!$A:$A, "Financial Actual",
        'Data Repository Table'!$C:$C, "Surjek",
        'Data Repository Table'!$B:$B, "Revenues",
        'Data Repository Table'!$D:$D, "&gt;=" &amp; H$64,
        'Data Repository Table'!$D:$D, "&lt;" &amp; EDATE(H$64, 1))</f>
        <v>15151633.271999998</v>
      </c>
      <c r="I67" s="66">
        <f>SUMIFS('Data Repository Table'!$J:$J,
        'Data Repository Table'!$A:$A, "Financial Actual",
        'Data Repository Table'!$C:$C, "Surjek",
        'Data Repository Table'!$B:$B, "Revenues",
        'Data Repository Table'!$D:$D, "&gt;=" &amp; I$64,
        'Data Repository Table'!$D:$D, "&lt;" &amp; EDATE(I$64, 1))</f>
        <v>13832900.801999997</v>
      </c>
      <c r="J67" s="66">
        <f>SUMIFS('Data Repository Table'!$J:$J,
        'Data Repository Table'!$A:$A, "Financial Actual",
        'Data Repository Table'!$C:$C, "Surjek",
        'Data Repository Table'!$B:$B, "Revenues",
        'Data Repository Table'!$D:$D, "&gt;=" &amp; J$64,
        'Data Repository Table'!$D:$D, "&lt;" &amp; EDATE(J$64, 1))</f>
        <v>15562959.623999998</v>
      </c>
      <c r="K67" s="66">
        <f>SUMIFS('Data Repository Table'!$J:$J,
        'Data Repository Table'!$A:$A, "Financial Actual",
        'Data Repository Table'!$C:$C, "Surjek",
        'Data Repository Table'!$B:$B, "Revenues",
        'Data Repository Table'!$D:$D, "&gt;=" &amp; K$64,
        'Data Repository Table'!$D:$D, "&lt;" &amp; EDATE(K$64, 1))</f>
        <v>22354057.620000001</v>
      </c>
      <c r="L67" s="66">
        <f>SUMIFS('Data Repository Table'!$J:$J,
        'Data Repository Table'!$A:$A, "Financial Actual",
        'Data Repository Table'!$C:$C, "Surjek",
        'Data Repository Table'!$B:$B, "Revenues",
        'Data Repository Table'!$D:$D, "&gt;=" &amp; L$64,
        'Data Repository Table'!$D:$D, "&lt;" &amp; EDATE(L$64, 1))</f>
        <v>18580950.729999997</v>
      </c>
      <c r="M67" s="66">
        <f>SUMIFS('Data Repository Table'!$J:$J,
        'Data Repository Table'!$A:$A, "Financial Actual",
        'Data Repository Table'!$C:$C, "Surjek",
        'Data Repository Table'!$B:$B, "Revenues",
        'Data Repository Table'!$D:$D, "&gt;=" &amp; M$64,
        'Data Repository Table'!$D:$D, "&lt;" &amp; EDATE(M$64, 1))</f>
        <v>19644680.780999999</v>
      </c>
      <c r="N67" s="66">
        <f>SUMIFS('Data Repository Table'!$J:$J,
        'Data Repository Table'!$A:$A, "Financial Actual",
        'Data Repository Table'!$C:$C, "Surjek",
        'Data Repository Table'!$B:$B, "Revenues",
        'Data Repository Table'!$D:$D, "&gt;=" &amp; N$64,
        'Data Repository Table'!$D:$D, "&lt;" &amp; EDATE(N$64, 1))</f>
        <v>18268435.046</v>
      </c>
      <c r="O67" s="66">
        <f>SUMIFS('Data Repository Table'!$J:$J,
        'Data Repository Table'!$A:$A, "Financial Actual",
        'Data Repository Table'!$C:$C, "Surjek",
        'Data Repository Table'!$B:$B, "Revenues",
        'Data Repository Table'!$D:$D, "&gt;=" &amp; O$64,
        'Data Repository Table'!$D:$D, "&lt;" &amp; EDATE(O$64, 1))</f>
        <v>14627298.491999999</v>
      </c>
      <c r="P67" s="66">
        <f>SUMIFS('Data Repository Table'!$J:$J,
        'Data Repository Table'!$A:$A, "Financial Actual",
        'Data Repository Table'!$C:$C, "Surjek",
        'Data Repository Table'!$B:$B, "Revenues",
        'Data Repository Table'!$D:$D, "&gt;=" &amp; P$64,
        'Data Repository Table'!$D:$D, "&lt;" &amp; EDATE(P$64, 1))</f>
        <v>16164167.273999998</v>
      </c>
      <c r="Q67" s="54">
        <f>SUM(E67:P67)</f>
        <v>154187083.64099997</v>
      </c>
      <c r="R67" s="71">
        <f>(Q69 - Q67) / Q69</f>
        <v>0.23766128176830195</v>
      </c>
      <c r="S67" s="4"/>
      <c r="T67" s="4"/>
      <c r="U67" s="4"/>
      <c r="V67" s="4"/>
      <c r="W67" s="4"/>
      <c r="X67" s="4"/>
      <c r="Y67" s="4"/>
      <c r="Z67" s="4"/>
    </row>
    <row r="68" spans="1:26" ht="13.5" customHeight="1" x14ac:dyDescent="0.25">
      <c r="A68" s="4" t="s">
        <v>44</v>
      </c>
      <c r="B68" s="4" t="s">
        <v>54</v>
      </c>
      <c r="C68" s="4" t="s">
        <v>45</v>
      </c>
      <c r="D68" s="46" t="s">
        <v>161</v>
      </c>
      <c r="E68" s="66">
        <f>SUMIFS('Data Repository Table'!$J:$J,
        'Data Repository Table'!$A:$A, "Financial Actual",
        'Data Repository Table'!$C:$C, "Surjek",
        'Data Repository Table'!$B:$B, "Revenues",
        'Data Repository Table'!$D:$D, "&gt;=" &amp; E$64,
        'Data Repository Table'!$D:$D, "&lt;" &amp; EDATE(E$64, 1))</f>
        <v>17328050.972999997</v>
      </c>
      <c r="F68" s="66">
        <f>SUMIFS('Data Repository Table'!$J:$J,
        'Data Repository Table'!$A:$A, "Financial Actual",
        'Data Repository Table'!$C:$C, "Surjek",
        'Data Repository Table'!$B:$B, "Revenues",
        'Data Repository Table'!$D:$D, "&gt;=" &amp; F$64,
        'Data Repository Table'!$D:$D, "&lt;" &amp; EDATE(F$64, 1))</f>
        <v>14604314.435999997</v>
      </c>
      <c r="G68" s="66">
        <f>SUMIFS('Data Repository Table'!$J:$J,
        'Data Repository Table'!$A:$A, "Financial Actual",
        'Data Repository Table'!$C:$C, "Surjek",
        'Data Repository Table'!$B:$B, "Revenues",
        'Data Repository Table'!$D:$D, "&gt;=" &amp; G$64,
        'Data Repository Table'!$D:$D, "&lt;" &amp; EDATE(G$64, 1))</f>
        <v>16135900.118999999</v>
      </c>
      <c r="H68" s="66">
        <v>0</v>
      </c>
      <c r="I68" s="66">
        <v>0</v>
      </c>
      <c r="J68" s="66">
        <v>0</v>
      </c>
      <c r="K68" s="54">
        <f>SUMIFS('Data Repository Table'!$J:$J,
        'Data Repository Table'!$A:$A, "Financial Actual",
        'Data Repository Table'!$C:$C, "Surjek",
        'Data Repository Table'!$B:$B, "Revenues",
        'Data Repository Table'!$D:$D, "&gt;=" &amp; K$64,
        'Data Repository Table'!$D:$D, "&lt;" &amp; EDATE(K$64, 1))</f>
        <v>22354057.620000001</v>
      </c>
      <c r="L68" s="54">
        <f>SUMIFS('Data Repository Table'!$J:$J,
        'Data Repository Table'!$A:$A, "Financial Actual",
        'Data Repository Table'!$C:$C, "Surjek",
        'Data Repository Table'!$B:$B, "Revenues",
        'Data Repository Table'!$D:$D, "&gt;=" &amp; L$64,
        'Data Repository Table'!$D:$D, "&lt;" &amp; EDATE(L$64, 1))</f>
        <v>18580950.729999997</v>
      </c>
      <c r="M68" s="54">
        <f>SUMIFS('Data Repository Table'!$J:$J,
        'Data Repository Table'!$A:$A, "Financial Actual",
        'Data Repository Table'!$C:$C, "Surjek",
        'Data Repository Table'!$B:$B, "Revenues",
        'Data Repository Table'!$D:$D, "&gt;=" &amp; M$64,
        'Data Repository Table'!$D:$D, "&lt;" &amp; EDATE(M$64, 1))</f>
        <v>19644680.780999999</v>
      </c>
      <c r="N68" s="54">
        <f>SUMIFS('Data Repository Table'!$J:$J,
        'Data Repository Table'!$A:$A, "Financial Actual",
        'Data Repository Table'!$C:$C, "Surjek",
        'Data Repository Table'!$B:$B, "Revenues",
        'Data Repository Table'!$D:$D, "&gt;=" &amp; N$64,
        'Data Repository Table'!$D:$D, "&lt;" &amp; EDATE(N$64, 1))</f>
        <v>18268435.046</v>
      </c>
      <c r="O68" s="54">
        <f>SUMIFS('Data Repository Table'!$J:$J,
        'Data Repository Table'!$A:$A, "Financial Actual",
        'Data Repository Table'!$C:$C, "Surjek",
        'Data Repository Table'!$B:$B, "Revenues",
        'Data Repository Table'!$D:$D, "&gt;=" &amp; O$64,
        'Data Repository Table'!$D:$D, "&lt;" &amp; EDATE(O$64, 1))</f>
        <v>14627298.491999999</v>
      </c>
      <c r="P68" s="54">
        <f>SUMIFS('Data Repository Table'!$J:$J,
        'Data Repository Table'!$A:$A, "Financial Actual",
        'Data Repository Table'!$C:$C, "Surjek",
        'Data Repository Table'!$B:$B, "Revenues",
        'Data Repository Table'!$D:$D, "&gt;=" &amp; P$64,
        'Data Repository Table'!$D:$D, "&lt;" &amp; EDATE(P$64, 1))</f>
        <v>16164167.273999998</v>
      </c>
      <c r="Q68" s="189">
        <f>SUM(E68:P68)</f>
        <v>157707855.47099999</v>
      </c>
      <c r="R68" s="71">
        <f>(Q69 - Q68) / Q69</f>
        <v>0.22025372323170109</v>
      </c>
      <c r="S68" s="4"/>
      <c r="T68" s="4"/>
      <c r="U68" s="4"/>
      <c r="V68" s="4"/>
      <c r="W68" s="4"/>
      <c r="X68" s="4"/>
      <c r="Y68" s="4"/>
      <c r="Z68" s="4"/>
    </row>
    <row r="69" spans="1:26" ht="13.5" customHeight="1" x14ac:dyDescent="0.25">
      <c r="A69" s="4"/>
      <c r="B69" s="4"/>
      <c r="C69" s="4"/>
      <c r="D69" s="4" t="s">
        <v>168</v>
      </c>
      <c r="E69" s="54">
        <f>SUMIFS('Data Repository Table'!$J:$J,
        'Data Repository Table'!$A:$A, "Financial Actual",
        'Data Repository Table'!$C:$C, "Surjek",
        'Data Repository Table'!$B:$B, "Revenues",
        'Data Repository Table'!$D:$D, "&gt;=" &amp; E$64,
        'Data Repository Table'!$D:$D, "&lt;" &amp; EDATE(E$64, 1))</f>
        <v>17328050.972999997</v>
      </c>
      <c r="F69" s="54">
        <f>SUMIFS('Data Repository Table'!$J:$J,
        'Data Repository Table'!$A:$A, "Financial Actual",
        'Data Repository Table'!$C:$C, "Surjek",
        'Data Repository Table'!$B:$B, "Revenues",
        'Data Repository Table'!$D:$D, "&gt;=" &amp; F$64,
        'Data Repository Table'!$D:$D, "&lt;" &amp; EDATE(F$64, 1))</f>
        <v>14604314.435999997</v>
      </c>
      <c r="G69" s="54">
        <f>SUMIFS('Data Repository Table'!$J:$J,
        'Data Repository Table'!$A:$A, "Financial Actual",
        'Data Repository Table'!$C:$C, "Surjek",
        'Data Repository Table'!$B:$B, "Revenues",
        'Data Repository Table'!$D:$D, "&gt;=" &amp; G$64,
        'Data Repository Table'!$D:$D, "&lt;" &amp; EDATE(G$64, 1))</f>
        <v>16135900.118999999</v>
      </c>
      <c r="H69" s="54">
        <f>SUMIFS('Data Repository Table'!$J:$J,
        'Data Repository Table'!$A:$A, "Financial Actual",
        'Data Repository Table'!$C:$C, "Surjek",
        'Data Repository Table'!$B:$B, "Revenues",
        'Data Repository Table'!$D:$D, "&gt;=" &amp; H$64,
        'Data Repository Table'!$D:$D, "&lt;" &amp; EDATE(H$64, 1))</f>
        <v>15151633.271999998</v>
      </c>
      <c r="I69" s="54">
        <f>SUMIFS('Data Repository Table'!$J:$J,
        'Data Repository Table'!$A:$A, "Financial Actual",
        'Data Repository Table'!$C:$C, "Surjek",
        'Data Repository Table'!$B:$B, "Revenues",
        'Data Repository Table'!$D:$D, "&gt;=" &amp; I$64,
        'Data Repository Table'!$D:$D, "&lt;" &amp; EDATE(I$64, 1))</f>
        <v>13832900.801999997</v>
      </c>
      <c r="J69" s="54">
        <f>SUMIFS('Data Repository Table'!$J:$J,
        'Data Repository Table'!$A:$A, "Financial Actual",
        'Data Repository Table'!$C:$C, "Surjek",
        'Data Repository Table'!$B:$B, "Revenues",
        'Data Repository Table'!$D:$D, "&gt;=" &amp; J$64,
        'Data Repository Table'!$D:$D, "&lt;" &amp; EDATE(J$64, 1))</f>
        <v>15562959.623999998</v>
      </c>
      <c r="K69" s="54">
        <f>SUMIFS('Data Repository Table'!$J:$J,
        'Data Repository Table'!$A:$A, "Financial Actual",
        'Data Repository Table'!$C:$C, "Surjek",
        'Data Repository Table'!$B:$B, "Revenues",
        'Data Repository Table'!$D:$D, "&gt;=" &amp; K$64,
        'Data Repository Table'!$D:$D, "&lt;" &amp; EDATE(K$64, 1))</f>
        <v>22354057.620000001</v>
      </c>
      <c r="L69" s="54">
        <f>SUMIFS('Data Repository Table'!$J:$J,
        'Data Repository Table'!$A:$A, "Financial Actual",
        'Data Repository Table'!$C:$C, "Surjek",
        'Data Repository Table'!$B:$B, "Revenues",
        'Data Repository Table'!$D:$D, "&gt;=" &amp; L$64,
        'Data Repository Table'!$D:$D, "&lt;" &amp; EDATE(L$64, 1))</f>
        <v>18580950.729999997</v>
      </c>
      <c r="M69" s="54">
        <f>SUMIFS('Data Repository Table'!$J:$J,
        'Data Repository Table'!$A:$A, "Financial Actual",
        'Data Repository Table'!$C:$C, "Surjek",
        'Data Repository Table'!$B:$B, "Revenues",
        'Data Repository Table'!$D:$D, "&gt;=" &amp; M$64,
        'Data Repository Table'!$D:$D, "&lt;" &amp; EDATE(M$64, 1))</f>
        <v>19644680.780999999</v>
      </c>
      <c r="N69" s="54">
        <f>SUMIFS('Data Repository Table'!$J:$J,
        'Data Repository Table'!$A:$A, "Financial Actual",
        'Data Repository Table'!$C:$C, "Surjek",
        'Data Repository Table'!$B:$B, "Revenues",
        'Data Repository Table'!$D:$D, "&gt;=" &amp; N$64,
        'Data Repository Table'!$D:$D, "&lt;" &amp; EDATE(N$64, 1))</f>
        <v>18268435.046</v>
      </c>
      <c r="O69" s="54">
        <f>SUMIFS('Data Repository Table'!$J:$J,
        'Data Repository Table'!$A:$A, "Financial Actual",
        'Data Repository Table'!$C:$C, "Surjek",
        'Data Repository Table'!$B:$B, "Revenues",
        'Data Repository Table'!$D:$D, "&gt;=" &amp; O$64,
        'Data Repository Table'!$D:$D, "&lt;" &amp; EDATE(O$64, 1))</f>
        <v>14627298.491999999</v>
      </c>
      <c r="P69" s="54">
        <f>SUMIFS('Data Repository Table'!$J:$J,
        'Data Repository Table'!$A:$A, "Financial Actual",
        'Data Repository Table'!$C:$C, "Surjek",
        'Data Repository Table'!$B:$B, "Revenues",
        'Data Repository Table'!$D:$D, "&gt;=" &amp; P$64,
        'Data Repository Table'!$D:$D, "&lt;" &amp; EDATE(P$64, 1))</f>
        <v>16164167.273999998</v>
      </c>
      <c r="Q69" s="54">
        <f>SUM(E69:P69)</f>
        <v>202255349.16899997</v>
      </c>
      <c r="R69" s="4"/>
      <c r="S69" s="4"/>
      <c r="T69" s="4"/>
      <c r="U69" s="4"/>
      <c r="V69" s="4"/>
      <c r="W69" s="4"/>
      <c r="X69" s="4"/>
      <c r="Y69" s="4"/>
      <c r="Z69" s="4"/>
    </row>
    <row r="70" spans="1:26" ht="31.5" customHeight="1" x14ac:dyDescent="0.25">
      <c r="A70" s="209" t="s">
        <v>169</v>
      </c>
      <c r="B70" s="197"/>
      <c r="C70" s="197"/>
      <c r="D70" s="197"/>
      <c r="E70" s="197"/>
      <c r="F70" s="197"/>
      <c r="G70" s="197"/>
      <c r="H70" s="197"/>
      <c r="I70" s="197"/>
      <c r="J70" s="197"/>
      <c r="K70" s="197"/>
      <c r="L70" s="197"/>
      <c r="M70" s="197"/>
      <c r="N70" s="197"/>
      <c r="O70" s="197"/>
      <c r="P70" s="72"/>
      <c r="Q70" s="72"/>
      <c r="R70" s="72"/>
      <c r="S70" s="72"/>
      <c r="T70" s="72"/>
      <c r="U70" s="72"/>
      <c r="V70" s="72"/>
      <c r="W70" s="72"/>
      <c r="X70" s="72"/>
      <c r="Y70" s="72"/>
      <c r="Z70" s="72"/>
    </row>
    <row r="71" spans="1:26" ht="13.5" customHeight="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x14ac:dyDescent="0.25">
      <c r="A89" s="192" t="s">
        <v>95</v>
      </c>
      <c r="B89" s="192"/>
      <c r="C89" s="193" t="s">
        <v>170</v>
      </c>
      <c r="D89" s="192"/>
      <c r="E89" s="192"/>
      <c r="F89" s="192"/>
      <c r="G89" s="192"/>
      <c r="H89" s="192"/>
      <c r="I89" s="192"/>
      <c r="J89" s="192"/>
      <c r="K89" s="192"/>
      <c r="L89" s="192"/>
      <c r="M89" s="192"/>
      <c r="N89" s="192"/>
      <c r="O89" s="192"/>
      <c r="P89" s="192"/>
      <c r="Q89" s="192"/>
      <c r="R89" s="192"/>
      <c r="S89" s="192"/>
      <c r="T89" s="192"/>
      <c r="U89" s="192"/>
      <c r="V89" s="192"/>
      <c r="W89" s="192"/>
      <c r="X89" s="192"/>
      <c r="Y89" s="192"/>
      <c r="Z89" s="192"/>
    </row>
    <row r="90" spans="1:26" ht="13.5" customHeight="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32.25" customHeight="1" x14ac:dyDescent="0.25">
      <c r="A91" s="123" t="s">
        <v>171</v>
      </c>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row>
    <row r="92" spans="1:26" ht="13.5" customHeight="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5" customHeight="1"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3">
    <mergeCell ref="A70:O70"/>
    <mergeCell ref="A4:R4"/>
    <mergeCell ref="A5:S5"/>
    <mergeCell ref="A6:Q6"/>
    <mergeCell ref="A7:N7"/>
    <mergeCell ref="A11:U11"/>
    <mergeCell ref="A12:J12"/>
    <mergeCell ref="A40:U40"/>
    <mergeCell ref="A41:M41"/>
    <mergeCell ref="A42:M42"/>
    <mergeCell ref="A51:Q51"/>
    <mergeCell ref="A53:P53"/>
    <mergeCell ref="A62:R62"/>
  </mergeCells>
  <conditionalFormatting sqref="C47:C48 C44:C45">
    <cfRule type="colorScale" priority="1">
      <colorScale>
        <cfvo type="min"/>
        <cfvo type="percentile" val="50"/>
        <cfvo type="max"/>
        <color rgb="FFF8696B"/>
        <color rgb="FFFCFCFF"/>
        <color rgb="FF5A8AC6"/>
      </colorScale>
    </cfRule>
  </conditionalFormatting>
  <conditionalFormatting sqref="D44:D48">
    <cfRule type="colorScale" priority="2">
      <colorScale>
        <cfvo type="min"/>
        <cfvo type="percentile" val="50"/>
        <cfvo type="max"/>
        <color rgb="FFF8696B"/>
        <color rgb="FFFCFCFF"/>
        <color rgb="FF5A8AC6"/>
      </colorScale>
    </cfRule>
  </conditionalFormatting>
  <conditionalFormatting sqref="E44:E48">
    <cfRule type="colorScale" priority="3">
      <colorScale>
        <cfvo type="min"/>
        <cfvo type="percentile" val="50"/>
        <cfvo type="max"/>
        <color rgb="FFF8696B"/>
        <color rgb="FFFCFCFF"/>
        <color rgb="FF5A8AC6"/>
      </colorScale>
    </cfRule>
  </conditionalFormatting>
  <conditionalFormatting sqref="E16:J16 Q16">
    <cfRule type="colorScale" priority="10">
      <colorScale>
        <cfvo type="min"/>
        <cfvo type="percentile" val="50"/>
        <cfvo type="max"/>
        <color rgb="FFF8696B"/>
        <color rgb="FFFCFCFF"/>
        <color rgb="FF5A8AC6"/>
      </colorScale>
    </cfRule>
  </conditionalFormatting>
  <conditionalFormatting sqref="E60:O60">
    <cfRule type="colorScale" priority="4">
      <colorScale>
        <cfvo type="min"/>
        <cfvo type="percentile" val="50"/>
        <cfvo type="max"/>
        <color rgb="FFF8696B"/>
        <color rgb="FFFFEB84"/>
        <color rgb="FF63BE7B"/>
      </colorScale>
    </cfRule>
  </conditionalFormatting>
  <conditionalFormatting sqref="E57:P58">
    <cfRule type="colorScale" priority="5">
      <colorScale>
        <cfvo type="min"/>
        <cfvo type="percentile" val="50"/>
        <cfvo type="max"/>
        <color rgb="FFF8696B"/>
        <color rgb="FFFCFCFF"/>
        <color rgb="FF5A8AC6"/>
      </colorScale>
    </cfRule>
  </conditionalFormatting>
  <conditionalFormatting sqref="E59:P59">
    <cfRule type="colorScale" priority="6">
      <colorScale>
        <cfvo type="min"/>
        <cfvo type="percentile" val="50"/>
        <cfvo type="max"/>
        <color rgb="FFF8696B"/>
        <color rgb="FFFCFCFF"/>
        <color rgb="FF5A8AC6"/>
      </colorScale>
    </cfRule>
  </conditionalFormatting>
  <conditionalFormatting sqref="E15:Q15 K16:P16">
    <cfRule type="colorScale" priority="9">
      <colorScale>
        <cfvo type="min"/>
        <cfvo type="percentile" val="50"/>
        <cfvo type="max"/>
        <color rgb="FFF8696B"/>
        <color rgb="FFFCFCFF"/>
        <color rgb="FF5A8AC6"/>
      </colorScale>
    </cfRule>
  </conditionalFormatting>
  <conditionalFormatting sqref="E65:Q65 E66:E68 F66:M66 F68:G68">
    <cfRule type="colorScale" priority="7">
      <colorScale>
        <cfvo type="min"/>
        <cfvo type="percentile" val="50"/>
        <cfvo type="max"/>
        <color rgb="FFF8696B"/>
        <color rgb="FFFCFCFF"/>
        <color rgb="FF5A8AC6"/>
      </colorScale>
    </cfRule>
  </conditionalFormatting>
  <conditionalFormatting sqref="N66:P66 F67:P67 H68:J68">
    <cfRule type="colorScale" priority="8">
      <colorScale>
        <cfvo type="min"/>
        <cfvo type="percentile" val="50"/>
        <cfvo type="max"/>
        <color rgb="FFF8696B"/>
        <color rgb="FFFCFCFF"/>
        <color rgb="FF5A8AC6"/>
      </colorScale>
    </cfRule>
  </conditionalFormatting>
  <conditionalFormatting sqref="Q66:Q67">
    <cfRule type="colorScale" priority="20">
      <colorScale>
        <cfvo type="min"/>
        <cfvo type="percentile" val="50"/>
        <cfvo type="max"/>
        <color rgb="FFF8696B"/>
        <color rgb="FFFCFCFF"/>
        <color rgb="FF5A8AC6"/>
      </colorScale>
    </cfRule>
  </conditionalFormatting>
  <pageMargins left="0.7" right="0.7" top="0.75" bottom="0.75"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5E0B3"/>
  </sheetPr>
  <dimension ref="A1:AM1000"/>
  <sheetViews>
    <sheetView showGridLines="0" workbookViewId="0">
      <selection activeCell="H21" sqref="H21"/>
    </sheetView>
  </sheetViews>
  <sheetFormatPr defaultColWidth="14.42578125" defaultRowHeight="15" customHeight="1" x14ac:dyDescent="0.25"/>
  <cols>
    <col min="1" max="1" width="19.85546875" customWidth="1"/>
    <col min="2" max="2" width="14.5703125" customWidth="1"/>
    <col min="3" max="3" width="33.140625" customWidth="1"/>
    <col min="4" max="4" width="27.7109375" customWidth="1"/>
    <col min="5" max="5" width="21.42578125" customWidth="1"/>
    <col min="6" max="17" width="13.42578125" customWidth="1"/>
    <col min="18" max="18" width="14.5703125" customWidth="1"/>
    <col min="19" max="19" width="14.7109375" customWidth="1"/>
    <col min="20" max="20" width="16.42578125" customWidth="1"/>
    <col min="21" max="39" width="8.7109375" customWidth="1"/>
  </cols>
  <sheetData>
    <row r="1" spans="1:39" ht="14.25" customHeight="1" x14ac:dyDescent="0.4">
      <c r="A1" s="125" t="s">
        <v>172</v>
      </c>
      <c r="B1" s="126"/>
      <c r="C1" s="127"/>
      <c r="D1" s="127"/>
      <c r="E1" s="127"/>
      <c r="F1" s="126"/>
      <c r="G1" s="126"/>
      <c r="H1" s="126"/>
      <c r="I1" s="126"/>
      <c r="J1" s="126"/>
      <c r="K1" s="126"/>
      <c r="L1" s="126"/>
      <c r="M1" s="126"/>
      <c r="N1" s="126"/>
      <c r="O1" s="126"/>
      <c r="P1" s="126"/>
      <c r="Q1" s="126"/>
      <c r="R1" s="126"/>
      <c r="S1" s="127"/>
      <c r="T1" s="127"/>
      <c r="U1" s="127"/>
      <c r="V1" s="127"/>
      <c r="W1" s="127"/>
      <c r="X1" s="127"/>
      <c r="Y1" s="127"/>
      <c r="Z1" s="127"/>
      <c r="AA1" s="127"/>
      <c r="AB1" s="127"/>
      <c r="AC1" s="127"/>
      <c r="AD1" s="127"/>
      <c r="AE1" s="127"/>
      <c r="AF1" s="127"/>
      <c r="AG1" s="127"/>
      <c r="AH1" s="127"/>
      <c r="AI1" s="127"/>
      <c r="AJ1" s="127"/>
      <c r="AK1" s="127"/>
      <c r="AL1" s="127"/>
      <c r="AM1" s="127"/>
    </row>
    <row r="2" spans="1:39" ht="28.5" customHeight="1" x14ac:dyDescent="0.25">
      <c r="A2" s="7" t="s">
        <v>173</v>
      </c>
      <c r="B2" s="7"/>
      <c r="F2" s="7"/>
      <c r="G2" s="7"/>
      <c r="H2" s="7"/>
      <c r="I2" s="7"/>
      <c r="J2" s="7"/>
      <c r="K2" s="7"/>
      <c r="L2" s="7"/>
      <c r="M2" s="7"/>
      <c r="N2" s="7"/>
      <c r="O2" s="7"/>
      <c r="P2" s="7"/>
      <c r="Q2" s="7"/>
      <c r="R2" s="7"/>
    </row>
    <row r="3" spans="1:39" ht="14.25" customHeight="1" x14ac:dyDescent="0.25">
      <c r="A3" s="7" t="s">
        <v>174</v>
      </c>
      <c r="B3" s="7"/>
      <c r="F3" s="7"/>
      <c r="G3" s="7"/>
      <c r="H3" s="7"/>
      <c r="I3" s="7"/>
      <c r="J3" s="7"/>
      <c r="K3" s="7"/>
      <c r="L3" s="7"/>
      <c r="M3" s="7"/>
      <c r="N3" s="7"/>
      <c r="O3" s="7"/>
      <c r="P3" s="7"/>
      <c r="Q3" s="7"/>
      <c r="R3" s="7"/>
    </row>
    <row r="4" spans="1:39" ht="41.25" customHeight="1" x14ac:dyDescent="0.25">
      <c r="A4" s="213" t="s">
        <v>175</v>
      </c>
      <c r="B4" s="197"/>
      <c r="C4" s="197"/>
      <c r="D4" s="197"/>
      <c r="E4" s="197"/>
      <c r="F4" s="197"/>
      <c r="G4" s="197"/>
      <c r="H4" s="197"/>
      <c r="I4" s="197"/>
      <c r="J4" s="197"/>
      <c r="K4" s="197"/>
      <c r="L4" s="197"/>
      <c r="M4" s="197"/>
      <c r="N4" s="197"/>
      <c r="O4" s="197"/>
      <c r="P4" s="7"/>
      <c r="Q4" s="7"/>
      <c r="R4" s="7"/>
    </row>
    <row r="5" spans="1:39" ht="27" customHeight="1" x14ac:dyDescent="0.25">
      <c r="A5" s="214" t="s">
        <v>176</v>
      </c>
      <c r="B5" s="197"/>
      <c r="C5" s="197"/>
      <c r="D5" s="197"/>
      <c r="E5" s="197"/>
      <c r="F5" s="197"/>
      <c r="G5" s="197"/>
      <c r="H5" s="197"/>
      <c r="I5" s="197"/>
      <c r="J5" s="197"/>
      <c r="K5" s="197"/>
      <c r="L5" s="197"/>
      <c r="M5" s="197"/>
      <c r="N5" s="197"/>
      <c r="O5" s="197"/>
      <c r="P5" s="197"/>
      <c r="Q5" s="7"/>
      <c r="R5" s="7"/>
    </row>
    <row r="6" spans="1:39" ht="14.25" customHeight="1" x14ac:dyDescent="0.25">
      <c r="B6" s="7"/>
      <c r="F6" s="7"/>
      <c r="G6" s="7"/>
      <c r="H6" s="7"/>
      <c r="I6" s="7"/>
      <c r="J6" s="7"/>
      <c r="K6" s="7"/>
      <c r="L6" s="7"/>
      <c r="M6" s="7"/>
      <c r="N6" s="7"/>
      <c r="O6" s="7"/>
      <c r="P6" s="7"/>
      <c r="Q6" s="7"/>
      <c r="R6" s="7"/>
    </row>
    <row r="7" spans="1:39" ht="14.25" customHeight="1" x14ac:dyDescent="0.25">
      <c r="A7" s="7" t="s">
        <v>84</v>
      </c>
      <c r="F7" s="7"/>
      <c r="G7" s="7"/>
      <c r="H7" s="7"/>
      <c r="I7" s="7"/>
      <c r="J7" s="7"/>
      <c r="K7" s="7"/>
      <c r="L7" s="7"/>
      <c r="M7" s="7"/>
      <c r="N7" s="7"/>
      <c r="O7" s="7"/>
      <c r="P7" s="7"/>
      <c r="Q7" s="7"/>
      <c r="R7" s="7"/>
    </row>
    <row r="8" spans="1:39" ht="14.25" customHeight="1" x14ac:dyDescent="0.25">
      <c r="A8" s="7"/>
      <c r="F8" s="7"/>
      <c r="G8" s="7"/>
      <c r="H8" s="7"/>
      <c r="I8" s="7"/>
      <c r="J8" s="7"/>
      <c r="K8" s="7"/>
      <c r="L8" s="7"/>
      <c r="M8" s="7"/>
      <c r="N8" s="7"/>
      <c r="O8" s="7"/>
      <c r="P8" s="7"/>
      <c r="Q8" s="7"/>
      <c r="R8" s="7"/>
    </row>
    <row r="9" spans="1:39" ht="30" customHeight="1" x14ac:dyDescent="0.25">
      <c r="A9" s="123" t="s">
        <v>177</v>
      </c>
      <c r="B9" s="128"/>
      <c r="C9" s="128"/>
      <c r="D9" s="128"/>
      <c r="E9" s="128"/>
      <c r="F9" s="104"/>
      <c r="G9" s="104"/>
      <c r="H9" s="104"/>
      <c r="I9" s="104"/>
      <c r="J9" s="104"/>
      <c r="K9" s="104"/>
      <c r="L9" s="104"/>
      <c r="M9" s="104"/>
      <c r="N9" s="104"/>
      <c r="O9" s="104"/>
      <c r="P9" s="104"/>
      <c r="Q9" s="104"/>
      <c r="R9" s="104"/>
      <c r="S9" s="128"/>
      <c r="T9" s="128"/>
      <c r="U9" s="128"/>
      <c r="V9" s="128"/>
      <c r="W9" s="128"/>
      <c r="X9" s="128"/>
      <c r="Y9" s="128"/>
      <c r="Z9" s="128"/>
      <c r="AA9" s="128"/>
      <c r="AB9" s="128"/>
      <c r="AC9" s="128"/>
      <c r="AD9" s="128"/>
      <c r="AE9" s="128"/>
      <c r="AF9" s="128"/>
      <c r="AG9" s="128"/>
      <c r="AH9" s="128"/>
      <c r="AI9" s="128"/>
      <c r="AJ9" s="128"/>
      <c r="AK9" s="128"/>
      <c r="AL9" s="128"/>
      <c r="AM9" s="128"/>
    </row>
    <row r="10" spans="1:39" ht="30" customHeight="1" x14ac:dyDescent="0.25">
      <c r="A10" s="123" t="s">
        <v>178</v>
      </c>
      <c r="B10" s="128"/>
      <c r="C10" s="128"/>
      <c r="D10" s="128"/>
      <c r="E10" s="128"/>
      <c r="F10" s="104"/>
      <c r="G10" s="104"/>
      <c r="H10" s="104"/>
      <c r="I10" s="104"/>
      <c r="J10" s="104"/>
      <c r="K10" s="104"/>
      <c r="L10" s="104"/>
      <c r="M10" s="104"/>
      <c r="N10" s="104"/>
      <c r="O10" s="104"/>
      <c r="P10" s="104"/>
      <c r="Q10" s="104"/>
      <c r="R10" s="104"/>
      <c r="S10" s="128"/>
      <c r="T10" s="128"/>
      <c r="U10" s="128"/>
      <c r="V10" s="128"/>
      <c r="W10" s="128"/>
      <c r="X10" s="128"/>
      <c r="Y10" s="128"/>
      <c r="Z10" s="128"/>
      <c r="AA10" s="128"/>
      <c r="AB10" s="128"/>
      <c r="AC10" s="128"/>
      <c r="AD10" s="128"/>
      <c r="AE10" s="128"/>
      <c r="AF10" s="128"/>
      <c r="AG10" s="128"/>
      <c r="AH10" s="128"/>
      <c r="AI10" s="128"/>
      <c r="AJ10" s="128"/>
      <c r="AK10" s="128"/>
      <c r="AL10" s="128"/>
      <c r="AM10" s="128"/>
    </row>
    <row r="11" spans="1:39" ht="53.25" customHeight="1" x14ac:dyDescent="0.25">
      <c r="A11" s="205" t="s">
        <v>179</v>
      </c>
      <c r="B11" s="206"/>
      <c r="C11" s="206"/>
      <c r="D11" s="206"/>
      <c r="E11" s="206"/>
      <c r="F11" s="206"/>
      <c r="G11" s="206"/>
      <c r="H11" s="206"/>
      <c r="I11" s="206"/>
      <c r="J11" s="206"/>
      <c r="K11" s="206"/>
      <c r="L11" s="104"/>
      <c r="M11" s="104"/>
      <c r="N11" s="104"/>
      <c r="O11" s="104"/>
      <c r="P11" s="104"/>
      <c r="Q11" s="104"/>
      <c r="R11" s="104"/>
      <c r="S11" s="128"/>
      <c r="T11" s="128"/>
      <c r="U11" s="128"/>
      <c r="V11" s="128"/>
      <c r="W11" s="128"/>
      <c r="X11" s="128"/>
      <c r="Y11" s="128"/>
      <c r="Z11" s="128"/>
      <c r="AA11" s="128"/>
      <c r="AB11" s="128"/>
      <c r="AC11" s="128"/>
      <c r="AD11" s="128"/>
      <c r="AE11" s="128"/>
      <c r="AF11" s="128"/>
      <c r="AG11" s="128"/>
      <c r="AH11" s="128"/>
      <c r="AI11" s="128"/>
      <c r="AJ11" s="128"/>
      <c r="AK11" s="128"/>
      <c r="AL11" s="128"/>
      <c r="AM11" s="128"/>
    </row>
    <row r="12" spans="1:39" ht="14.25" customHeight="1" x14ac:dyDescent="0.25">
      <c r="A12" s="205" t="s">
        <v>180</v>
      </c>
      <c r="B12" s="206"/>
      <c r="C12" s="206"/>
      <c r="D12" s="206"/>
      <c r="E12" s="206"/>
      <c r="F12" s="206"/>
      <c r="G12" s="206"/>
      <c r="H12" s="206"/>
      <c r="I12" s="206"/>
      <c r="J12" s="206"/>
      <c r="K12" s="206"/>
      <c r="L12" s="206"/>
      <c r="M12" s="206"/>
      <c r="N12" s="206"/>
      <c r="O12" s="206"/>
      <c r="P12" s="206"/>
      <c r="Q12" s="206"/>
      <c r="R12" s="206"/>
      <c r="S12" s="206"/>
      <c r="T12" s="206"/>
      <c r="U12" s="206"/>
      <c r="V12" s="206"/>
      <c r="W12" s="206"/>
      <c r="X12" s="128"/>
      <c r="Y12" s="128"/>
      <c r="Z12" s="128"/>
      <c r="AA12" s="128"/>
      <c r="AB12" s="128"/>
      <c r="AC12" s="128"/>
      <c r="AD12" s="128"/>
      <c r="AE12" s="128"/>
      <c r="AF12" s="128"/>
      <c r="AG12" s="128"/>
      <c r="AH12" s="128"/>
      <c r="AI12" s="128"/>
      <c r="AJ12" s="128"/>
      <c r="AK12" s="128"/>
      <c r="AL12" s="128"/>
      <c r="AM12" s="128"/>
    </row>
    <row r="13" spans="1:39" ht="14.25" customHeight="1" x14ac:dyDescent="0.25">
      <c r="A13" s="115" t="s">
        <v>12</v>
      </c>
      <c r="B13" s="115" t="s">
        <v>16</v>
      </c>
      <c r="C13" s="115" t="s">
        <v>164</v>
      </c>
      <c r="D13" s="115" t="s">
        <v>57</v>
      </c>
      <c r="E13" s="115" t="s">
        <v>181</v>
      </c>
      <c r="F13" s="115"/>
      <c r="G13" s="129">
        <v>41456</v>
      </c>
      <c r="H13" s="129">
        <v>41487</v>
      </c>
      <c r="I13" s="129">
        <v>41518</v>
      </c>
      <c r="J13" s="129">
        <v>41548</v>
      </c>
      <c r="K13" s="129">
        <v>41579</v>
      </c>
      <c r="L13" s="129">
        <v>41609</v>
      </c>
      <c r="M13" s="129">
        <v>41640</v>
      </c>
      <c r="N13" s="129">
        <v>41671</v>
      </c>
      <c r="O13" s="129">
        <v>41699</v>
      </c>
      <c r="P13" s="129">
        <v>41730</v>
      </c>
      <c r="Q13" s="129">
        <v>41760</v>
      </c>
      <c r="R13" s="129">
        <v>41791</v>
      </c>
      <c r="S13" s="130" t="s">
        <v>142</v>
      </c>
      <c r="T13" s="117"/>
      <c r="U13" s="117"/>
      <c r="V13" s="117"/>
      <c r="W13" s="117"/>
    </row>
    <row r="14" spans="1:39" ht="14.25" customHeight="1" x14ac:dyDescent="0.25">
      <c r="A14" s="115"/>
      <c r="B14" s="115"/>
      <c r="C14" s="115"/>
      <c r="D14" s="115"/>
      <c r="E14" s="115"/>
      <c r="F14" s="115"/>
      <c r="G14" s="131"/>
      <c r="H14" s="131"/>
      <c r="I14" s="131"/>
      <c r="J14" s="131"/>
      <c r="K14" s="131"/>
      <c r="L14" s="131"/>
      <c r="M14" s="131"/>
      <c r="N14" s="131"/>
      <c r="O14" s="131"/>
      <c r="P14" s="131"/>
      <c r="Q14" s="131"/>
      <c r="R14" s="131"/>
      <c r="S14" s="130"/>
      <c r="T14" s="117"/>
      <c r="U14" s="117"/>
      <c r="V14" s="117"/>
      <c r="W14" s="117"/>
    </row>
    <row r="15" spans="1:39" ht="14.25" customHeight="1" x14ac:dyDescent="0.25">
      <c r="A15" s="115"/>
      <c r="B15" s="115"/>
      <c r="C15" s="115"/>
      <c r="D15" s="115"/>
      <c r="E15" s="115"/>
      <c r="F15" s="115"/>
      <c r="G15" s="131"/>
      <c r="H15" s="131"/>
      <c r="I15" s="131"/>
      <c r="J15" s="131"/>
      <c r="K15" s="131"/>
      <c r="L15" s="131"/>
      <c r="M15" s="131"/>
      <c r="N15" s="131"/>
      <c r="O15" s="131"/>
      <c r="P15" s="131"/>
      <c r="Q15" s="131"/>
      <c r="R15" s="131"/>
      <c r="S15" s="132"/>
      <c r="T15" s="117"/>
      <c r="U15" s="117"/>
      <c r="V15" s="117"/>
      <c r="W15" s="117"/>
    </row>
    <row r="16" spans="1:39" ht="14.25" customHeight="1" x14ac:dyDescent="0.25">
      <c r="A16" s="26" t="s">
        <v>182</v>
      </c>
      <c r="B16" s="26" t="s">
        <v>46</v>
      </c>
      <c r="C16" s="26" t="s">
        <v>56</v>
      </c>
      <c r="D16" s="26" t="s">
        <v>58</v>
      </c>
      <c r="E16" s="26" t="s">
        <v>59</v>
      </c>
      <c r="F16" s="53"/>
      <c r="G16" s="54">
        <f>SUMIFS(
  'Data Repository Table'!$J:$J,
  'Data Repository Table'!$A:$A, "Financial Actual",
  'Data Repository Table'!$C:$C, "Kootha",
  'Data Repository Table'!$B:$B, "Expenses",
  'Data Repository Table'!$G:$G, "Chemical Costs",
  'Data Repository Table'!$H:$H, "Chem-Exp (001)",
  'Data Repository Table'!$D:$D, G13
)</f>
        <v>593751.84077137313</v>
      </c>
      <c r="H16" s="54">
        <f>SUMIFS(
  'Data Repository Table'!$J:$J,
  'Data Repository Table'!$A:$A, "Financial Actual",
  'Data Repository Table'!$C:$C, "Kootha",
  'Data Repository Table'!$B:$B, "Expenses",
  'Data Repository Table'!$G:$G, "Chemical Costs",
  'Data Repository Table'!$H:$H, "Chem-Exp (001)",
  'Data Repository Table'!$D:$D, H13
)</f>
        <v>820393.03401412489</v>
      </c>
      <c r="I16" s="54">
        <f>SUMIFS(
  'Data Repository Table'!$J:$J,
  'Data Repository Table'!$A:$A, "Financial Actual",
  'Data Repository Table'!$C:$C, "Kootha",
  'Data Repository Table'!$B:$B, "Expenses",
  'Data Repository Table'!$G:$G, "Chemical Costs",
  'Data Repository Table'!$H:$H, "Chem-Exp (001)",
  'Data Repository Table'!$D:$D, I13
)</f>
        <v>642291.58212862327</v>
      </c>
      <c r="J16" s="54">
        <f>SUMIFS(
  'Data Repository Table'!$J:$J,
  'Data Repository Table'!$A:$A, "Financial Actual",
  'Data Repository Table'!$C:$C, "Kootha",
  'Data Repository Table'!$B:$B, "Expenses",
  'Data Repository Table'!$G:$G, "Chemical Costs",
  'Data Repository Table'!$H:$H, "Chem-Exp (001)",
  'Data Repository Table'!$D:$D, J13
)</f>
        <v>609639.97288837493</v>
      </c>
      <c r="K16" s="54">
        <f>SUMIFS(
  'Data Repository Table'!$J:$J,
  'Data Repository Table'!$A:$A, "Financial Actual",
  'Data Repository Table'!$C:$C, "Kootha",
  'Data Repository Table'!$B:$B, "Expenses",
  'Data Repository Table'!$G:$G, "Chemical Costs",
  'Data Repository Table'!$H:$H, "Chem-Exp (001)",
  'Data Repository Table'!$D:$D, K13
)</f>
        <v>626073.16897124995</v>
      </c>
      <c r="L16" s="54">
        <f>SUMIFS(
  'Data Repository Table'!$J:$J,
  'Data Repository Table'!$A:$A, "Financial Actual",
  'Data Repository Table'!$C:$C, "Kootha",
  'Data Repository Table'!$B:$B, "Expenses",
  'Data Repository Table'!$G:$G, "Chemical Costs",
  'Data Repository Table'!$H:$H, "Chem-Exp (001)",
  'Data Repository Table'!$D:$D, L13
)</f>
        <v>602153.37789750006</v>
      </c>
      <c r="M16" s="54">
        <f>SUMIFS(
  'Data Repository Table'!$J:$J,
  'Data Repository Table'!$A:$A, "Financial Actual",
  'Data Repository Table'!$C:$C, "Kootha",
  'Data Repository Table'!$B:$B, "Expenses",
  'Data Repository Table'!$G:$G, "Chemical Costs",
  'Data Repository Table'!$H:$H, "Chem-Exp (001)",
  'Data Repository Table'!$D:$D, M13
)</f>
        <v>1146143.9846999997</v>
      </c>
      <c r="N16" s="54">
        <f>SUMIFS(
  'Data Repository Table'!$J:$J,
  'Data Repository Table'!$A:$A, "Financial Actual",
  'Data Repository Table'!$C:$C, "Kootha",
  'Data Repository Table'!$B:$B, "Expenses",
  'Data Repository Table'!$G:$G, "Chemical Costs",
  'Data Repository Table'!$H:$H, "Chem-Exp (001)",
  'Data Repository Table'!$D:$D, N13
)</f>
        <v>964931.83751249989</v>
      </c>
      <c r="O16" s="54">
        <f>SUMIFS(
  'Data Repository Table'!$J:$J,
  'Data Repository Table'!$A:$A, "Financial Actual",
  'Data Repository Table'!$C:$C, "Kootha",
  'Data Repository Table'!$B:$B, "Expenses",
  'Data Repository Table'!$G:$G, "Chemical Costs",
  'Data Repository Table'!$H:$H, "Chem-Exp (001)",
  'Data Repository Table'!$D:$D, O13
)</f>
        <v>962733.95790000004</v>
      </c>
      <c r="P16" s="54">
        <f>SUMIFS(
  'Data Repository Table'!$J:$J,
  'Data Repository Table'!$A:$A, "Financial Actual",
  'Data Repository Table'!$C:$C, "Kootha",
  'Data Repository Table'!$B:$B, "Expenses",
  'Data Repository Table'!$G:$G, "Chemical Costs",
  'Data Repository Table'!$H:$H, "Chem-Exp (001)",
  'Data Repository Table'!$D:$D, P13
)</f>
        <v>964825.21760624985</v>
      </c>
      <c r="Q16" s="54">
        <f>SUMIFS(
  'Data Repository Table'!$J:$J,
  'Data Repository Table'!$A:$A, "Financial Actual",
  'Data Repository Table'!$C:$C, "Kootha",
  'Data Repository Table'!$B:$B, "Expenses",
  'Data Repository Table'!$G:$G, "Chemical Costs",
  'Data Repository Table'!$H:$H, "Chem-Exp (001)",
  'Data Repository Table'!$D:$D, Q13
)</f>
        <v>1024534.78359375</v>
      </c>
      <c r="R16" s="54">
        <f>SUMIFS(
  'Data Repository Table'!$J:$J,
  'Data Repository Table'!$A:$A, "Financial Actual",
  'Data Repository Table'!$C:$C, "Kootha",
  'Data Repository Table'!$B:$B, "Expenses",
  'Data Repository Table'!$G:$G, "Chemical Costs",
  'Data Repository Table'!$H:$H, "Chem-Exp (001)",
  'Data Repository Table'!$D:$D, R13
)</f>
        <v>1168045.22566875</v>
      </c>
      <c r="S16" s="54">
        <f t="shared" ref="S16:S24" si="0">SUM(G16:R16)</f>
        <v>10125517.983652497</v>
      </c>
      <c r="T16" s="4"/>
      <c r="U16" s="4"/>
      <c r="V16" s="4"/>
      <c r="W16" s="4"/>
    </row>
    <row r="17" spans="1:39" ht="14.25" customHeight="1" x14ac:dyDescent="0.25">
      <c r="A17" s="26" t="s">
        <v>182</v>
      </c>
      <c r="B17" s="26" t="s">
        <v>46</v>
      </c>
      <c r="C17" s="26" t="s">
        <v>56</v>
      </c>
      <c r="D17" s="26" t="s">
        <v>60</v>
      </c>
      <c r="E17" s="26" t="s">
        <v>61</v>
      </c>
      <c r="F17" s="53"/>
      <c r="G17" s="54">
        <f>SUMIFS(
  'Data Repository Table'!$J:$J,
  'Data Repository Table'!$A:$A, "Financial Actual",
  'Data Repository Table'!$C:$C, "Kootha",
  'Data Repository Table'!$B:$B, "Expenses",
  'Data Repository Table'!$G:$G, "Facility Costs",
  'Data Repository Table'!$H:$H, "Utility-Exp (002) - Heating",
  'Data Repository Table'!$D:$D, G$13
)</f>
        <v>276807.38497499918</v>
      </c>
      <c r="H17" s="54">
        <f>SUMIFS(
  'Data Repository Table'!$J:$J,
  'Data Repository Table'!$A:$A, "Financial Actual",
  'Data Repository Table'!$C:$C, "Kootha",
  'Data Repository Table'!$B:$B, "Expenses",
  'Data Repository Table'!$G:$G, "Facility Costs",
  'Data Repository Table'!$H:$H, "Utility-Exp (002) - Heating",
  'Data Repository Table'!$D:$D, H$13
)</f>
        <v>382467.614925</v>
      </c>
      <c r="I17" s="54">
        <f>SUMIFS(
  'Data Repository Table'!$J:$J,
  'Data Repository Table'!$A:$A, "Financial Actual",
  'Data Repository Table'!$C:$C, "Kootha",
  'Data Repository Table'!$B:$B, "Expenses",
  'Data Repository Table'!$G:$G, "Facility Costs",
  'Data Repository Table'!$H:$H, "Utility-Exp (002) - Heating",
  'Data Repository Table'!$D:$D, I$13
)</f>
        <v>299436.63502499921</v>
      </c>
      <c r="J17" s="54">
        <f>SUMIFS(
  'Data Repository Table'!$J:$J,
  'Data Repository Table'!$A:$A, "Financial Actual",
  'Data Repository Table'!$C:$C, "Kootha",
  'Data Repository Table'!$B:$B, "Expenses",
  'Data Repository Table'!$G:$G, "Facility Costs",
  'Data Repository Table'!$H:$H, "Utility-Exp (002) - Heating",
  'Data Repository Table'!$D:$D, J$13
)</f>
        <v>284214.43957499997</v>
      </c>
      <c r="K17" s="54">
        <f>SUMIFS(
  'Data Repository Table'!$J:$J,
  'Data Repository Table'!$A:$A, "Financial Actual",
  'Data Repository Table'!$C:$C, "Kootha",
  'Data Repository Table'!$B:$B, "Expenses",
  'Data Repository Table'!$G:$G, "Facility Costs",
  'Data Repository Table'!$H:$H, "Utility-Exp (002) - Heating",
  'Data Repository Table'!$D:$D, K$13
)</f>
        <v>291875.60325000004</v>
      </c>
      <c r="L17" s="54">
        <f>SUMIFS(
  'Data Repository Table'!$J:$J,
  'Data Repository Table'!$A:$A, "Financial Actual",
  'Data Repository Table'!$C:$C, "Kootha",
  'Data Repository Table'!$B:$B, "Expenses",
  'Data Repository Table'!$G:$G, "Facility Costs",
  'Data Repository Table'!$H:$H, "Utility-Exp (002) - Heating",
  'Data Repository Table'!$D:$D, L$13
)</f>
        <v>280724.18550000002</v>
      </c>
      <c r="M17" s="54">
        <f>SUMIFS(
  'Data Repository Table'!$J:$J,
  'Data Repository Table'!$A:$A, "Financial Actual",
  'Data Repository Table'!$C:$C, "Kootha",
  'Data Repository Table'!$B:$B, "Expenses",
  'Data Repository Table'!$G:$G, "Facility Costs",
  'Data Repository Table'!$H:$H, "Utility-Exp (002) - Heating",
  'Data Repository Table'!$D:$D, M$13
)</f>
        <v>534332.85999999987</v>
      </c>
      <c r="N17" s="54">
        <f>SUMIFS(
  'Data Repository Table'!$J:$J,
  'Data Repository Table'!$A:$A, "Financial Actual",
  'Data Repository Table'!$C:$C, "Kootha",
  'Data Repository Table'!$B:$B, "Expenses",
  'Data Repository Table'!$G:$G, "Facility Costs",
  'Data Repository Table'!$H:$H, "Utility-Exp (002) - Heating",
  'Data Repository Table'!$D:$D, N$13
)</f>
        <v>449851.67249999999</v>
      </c>
      <c r="O17" s="54">
        <f>SUMIFS(
  'Data Repository Table'!$J:$J,
  'Data Repository Table'!$A:$A, "Financial Actual",
  'Data Repository Table'!$C:$C, "Kootha",
  'Data Repository Table'!$B:$B, "Expenses",
  'Data Repository Table'!$G:$G, "Facility Costs",
  'Data Repository Table'!$H:$H, "Utility-Exp (002) - Heating",
  'Data Repository Table'!$D:$D, O$13
)</f>
        <v>448827.02</v>
      </c>
      <c r="P17" s="54">
        <f>SUMIFS(
  'Data Repository Table'!$J:$J,
  'Data Repository Table'!$A:$A, "Financial Actual",
  'Data Repository Table'!$C:$C, "Kootha",
  'Data Repository Table'!$B:$B, "Expenses",
  'Data Repository Table'!$G:$G, "Facility Costs",
  'Data Repository Table'!$H:$H, "Utility-Exp (002) - Heating",
  'Data Repository Table'!$D:$D, P$13
)</f>
        <v>449801.96625</v>
      </c>
      <c r="Q17" s="54">
        <f>SUMIFS(
  'Data Repository Table'!$J:$J,
  'Data Repository Table'!$A:$A, "Financial Actual",
  'Data Repository Table'!$C:$C, "Kootha",
  'Data Repository Table'!$B:$B, "Expenses",
  'Data Repository Table'!$G:$G, "Facility Costs",
  'Data Repository Table'!$H:$H, "Utility-Exp (002) - Heating",
  'Data Repository Table'!$D:$D, Q$13
)</f>
        <v>477638.59375</v>
      </c>
      <c r="R17" s="54">
        <f>SUMIFS(
  'Data Repository Table'!$J:$J,
  'Data Repository Table'!$A:$A, "Financial Actual",
  'Data Repository Table'!$C:$C, "Kootha",
  'Data Repository Table'!$B:$B, "Expenses",
  'Data Repository Table'!$G:$G, "Facility Costs",
  'Data Repository Table'!$H:$H, "Utility-Exp (002) - Heating",
  'Data Repository Table'!$D:$D, R$13
)</f>
        <v>544543.22875000001</v>
      </c>
      <c r="S17" s="54">
        <f t="shared" si="0"/>
        <v>4720521.2044999981</v>
      </c>
      <c r="T17" s="4"/>
      <c r="U17" s="4"/>
      <c r="V17" s="4"/>
      <c r="W17" s="4"/>
    </row>
    <row r="18" spans="1:39" ht="14.25" customHeight="1" x14ac:dyDescent="0.25">
      <c r="A18" s="26" t="s">
        <v>182</v>
      </c>
      <c r="B18" s="26" t="s">
        <v>46</v>
      </c>
      <c r="C18" s="26" t="s">
        <v>56</v>
      </c>
      <c r="D18" s="26" t="s">
        <v>60</v>
      </c>
      <c r="E18" s="26" t="s">
        <v>62</v>
      </c>
      <c r="F18" s="53"/>
      <c r="G18" s="54">
        <f>SUMIFS(
  'Data Repository Table'!$J:$J,
  'Data Repository Table'!$A:$A, "Financial Actual",
  'Data Repository Table'!$C:$C, "Kootha",
  'Data Repository Table'!$B:$B, "Expenses",
  'Data Repository Table'!$G:$G, "Facility Costs",
  'Data Repository Table'!$H:$H, "Utility-Exp (002) - Electricity",
  'Data Repository Table'!$D:$D, G$13
)</f>
        <v>415211.07746249868</v>
      </c>
      <c r="H18" s="54">
        <f>SUMIFS(
  'Data Repository Table'!$J:$J,
  'Data Repository Table'!$A:$A, "Financial Actual",
  'Data Repository Table'!$C:$C, "Kootha",
  'Data Repository Table'!$B:$B, "Expenses",
  'Data Repository Table'!$G:$G, "Facility Costs",
  'Data Repository Table'!$H:$H, "Utility-Exp (002) - Electricity",
  'Data Repository Table'!$D:$D, H$13
)</f>
        <v>573701.42238750006</v>
      </c>
      <c r="I18" s="54">
        <f>SUMIFS(
  'Data Repository Table'!$J:$J,
  'Data Repository Table'!$A:$A, "Financial Actual",
  'Data Repository Table'!$C:$C, "Kootha",
  'Data Repository Table'!$B:$B, "Expenses",
  'Data Repository Table'!$G:$G, "Facility Costs",
  'Data Repository Table'!$H:$H, "Utility-Exp (002) - Electricity",
  'Data Repository Table'!$D:$D, I$13
)</f>
        <v>449154.95253749873</v>
      </c>
      <c r="J18" s="54">
        <f>SUMIFS(
  'Data Repository Table'!$J:$J,
  'Data Repository Table'!$A:$A, "Financial Actual",
  'Data Repository Table'!$C:$C, "Kootha",
  'Data Repository Table'!$B:$B, "Expenses",
  'Data Repository Table'!$G:$G, "Facility Costs",
  'Data Repository Table'!$H:$H, "Utility-Exp (002) - Electricity",
  'Data Repository Table'!$D:$D, J$13
)</f>
        <v>426321.65936249989</v>
      </c>
      <c r="K18" s="54">
        <f>SUMIFS(
  'Data Repository Table'!$J:$J,
  'Data Repository Table'!$A:$A, "Financial Actual",
  'Data Repository Table'!$C:$C, "Kootha",
  'Data Repository Table'!$B:$B, "Expenses",
  'Data Repository Table'!$G:$G, "Facility Costs",
  'Data Repository Table'!$H:$H, "Utility-Exp (002) - Electricity",
  'Data Repository Table'!$D:$D, K$13
)</f>
        <v>437813.40487499995</v>
      </c>
      <c r="L18" s="54">
        <f>SUMIFS(
  'Data Repository Table'!$J:$J,
  'Data Repository Table'!$A:$A, "Financial Actual",
  'Data Repository Table'!$C:$C, "Kootha",
  'Data Repository Table'!$B:$B, "Expenses",
  'Data Repository Table'!$G:$G, "Facility Costs",
  'Data Repository Table'!$H:$H, "Utility-Exp (002) - Electricity",
  'Data Repository Table'!$D:$D, L$13
)</f>
        <v>421086.27824999997</v>
      </c>
      <c r="M18" s="54">
        <f>SUMIFS(
  'Data Repository Table'!$J:$J,
  'Data Repository Table'!$A:$A, "Financial Actual",
  'Data Repository Table'!$C:$C, "Kootha",
  'Data Repository Table'!$B:$B, "Expenses",
  'Data Repository Table'!$G:$G, "Facility Costs",
  'Data Repository Table'!$H:$H, "Utility-Exp (002) - Electricity",
  'Data Repository Table'!$D:$D, M$13
)</f>
        <v>801499.2899999998</v>
      </c>
      <c r="N18" s="54">
        <f>SUMIFS(
  'Data Repository Table'!$J:$J,
  'Data Repository Table'!$A:$A, "Financial Actual",
  'Data Repository Table'!$C:$C, "Kootha",
  'Data Repository Table'!$B:$B, "Expenses",
  'Data Repository Table'!$G:$G, "Facility Costs",
  'Data Repository Table'!$H:$H, "Utility-Exp (002) - Electricity",
  'Data Repository Table'!$D:$D, N$13
)</f>
        <v>674777.50874999992</v>
      </c>
      <c r="O18" s="54">
        <f>SUMIFS(
  'Data Repository Table'!$J:$J,
  'Data Repository Table'!$A:$A, "Financial Actual",
  'Data Repository Table'!$C:$C, "Kootha",
  'Data Repository Table'!$B:$B, "Expenses",
  'Data Repository Table'!$G:$G, "Facility Costs",
  'Data Repository Table'!$H:$H, "Utility-Exp (002) - Electricity",
  'Data Repository Table'!$D:$D, O$13
)</f>
        <v>673240.53</v>
      </c>
      <c r="P18" s="54">
        <f>SUMIFS(
  'Data Repository Table'!$J:$J,
  'Data Repository Table'!$A:$A, "Financial Actual",
  'Data Repository Table'!$C:$C, "Kootha",
  'Data Repository Table'!$B:$B, "Expenses",
  'Data Repository Table'!$G:$G, "Facility Costs",
  'Data Repository Table'!$H:$H, "Utility-Exp (002) - Electricity",
  'Data Repository Table'!$D:$D, P$13
)</f>
        <v>674702.94937499997</v>
      </c>
      <c r="Q18" s="54">
        <f>SUMIFS(
  'Data Repository Table'!$J:$J,
  'Data Repository Table'!$A:$A, "Financial Actual",
  'Data Repository Table'!$C:$C, "Kootha",
  'Data Repository Table'!$B:$B, "Expenses",
  'Data Repository Table'!$G:$G, "Facility Costs",
  'Data Repository Table'!$H:$H, "Utility-Exp (002) - Electricity",
  'Data Repository Table'!$D:$D, Q$13
)</f>
        <v>716457.890625</v>
      </c>
      <c r="R18" s="54">
        <f>SUMIFS(
  'Data Repository Table'!$J:$J,
  'Data Repository Table'!$A:$A, "Financial Actual",
  'Data Repository Table'!$C:$C, "Kootha",
  'Data Repository Table'!$B:$B, "Expenses",
  'Data Repository Table'!$G:$G, "Facility Costs",
  'Data Repository Table'!$H:$H, "Utility-Exp (002) - Electricity",
  'Data Repository Table'!$D:$D, R$13
)</f>
        <v>816814.8431249999</v>
      </c>
      <c r="S18" s="54">
        <f t="shared" si="0"/>
        <v>7080781.8067499967</v>
      </c>
      <c r="T18" s="4"/>
      <c r="U18" s="4"/>
      <c r="V18" s="4"/>
      <c r="W18" s="4"/>
    </row>
    <row r="19" spans="1:39" ht="14.25" customHeight="1" x14ac:dyDescent="0.25">
      <c r="A19" s="26" t="s">
        <v>182</v>
      </c>
      <c r="B19" s="26" t="s">
        <v>46</v>
      </c>
      <c r="C19" s="26" t="s">
        <v>56</v>
      </c>
      <c r="D19" s="26" t="s">
        <v>63</v>
      </c>
      <c r="E19" s="26" t="s">
        <v>64</v>
      </c>
      <c r="F19" s="53"/>
      <c r="G19" s="54">
        <f>SUMIFS(
  'Data Repository Table'!$J:$J,
  'Data Repository Table'!$A:$A, "Financial Actual",
  'Data Repository Table'!$C:$C, "Kootha",
  'Data Repository Table'!$B:$B, "Expenses",
  'Data Repository Table'!$G:$G, "Operational Maintenance Costs",
  'Data Repository Table'!$H:$H, "Plant Maintenance (001)",
  'Data Repository Table'!$D:$D, G$13
)</f>
        <v>360688.41072499886</v>
      </c>
      <c r="H19" s="54">
        <f>SUMIFS(
  'Data Repository Table'!$J:$J,
  'Data Repository Table'!$A:$A, "Financial Actual",
  'Data Repository Table'!$C:$C, "Kootha",
  'Data Repository Table'!$B:$B, "Expenses",
  'Data Repository Table'!$G:$G, "Operational Maintenance Costs",
  'Data Repository Table'!$H:$H, "Plant Maintenance (001)",
  'Data Repository Table'!$D:$D, H$13
)</f>
        <v>498366.89217499993</v>
      </c>
      <c r="I19" s="54">
        <f>SUMIFS(
  'Data Repository Table'!$J:$J,
  'Data Repository Table'!$A:$A, "Financial Actual",
  'Data Repository Table'!$C:$C, "Kootha",
  'Data Repository Table'!$B:$B, "Expenses",
  'Data Repository Table'!$G:$G, "Operational Maintenance Costs",
  'Data Repository Table'!$H:$H, "Plant Maintenance (001)",
  'Data Repository Table'!$D:$D, I$13
)</f>
        <v>390175.00927499885</v>
      </c>
      <c r="J19" s="54">
        <f>SUMIFS(
  'Data Repository Table'!$J:$J,
  'Data Repository Table'!$A:$A, "Financial Actual",
  'Data Repository Table'!$C:$C, "Kootha",
  'Data Repository Table'!$B:$B, "Expenses",
  'Data Repository Table'!$G:$G, "Operational Maintenance Costs",
  'Data Repository Table'!$H:$H, "Plant Maintenance (001)",
  'Data Repository Table'!$D:$D, J$13
)</f>
        <v>370340.02732499992</v>
      </c>
      <c r="K19" s="54">
        <f>SUMIFS(
  'Data Repository Table'!$J:$J,
  'Data Repository Table'!$A:$A, "Financial Actual",
  'Data Repository Table'!$C:$C, "Kootha",
  'Data Repository Table'!$B:$B, "Expenses",
  'Data Repository Table'!$G:$G, "Operational Maintenance Costs",
  'Data Repository Table'!$H:$H, "Plant Maintenance (001)",
  'Data Repository Table'!$D:$D, K$13
)</f>
        <v>380322.75574999995</v>
      </c>
      <c r="L19" s="54">
        <f>SUMIFS(
  'Data Repository Table'!$J:$J,
  'Data Repository Table'!$A:$A, "Financial Actual",
  'Data Repository Table'!$C:$C, "Kootha",
  'Data Repository Table'!$B:$B, "Expenses",
  'Data Repository Table'!$G:$G, "Operational Maintenance Costs",
  'Data Repository Table'!$H:$H, "Plant Maintenance (001)",
  'Data Repository Table'!$D:$D, L$13
)</f>
        <v>365792.12049999996</v>
      </c>
      <c r="M19" s="54">
        <f>SUMIFS(
  'Data Repository Table'!$J:$J,
  'Data Repository Table'!$A:$A, "Financial Actual",
  'Data Repository Table'!$C:$C, "Kootha",
  'Data Repository Table'!$B:$B, "Expenses",
  'Data Repository Table'!$G:$G, "Operational Maintenance Costs",
  'Data Repository Table'!$H:$H, "Plant Maintenance (001)",
  'Data Repository Table'!$D:$D, M$13
)</f>
        <v>459526.25959999987</v>
      </c>
      <c r="N19" s="54">
        <f>SUMIFS(
  'Data Repository Table'!$J:$J,
  'Data Repository Table'!$A:$A, "Financial Actual",
  'Data Repository Table'!$C:$C, "Kootha",
  'Data Repository Table'!$B:$B, "Expenses",
  'Data Repository Table'!$G:$G, "Operational Maintenance Costs",
  'Data Repository Table'!$H:$H, "Plant Maintenance (001)",
  'Data Repository Table'!$D:$D, N$13
)</f>
        <v>386872.43834999995</v>
      </c>
      <c r="O19" s="54">
        <f>SUMIFS(
  'Data Repository Table'!$J:$J,
  'Data Repository Table'!$A:$A, "Financial Actual",
  'Data Repository Table'!$C:$C, "Kootha",
  'Data Repository Table'!$B:$B, "Expenses",
  'Data Repository Table'!$G:$G, "Operational Maintenance Costs",
  'Data Repository Table'!$H:$H, "Plant Maintenance (001)",
  'Data Repository Table'!$D:$D, O$13
)</f>
        <v>385991.23719999997</v>
      </c>
      <c r="P19" s="54">
        <f>SUMIFS(
  'Data Repository Table'!$J:$J,
  'Data Repository Table'!$A:$A, "Financial Actual",
  'Data Repository Table'!$C:$C, "Kootha",
  'Data Repository Table'!$B:$B, "Expenses",
  'Data Repository Table'!$G:$G, "Operational Maintenance Costs",
  'Data Repository Table'!$H:$H, "Plant Maintenance (001)",
  'Data Repository Table'!$D:$D, P$13
)</f>
        <v>386829.69097499992</v>
      </c>
      <c r="Q19" s="54">
        <f>SUMIFS(
  'Data Repository Table'!$J:$J,
  'Data Repository Table'!$A:$A, "Financial Actual",
  'Data Repository Table'!$C:$C, "Kootha",
  'Data Repository Table'!$B:$B, "Expenses",
  'Data Repository Table'!$G:$G, "Operational Maintenance Costs",
  'Data Repository Table'!$H:$H, "Plant Maintenance (001)",
  'Data Repository Table'!$D:$D, Q$13
)</f>
        <v>410769.19062499999</v>
      </c>
      <c r="R19" s="54">
        <f>SUMIFS(
  'Data Repository Table'!$J:$J,
  'Data Repository Table'!$A:$A, "Financial Actual",
  'Data Repository Table'!$C:$C, "Kootha",
  'Data Repository Table'!$B:$B, "Expenses",
  'Data Repository Table'!$G:$G, "Operational Maintenance Costs",
  'Data Repository Table'!$H:$H, "Plant Maintenance (001)",
  'Data Repository Table'!$D:$D, R$13
)</f>
        <v>468307.17672499991</v>
      </c>
      <c r="S19" s="54">
        <f t="shared" si="0"/>
        <v>4863981.2092249971</v>
      </c>
      <c r="T19" s="4"/>
      <c r="U19" s="4"/>
      <c r="V19" s="4"/>
      <c r="W19" s="4"/>
    </row>
    <row r="20" spans="1:39" ht="14.25" customHeight="1" x14ac:dyDescent="0.25">
      <c r="A20" s="26" t="s">
        <v>182</v>
      </c>
      <c r="B20" s="26" t="s">
        <v>46</v>
      </c>
      <c r="C20" s="26" t="s">
        <v>56</v>
      </c>
      <c r="D20" s="26" t="s">
        <v>63</v>
      </c>
      <c r="E20" s="26" t="s">
        <v>65</v>
      </c>
      <c r="F20" s="53"/>
      <c r="G20" s="54">
        <f>SUMIFS(
  'Data Repository Table'!$J:$J,
  'Data Repository Table'!$A:$A, "Financial Actual",
  'Data Repository Table'!$C:$C, "Kootha",
  'Data Repository Table'!$B:$B, "Expenses",
  'Data Repository Table'!$G:$G, "Operational Maintenance Costs",
  'Data Repository Table'!$H:$H, "Plant Outages (002)",
  'Data Repository Table'!$D:$D, G$13
)</f>
        <v>226478.76952499934</v>
      </c>
      <c r="H20" s="54">
        <f>SUMIFS(
  'Data Repository Table'!$J:$J,
  'Data Repository Table'!$A:$A, "Financial Actual",
  'Data Repository Table'!$C:$C, "Kootha",
  'Data Repository Table'!$B:$B, "Expenses",
  'Data Repository Table'!$G:$G, "Operational Maintenance Costs",
  'Data Repository Table'!$H:$H, "Plant Outages (002)",
  'Data Repository Table'!$D:$D, H$13
)</f>
        <v>312928.04857500002</v>
      </c>
      <c r="I20" s="54">
        <f>SUMIFS(
  'Data Repository Table'!$J:$J,
  'Data Repository Table'!$A:$A, "Financial Actual",
  'Data Repository Table'!$C:$C, "Kootha",
  'Data Repository Table'!$B:$B, "Expenses",
  'Data Repository Table'!$G:$G, "Operational Maintenance Costs",
  'Data Repository Table'!$H:$H, "Plant Outages (002)",
  'Data Repository Table'!$D:$D, I$13
)</f>
        <v>244993.61047499935</v>
      </c>
      <c r="J20" s="54">
        <f>SUMIFS(
  'Data Repository Table'!$J:$J,
  'Data Repository Table'!$A:$A, "Financial Actual",
  'Data Repository Table'!$C:$C, "Kootha",
  'Data Repository Table'!$B:$B, "Expenses",
  'Data Repository Table'!$G:$G, "Operational Maintenance Costs",
  'Data Repository Table'!$H:$H, "Plant Outages (002)",
  'Data Repository Table'!$D:$D, J$13
)</f>
        <v>232539.08692499998</v>
      </c>
      <c r="K20" s="54">
        <f>SUMIFS(
  'Data Repository Table'!$J:$J,
  'Data Repository Table'!$A:$A, "Financial Actual",
  'Data Repository Table'!$C:$C, "Kootha",
  'Data Repository Table'!$B:$B, "Expenses",
  'Data Repository Table'!$G:$G, "Operational Maintenance Costs",
  'Data Repository Table'!$H:$H, "Plant Outages (002)",
  'Data Repository Table'!$D:$D, K$13
)</f>
        <v>238807.31175000002</v>
      </c>
      <c r="L20" s="54">
        <f>SUMIFS(
  'Data Repository Table'!$J:$J,
  'Data Repository Table'!$A:$A, "Financial Actual",
  'Data Repository Table'!$C:$C, "Kootha",
  'Data Repository Table'!$B:$B, "Expenses",
  'Data Repository Table'!$G:$G, "Operational Maintenance Costs",
  'Data Repository Table'!$H:$H, "Plant Outages (002)",
  'Data Repository Table'!$D:$D, L$13
)</f>
        <v>229683.42450000002</v>
      </c>
      <c r="M20" s="54">
        <f>SUMIFS(
  'Data Repository Table'!$J:$J,
  'Data Repository Table'!$A:$A, "Financial Actual",
  'Data Repository Table'!$C:$C, "Kootha",
  'Data Repository Table'!$B:$B, "Expenses",
  'Data Repository Table'!$G:$G, "Operational Maintenance Costs",
  'Data Repository Table'!$H:$H, "Plant Outages (002)",
  'Data Repository Table'!$D:$D, M$13
)</f>
        <v>288539.74439999997</v>
      </c>
      <c r="N20" s="54">
        <f>SUMIFS(
  'Data Repository Table'!$J:$J,
  'Data Repository Table'!$A:$A, "Financial Actual",
  'Data Repository Table'!$C:$C, "Kootha",
  'Data Repository Table'!$B:$B, "Expenses",
  'Data Repository Table'!$G:$G, "Operational Maintenance Costs",
  'Data Repository Table'!$H:$H, "Plant Outages (002)",
  'Data Repository Table'!$D:$D, N$13
)</f>
        <v>242919.90315</v>
      </c>
      <c r="O20" s="54">
        <f>SUMIFS(
  'Data Repository Table'!$J:$J,
  'Data Repository Table'!$A:$A, "Financial Actual",
  'Data Repository Table'!$C:$C, "Kootha",
  'Data Repository Table'!$B:$B, "Expenses",
  'Data Repository Table'!$G:$G, "Operational Maintenance Costs",
  'Data Repository Table'!$H:$H, "Plant Outages (002)",
  'Data Repository Table'!$D:$D, O$13
)</f>
        <v>242366.59080000003</v>
      </c>
      <c r="P20" s="54">
        <f>SUMIFS(
  'Data Repository Table'!$J:$J,
  'Data Repository Table'!$A:$A, "Financial Actual",
  'Data Repository Table'!$C:$C, "Kootha",
  'Data Repository Table'!$B:$B, "Expenses",
  'Data Repository Table'!$G:$G, "Operational Maintenance Costs",
  'Data Repository Table'!$H:$H, "Plant Outages (002)",
  'Data Repository Table'!$D:$D, P$13
)</f>
        <v>242893.06177500001</v>
      </c>
      <c r="Q20" s="54">
        <f>SUMIFS(
  'Data Repository Table'!$J:$J,
  'Data Repository Table'!$A:$A, "Financial Actual",
  'Data Repository Table'!$C:$C, "Kootha",
  'Data Repository Table'!$B:$B, "Expenses",
  'Data Repository Table'!$G:$G, "Operational Maintenance Costs",
  'Data Repository Table'!$H:$H, "Plant Outages (002)",
  'Data Repository Table'!$D:$D, Q$13
)</f>
        <v>257924.84062500004</v>
      </c>
      <c r="R20" s="54">
        <f>SUMIFS(
  'Data Repository Table'!$J:$J,
  'Data Repository Table'!$A:$A, "Financial Actual",
  'Data Repository Table'!$C:$C, "Kootha",
  'Data Repository Table'!$B:$B, "Expenses",
  'Data Repository Table'!$G:$G, "Operational Maintenance Costs",
  'Data Repository Table'!$H:$H, "Plant Outages (002)",
  'Data Repository Table'!$D:$D, R$13
)</f>
        <v>294053.34352500003</v>
      </c>
      <c r="S20" s="54">
        <f t="shared" si="0"/>
        <v>3054127.7360249986</v>
      </c>
      <c r="T20" s="4"/>
      <c r="U20" s="4"/>
      <c r="V20" s="4"/>
      <c r="W20" s="4"/>
    </row>
    <row r="21" spans="1:39" ht="14.25" customHeight="1" x14ac:dyDescent="0.25">
      <c r="A21" s="26" t="s">
        <v>182</v>
      </c>
      <c r="B21" s="26" t="s">
        <v>46</v>
      </c>
      <c r="C21" s="26" t="s">
        <v>56</v>
      </c>
      <c r="D21" s="26" t="s">
        <v>63</v>
      </c>
      <c r="E21" s="26" t="s">
        <v>66</v>
      </c>
      <c r="F21" s="53"/>
      <c r="G21" s="54">
        <f>SUMIFS(
  'Data Repository Table'!$J:$J,
  'Data Repository Table'!$A:$A, "Financial Actual",
  'Data Repository Table'!$C:$C, "Kootha",
  'Data Repository Table'!$B:$B, "Expenses",
  'Data Repository Table'!$G:$G, "Operational Maintenance Costs",
  'Data Repository Table'!$H:$H, "Plant Op. Costs (003)",
  'Data Repository Table'!$D:$D, G$13
)</f>
        <v>255837.1285374992</v>
      </c>
      <c r="H21" s="54">
        <f>SUMIFS(
  'Data Repository Table'!$J:$J,
  'Data Repository Table'!$A:$A, "Financial Actual",
  'Data Repository Table'!$C:$C, "Kootha",
  'Data Repository Table'!$B:$B, "Expenses",
  'Data Repository Table'!$G:$G, "Operational Maintenance Costs",
  'Data Repository Table'!$H:$H, "Plant Op. Costs (003)",
  'Data Repository Table'!$D:$D, H$13
)</f>
        <v>353492.79561249999</v>
      </c>
      <c r="I21" s="54">
        <f>SUMIFS(
  'Data Repository Table'!$J:$J,
  'Data Repository Table'!$A:$A, "Financial Actual",
  'Data Repository Table'!$C:$C, "Kootha",
  'Data Repository Table'!$B:$B, "Expenses",
  'Data Repository Table'!$G:$G, "Operational Maintenance Costs",
  'Data Repository Table'!$H:$H, "Plant Op. Costs (003)",
  'Data Repository Table'!$D:$D, I$13
)</f>
        <v>276752.04146249924</v>
      </c>
      <c r="J21" s="54">
        <f>SUMIFS(
  'Data Repository Table'!$J:$J,
  'Data Repository Table'!$A:$A, "Financial Actual",
  'Data Repository Table'!$C:$C, "Kootha",
  'Data Repository Table'!$B:$B, "Expenses",
  'Data Repository Table'!$G:$G, "Operational Maintenance Costs",
  'Data Repository Table'!$H:$H, "Plant Op. Costs (003)",
  'Data Repository Table'!$D:$D, J$13
)</f>
        <v>262683.04263749992</v>
      </c>
      <c r="K21" s="54">
        <f>SUMIFS(
  'Data Repository Table'!$J:$J,
  'Data Repository Table'!$A:$A, "Financial Actual",
  'Data Repository Table'!$C:$C, "Kootha",
  'Data Repository Table'!$B:$B, "Expenses",
  'Data Repository Table'!$G:$G, "Operational Maintenance Costs",
  'Data Repository Table'!$H:$H, "Plant Op. Costs (003)",
  'Data Repository Table'!$D:$D, K$13
)</f>
        <v>269763.81512500002</v>
      </c>
      <c r="L21" s="54">
        <f>SUMIFS(
  'Data Repository Table'!$J:$J,
  'Data Repository Table'!$A:$A, "Financial Actual",
  'Data Repository Table'!$C:$C, "Kootha",
  'Data Repository Table'!$B:$B, "Expenses",
  'Data Repository Table'!$G:$G, "Operational Maintenance Costs",
  'Data Repository Table'!$H:$H, "Plant Op. Costs (003)",
  'Data Repository Table'!$D:$D, L$13
)</f>
        <v>259457.20175000001</v>
      </c>
      <c r="M21" s="54">
        <f>SUMIFS(
  'Data Repository Table'!$J:$J,
  'Data Repository Table'!$A:$A, "Financial Actual",
  'Data Repository Table'!$C:$C, "Kootha",
  'Data Repository Table'!$B:$B, "Expenses",
  'Data Repository Table'!$G:$G, "Operational Maintenance Costs",
  'Data Repository Table'!$H:$H, "Plant Op. Costs (003)",
  'Data Repository Table'!$D:$D, M$13
)</f>
        <v>325943.04459999991</v>
      </c>
      <c r="N21" s="54">
        <f>SUMIFS(
  'Data Repository Table'!$J:$J,
  'Data Repository Table'!$A:$A, "Financial Actual",
  'Data Repository Table'!$C:$C, "Kootha",
  'Data Repository Table'!$B:$B, "Expenses",
  'Data Repository Table'!$G:$G, "Operational Maintenance Costs",
  'Data Repository Table'!$H:$H, "Plant Op. Costs (003)",
  'Data Repository Table'!$D:$D, N$13
)</f>
        <v>274409.52022499999</v>
      </c>
      <c r="O21" s="54">
        <f>SUMIFS(
  'Data Repository Table'!$J:$J,
  'Data Repository Table'!$A:$A, "Financial Actual",
  'Data Repository Table'!$C:$C, "Kootha",
  'Data Repository Table'!$B:$B, "Expenses",
  'Data Repository Table'!$G:$G, "Operational Maintenance Costs",
  'Data Repository Table'!$H:$H, "Plant Op. Costs (003)",
  'Data Repository Table'!$D:$D, O$13
)</f>
        <v>273784.48220000003</v>
      </c>
      <c r="P21" s="54">
        <f>SUMIFS(
  'Data Repository Table'!$J:$J,
  'Data Repository Table'!$A:$A, "Financial Actual",
  'Data Repository Table'!$C:$C, "Kootha",
  'Data Repository Table'!$B:$B, "Expenses",
  'Data Repository Table'!$G:$G, "Operational Maintenance Costs",
  'Data Repository Table'!$H:$H, "Plant Op. Costs (003)",
  'Data Repository Table'!$D:$D, P$13
)</f>
        <v>274379.19941249996</v>
      </c>
      <c r="Q21" s="54">
        <f>SUMIFS(
  'Data Repository Table'!$J:$J,
  'Data Repository Table'!$A:$A, "Financial Actual",
  'Data Repository Table'!$C:$C, "Kootha",
  'Data Repository Table'!$B:$B, "Expenses",
  'Data Repository Table'!$G:$G, "Operational Maintenance Costs",
  'Data Repository Table'!$H:$H, "Plant Op. Costs (003)",
  'Data Repository Table'!$D:$D, Q$13
)</f>
        <v>291359.54218749999</v>
      </c>
      <c r="R21" s="54">
        <f>SUMIFS(
  'Data Repository Table'!$J:$J,
  'Data Repository Table'!$A:$A, "Financial Actual",
  'Data Repository Table'!$C:$C, "Kootha",
  'Data Repository Table'!$B:$B, "Expenses",
  'Data Repository Table'!$G:$G, "Operational Maintenance Costs",
  'Data Repository Table'!$H:$H, "Plant Op. Costs (003)",
  'Data Repository Table'!$D:$D, R$13
)</f>
        <v>332171.36953749997</v>
      </c>
      <c r="S21" s="54">
        <f t="shared" si="0"/>
        <v>3450033.1832874976</v>
      </c>
      <c r="T21" s="4"/>
      <c r="U21" s="4"/>
      <c r="V21" s="4"/>
      <c r="W21" s="4"/>
    </row>
    <row r="22" spans="1:39" ht="14.25" customHeight="1" x14ac:dyDescent="0.25">
      <c r="A22" s="26" t="s">
        <v>182</v>
      </c>
      <c r="B22" s="26" t="s">
        <v>46</v>
      </c>
      <c r="C22" s="26" t="s">
        <v>56</v>
      </c>
      <c r="D22" s="26" t="s">
        <v>63</v>
      </c>
      <c r="E22" s="26" t="s">
        <v>67</v>
      </c>
      <c r="F22" s="53"/>
      <c r="G22" s="54">
        <f>SUMIFS(
  'Data Repository Table'!$J:$J,
  'Data Repository Table'!$A:$A, "Financial Actual",
  'Data Repository Table'!$C:$C, "Kootha",
  'Data Repository Table'!$B:$B, "Expenses",
  'Data Repository Table'!$G:$G, "Operational Maintenance Costs",
  'Data Repository Table'!$H:$H, "Plant Admin Costs (004)",
  'Data Repository Table'!$D:$D, G$13
)</f>
        <v>176150.15407499947</v>
      </c>
      <c r="H22" s="54">
        <f>SUMIFS(
  'Data Repository Table'!$J:$J,
  'Data Repository Table'!$A:$A, "Financial Actual",
  'Data Repository Table'!$C:$C, "Kootha",
  'Data Repository Table'!$B:$B, "Expenses",
  'Data Repository Table'!$G:$G, "Operational Maintenance Costs",
  'Data Repository Table'!$H:$H, "Plant Admin Costs (004)",
  'Data Repository Table'!$D:$D, H$13
)</f>
        <v>243388.48222500001</v>
      </c>
      <c r="I22" s="54">
        <f>SUMIFS(
  'Data Repository Table'!$J:$J,
  'Data Repository Table'!$A:$A, "Financial Actual",
  'Data Repository Table'!$C:$C, "Kootha",
  'Data Repository Table'!$B:$B, "Expenses",
  'Data Repository Table'!$G:$G, "Operational Maintenance Costs",
  'Data Repository Table'!$H:$H, "Plant Admin Costs (004)",
  'Data Repository Table'!$D:$D, I$13
)</f>
        <v>190550.58592499947</v>
      </c>
      <c r="J22" s="54">
        <f>SUMIFS(
  'Data Repository Table'!$J:$J,
  'Data Repository Table'!$A:$A, "Financial Actual",
  'Data Repository Table'!$C:$C, "Kootha",
  'Data Repository Table'!$B:$B, "Expenses",
  'Data Repository Table'!$G:$G, "Operational Maintenance Costs",
  'Data Repository Table'!$H:$H, "Plant Admin Costs (004)",
  'Data Repository Table'!$D:$D, J$13
)</f>
        <v>180863.73427499997</v>
      </c>
      <c r="K22" s="54">
        <f>SUMIFS(
  'Data Repository Table'!$J:$J,
  'Data Repository Table'!$A:$A, "Financial Actual",
  'Data Repository Table'!$C:$C, "Kootha",
  'Data Repository Table'!$B:$B, "Expenses",
  'Data Repository Table'!$G:$G, "Operational Maintenance Costs",
  'Data Repository Table'!$H:$H, "Plant Admin Costs (004)",
  'Data Repository Table'!$D:$D, K$13
)</f>
        <v>185739.02025</v>
      </c>
      <c r="L22" s="54">
        <f>SUMIFS(
  'Data Repository Table'!$J:$J,
  'Data Repository Table'!$A:$A, "Financial Actual",
  'Data Repository Table'!$C:$C, "Kootha",
  'Data Repository Table'!$B:$B, "Expenses",
  'Data Repository Table'!$G:$G, "Operational Maintenance Costs",
  'Data Repository Table'!$H:$H, "Plant Admin Costs (004)",
  'Data Repository Table'!$D:$D, L$13
)</f>
        <v>178642.66350000002</v>
      </c>
      <c r="M22" s="54">
        <f>SUMIFS(
  'Data Repository Table'!$J:$J,
  'Data Repository Table'!$A:$A, "Financial Actual",
  'Data Repository Table'!$C:$C, "Kootha",
  'Data Repository Table'!$B:$B, "Expenses",
  'Data Repository Table'!$G:$G, "Operational Maintenance Costs",
  'Data Repository Table'!$H:$H, "Plant Admin Costs (004)",
  'Data Repository Table'!$D:$D, M$13
)</f>
        <v>224419.80119999996</v>
      </c>
      <c r="N22" s="54">
        <f>SUMIFS(
  'Data Repository Table'!$J:$J,
  'Data Repository Table'!$A:$A, "Financial Actual",
  'Data Repository Table'!$C:$C, "Kootha",
  'Data Repository Table'!$B:$B, "Expenses",
  'Data Repository Table'!$G:$G, "Operational Maintenance Costs",
  'Data Repository Table'!$H:$H, "Plant Admin Costs (004)",
  'Data Repository Table'!$D:$D, N$13
)</f>
        <v>188937.70244999998</v>
      </c>
      <c r="O22" s="54">
        <f>SUMIFS(
  'Data Repository Table'!$J:$J,
  'Data Repository Table'!$A:$A, "Financial Actual",
  'Data Repository Table'!$C:$C, "Kootha",
  'Data Repository Table'!$B:$B, "Expenses",
  'Data Repository Table'!$G:$G, "Operational Maintenance Costs",
  'Data Repository Table'!$H:$H, "Plant Admin Costs (004)",
  'Data Repository Table'!$D:$D, O$13
)</f>
        <v>188507.34840000002</v>
      </c>
      <c r="P22" s="54">
        <f>SUMIFS(
  'Data Repository Table'!$J:$J,
  'Data Repository Table'!$A:$A, "Financial Actual",
  'Data Repository Table'!$C:$C, "Kootha",
  'Data Repository Table'!$B:$B, "Expenses",
  'Data Repository Table'!$G:$G, "Operational Maintenance Costs",
  'Data Repository Table'!$H:$H, "Plant Admin Costs (004)",
  'Data Repository Table'!$D:$D, P$13
)</f>
        <v>188916.82582500001</v>
      </c>
      <c r="Q22" s="54">
        <f>SUMIFS(
  'Data Repository Table'!$J:$J,
  'Data Repository Table'!$A:$A, "Financial Actual",
  'Data Repository Table'!$C:$C, "Kootha",
  'Data Repository Table'!$B:$B, "Expenses",
  'Data Repository Table'!$G:$G, "Operational Maintenance Costs",
  'Data Repository Table'!$H:$H, "Plant Admin Costs (004)",
  'Data Repository Table'!$D:$D, Q$13
)</f>
        <v>200608.20937500001</v>
      </c>
      <c r="R22" s="54">
        <f>SUMIFS(
  'Data Repository Table'!$J:$J,
  'Data Repository Table'!$A:$A, "Financial Actual",
  'Data Repository Table'!$C:$C, "Kootha",
  'Data Repository Table'!$B:$B, "Expenses",
  'Data Repository Table'!$G:$G, "Operational Maintenance Costs",
  'Data Repository Table'!$H:$H, "Plant Admin Costs (004)",
  'Data Repository Table'!$D:$D, R$13
)</f>
        <v>228708.15607500001</v>
      </c>
      <c r="S22" s="54">
        <f t="shared" si="0"/>
        <v>2375432.6835749988</v>
      </c>
      <c r="T22" s="4"/>
      <c r="U22" s="4"/>
      <c r="V22" s="4"/>
      <c r="W22" s="4"/>
    </row>
    <row r="23" spans="1:39" ht="14.25" customHeight="1" x14ac:dyDescent="0.25">
      <c r="A23" s="26" t="s">
        <v>182</v>
      </c>
      <c r="B23" s="26" t="s">
        <v>46</v>
      </c>
      <c r="C23" s="26" t="s">
        <v>56</v>
      </c>
      <c r="D23" s="26" t="s">
        <v>68</v>
      </c>
      <c r="E23" s="26" t="s">
        <v>69</v>
      </c>
      <c r="F23" s="55"/>
      <c r="G23" s="54">
        <f>SUMIFS(
  'Data Repository Table'!$J:$J,
  'Data Repository Table'!$A:$A, "Financial Actual",
  'Data Repository Table'!$C:$C, "Kootha",
  'Data Repository Table'!$B:$B, "Expenses",
  'Data Repository Table'!$G:$G, "Labour Costs",
  'Data Repository Table'!$H:$H, "Labour-Costs (001)",
  'Data Repository Table'!$D:$D, G$13
)</f>
        <v>1153364.1040624965</v>
      </c>
      <c r="H23" s="54">
        <f>SUMIFS(
  'Data Repository Table'!$J:$J,
  'Data Repository Table'!$A:$A, "Financial Actual",
  'Data Repository Table'!$C:$C, "Kootha",
  'Data Repository Table'!$B:$B, "Expenses",
  'Data Repository Table'!$G:$G, "Labour Costs",
  'Data Repository Table'!$H:$H, "Labour-Costs (001)",
  'Data Repository Table'!$D:$D, H$13
)</f>
        <v>1593615.0621875001</v>
      </c>
      <c r="I23" s="54">
        <f>SUMIFS(
  'Data Repository Table'!$J:$J,
  'Data Repository Table'!$A:$A, "Financial Actual",
  'Data Repository Table'!$C:$C, "Kootha",
  'Data Repository Table'!$B:$B, "Expenses",
  'Data Repository Table'!$G:$G, "Labour Costs",
  'Data Repository Table'!$H:$H, "Labour-Costs (001)",
  'Data Repository Table'!$D:$D, I$13
)</f>
        <v>1247652.6459374966</v>
      </c>
      <c r="J23" s="54">
        <f>SUMIFS(
  'Data Repository Table'!$J:$J,
  'Data Repository Table'!$A:$A, "Financial Actual",
  'Data Repository Table'!$C:$C, "Kootha",
  'Data Repository Table'!$B:$B, "Expenses",
  'Data Repository Table'!$G:$G, "Labour Costs",
  'Data Repository Table'!$H:$H, "Labour-Costs (001)",
  'Data Repository Table'!$D:$D, J$13
)</f>
        <v>1184226.8315625</v>
      </c>
      <c r="K23" s="54">
        <f>SUMIFS(
  'Data Repository Table'!$J:$J,
  'Data Repository Table'!$A:$A, "Financial Actual",
  'Data Repository Table'!$C:$C, "Kootha",
  'Data Repository Table'!$B:$B, "Expenses",
  'Data Repository Table'!$G:$G, "Labour Costs",
  'Data Repository Table'!$H:$H, "Labour-Costs (001)",
  'Data Repository Table'!$D:$D, K$13
)</f>
        <v>1216148.346875</v>
      </c>
      <c r="L23" s="54">
        <f>SUMIFS(
  'Data Repository Table'!$J:$J,
  'Data Repository Table'!$A:$A, "Financial Actual",
  'Data Repository Table'!$C:$C, "Kootha",
  'Data Repository Table'!$B:$B, "Expenses",
  'Data Repository Table'!$G:$G, "Labour Costs",
  'Data Repository Table'!$H:$H, "Labour-Costs (001)",
  'Data Repository Table'!$D:$D, L$13
)</f>
        <v>1169684.1062500002</v>
      </c>
      <c r="M23" s="54">
        <f>SUMIFS(
  'Data Repository Table'!$J:$J,
  'Data Repository Table'!$A:$A, "Financial Actual",
  'Data Repository Table'!$C:$C, "Kootha",
  'Data Repository Table'!$B:$B, "Expenses",
  'Data Repository Table'!$G:$G, "Labour Costs",
  'Data Repository Table'!$H:$H, "Labour-Costs (001)",
  'Data Repository Table'!$D:$D, M$13
)</f>
        <v>1469415.3649999998</v>
      </c>
      <c r="N23" s="54">
        <f>SUMIFS(
  'Data Repository Table'!$J:$J,
  'Data Repository Table'!$A:$A, "Financial Actual",
  'Data Repository Table'!$C:$C, "Kootha",
  'Data Repository Table'!$B:$B, "Expenses",
  'Data Repository Table'!$G:$G, "Labour Costs",
  'Data Repository Table'!$H:$H, "Labour-Costs (001)",
  'Data Repository Table'!$D:$D, N$13
)</f>
        <v>1237092.099375</v>
      </c>
      <c r="O23" s="54">
        <f>SUMIFS(
  'Data Repository Table'!$J:$J,
  'Data Repository Table'!$A:$A, "Financial Actual",
  'Data Repository Table'!$C:$C, "Kootha",
  'Data Repository Table'!$B:$B, "Expenses",
  'Data Repository Table'!$G:$G, "Labour Costs",
  'Data Repository Table'!$H:$H, "Labour-Costs (001)",
  'Data Repository Table'!$D:$D, O$13
)</f>
        <v>1234274.3050000002</v>
      </c>
      <c r="P23" s="54">
        <f>SUMIFS(
  'Data Repository Table'!$J:$J,
  'Data Repository Table'!$A:$A, "Financial Actual",
  'Data Repository Table'!$C:$C, "Kootha",
  'Data Repository Table'!$B:$B, "Expenses",
  'Data Repository Table'!$G:$G, "Labour Costs",
  'Data Repository Table'!$H:$H, "Labour-Costs (001)",
  'Data Repository Table'!$D:$D, P$13
)</f>
        <v>1236955.4071875</v>
      </c>
      <c r="Q23" s="54">
        <f>SUMIFS(
  'Data Repository Table'!$J:$J,
  'Data Repository Table'!$A:$A, "Financial Actual",
  'Data Repository Table'!$C:$C, "Kootha",
  'Data Repository Table'!$B:$B, "Expenses",
  'Data Repository Table'!$G:$G, "Labour Costs",
  'Data Repository Table'!$H:$H, "Labour-Costs (001)",
  'Data Repository Table'!$D:$D, Q$13
)</f>
        <v>1313506.1328125</v>
      </c>
      <c r="R23" s="54">
        <f>SUMIFS(
  'Data Repository Table'!$J:$J,
  'Data Repository Table'!$A:$A, "Financial Actual",
  'Data Repository Table'!$C:$C, "Kootha",
  'Data Repository Table'!$B:$B, "Expenses",
  'Data Repository Table'!$G:$G, "Labour Costs",
  'Data Repository Table'!$H:$H, "Labour-Costs (001)",
  'Data Repository Table'!$D:$D, R$13
)</f>
        <v>1497493.8790625001</v>
      </c>
      <c r="S23" s="54">
        <f t="shared" si="0"/>
        <v>15553428.285312492</v>
      </c>
      <c r="T23" s="4"/>
      <c r="U23" s="4"/>
      <c r="V23" s="4"/>
      <c r="W23" s="4"/>
    </row>
    <row r="24" spans="1:39" ht="14.25" customHeight="1" x14ac:dyDescent="0.25">
      <c r="A24" s="26" t="s">
        <v>70</v>
      </c>
      <c r="B24" s="26" t="s">
        <v>46</v>
      </c>
      <c r="C24" s="26"/>
      <c r="D24" s="26"/>
      <c r="E24" s="26"/>
      <c r="F24" s="55"/>
      <c r="G24" s="25">
        <f>SUMIFS(
  'Data Repository Table'!$J:$J,
  'Data Repository Table'!$A:$A, "Water Production Actuals",
  'Data Repository Table'!$C:$C, "Kootha",
  'Data Repository Table'!$D:$D, G$13
)</f>
        <v>181.933291</v>
      </c>
      <c r="H24" s="25">
        <f>SUMIFS(
  'Data Repository Table'!$J:$J,
  'Data Repository Table'!$A:$A, "Water Production Actuals",
  'Data Repository Table'!$C:$C, "Kootha",
  'Data Repository Table'!$D:$D, H$13
)</f>
        <v>187.44394299999999</v>
      </c>
      <c r="I24" s="25">
        <f>SUMIFS(
  'Data Repository Table'!$J:$J,
  'Data Repository Table'!$A:$A, "Water Production Actuals",
  'Data Repository Table'!$C:$C, "Kootha",
  'Data Repository Table'!$D:$D, I$13
)</f>
        <v>184.77365699999999</v>
      </c>
      <c r="J24" s="25">
        <f>SUMIFS(
  'Data Repository Table'!$J:$J,
  'Data Repository Table'!$A:$A, "Water Production Actuals",
  'Data Repository Table'!$C:$C, "Kootha",
  'Data Repository Table'!$D:$D, J$13
)</f>
        <v>191.54109299999999</v>
      </c>
      <c r="K24" s="25">
        <f>SUMIFS(
  'Data Repository Table'!$J:$J,
  'Data Repository Table'!$A:$A, "Water Production Actuals",
  'Data Repository Table'!$C:$C, "Kootha",
  'Data Repository Table'!$D:$D, K$13
)</f>
        <v>98.096062000000003</v>
      </c>
      <c r="L24" s="25">
        <f>SUMIFS(
  'Data Repository Table'!$J:$J,
  'Data Repository Table'!$A:$A, "Water Production Actuals",
  'Data Repository Table'!$C:$C, "Kootha",
  'Data Repository Table'!$D:$D, L$13
)</f>
        <v>185.30685299999999</v>
      </c>
      <c r="M24" s="25">
        <f>SUMIFS(
  'Data Repository Table'!$J:$J,
  'Data Repository Table'!$A:$A, "Water Production Actuals",
  'Data Repository Table'!$C:$C, "Kootha",
  'Data Repository Table'!$D:$D, M$13
)</f>
        <v>186.90143900000001</v>
      </c>
      <c r="N24" s="25">
        <f>SUMIFS(
  'Data Repository Table'!$J:$J,
  'Data Repository Table'!$A:$A, "Water Production Actuals",
  'Data Repository Table'!$C:$C, "Kootha",
  'Data Repository Table'!$D:$D, N$13
)</f>
        <v>158.58676500000001</v>
      </c>
      <c r="O24" s="25">
        <f>SUMIFS(
  'Data Repository Table'!$J:$J,
  'Data Repository Table'!$A:$A, "Water Production Actuals",
  'Data Repository Table'!$C:$C, "Kootha",
  'Data Repository Table'!$D:$D, O$13
)</f>
        <v>191.40367599999999</v>
      </c>
      <c r="P24" s="25">
        <f>SUMIFS(
  'Data Repository Table'!$J:$J,
  'Data Repository Table'!$A:$A, "Water Production Actuals",
  'Data Repository Table'!$C:$C, "Kootha",
  'Data Repository Table'!$D:$D, P$13
)</f>
        <v>171.057864</v>
      </c>
      <c r="Q24" s="25">
        <f>SUMIFS(
  'Data Repository Table'!$J:$J,
  'Data Repository Table'!$A:$A, "Water Production Actuals",
  'Data Repository Table'!$C:$C, "Kootha",
  'Data Repository Table'!$D:$D, Q$13
)</f>
        <v>169.28699900000001</v>
      </c>
      <c r="R24" s="25">
        <f>SUMIFS(
  'Data Repository Table'!$J:$J,
  'Data Repository Table'!$A:$A, "Water Production Actuals",
  'Data Repository Table'!$C:$C, "Kootha",
  'Data Repository Table'!$D:$D, R$13
)</f>
        <v>142.50871699999999</v>
      </c>
      <c r="S24" s="25">
        <f t="shared" si="0"/>
        <v>2048.8403589999998</v>
      </c>
      <c r="T24" s="4"/>
      <c r="U24" s="4"/>
      <c r="V24" s="4"/>
      <c r="W24" s="4"/>
    </row>
    <row r="25" spans="1:39" ht="14.25" customHeight="1" x14ac:dyDescent="0.25">
      <c r="A25" s="133"/>
      <c r="B25" s="134" t="s">
        <v>46</v>
      </c>
      <c r="C25" s="135"/>
      <c r="D25" s="135"/>
      <c r="E25" s="134" t="s">
        <v>183</v>
      </c>
      <c r="F25" s="135"/>
      <c r="G25" s="136">
        <f>SUM(G$16:G$23)/(G$24 * 1000)</f>
        <v>19.008554460403097</v>
      </c>
      <c r="H25" s="136">
        <f t="shared" ref="H25:P25" si="1">SUM(H$16:H$23)/(H$24 * 1000)</f>
        <v>25.492172623052561</v>
      </c>
      <c r="I25" s="136">
        <f t="shared" si="1"/>
        <v>20.246430814356369</v>
      </c>
      <c r="J25" s="136">
        <f t="shared" si="1"/>
        <v>18.538208897820557</v>
      </c>
      <c r="K25" s="136">
        <f t="shared" si="1"/>
        <v>37.173188734592117</v>
      </c>
      <c r="L25" s="136">
        <f t="shared" si="1"/>
        <v>18.926571259334377</v>
      </c>
      <c r="M25" s="136">
        <f t="shared" si="1"/>
        <v>28.088710165040506</v>
      </c>
      <c r="N25" s="136">
        <f t="shared" si="1"/>
        <v>27.869870996564565</v>
      </c>
      <c r="O25" s="136">
        <f t="shared" si="1"/>
        <v>23.038875551690033</v>
      </c>
      <c r="P25" s="136">
        <f t="shared" si="1"/>
        <v>25.83514265328515</v>
      </c>
      <c r="Q25" s="136">
        <f>SUM(Q$16:Q$23)/(Q$24 * 1000)</f>
        <v>27.720966236714666</v>
      </c>
      <c r="R25" s="136">
        <f>SUM(R$16:R$23)/(R$24 * 1000)</f>
        <v>37.542526065045898</v>
      </c>
      <c r="S25" s="137">
        <f>SUM(S16:S23)/S24</f>
        <v>25001.37400520988</v>
      </c>
      <c r="T25" s="138"/>
      <c r="U25" s="138"/>
      <c r="V25" s="138"/>
      <c r="W25" s="138"/>
      <c r="X25" s="133"/>
      <c r="Y25" s="133"/>
      <c r="Z25" s="133"/>
      <c r="AA25" s="133"/>
      <c r="AB25" s="133"/>
      <c r="AC25" s="133"/>
      <c r="AD25" s="133"/>
      <c r="AE25" s="133"/>
      <c r="AF25" s="133"/>
      <c r="AG25" s="133"/>
      <c r="AH25" s="133"/>
      <c r="AI25" s="133"/>
      <c r="AJ25" s="133"/>
      <c r="AK25" s="133"/>
      <c r="AL25" s="133"/>
      <c r="AM25" s="133"/>
    </row>
    <row r="26" spans="1:39" ht="14.25" customHeight="1" x14ac:dyDescent="0.25">
      <c r="A26" s="117"/>
      <c r="B26" s="117"/>
      <c r="C26" s="117"/>
      <c r="D26" s="117"/>
      <c r="E26" s="117"/>
      <c r="F26" s="139"/>
      <c r="G26" s="139"/>
      <c r="H26" s="139"/>
      <c r="I26" s="139"/>
      <c r="J26" s="139"/>
      <c r="K26" s="139"/>
      <c r="L26" s="139"/>
      <c r="M26" s="139"/>
      <c r="N26" s="139"/>
      <c r="O26" s="139"/>
      <c r="P26" s="139"/>
      <c r="Q26" s="139"/>
      <c r="R26" s="130"/>
      <c r="S26" s="121"/>
      <c r="T26" s="121"/>
      <c r="U26" s="121"/>
      <c r="V26" s="121"/>
      <c r="W26" s="121"/>
    </row>
    <row r="27" spans="1:39" ht="14.25" customHeight="1" x14ac:dyDescent="0.25">
      <c r="A27" s="26" t="s">
        <v>182</v>
      </c>
      <c r="B27" s="26" t="s">
        <v>54</v>
      </c>
      <c r="C27" s="26" t="s">
        <v>56</v>
      </c>
      <c r="D27" s="26" t="s">
        <v>58</v>
      </c>
      <c r="E27" s="26" t="s">
        <v>59</v>
      </c>
      <c r="F27" s="53"/>
      <c r="G27" s="54">
        <f>SUMIFS(
  'Data Repository Table'!$J:$J,
  'Data Repository Table'!$A:$A, "Financial Actual",
  'Data Repository Table'!$C:$C, "Surjek",
  'Data Repository Table'!$B:$B, "Expenses",
  'Data Repository Table'!$G:$G, "Chemical Costs",
  'Data Repository Table'!$H:$H, "Chem-Exp (001)",
  'Data Repository Table'!$D:$D, G$13
)</f>
        <v>2533034.5131168002</v>
      </c>
      <c r="H27" s="54">
        <f>SUMIFS(
  'Data Repository Table'!$J:$J,
  'Data Repository Table'!$A:$A, "Financial Actual",
  'Data Repository Table'!$C:$C, "Surjek",
  'Data Repository Table'!$B:$B, "Expenses",
  'Data Repository Table'!$G:$G, "Chemical Costs",
  'Data Repository Table'!$H:$H, "Chem-Exp (001)",
  'Data Repository Table'!$D:$D, H$13
)</f>
        <v>3051574.1625600001</v>
      </c>
      <c r="I27" s="54">
        <f>SUMIFS(
  'Data Repository Table'!$J:$J,
  'Data Repository Table'!$A:$A, "Financial Actual",
  'Data Repository Table'!$C:$C, "Surjek",
  'Data Repository Table'!$B:$B, "Expenses",
  'Data Repository Table'!$G:$G, "Chemical Costs",
  'Data Repository Table'!$H:$H, "Chem-Exp (001)",
  'Data Repository Table'!$D:$D, I$13
)</f>
        <v>3084202.7580672004</v>
      </c>
      <c r="J27" s="54">
        <f>SUMIFS(
  'Data Repository Table'!$J:$J,
  'Data Repository Table'!$A:$A, "Financial Actual",
  'Data Repository Table'!$C:$C, "Surjek",
  'Data Repository Table'!$B:$B, "Expenses",
  'Data Repository Table'!$G:$G, "Chemical Costs",
  'Data Repository Table'!$H:$H, "Chem-Exp (001)",
  'Data Repository Table'!$D:$D, J$13
)</f>
        <v>4135202.765971201</v>
      </c>
      <c r="K27" s="54">
        <f>SUMIFS(
  'Data Repository Table'!$J:$J,
  'Data Repository Table'!$A:$A, "Financial Actual",
  'Data Repository Table'!$C:$C, "Surjek",
  'Data Repository Table'!$B:$B, "Expenses",
  'Data Repository Table'!$G:$G, "Chemical Costs",
  'Data Repository Table'!$H:$H, "Chem-Exp (001)",
  'Data Repository Table'!$D:$D, K$13
)</f>
        <v>4473275.8948415993</v>
      </c>
      <c r="L27" s="54">
        <f>SUMIFS(
  'Data Repository Table'!$J:$J,
  'Data Repository Table'!$A:$A, "Financial Actual",
  'Data Repository Table'!$C:$C, "Surjek",
  'Data Repository Table'!$B:$B, "Expenses",
  'Data Repository Table'!$G:$G, "Chemical Costs",
  'Data Repository Table'!$H:$H, "Chem-Exp (001)",
  'Data Repository Table'!$D:$D, L$13
)</f>
        <v>3464957.9260800011</v>
      </c>
      <c r="M27" s="54">
        <f>SUMIFS(
  'Data Repository Table'!$J:$J,
  'Data Repository Table'!$A:$A, "Financial Actual",
  'Data Repository Table'!$C:$C, "Surjek",
  'Data Repository Table'!$B:$B, "Expenses",
  'Data Repository Table'!$G:$G, "Chemical Costs",
  'Data Repository Table'!$H:$H, "Chem-Exp (001)",
  'Data Repository Table'!$D:$D, M$13
)</f>
        <v>4049642.8266000003</v>
      </c>
      <c r="N27" s="54">
        <f>SUMIFS(
  'Data Repository Table'!$J:$J,
  'Data Repository Table'!$A:$A, "Financial Actual",
  'Data Repository Table'!$C:$C, "Surjek",
  'Data Repository Table'!$B:$B, "Expenses",
  'Data Repository Table'!$G:$G, "Chemical Costs",
  'Data Repository Table'!$H:$H, "Chem-Exp (001)",
  'Data Repository Table'!$D:$D, N$13
)</f>
        <v>4767948.2214000002</v>
      </c>
      <c r="O27" s="54">
        <f>SUMIFS(
  'Data Repository Table'!$J:$J,
  'Data Repository Table'!$A:$A, "Financial Actual",
  'Data Repository Table'!$C:$C, "Surjek",
  'Data Repository Table'!$B:$B, "Expenses",
  'Data Repository Table'!$G:$G, "Chemical Costs",
  'Data Repository Table'!$H:$H, "Chem-Exp (001)",
  'Data Repository Table'!$D:$D, O$13
)</f>
        <v>4346722.8083999995</v>
      </c>
      <c r="P27" s="54">
        <f>SUMIFS(
  'Data Repository Table'!$J:$J,
  'Data Repository Table'!$A:$A, "Financial Actual",
  'Data Repository Table'!$C:$C, "Surjek",
  'Data Repository Table'!$B:$B, "Expenses",
  'Data Repository Table'!$G:$G, "Chemical Costs",
  'Data Repository Table'!$H:$H, "Chem-Exp (001)",
  'Data Repository Table'!$D:$D, P$13
)</f>
        <v>4671541.1274000006</v>
      </c>
      <c r="Q27" s="54">
        <f>SUMIFS(
  'Data Repository Table'!$J:$J,
  'Data Repository Table'!$A:$A, "Financial Actual",
  'Data Repository Table'!$C:$C, "Surjek",
  'Data Repository Table'!$B:$B, "Expenses",
  'Data Repository Table'!$G:$G, "Chemical Costs",
  'Data Repository Table'!$H:$H, "Chem-Exp (001)",
  'Data Repository Table'!$D:$D, Q$13
)</f>
        <v>5478104.6040000012</v>
      </c>
      <c r="R27" s="54">
        <f>SUMIFS(
  'Data Repository Table'!$J:$J,
  'Data Repository Table'!$A:$A, "Financial Actual",
  'Data Repository Table'!$C:$C, "Surjek",
  'Data Repository Table'!$B:$B, "Expenses",
  'Data Repository Table'!$G:$G, "Chemical Costs",
  'Data Repository Table'!$H:$H, "Chem-Exp (001)",
  'Data Repository Table'!$D:$D, R$13
)</f>
        <v>2269805.1667200001</v>
      </c>
      <c r="S27" s="54">
        <f t="shared" ref="S27:S35" si="2">SUM(G27:R27)</f>
        <v>46326012.775156811</v>
      </c>
      <c r="T27" s="4"/>
      <c r="U27" s="4"/>
      <c r="V27" s="4"/>
      <c r="W27" s="4"/>
    </row>
    <row r="28" spans="1:39" ht="14.25" customHeight="1" x14ac:dyDescent="0.25">
      <c r="A28" s="26" t="s">
        <v>182</v>
      </c>
      <c r="B28" s="26" t="s">
        <v>54</v>
      </c>
      <c r="C28" s="26" t="s">
        <v>56</v>
      </c>
      <c r="D28" s="26" t="s">
        <v>60</v>
      </c>
      <c r="E28" s="26" t="s">
        <v>61</v>
      </c>
      <c r="F28" s="53"/>
      <c r="G28" s="54">
        <f>SUMIFS(
  'Data Repository Table'!$J:$J,
  'Data Repository Table'!$A:$A, "Financial Actual",
  'Data Repository Table'!$C:$C, "Surjek",
  'Data Repository Table'!$B:$B, "Expenses",
  'Data Repository Table'!$G:$G, "Facility Costs",
  'Data Repository Table'!$H:$H, "Utility-Exp (002) - Heating",
  'Data Repository Table'!$D:$D, G$13
)</f>
        <v>1266517.2565584001</v>
      </c>
      <c r="H28" s="54">
        <f>SUMIFS(
  'Data Repository Table'!$J:$J,
  'Data Repository Table'!$A:$A, "Financial Actual",
  'Data Repository Table'!$C:$C, "Surjek",
  'Data Repository Table'!$B:$B, "Expenses",
  'Data Repository Table'!$G:$G, "Facility Costs",
  'Data Repository Table'!$H:$H, "Utility-Exp (002) - Heating",
  'Data Repository Table'!$D:$D, H$13
)</f>
        <v>1525787.08128</v>
      </c>
      <c r="I28" s="54">
        <f>SUMIFS(
  'Data Repository Table'!$J:$J,
  'Data Repository Table'!$A:$A, "Financial Actual",
  'Data Repository Table'!$C:$C, "Surjek",
  'Data Repository Table'!$B:$B, "Expenses",
  'Data Repository Table'!$G:$G, "Facility Costs",
  'Data Repository Table'!$H:$H, "Utility-Exp (002) - Heating",
  'Data Repository Table'!$D:$D, I$13
)</f>
        <v>1542101.3790336002</v>
      </c>
      <c r="J28" s="54">
        <f>SUMIFS(
  'Data Repository Table'!$J:$J,
  'Data Repository Table'!$A:$A, "Financial Actual",
  'Data Repository Table'!$C:$C, "Surjek",
  'Data Repository Table'!$B:$B, "Expenses",
  'Data Repository Table'!$G:$G, "Facility Costs",
  'Data Repository Table'!$H:$H, "Utility-Exp (002) - Heating",
  'Data Repository Table'!$D:$D, J$13
)</f>
        <v>2067601.3829856005</v>
      </c>
      <c r="K28" s="54">
        <f>SUMIFS(
  'Data Repository Table'!$J:$J,
  'Data Repository Table'!$A:$A, "Financial Actual",
  'Data Repository Table'!$C:$C, "Surjek",
  'Data Repository Table'!$B:$B, "Expenses",
  'Data Repository Table'!$G:$G, "Facility Costs",
  'Data Repository Table'!$H:$H, "Utility-Exp (002) - Heating",
  'Data Repository Table'!$D:$D, K$13
)</f>
        <v>2236637.9474207996</v>
      </c>
      <c r="L28" s="54">
        <f>SUMIFS(
  'Data Repository Table'!$J:$J,
  'Data Repository Table'!$A:$A, "Financial Actual",
  'Data Repository Table'!$C:$C, "Surjek",
  'Data Repository Table'!$B:$B, "Expenses",
  'Data Repository Table'!$G:$G, "Facility Costs",
  'Data Repository Table'!$H:$H, "Utility-Exp (002) - Heating",
  'Data Repository Table'!$D:$D, L$13
)</f>
        <v>1732478.9630400005</v>
      </c>
      <c r="M28" s="54">
        <f>SUMIFS(
  'Data Repository Table'!$J:$J,
  'Data Repository Table'!$A:$A, "Financial Actual",
  'Data Repository Table'!$C:$C, "Surjek",
  'Data Repository Table'!$B:$B, "Expenses",
  'Data Repository Table'!$G:$G, "Facility Costs",
  'Data Repository Table'!$H:$H, "Utility-Exp (002) - Heating",
  'Data Repository Table'!$D:$D, M$13
)</f>
        <v>2024821.4133000001</v>
      </c>
      <c r="N28" s="54">
        <f>SUMIFS(
  'Data Repository Table'!$J:$J,
  'Data Repository Table'!$A:$A, "Financial Actual",
  'Data Repository Table'!$C:$C, "Surjek",
  'Data Repository Table'!$B:$B, "Expenses",
  'Data Repository Table'!$G:$G, "Facility Costs",
  'Data Repository Table'!$H:$H, "Utility-Exp (002) - Heating",
  'Data Repository Table'!$D:$D, N$13
)</f>
        <v>2383974.1107000001</v>
      </c>
      <c r="O28" s="54">
        <f>SUMIFS(
  'Data Repository Table'!$J:$J,
  'Data Repository Table'!$A:$A, "Financial Actual",
  'Data Repository Table'!$C:$C, "Surjek",
  'Data Repository Table'!$B:$B, "Expenses",
  'Data Repository Table'!$G:$G, "Facility Costs",
  'Data Repository Table'!$H:$H, "Utility-Exp (002) - Heating",
  'Data Repository Table'!$D:$D, O$13
)</f>
        <v>2173361.4041999998</v>
      </c>
      <c r="P28" s="54">
        <f>SUMIFS(
  'Data Repository Table'!$J:$J,
  'Data Repository Table'!$A:$A, "Financial Actual",
  'Data Repository Table'!$C:$C, "Surjek",
  'Data Repository Table'!$B:$B, "Expenses",
  'Data Repository Table'!$G:$G, "Facility Costs",
  'Data Repository Table'!$H:$H, "Utility-Exp (002) - Heating",
  'Data Repository Table'!$D:$D, P$13
)</f>
        <v>2335770.5637000003</v>
      </c>
      <c r="Q28" s="54">
        <f>SUMIFS(
  'Data Repository Table'!$J:$J,
  'Data Repository Table'!$A:$A, "Financial Actual",
  'Data Repository Table'!$C:$C, "Surjek",
  'Data Repository Table'!$B:$B, "Expenses",
  'Data Repository Table'!$G:$G, "Facility Costs",
  'Data Repository Table'!$H:$H, "Utility-Exp (002) - Heating",
  'Data Repository Table'!$D:$D, Q$13
)</f>
        <v>2739052.3020000006</v>
      </c>
      <c r="R28" s="54">
        <f>SUMIFS(
  'Data Repository Table'!$J:$J,
  'Data Repository Table'!$A:$A, "Financial Actual",
  'Data Repository Table'!$C:$C, "Surjek",
  'Data Repository Table'!$B:$B, "Expenses",
  'Data Repository Table'!$G:$G, "Facility Costs",
  'Data Repository Table'!$H:$H, "Utility-Exp (002) - Heating",
  'Data Repository Table'!$D:$D, R$13
)</f>
        <v>1134902.58336</v>
      </c>
      <c r="S28" s="54">
        <f t="shared" si="2"/>
        <v>23163006.387578405</v>
      </c>
      <c r="T28" s="4"/>
      <c r="U28" s="4"/>
      <c r="V28" s="4"/>
      <c r="W28" s="4"/>
    </row>
    <row r="29" spans="1:39" ht="14.25" customHeight="1" x14ac:dyDescent="0.25">
      <c r="A29" s="26" t="s">
        <v>182</v>
      </c>
      <c r="B29" s="26" t="s">
        <v>54</v>
      </c>
      <c r="C29" s="26" t="s">
        <v>56</v>
      </c>
      <c r="D29" s="26" t="s">
        <v>60</v>
      </c>
      <c r="E29" s="26" t="s">
        <v>62</v>
      </c>
      <c r="F29" s="53"/>
      <c r="G29" s="54">
        <f>SUMIFS(
  'Data Repository Table'!$J:$J,
  'Data Repository Table'!$A:$A, "Financial Actual",
  'Data Repository Table'!$C:$C, "Surjek",
  'Data Repository Table'!$B:$B, "Expenses",
  'Data Repository Table'!$G:$G, "Facility Costs",
  'Data Repository Table'!$H:$H, "Utility-Exp (002) - Electricity",
  'Data Repository Table'!$D:$D, G$13
)</f>
        <v>1055431.0471320001</v>
      </c>
      <c r="H29" s="54">
        <f>SUMIFS(
  'Data Repository Table'!$J:$J,
  'Data Repository Table'!$A:$A, "Financial Actual",
  'Data Repository Table'!$C:$C, "Surjek",
  'Data Repository Table'!$B:$B, "Expenses",
  'Data Repository Table'!$G:$G, "Facility Costs",
  'Data Repository Table'!$H:$H, "Utility-Exp (002) - Electricity",
  'Data Repository Table'!$D:$D, H$13
)</f>
        <v>1271489.2344000002</v>
      </c>
      <c r="I29" s="54">
        <f>SUMIFS(
  'Data Repository Table'!$J:$J,
  'Data Repository Table'!$A:$A, "Financial Actual",
  'Data Repository Table'!$C:$C, "Surjek",
  'Data Repository Table'!$B:$B, "Expenses",
  'Data Repository Table'!$G:$G, "Facility Costs",
  'Data Repository Table'!$H:$H, "Utility-Exp (002) - Electricity",
  'Data Repository Table'!$D:$D, I$13
)</f>
        <v>1285084.4825280001</v>
      </c>
      <c r="J29" s="54">
        <f>SUMIFS(
  'Data Repository Table'!$J:$J,
  'Data Repository Table'!$A:$A, "Financial Actual",
  'Data Repository Table'!$C:$C, "Surjek",
  'Data Repository Table'!$B:$B, "Expenses",
  'Data Repository Table'!$G:$G, "Facility Costs",
  'Data Repository Table'!$H:$H, "Utility-Exp (002) - Electricity",
  'Data Repository Table'!$D:$D, J$13
)</f>
        <v>1723001.1524880002</v>
      </c>
      <c r="K29" s="54">
        <f>SUMIFS(
  'Data Repository Table'!$J:$J,
  'Data Repository Table'!$A:$A, "Financial Actual",
  'Data Repository Table'!$C:$C, "Surjek",
  'Data Repository Table'!$B:$B, "Expenses",
  'Data Repository Table'!$G:$G, "Facility Costs",
  'Data Repository Table'!$H:$H, "Utility-Exp (002) - Electricity",
  'Data Repository Table'!$D:$D, K$13
)</f>
        <v>1863864.9561839998</v>
      </c>
      <c r="L29" s="54">
        <f>SUMIFS(
  'Data Repository Table'!$J:$J,
  'Data Repository Table'!$A:$A, "Financial Actual",
  'Data Repository Table'!$C:$C, "Surjek",
  'Data Repository Table'!$B:$B, "Expenses",
  'Data Repository Table'!$G:$G, "Facility Costs",
  'Data Repository Table'!$H:$H, "Utility-Exp (002) - Electricity",
  'Data Repository Table'!$D:$D, L$13
)</f>
        <v>1443732.4692000004</v>
      </c>
      <c r="M29" s="54">
        <f>SUMIFS(
  'Data Repository Table'!$J:$J,
  'Data Repository Table'!$A:$A, "Financial Actual",
  'Data Repository Table'!$C:$C, "Surjek",
  'Data Repository Table'!$B:$B, "Expenses",
  'Data Repository Table'!$G:$G, "Facility Costs",
  'Data Repository Table'!$H:$H, "Utility-Exp (002) - Electricity",
  'Data Repository Table'!$D:$D, M$13
)</f>
        <v>1687351.1777500003</v>
      </c>
      <c r="N29" s="54">
        <f>SUMIFS(
  'Data Repository Table'!$J:$J,
  'Data Repository Table'!$A:$A, "Financial Actual",
  'Data Repository Table'!$C:$C, "Surjek",
  'Data Repository Table'!$B:$B, "Expenses",
  'Data Repository Table'!$G:$G, "Facility Costs",
  'Data Repository Table'!$H:$H, "Utility-Exp (002) - Electricity",
  'Data Repository Table'!$D:$D, N$13
)</f>
        <v>1986645.0922500002</v>
      </c>
      <c r="O29" s="54">
        <f>SUMIFS(
  'Data Repository Table'!$J:$J,
  'Data Repository Table'!$A:$A, "Financial Actual",
  'Data Repository Table'!$C:$C, "Surjek",
  'Data Repository Table'!$B:$B, "Expenses",
  'Data Repository Table'!$G:$G, "Facility Costs",
  'Data Repository Table'!$H:$H, "Utility-Exp (002) - Electricity",
  'Data Repository Table'!$D:$D, O$13
)</f>
        <v>1811134.5035000001</v>
      </c>
      <c r="P29" s="54">
        <f>SUMIFS(
  'Data Repository Table'!$J:$J,
  'Data Repository Table'!$A:$A, "Financial Actual",
  'Data Repository Table'!$C:$C, "Surjek",
  'Data Repository Table'!$B:$B, "Expenses",
  'Data Repository Table'!$G:$G, "Facility Costs",
  'Data Repository Table'!$H:$H, "Utility-Exp (002) - Electricity",
  'Data Repository Table'!$D:$D, P$13
)</f>
        <v>1946475.4697500004</v>
      </c>
      <c r="Q29" s="54">
        <f>SUMIFS(
  'Data Repository Table'!$J:$J,
  'Data Repository Table'!$A:$A, "Financial Actual",
  'Data Repository Table'!$C:$C, "Surjek",
  'Data Repository Table'!$B:$B, "Expenses",
  'Data Repository Table'!$G:$G, "Facility Costs",
  'Data Repository Table'!$H:$H, "Utility-Exp (002) - Electricity",
  'Data Repository Table'!$D:$D, Q$13
)</f>
        <v>2282543.5850000004</v>
      </c>
      <c r="R29" s="54">
        <f>SUMIFS(
  'Data Repository Table'!$J:$J,
  'Data Repository Table'!$A:$A, "Financial Actual",
  'Data Repository Table'!$C:$C, "Surjek",
  'Data Repository Table'!$B:$B, "Expenses",
  'Data Repository Table'!$G:$G, "Facility Costs",
  'Data Repository Table'!$H:$H, "Utility-Exp (002) - Electricity",
  'Data Repository Table'!$D:$D, R$13
)</f>
        <v>945752.15280000004</v>
      </c>
      <c r="S29" s="54">
        <f>SUM(G29:R29)</f>
        <v>19302505.322982002</v>
      </c>
      <c r="T29" s="4"/>
      <c r="U29" s="4"/>
      <c r="V29" s="4"/>
      <c r="W29" s="4"/>
    </row>
    <row r="30" spans="1:39" ht="14.25" customHeight="1" x14ac:dyDescent="0.25">
      <c r="A30" s="26" t="s">
        <v>182</v>
      </c>
      <c r="B30" s="26" t="s">
        <v>54</v>
      </c>
      <c r="C30" s="26" t="s">
        <v>56</v>
      </c>
      <c r="D30" s="26" t="s">
        <v>63</v>
      </c>
      <c r="E30" s="26" t="s">
        <v>64</v>
      </c>
      <c r="F30" s="53"/>
      <c r="G30" s="54">
        <f>SUMIFS(
  'Data Repository Table'!$J:$J,
  'Data Repository Table'!$A:$A, "Financial Actual",
  'Data Repository Table'!$C:$C, "Surjek",
  'Data Repository Table'!$B:$B, "Expenses",
  'Data Repository Table'!$G:$G, "Operational Maintenance Costs",
  'Data Repository Table'!$H:$H, "Plant Maintenance (001)",
  'Data Repository Table'!$D:$D, G$13
)</f>
        <v>996326.908492608</v>
      </c>
      <c r="H30" s="54">
        <f>SUMIFS(
  'Data Repository Table'!$J:$J,
  'Data Repository Table'!$A:$A, "Financial Actual",
  'Data Repository Table'!$C:$C, "Surjek",
  'Data Repository Table'!$B:$B, "Expenses",
  'Data Repository Table'!$G:$G, "Operational Maintenance Costs",
  'Data Repository Table'!$H:$H, "Plant Maintenance (001)",
  'Data Repository Table'!$D:$D, H$13
)</f>
        <v>1200285.8372736</v>
      </c>
      <c r="I30" s="54">
        <f>SUMIFS(
  'Data Repository Table'!$J:$J,
  'Data Repository Table'!$A:$A, "Financial Actual",
  'Data Repository Table'!$C:$C, "Surjek",
  'Data Repository Table'!$B:$B, "Expenses",
  'Data Repository Table'!$G:$G, "Operational Maintenance Costs",
  'Data Repository Table'!$H:$H, "Plant Maintenance (001)",
  'Data Repository Table'!$D:$D, I$13
)</f>
        <v>1213119.7515064322</v>
      </c>
      <c r="J30" s="54">
        <f>SUMIFS(
  'Data Repository Table'!$J:$J,
  'Data Repository Table'!$A:$A, "Financial Actual",
  'Data Repository Table'!$C:$C, "Surjek",
  'Data Repository Table'!$B:$B, "Expenses",
  'Data Repository Table'!$G:$G, "Operational Maintenance Costs",
  'Data Repository Table'!$H:$H, "Plant Maintenance (001)",
  'Data Repository Table'!$D:$D, J$13
)</f>
        <v>1626513.0879486722</v>
      </c>
      <c r="K30" s="54">
        <f>SUMIFS(
  'Data Repository Table'!$J:$J,
  'Data Repository Table'!$A:$A, "Financial Actual",
  'Data Repository Table'!$C:$C, "Surjek",
  'Data Repository Table'!$B:$B, "Expenses",
  'Data Repository Table'!$G:$G, "Operational Maintenance Costs",
  'Data Repository Table'!$H:$H, "Plant Maintenance (001)",
  'Data Repository Table'!$D:$D, K$13
)</f>
        <v>1759488.5186376958</v>
      </c>
      <c r="L30" s="54">
        <f>SUMIFS(
  'Data Repository Table'!$J:$J,
  'Data Repository Table'!$A:$A, "Financial Actual",
  'Data Repository Table'!$C:$C, "Surjek",
  'Data Repository Table'!$B:$B, "Expenses",
  'Data Repository Table'!$G:$G, "Operational Maintenance Costs",
  'Data Repository Table'!$H:$H, "Plant Maintenance (001)",
  'Data Repository Table'!$D:$D, L$13
)</f>
        <v>1362883.4509248002</v>
      </c>
      <c r="M30" s="54">
        <f>SUMIFS(
  'Data Repository Table'!$J:$J,
  'Data Repository Table'!$A:$A, "Financial Actual",
  'Data Repository Table'!$C:$C, "Surjek",
  'Data Repository Table'!$B:$B, "Expenses",
  'Data Repository Table'!$G:$G, "Operational Maintenance Costs",
  'Data Repository Table'!$H:$H, "Plant Maintenance (001)",
  'Data Repository Table'!$D:$D, M$13
)</f>
        <v>1592859.5117959999</v>
      </c>
      <c r="N30" s="54">
        <f>SUMIFS(
  'Data Repository Table'!$J:$J,
  'Data Repository Table'!$A:$A, "Financial Actual",
  'Data Repository Table'!$C:$C, "Surjek",
  'Data Repository Table'!$B:$B, "Expenses",
  'Data Repository Table'!$G:$G, "Operational Maintenance Costs",
  'Data Repository Table'!$H:$H, "Plant Maintenance (001)",
  'Data Repository Table'!$D:$D, N$13
)</f>
        <v>1875392.9670840001</v>
      </c>
      <c r="O30" s="54">
        <f>SUMIFS(
  'Data Repository Table'!$J:$J,
  'Data Repository Table'!$A:$A, "Financial Actual",
  'Data Repository Table'!$C:$C, "Surjek",
  'Data Repository Table'!$B:$B, "Expenses",
  'Data Repository Table'!$G:$G, "Operational Maintenance Costs",
  'Data Repository Table'!$H:$H, "Plant Maintenance (001)",
  'Data Repository Table'!$D:$D, O$13
)</f>
        <v>1709710.9713039999</v>
      </c>
      <c r="P30" s="54">
        <f>SUMIFS(
  'Data Repository Table'!$J:$J,
  'Data Repository Table'!$A:$A, "Financial Actual",
  'Data Repository Table'!$C:$C, "Surjek",
  'Data Repository Table'!$B:$B, "Expenses",
  'Data Repository Table'!$G:$G, "Operational Maintenance Costs",
  'Data Repository Table'!$H:$H, "Plant Maintenance (001)",
  'Data Repository Table'!$D:$D, P$13
)</f>
        <v>1837472.8434440002</v>
      </c>
      <c r="Q30" s="54">
        <f>SUMIFS(
  'Data Repository Table'!$J:$J,
  'Data Repository Table'!$A:$A, "Financial Actual",
  'Data Repository Table'!$C:$C, "Surjek",
  'Data Repository Table'!$B:$B, "Expenses",
  'Data Repository Table'!$G:$G, "Operational Maintenance Costs",
  'Data Repository Table'!$H:$H, "Plant Maintenance (001)",
  'Data Repository Table'!$D:$D, Q$13
)</f>
        <v>2154721.1442400003</v>
      </c>
      <c r="R30" s="54">
        <f>SUMIFS(
  'Data Repository Table'!$J:$J,
  'Data Repository Table'!$A:$A, "Financial Actual",
  'Data Repository Table'!$C:$C, "Surjek",
  'Data Repository Table'!$B:$B, "Expenses",
  'Data Repository Table'!$G:$G, "Operational Maintenance Costs",
  'Data Repository Table'!$H:$H, "Plant Maintenance (001)",
  'Data Repository Table'!$D:$D, R$13
)</f>
        <v>892790.0322432</v>
      </c>
      <c r="S30" s="54">
        <f t="shared" si="2"/>
        <v>18221565.024895009</v>
      </c>
      <c r="T30" s="4"/>
      <c r="U30" s="4"/>
      <c r="V30" s="4"/>
      <c r="W30" s="4"/>
    </row>
    <row r="31" spans="1:39" ht="14.25" customHeight="1" x14ac:dyDescent="0.25">
      <c r="A31" s="26" t="s">
        <v>182</v>
      </c>
      <c r="B31" s="26" t="s">
        <v>54</v>
      </c>
      <c r="C31" s="26" t="s">
        <v>56</v>
      </c>
      <c r="D31" s="26" t="s">
        <v>63</v>
      </c>
      <c r="E31" s="26" t="s">
        <v>65</v>
      </c>
      <c r="F31" s="53"/>
      <c r="G31" s="54">
        <f>SUMIFS(
  'Data Repository Table'!$J:$J,
  'Data Repository Table'!$A:$A, "Financial Actual",
  'Data Repository Table'!$C:$C, "Surjek",
  'Data Repository Table'!$B:$B, "Expenses",
  'Data Repository Table'!$G:$G, "Operational Maintenance Costs",
  'Data Repository Table'!$H:$H, "Plant Outages (002)",
  'Data Repository Table'!$D:$D, G$13
)</f>
        <v>869931.04490880016</v>
      </c>
      <c r="H31" s="54">
        <f>SUMIFS(
  'Data Repository Table'!$J:$J,
  'Data Repository Table'!$A:$A, "Financial Actual",
  'Data Repository Table'!$C:$C, "Surjek",
  'Data Repository Table'!$B:$B, "Expenses",
  'Data Repository Table'!$G:$G, "Operational Maintenance Costs",
  'Data Repository Table'!$H:$H, "Plant Outages (002)",
  'Data Repository Table'!$D:$D, H$13
)</f>
        <v>1048015.3689600001</v>
      </c>
      <c r="I31" s="54">
        <f>SUMIFS(
  'Data Repository Table'!$J:$J,
  'Data Repository Table'!$A:$A, "Financial Actual",
  'Data Repository Table'!$C:$C, "Surjek",
  'Data Repository Table'!$B:$B, "Expenses",
  'Data Repository Table'!$G:$G, "Operational Maintenance Costs",
  'Data Repository Table'!$H:$H, "Plant Outages (002)",
  'Data Repository Table'!$D:$D, I$13
)</f>
        <v>1059221.1492352001</v>
      </c>
      <c r="J31" s="54">
        <f>SUMIFS(
  'Data Repository Table'!$J:$J,
  'Data Repository Table'!$A:$A, "Financial Actual",
  'Data Repository Table'!$C:$C, "Surjek",
  'Data Repository Table'!$B:$B, "Expenses",
  'Data Repository Table'!$G:$G, "Operational Maintenance Costs",
  'Data Repository Table'!$H:$H, "Plant Outages (002)",
  'Data Repository Table'!$D:$D, J$13
)</f>
        <v>1420170.6468992003</v>
      </c>
      <c r="K31" s="54">
        <f>SUMIFS(
  'Data Repository Table'!$J:$J,
  'Data Repository Table'!$A:$A, "Financial Actual",
  'Data Repository Table'!$C:$C, "Surjek",
  'Data Repository Table'!$B:$B, "Expenses",
  'Data Repository Table'!$G:$G, "Operational Maintenance Costs",
  'Data Repository Table'!$H:$H, "Plant Outages (002)",
  'Data Repository Table'!$D:$D, K$13
)</f>
        <v>1536276.5699455999</v>
      </c>
      <c r="L31" s="54">
        <f>SUMIFS(
  'Data Repository Table'!$J:$J,
  'Data Repository Table'!$A:$A, "Financial Actual",
  'Data Repository Table'!$C:$C, "Surjek",
  'Data Repository Table'!$B:$B, "Expenses",
  'Data Repository Table'!$G:$G, "Operational Maintenance Costs",
  'Data Repository Table'!$H:$H, "Plant Outages (002)",
  'Data Repository Table'!$D:$D, L$13
)</f>
        <v>785390.46324480022</v>
      </c>
      <c r="M31" s="54">
        <f>SUMIFS(
  'Data Repository Table'!$J:$J,
  'Data Repository Table'!$A:$A, "Financial Actual",
  'Data Repository Table'!$C:$C, "Surjek",
  'Data Repository Table'!$B:$B, "Expenses",
  'Data Repository Table'!$G:$G, "Operational Maintenance Costs",
  'Data Repository Table'!$H:$H, "Plant Outages (002)",
  'Data Repository Table'!$D:$D, M$13
)</f>
        <v>734335.23255680013</v>
      </c>
      <c r="N31" s="54">
        <f>SUMIFS(
  'Data Repository Table'!$J:$J,
  'Data Repository Table'!$A:$A, "Financial Actual",
  'Data Repository Table'!$C:$C, "Surjek",
  'Data Repository Table'!$B:$B, "Expenses",
  'Data Repository Table'!$G:$G, "Operational Maintenance Costs",
  'Data Repository Table'!$H:$H, "Plant Outages (002)",
  'Data Repository Table'!$D:$D, N$13
)</f>
        <v>864587.94414720009</v>
      </c>
      <c r="O31" s="54">
        <f>SUMIFS(
  'Data Repository Table'!$J:$J,
  'Data Repository Table'!$A:$A, "Financial Actual",
  'Data Repository Table'!$C:$C, "Surjek",
  'Data Repository Table'!$B:$B, "Expenses",
  'Data Repository Table'!$G:$G, "Operational Maintenance Costs",
  'Data Repository Table'!$H:$H, "Plant Outages (002)",
  'Data Repository Table'!$D:$D, O$13
)</f>
        <v>788205.73592320003</v>
      </c>
      <c r="P31" s="54">
        <f>SUMIFS(
  'Data Repository Table'!$J:$J,
  'Data Repository Table'!$A:$A, "Financial Actual",
  'Data Repository Table'!$C:$C, "Surjek",
  'Data Repository Table'!$B:$B, "Expenses",
  'Data Repository Table'!$G:$G, "Operational Maintenance Costs",
  'Data Repository Table'!$H:$H, "Plant Outages (002)",
  'Data Repository Table'!$D:$D, P$13
)</f>
        <v>847106.12443520024</v>
      </c>
      <c r="Q31" s="54">
        <f>SUMIFS(
  'Data Repository Table'!$J:$J,
  'Data Repository Table'!$A:$A, "Financial Actual",
  'Data Repository Table'!$C:$C, "Surjek",
  'Data Repository Table'!$B:$B, "Expenses",
  'Data Repository Table'!$G:$G, "Operational Maintenance Costs",
  'Data Repository Table'!$H:$H, "Plant Outages (002)",
  'Data Repository Table'!$D:$D, Q$13
)</f>
        <v>993362.96819200017</v>
      </c>
      <c r="R31" s="54">
        <f>SUMIFS(
  'Data Repository Table'!$J:$J,
  'Data Repository Table'!$A:$A, "Financial Actual",
  'Data Repository Table'!$C:$C, "Surjek",
  'Data Repository Table'!$B:$B, "Expenses",
  'Data Repository Table'!$G:$G, "Operational Maintenance Costs",
  'Data Repository Table'!$H:$H, "Plant Outages (002)",
  'Data Repository Table'!$D:$D, R$13
)</f>
        <v>514489.17112320004</v>
      </c>
      <c r="S31" s="54">
        <f t="shared" si="2"/>
        <v>11461092.4195712</v>
      </c>
      <c r="T31" s="4"/>
      <c r="U31" s="4"/>
      <c r="V31" s="4"/>
      <c r="W31" s="4"/>
    </row>
    <row r="32" spans="1:39" ht="14.25" customHeight="1" x14ac:dyDescent="0.25">
      <c r="A32" s="26" t="s">
        <v>182</v>
      </c>
      <c r="B32" s="26" t="s">
        <v>54</v>
      </c>
      <c r="C32" s="26" t="s">
        <v>56</v>
      </c>
      <c r="D32" s="26" t="s">
        <v>63</v>
      </c>
      <c r="E32" s="26" t="s">
        <v>66</v>
      </c>
      <c r="F32" s="53"/>
      <c r="G32" s="54">
        <f>SUMIFS(
  'Data Repository Table'!$J:$J,
  'Data Repository Table'!$A:$A, "Financial Actual",
  'Data Repository Table'!$C:$C, "Surjek",
  'Data Repository Table'!$B:$B, "Expenses",
  'Data Repository Table'!$G:$G, "Operational Maintenance Costs",
  'Data Repository Table'!$H:$H, "Plant Op. Costs (003)",
  'Data Repository Table'!$D:$D, G$13
)</f>
        <v>921103.45931519999</v>
      </c>
      <c r="H32" s="54">
        <f>SUMIFS(
  'Data Repository Table'!$J:$J,
  'Data Repository Table'!$A:$A, "Financial Actual",
  'Data Repository Table'!$C:$C, "Surjek",
  'Data Repository Table'!$B:$B, "Expenses",
  'Data Repository Table'!$G:$G, "Operational Maintenance Costs",
  'Data Repository Table'!$H:$H, "Plant Op. Costs (003)",
  'Data Repository Table'!$D:$D, H$13
)</f>
        <v>1109663.3318399999</v>
      </c>
      <c r="I32" s="54">
        <f>SUMIFS(
  'Data Repository Table'!$J:$J,
  'Data Repository Table'!$A:$A, "Financial Actual",
  'Data Repository Table'!$C:$C, "Surjek",
  'Data Repository Table'!$B:$B, "Expenses",
  'Data Repository Table'!$G:$G, "Operational Maintenance Costs",
  'Data Repository Table'!$H:$H, "Plant Op. Costs (003)",
  'Data Repository Table'!$D:$D, I$13
)</f>
        <v>1121528.2756608</v>
      </c>
      <c r="J32" s="54">
        <f>SUMIFS(
  'Data Repository Table'!$J:$J,
  'Data Repository Table'!$A:$A, "Financial Actual",
  'Data Repository Table'!$C:$C, "Surjek",
  'Data Repository Table'!$B:$B, "Expenses",
  'Data Repository Table'!$G:$G, "Operational Maintenance Costs",
  'Data Repository Table'!$H:$H, "Plant Op. Costs (003)",
  'Data Repository Table'!$D:$D, J$13
)</f>
        <v>1503710.0967168</v>
      </c>
      <c r="K32" s="54">
        <f>SUMIFS(
  'Data Repository Table'!$J:$J,
  'Data Repository Table'!$A:$A, "Financial Actual",
  'Data Repository Table'!$C:$C, "Surjek",
  'Data Repository Table'!$B:$B, "Expenses",
  'Data Repository Table'!$G:$G, "Operational Maintenance Costs",
  'Data Repository Table'!$H:$H, "Plant Op. Costs (003)",
  'Data Repository Table'!$D:$D, K$13
)</f>
        <v>1626645.7799423998</v>
      </c>
      <c r="L32" s="54">
        <f>SUMIFS(
  'Data Repository Table'!$J:$J,
  'Data Repository Table'!$A:$A, "Financial Actual",
  'Data Repository Table'!$C:$C, "Surjek",
  'Data Repository Table'!$B:$B, "Expenses",
  'Data Repository Table'!$G:$G, "Operational Maintenance Costs",
  'Data Repository Table'!$H:$H, "Plant Op. Costs (003)",
  'Data Repository Table'!$D:$D, L$13
)</f>
        <v>831589.90225920011</v>
      </c>
      <c r="M32" s="54">
        <f>SUMIFS(
  'Data Repository Table'!$J:$J,
  'Data Repository Table'!$A:$A, "Financial Actual",
  'Data Repository Table'!$C:$C, "Surjek",
  'Data Repository Table'!$B:$B, "Expenses",
  'Data Repository Table'!$G:$G, "Operational Maintenance Costs",
  'Data Repository Table'!$H:$H, "Plant Op. Costs (003)",
  'Data Repository Table'!$D:$D, M$13
)</f>
        <v>777531.42270720005</v>
      </c>
      <c r="N32" s="54">
        <f>SUMIFS(
  'Data Repository Table'!$J:$J,
  'Data Repository Table'!$A:$A, "Financial Actual",
  'Data Repository Table'!$C:$C, "Surjek",
  'Data Repository Table'!$B:$B, "Expenses",
  'Data Repository Table'!$G:$G, "Operational Maintenance Costs",
  'Data Repository Table'!$H:$H, "Plant Op. Costs (003)",
  'Data Repository Table'!$D:$D, N$13
)</f>
        <v>915446.05850879999</v>
      </c>
      <c r="O32" s="54">
        <f>SUMIFS(
  'Data Repository Table'!$J:$J,
  'Data Repository Table'!$A:$A, "Financial Actual",
  'Data Repository Table'!$C:$C, "Surjek",
  'Data Repository Table'!$B:$B, "Expenses",
  'Data Repository Table'!$G:$G, "Operational Maintenance Costs",
  'Data Repository Table'!$H:$H, "Plant Op. Costs (003)",
  'Data Repository Table'!$D:$D, O$13
)</f>
        <v>834570.77921279997</v>
      </c>
      <c r="P32" s="54">
        <f>SUMIFS(
  'Data Repository Table'!$J:$J,
  'Data Repository Table'!$A:$A, "Financial Actual",
  'Data Repository Table'!$C:$C, "Surjek",
  'Data Repository Table'!$B:$B, "Expenses",
  'Data Repository Table'!$G:$G, "Operational Maintenance Costs",
  'Data Repository Table'!$H:$H, "Plant Op. Costs (003)",
  'Data Repository Table'!$D:$D, P$13
)</f>
        <v>896935.89646080008</v>
      </c>
      <c r="Q32" s="54">
        <f>SUMIFS(
  'Data Repository Table'!$J:$J,
  'Data Repository Table'!$A:$A, "Financial Actual",
  'Data Repository Table'!$C:$C, "Surjek",
  'Data Repository Table'!$B:$B, "Expenses",
  'Data Repository Table'!$G:$G, "Operational Maintenance Costs",
  'Data Repository Table'!$H:$H, "Plant Op. Costs (003)",
  'Data Repository Table'!$D:$D, Q$13
)</f>
        <v>1051796.083968</v>
      </c>
      <c r="R32" s="54">
        <f>SUMIFS(
  'Data Repository Table'!$J:$J,
  'Data Repository Table'!$A:$A, "Financial Actual",
  'Data Repository Table'!$C:$C, "Surjek",
  'Data Repository Table'!$B:$B, "Expenses",
  'Data Repository Table'!$G:$G, "Operational Maintenance Costs",
  'Data Repository Table'!$H:$H, "Plant Op. Costs (003)",
  'Data Repository Table'!$D:$D, R$13
)</f>
        <v>544753.24001279997</v>
      </c>
      <c r="S32" s="54">
        <f t="shared" si="2"/>
        <v>12135274.3266048</v>
      </c>
      <c r="T32" s="4"/>
      <c r="U32" s="4"/>
      <c r="V32" s="4"/>
      <c r="W32" s="4"/>
    </row>
    <row r="33" spans="1:39" ht="14.25" customHeight="1" x14ac:dyDescent="0.25">
      <c r="A33" s="26" t="s">
        <v>182</v>
      </c>
      <c r="B33" s="26" t="s">
        <v>54</v>
      </c>
      <c r="C33" s="26" t="s">
        <v>56</v>
      </c>
      <c r="D33" s="26" t="s">
        <v>63</v>
      </c>
      <c r="E33" s="26" t="s">
        <v>67</v>
      </c>
      <c r="F33" s="53"/>
      <c r="G33" s="54">
        <f>SUMIFS(
  'Data Repository Table'!$J:$J,
  'Data Repository Table'!$A:$A, "Financial Actual",
  'Data Repository Table'!$C:$C, "Surjek",
  'Data Repository Table'!$B:$B, "Expenses",
  'Data Repository Table'!$G:$G, "Operational Maintenance Costs",
  'Data Repository Table'!$H:$H, "Plant Admin Costs (004)",
  'Data Repository Table'!$D:$D, G$13
)</f>
        <v>498931.04046240001</v>
      </c>
      <c r="H33" s="54">
        <f>SUMIFS(
  'Data Repository Table'!$J:$J,
  'Data Repository Table'!$A:$A, "Financial Actual",
  'Data Repository Table'!$C:$C, "Surjek",
  'Data Repository Table'!$B:$B, "Expenses",
  'Data Repository Table'!$G:$G, "Operational Maintenance Costs",
  'Data Repository Table'!$H:$H, "Plant Admin Costs (004)",
  'Data Repository Table'!$D:$D, H$13
)</f>
        <v>601067.63808000006</v>
      </c>
      <c r="I33" s="54">
        <f>SUMIFS(
  'Data Repository Table'!$J:$J,
  'Data Repository Table'!$A:$A, "Financial Actual",
  'Data Repository Table'!$C:$C, "Surjek",
  'Data Repository Table'!$B:$B, "Expenses",
  'Data Repository Table'!$G:$G, "Operational Maintenance Costs",
  'Data Repository Table'!$H:$H, "Plant Admin Costs (004)",
  'Data Repository Table'!$D:$D, I$13
)</f>
        <v>607494.48264960002</v>
      </c>
      <c r="J33" s="54">
        <f>SUMIFS(
  'Data Repository Table'!$J:$J,
  'Data Repository Table'!$A:$A, "Financial Actual",
  'Data Repository Table'!$C:$C, "Surjek",
  'Data Repository Table'!$B:$B, "Expenses",
  'Data Repository Table'!$G:$G, "Operational Maintenance Costs",
  'Data Repository Table'!$H:$H, "Plant Admin Costs (004)",
  'Data Repository Table'!$D:$D, J$13
)</f>
        <v>814509.63572160015</v>
      </c>
      <c r="K33" s="54">
        <f>SUMIFS(
  'Data Repository Table'!$J:$J,
  'Data Repository Table'!$A:$A, "Financial Actual",
  'Data Repository Table'!$C:$C, "Surjek",
  'Data Repository Table'!$B:$B, "Expenses",
  'Data Repository Table'!$G:$G, "Operational Maintenance Costs",
  'Data Repository Table'!$H:$H, "Plant Admin Costs (004)",
  'Data Repository Table'!$D:$D, K$13
)</f>
        <v>881099.79746879986</v>
      </c>
      <c r="L33" s="54">
        <f>SUMIFS(
  'Data Repository Table'!$J:$J,
  'Data Repository Table'!$A:$A, "Financial Actual",
  'Data Repository Table'!$C:$C, "Surjek",
  'Data Repository Table'!$B:$B, "Expenses",
  'Data Repository Table'!$G:$G, "Operational Maintenance Costs",
  'Data Repository Table'!$H:$H, "Plant Admin Costs (004)",
  'Data Repository Table'!$D:$D, L$13
)</f>
        <v>450444.53039040015</v>
      </c>
      <c r="M33" s="54">
        <f>SUMIFS(
  'Data Repository Table'!$J:$J,
  'Data Repository Table'!$A:$A, "Financial Actual",
  'Data Repository Table'!$C:$C, "Surjek",
  'Data Repository Table'!$B:$B, "Expenses",
  'Data Repository Table'!$G:$G, "Operational Maintenance Costs",
  'Data Repository Table'!$H:$H, "Plant Admin Costs (004)",
  'Data Repository Table'!$D:$D, M$13
)</f>
        <v>421162.85396640003</v>
      </c>
      <c r="N33" s="54">
        <f>SUMIFS(
  'Data Repository Table'!$J:$J,
  'Data Repository Table'!$A:$A, "Financial Actual",
  'Data Repository Table'!$C:$C, "Surjek",
  'Data Repository Table'!$B:$B, "Expenses",
  'Data Repository Table'!$G:$G, "Operational Maintenance Costs",
  'Data Repository Table'!$H:$H, "Plant Admin Costs (004)",
  'Data Repository Table'!$D:$D, N$13
)</f>
        <v>495866.61502560001</v>
      </c>
      <c r="O33" s="54">
        <f>SUMIFS(
  'Data Repository Table'!$J:$J,
  'Data Repository Table'!$A:$A, "Financial Actual",
  'Data Repository Table'!$C:$C, "Surjek",
  'Data Repository Table'!$B:$B, "Expenses",
  'Data Repository Table'!$G:$G, "Operational Maintenance Costs",
  'Data Repository Table'!$H:$H, "Plant Admin Costs (004)",
  'Data Repository Table'!$D:$D, O$13
)</f>
        <v>452059.1720736</v>
      </c>
      <c r="P33" s="54">
        <f>SUMIFS(
  'Data Repository Table'!$J:$J,
  'Data Repository Table'!$A:$A, "Financial Actual",
  'Data Repository Table'!$C:$C, "Surjek",
  'Data Repository Table'!$B:$B, "Expenses",
  'Data Repository Table'!$G:$G, "Operational Maintenance Costs",
  'Data Repository Table'!$H:$H, "Plant Admin Costs (004)",
  'Data Repository Table'!$D:$D, P$13
)</f>
        <v>485840.2772496001</v>
      </c>
      <c r="Q33" s="54">
        <f>SUMIFS(
  'Data Repository Table'!$J:$J,
  'Data Repository Table'!$A:$A, "Financial Actual",
  'Data Repository Table'!$C:$C, "Surjek",
  'Data Repository Table'!$B:$B, "Expenses",
  'Data Repository Table'!$G:$G, "Operational Maintenance Costs",
  'Data Repository Table'!$H:$H, "Plant Admin Costs (004)",
  'Data Repository Table'!$D:$D, Q$13
)</f>
        <v>569722.87881600007</v>
      </c>
      <c r="R33" s="54">
        <f>SUMIFS(
  'Data Repository Table'!$J:$J,
  'Data Repository Table'!$A:$A, "Financial Actual",
  'Data Repository Table'!$C:$C, "Surjek",
  'Data Repository Table'!$B:$B, "Expenses",
  'Data Repository Table'!$G:$G, "Operational Maintenance Costs",
  'Data Repository Table'!$H:$H, "Plant Admin Costs (004)",
  'Data Repository Table'!$D:$D, R$13
)</f>
        <v>295074.67167360004</v>
      </c>
      <c r="S33" s="54">
        <f t="shared" si="2"/>
        <v>6573273.5935776001</v>
      </c>
      <c r="T33" s="4"/>
      <c r="U33" s="4"/>
      <c r="V33" s="4"/>
      <c r="W33" s="4"/>
    </row>
    <row r="34" spans="1:39" ht="14.25" customHeight="1" x14ac:dyDescent="0.25">
      <c r="A34" s="26" t="s">
        <v>182</v>
      </c>
      <c r="B34" s="26" t="s">
        <v>54</v>
      </c>
      <c r="C34" s="26" t="s">
        <v>56</v>
      </c>
      <c r="D34" s="26" t="s">
        <v>68</v>
      </c>
      <c r="E34" s="26" t="s">
        <v>69</v>
      </c>
      <c r="F34" s="55"/>
      <c r="G34" s="54">
        <f>SUMIFS(
  'Data Repository Table'!$J:$J,
  'Data Repository Table'!$A:$A, "Financial Actual",
  'Data Repository Table'!$C:$C, "Surjek",
  'Data Repository Table'!$B:$B, "Expenses",
  'Data Repository Table'!$G:$G, "Labour Costs",
  'Data Repository Table'!$H:$H, "Labour-Costs (001)",
  'Data Repository Table'!$D:$D, G$13
)</f>
        <v>3198275.9004000002</v>
      </c>
      <c r="H34" s="54">
        <f>SUMIFS(
  'Data Repository Table'!$J:$J,
  'Data Repository Table'!$A:$A, "Financial Actual",
  'Data Repository Table'!$C:$C, "Surjek",
  'Data Repository Table'!$B:$B, "Expenses",
  'Data Repository Table'!$G:$G, "Labour Costs",
  'Data Repository Table'!$H:$H, "Labour-Costs (001)",
  'Data Repository Table'!$D:$D, H$13
)</f>
        <v>3852997.68</v>
      </c>
      <c r="I34" s="54">
        <f>SUMIFS(
  'Data Repository Table'!$J:$J,
  'Data Repository Table'!$A:$A, "Financial Actual",
  'Data Repository Table'!$C:$C, "Surjek",
  'Data Repository Table'!$B:$B, "Expenses",
  'Data Repository Table'!$G:$G, "Labour Costs",
  'Data Repository Table'!$H:$H, "Labour-Costs (001)",
  'Data Repository Table'!$D:$D, I$13
)</f>
        <v>3894195.4016000004</v>
      </c>
      <c r="J34" s="54">
        <f>SUMIFS(
  'Data Repository Table'!$J:$J,
  'Data Repository Table'!$A:$A, "Financial Actual",
  'Data Repository Table'!$C:$C, "Surjek",
  'Data Repository Table'!$B:$B, "Expenses",
  'Data Repository Table'!$G:$G, "Labour Costs",
  'Data Repository Table'!$H:$H, "Labour-Costs (001)",
  'Data Repository Table'!$D:$D, J$13
)</f>
        <v>5221215.6136000007</v>
      </c>
      <c r="K34" s="54">
        <f>SUMIFS(
  'Data Repository Table'!$J:$J,
  'Data Repository Table'!$A:$A, "Financial Actual",
  'Data Repository Table'!$C:$C, "Surjek",
  'Data Repository Table'!$B:$B, "Expenses",
  'Data Repository Table'!$G:$G, "Labour Costs",
  'Data Repository Table'!$H:$H, "Labour-Costs (001)",
  'Data Repository Table'!$D:$D, K$13
)</f>
        <v>5648075.6247999994</v>
      </c>
      <c r="L34" s="54">
        <f>SUMIFS(
  'Data Repository Table'!$J:$J,
  'Data Repository Table'!$A:$A, "Financial Actual",
  'Data Repository Table'!$C:$C, "Surjek",
  'Data Repository Table'!$B:$B, "Expenses",
  'Data Repository Table'!$G:$G, "Labour Costs",
  'Data Repository Table'!$H:$H, "Labour-Costs (001)",
  'Data Repository Table'!$D:$D, L$13
)</f>
        <v>2887464.9384000008</v>
      </c>
      <c r="M34" s="54">
        <f>SUMIFS(
  'Data Repository Table'!$J:$J,
  'Data Repository Table'!$A:$A, "Financial Actual",
  'Data Repository Table'!$C:$C, "Surjek",
  'Data Repository Table'!$B:$B, "Expenses",
  'Data Repository Table'!$G:$G, "Labour Costs",
  'Data Repository Table'!$H:$H, "Labour-Costs (001)",
  'Data Repository Table'!$D:$D, M$13
)</f>
        <v>2699761.8844000003</v>
      </c>
      <c r="N34" s="54">
        <f>SUMIFS(
  'Data Repository Table'!$J:$J,
  'Data Repository Table'!$A:$A, "Financial Actual",
  'Data Repository Table'!$C:$C, "Surjek",
  'Data Repository Table'!$B:$B, "Expenses",
  'Data Repository Table'!$G:$G, "Labour Costs",
  'Data Repository Table'!$H:$H, "Labour-Costs (001)",
  'Data Repository Table'!$D:$D, N$13
)</f>
        <v>3178632.1476000003</v>
      </c>
      <c r="O34" s="54">
        <f>SUMIFS(
  'Data Repository Table'!$J:$J,
  'Data Repository Table'!$A:$A, "Financial Actual",
  'Data Repository Table'!$C:$C, "Surjek",
  'Data Repository Table'!$B:$B, "Expenses",
  'Data Repository Table'!$G:$G, "Labour Costs",
  'Data Repository Table'!$H:$H, "Labour-Costs (001)",
  'Data Repository Table'!$D:$D, O$13
)</f>
        <v>2897815.2056</v>
      </c>
      <c r="P34" s="54">
        <f>SUMIFS(
  'Data Repository Table'!$J:$J,
  'Data Repository Table'!$A:$A, "Financial Actual",
  'Data Repository Table'!$C:$C, "Surjek",
  'Data Repository Table'!$B:$B, "Expenses",
  'Data Repository Table'!$G:$G, "Labour Costs",
  'Data Repository Table'!$H:$H, "Labour-Costs (001)",
  'Data Repository Table'!$D:$D, P$13
)</f>
        <v>3114360.7516000005</v>
      </c>
      <c r="Q34" s="54">
        <f>SUMIFS(
  'Data Repository Table'!$J:$J,
  'Data Repository Table'!$A:$A, "Financial Actual",
  'Data Repository Table'!$C:$C, "Surjek",
  'Data Repository Table'!$B:$B, "Expenses",
  'Data Repository Table'!$G:$G, "Labour Costs",
  'Data Repository Table'!$H:$H, "Labour-Costs (001)",
  'Data Repository Table'!$D:$D, Q$13
)</f>
        <v>3652069.7360000005</v>
      </c>
      <c r="R34" s="54">
        <f>SUMIFS(
  'Data Repository Table'!$J:$J,
  'Data Repository Table'!$A:$A, "Financial Actual",
  'Data Repository Table'!$C:$C, "Surjek",
  'Data Repository Table'!$B:$B, "Expenses",
  'Data Repository Table'!$G:$G, "Labour Costs",
  'Data Repository Table'!$H:$H, "Labour-Costs (001)",
  'Data Repository Table'!$D:$D, R$13
)</f>
        <v>1891504.3056000001</v>
      </c>
      <c r="S34" s="54">
        <f t="shared" si="2"/>
        <v>42136369.189600006</v>
      </c>
      <c r="T34" s="4"/>
      <c r="U34" s="4"/>
      <c r="V34" s="4"/>
      <c r="W34" s="4"/>
    </row>
    <row r="35" spans="1:39" ht="14.25" customHeight="1" x14ac:dyDescent="0.25">
      <c r="A35" s="26" t="s">
        <v>70</v>
      </c>
      <c r="B35" s="26" t="s">
        <v>54</v>
      </c>
      <c r="C35" s="26"/>
      <c r="D35" s="26"/>
      <c r="E35" s="26"/>
      <c r="F35" s="55"/>
      <c r="G35" s="25">
        <f>SUMIFS(
  'Data Repository Table'!$J:$J,
  'Data Repository Table'!$A:$A, "Water Production Actuals",
  'Data Repository Table'!$C:$C, "Surjek",
  'Data Repository Table'!$D:$D, G$13
)</f>
        <v>214.968999</v>
      </c>
      <c r="H35" s="25">
        <f>SUMIFS(
  'Data Repository Table'!$J:$J,
  'Data Repository Table'!$A:$A, "Water Production Actuals",
  'Data Repository Table'!$C:$C, "Surjek",
  'Data Repository Table'!$D:$D, H$13
)</f>
        <v>228.199051</v>
      </c>
      <c r="I35" s="25">
        <f>SUMIFS(
  'Data Repository Table'!$J:$J,
  'Data Repository Table'!$A:$A, "Water Production Actuals",
  'Data Repository Table'!$C:$C, "Surjek",
  'Data Repository Table'!$D:$D, I$13
)</f>
        <v>216.53646700000002</v>
      </c>
      <c r="J35" s="25">
        <f>SUMIFS(
  'Data Repository Table'!$J:$J,
  'Data Repository Table'!$A:$A, "Water Production Actuals",
  'Data Repository Table'!$C:$C, "Surjek",
  'Data Repository Table'!$D:$D, J$13
)</f>
        <v>236.760276</v>
      </c>
      <c r="K35" s="25">
        <f>SUMIFS(
  'Data Repository Table'!$J:$J,
  'Data Repository Table'!$A:$A, "Water Production Actuals",
  'Data Repository Table'!$C:$C, "Surjek",
  'Data Repository Table'!$D:$D, K$13
)</f>
        <v>232.052864</v>
      </c>
      <c r="L35" s="25">
        <f>SUMIFS(
  'Data Repository Table'!$J:$J,
  'Data Repository Table'!$A:$A, "Water Production Actuals",
  'Data Repository Table'!$C:$C, "Surjek",
  'Data Repository Table'!$D:$D, L$13
)</f>
        <v>240.21016</v>
      </c>
      <c r="M35" s="25">
        <f>SUMIFS(
  'Data Repository Table'!$J:$J,
  'Data Repository Table'!$A:$A, "Water Production Actuals",
  'Data Repository Table'!$C:$C, "Surjek",
  'Data Repository Table'!$D:$D, M$13
)</f>
        <v>288.160549</v>
      </c>
      <c r="N35" s="25">
        <f>SUMIFS(
  'Data Repository Table'!$J:$J,
  'Data Repository Table'!$A:$A, "Water Production Actuals",
  'Data Repository Table'!$C:$C, "Surjek",
  'Data Repository Table'!$D:$D, N$13
)</f>
        <v>306.884524</v>
      </c>
      <c r="O35" s="25">
        <f>SUMIFS(
  'Data Repository Table'!$J:$J,
  'Data Repository Table'!$A:$A, "Water Production Actuals",
  'Data Repository Table'!$C:$C, "Surjek",
  'Data Repository Table'!$D:$D, O$13
)</f>
        <v>367.65100600000005</v>
      </c>
      <c r="P35" s="25">
        <f>SUMIFS(
  'Data Repository Table'!$J:$J,
  'Data Repository Table'!$A:$A, "Water Production Actuals",
  'Data Repository Table'!$C:$C, "Surjek",
  'Data Repository Table'!$D:$D, P$13
)</f>
        <v>351.99016599999999</v>
      </c>
      <c r="Q35" s="25">
        <f>SUMIFS(
  'Data Repository Table'!$J:$J,
  'Data Repository Table'!$A:$A, "Water Production Actuals",
  'Data Repository Table'!$C:$C, "Surjek",
  'Data Repository Table'!$D:$D, Q$13
)</f>
        <v>362.822</v>
      </c>
      <c r="R35" s="25">
        <f>SUMIFS(
  'Data Repository Table'!$J:$J,
  'Data Repository Table'!$A:$A, "Water Production Actuals",
  'Data Repository Table'!$C:$C, "Surjek",
  'Data Repository Table'!$D:$D, R$13
)</f>
        <v>260.31229999999999</v>
      </c>
      <c r="S35" s="25">
        <f t="shared" si="2"/>
        <v>3306.5483620000005</v>
      </c>
      <c r="T35" s="4"/>
      <c r="U35" s="4"/>
      <c r="V35" s="4"/>
      <c r="W35" s="4"/>
    </row>
    <row r="36" spans="1:39" ht="14.25" customHeight="1" x14ac:dyDescent="0.25">
      <c r="A36" s="133"/>
      <c r="B36" s="134"/>
      <c r="C36" s="135"/>
      <c r="D36" s="135"/>
      <c r="E36" s="134" t="s">
        <v>183</v>
      </c>
      <c r="F36" s="135"/>
      <c r="G36" s="136">
        <f>SUM(G$27:G$34)/(G$35 * 1000)</f>
        <v>52.749704483604205</v>
      </c>
      <c r="H36" s="136">
        <f t="shared" ref="H36:R36" si="3">SUM(H$27:H$34)/(H$35 * 1000)</f>
        <v>59.863878813385597</v>
      </c>
      <c r="I36" s="136">
        <f t="shared" si="3"/>
        <v>63.762690282929732</v>
      </c>
      <c r="J36" s="136">
        <f t="shared" si="3"/>
        <v>78.188472724753353</v>
      </c>
      <c r="K36" s="136">
        <f t="shared" si="3"/>
        <v>86.296565119062237</v>
      </c>
      <c r="L36" s="136">
        <f t="shared" si="3"/>
        <v>53.948353573134469</v>
      </c>
      <c r="M36" s="136">
        <f t="shared" si="3"/>
        <v>48.540531907011328</v>
      </c>
      <c r="N36" s="136">
        <f t="shared" si="3"/>
        <v>53.6634853464152</v>
      </c>
      <c r="O36" s="136">
        <f t="shared" si="3"/>
        <v>40.836500744441324</v>
      </c>
      <c r="P36" s="136">
        <f t="shared" si="3"/>
        <v>45.840777989347593</v>
      </c>
      <c r="Q36" s="136">
        <f t="shared" si="3"/>
        <v>52.15056777763202</v>
      </c>
      <c r="R36" s="136">
        <f t="shared" si="3"/>
        <v>32.611103369040954</v>
      </c>
      <c r="S36" s="137">
        <f>SUM(S27:S34)/S35</f>
        <v>54231.506516209804</v>
      </c>
      <c r="T36" s="138"/>
      <c r="U36" s="138"/>
      <c r="V36" s="138"/>
      <c r="W36" s="138"/>
      <c r="X36" s="133"/>
      <c r="Y36" s="133"/>
      <c r="Z36" s="133"/>
      <c r="AA36" s="133"/>
      <c r="AB36" s="133"/>
      <c r="AC36" s="133"/>
      <c r="AD36" s="133"/>
      <c r="AE36" s="133"/>
      <c r="AF36" s="133"/>
      <c r="AG36" s="133"/>
      <c r="AH36" s="133"/>
      <c r="AI36" s="133"/>
      <c r="AJ36" s="133"/>
      <c r="AK36" s="133"/>
      <c r="AL36" s="133"/>
      <c r="AM36" s="133"/>
    </row>
    <row r="37" spans="1:39" ht="14.25" customHeight="1" x14ac:dyDescent="0.25">
      <c r="A37" s="117"/>
      <c r="B37" s="117"/>
      <c r="C37" s="117"/>
      <c r="D37" s="117"/>
      <c r="E37" s="117"/>
      <c r="F37" s="139"/>
      <c r="G37" s="139"/>
      <c r="H37" s="139"/>
      <c r="I37" s="139"/>
      <c r="J37" s="139"/>
      <c r="K37" s="139"/>
      <c r="L37" s="139"/>
      <c r="M37" s="139"/>
      <c r="N37" s="139"/>
      <c r="O37" s="139"/>
      <c r="P37" s="139"/>
      <c r="Q37" s="139"/>
      <c r="R37" s="130"/>
      <c r="S37" s="121"/>
      <c r="T37" s="121"/>
      <c r="U37" s="121"/>
      <c r="V37" s="121"/>
      <c r="W37" s="121"/>
    </row>
    <row r="38" spans="1:39" ht="14.25" customHeight="1" x14ac:dyDescent="0.25">
      <c r="A38" s="26" t="s">
        <v>182</v>
      </c>
      <c r="B38" s="26" t="s">
        <v>55</v>
      </c>
      <c r="C38" s="26" t="s">
        <v>56</v>
      </c>
      <c r="D38" s="26" t="s">
        <v>58</v>
      </c>
      <c r="E38" s="26" t="s">
        <v>59</v>
      </c>
      <c r="F38" s="53"/>
      <c r="G38" s="54">
        <f>SUMIFS(
  'Data Repository Table'!$J:$J,
  'Data Repository Table'!$A:$A, "Financial Actual",
  'Data Repository Table'!$C:$C, "Jutik",
  'Data Repository Table'!$B:$B, "Expenses",
  'Data Repository Table'!$G:$G, "Chemical Costs",
  'Data Repository Table'!$H:$H, "Chem-Exp (001)",
  'Data Repository Table'!$D:$D, G$13
)</f>
        <v>1625596.3356633</v>
      </c>
      <c r="H38" s="54">
        <f>SUMIFS(
  'Data Repository Table'!$J:$J,
  'Data Repository Table'!$A:$A, "Financial Actual",
  'Data Repository Table'!$C:$C, "Jutik",
  'Data Repository Table'!$B:$B, "Expenses",
  'Data Repository Table'!$G:$G, "Chemical Costs",
  'Data Repository Table'!$H:$H, "Chem-Exp (001)",
  'Data Repository Table'!$D:$D, H$13
)</f>
        <v>1295067.8472731998</v>
      </c>
      <c r="I38" s="54">
        <f>SUMIFS(
  'Data Repository Table'!$J:$J,
  'Data Repository Table'!$A:$A, "Financial Actual",
  'Data Repository Table'!$C:$C, "Jutik",
  'Data Repository Table'!$B:$B, "Expenses",
  'Data Repository Table'!$G:$G, "Chemical Costs",
  'Data Repository Table'!$H:$H, "Chem-Exp (001)",
  'Data Repository Table'!$D:$D, I$13
)</f>
        <v>1750624.8818057997</v>
      </c>
      <c r="J38" s="54">
        <f>SUMIFS(
  'Data Repository Table'!$J:$J,
  'Data Repository Table'!$A:$A, "Financial Actual",
  'Data Repository Table'!$C:$C, "Jutik",
  'Data Repository Table'!$B:$B, "Expenses",
  'Data Repository Table'!$G:$G, "Chemical Costs",
  'Data Repository Table'!$H:$H, "Chem-Exp (001)",
  'Data Repository Table'!$D:$D, J$13
)</f>
        <v>1472529.3869285996</v>
      </c>
      <c r="K38" s="54">
        <f>SUMIFS(
  'Data Repository Table'!$J:$J,
  'Data Repository Table'!$A:$A, "Financial Actual",
  'Data Repository Table'!$C:$C, "Jutik",
  'Data Repository Table'!$B:$B, "Expenses",
  'Data Repository Table'!$G:$G, "Chemical Costs",
  'Data Repository Table'!$H:$H, "Chem-Exp (001)",
  'Data Repository Table'!$D:$D, K$13
)</f>
        <v>1252200.4923928501</v>
      </c>
      <c r="L38" s="54">
        <f>SUMIFS(
  'Data Repository Table'!$J:$J,
  'Data Repository Table'!$A:$A, "Financial Actual",
  'Data Repository Table'!$C:$C, "Jutik",
  'Data Repository Table'!$B:$B, "Expenses",
  'Data Repository Table'!$G:$G, "Chemical Costs",
  'Data Repository Table'!$H:$H, "Chem-Exp (001)",
  'Data Repository Table'!$D:$D, L$13
)</f>
        <v>1406782.6738875001</v>
      </c>
      <c r="M38" s="54">
        <f>SUMIFS(
  'Data Repository Table'!$J:$J,
  'Data Repository Table'!$A:$A, "Financial Actual",
  'Data Repository Table'!$C:$C, "Jutik",
  'Data Repository Table'!$B:$B, "Expenses",
  'Data Repository Table'!$G:$G, "Chemical Costs",
  'Data Repository Table'!$H:$H, "Chem-Exp (001)",
  'Data Repository Table'!$D:$D, M$13
)</f>
        <v>1877449.5046125001</v>
      </c>
      <c r="N38" s="54">
        <f>SUMIFS(
  'Data Repository Table'!$J:$J,
  'Data Repository Table'!$A:$A, "Financial Actual",
  'Data Repository Table'!$C:$C, "Jutik",
  'Data Repository Table'!$B:$B, "Expenses",
  'Data Repository Table'!$G:$G, "Chemical Costs",
  'Data Repository Table'!$H:$H, "Chem-Exp (001)",
  'Data Repository Table'!$D:$D, N$13
)</f>
        <v>1912219.1750437501</v>
      </c>
      <c r="O38" s="54">
        <f>SUMIFS(
  'Data Repository Table'!$J:$J,
  'Data Repository Table'!$A:$A, "Financial Actual",
  'Data Repository Table'!$C:$C, "Jutik",
  'Data Repository Table'!$B:$B, "Expenses",
  'Data Repository Table'!$G:$G, "Chemical Costs",
  'Data Repository Table'!$H:$H, "Chem-Exp (001)",
  'Data Repository Table'!$D:$D, O$13
)</f>
        <v>2266625.1980531253</v>
      </c>
      <c r="P38" s="54">
        <f>SUMIFS(
  'Data Repository Table'!$J:$J,
  'Data Repository Table'!$A:$A, "Financial Actual",
  'Data Repository Table'!$C:$C, "Jutik",
  'Data Repository Table'!$B:$B, "Expenses",
  'Data Repository Table'!$G:$G, "Chemical Costs",
  'Data Repository Table'!$H:$H, "Chem-Exp (001)",
  'Data Repository Table'!$D:$D, P$13
)</f>
        <v>2234200.5744250002</v>
      </c>
      <c r="Q38" s="54">
        <f>SUMIFS(
  'Data Repository Table'!$J:$J,
  'Data Repository Table'!$A:$A, "Financial Actual",
  'Data Repository Table'!$C:$C, "Jutik",
  'Data Repository Table'!$B:$B, "Expenses",
  'Data Repository Table'!$G:$G, "Chemical Costs",
  'Data Repository Table'!$H:$H, "Chem-Exp (001)",
  'Data Repository Table'!$D:$D, Q$13
)</f>
        <v>2593715.6428375002</v>
      </c>
      <c r="R38" s="54">
        <f>SUMIFS(
  'Data Repository Table'!$J:$J,
  'Data Repository Table'!$A:$A, "Financial Actual",
  'Data Repository Table'!$C:$C, "Jutik",
  'Data Repository Table'!$B:$B, "Expenses",
  'Data Repository Table'!$G:$G, "Chemical Costs",
  'Data Repository Table'!$H:$H, "Chem-Exp (001)",
  'Data Repository Table'!$D:$D, R$13
)</f>
        <v>2274807.7859325004</v>
      </c>
      <c r="S38" s="54">
        <f t="shared" ref="S38:S46" si="4">SUM(G38:R38)</f>
        <v>21961819.498855624</v>
      </c>
      <c r="T38" s="4"/>
      <c r="U38" s="4"/>
      <c r="V38" s="4"/>
      <c r="W38" s="4"/>
    </row>
    <row r="39" spans="1:39" ht="14.25" customHeight="1" x14ac:dyDescent="0.25">
      <c r="A39" s="26" t="s">
        <v>182</v>
      </c>
      <c r="B39" s="26" t="s">
        <v>55</v>
      </c>
      <c r="C39" s="26" t="s">
        <v>56</v>
      </c>
      <c r="D39" s="26" t="s">
        <v>60</v>
      </c>
      <c r="E39" s="26" t="s">
        <v>61</v>
      </c>
      <c r="F39" s="53"/>
      <c r="G39" s="54">
        <f>SUMIFS(
  'Data Repository Table'!$J:$J,
  'Data Repository Table'!$A:$A, "Financial Actual",
  'Data Repository Table'!$C:$C, "Jutik",
  'Data Repository Table'!$B:$B, "Expenses",
  'Data Repository Table'!$G:$G, "Facility Costs",
  'Data Repository Table'!$H:$H, "Utility-Exp (002) - Heating",
  'Data Repository Table'!$D:$D, G$13
)</f>
        <v>895736.75638589996</v>
      </c>
      <c r="H39" s="54">
        <f>SUMIFS(
  'Data Repository Table'!$J:$J,
  'Data Repository Table'!$A:$A, "Financial Actual",
  'Data Repository Table'!$C:$C, "Jutik",
  'Data Repository Table'!$B:$B, "Expenses",
  'Data Repository Table'!$G:$G, "Facility Costs",
  'Data Repository Table'!$H:$H, "Utility-Exp (002) - Heating",
  'Data Repository Table'!$D:$D, H$13
)</f>
        <v>713608.81380359991</v>
      </c>
      <c r="I39" s="54">
        <f>SUMIFS(
  'Data Repository Table'!$J:$J,
  'Data Repository Table'!$A:$A, "Financial Actual",
  'Data Repository Table'!$C:$C, "Jutik",
  'Data Repository Table'!$B:$B, "Expenses",
  'Data Repository Table'!$G:$G, "Facility Costs",
  'Data Repository Table'!$H:$H, "Utility-Exp (002) - Heating",
  'Data Repository Table'!$D:$D, I$13
)</f>
        <v>964630.03691340005</v>
      </c>
      <c r="J39" s="54">
        <f>SUMIFS(
  'Data Repository Table'!$J:$J,
  'Data Repository Table'!$A:$A, "Financial Actual",
  'Data Repository Table'!$C:$C, "Jutik",
  'Data Repository Table'!$B:$B, "Expenses",
  'Data Repository Table'!$G:$G, "Facility Costs",
  'Data Repository Table'!$H:$H, "Utility-Exp (002) - Heating",
  'Data Repository Table'!$D:$D, J$13
)</f>
        <v>811393.74381779996</v>
      </c>
      <c r="K39" s="54">
        <f>SUMIFS(
  'Data Repository Table'!$J:$J,
  'Data Repository Table'!$A:$A, "Financial Actual",
  'Data Repository Table'!$C:$C, "Jutik",
  'Data Repository Table'!$B:$B, "Expenses",
  'Data Repository Table'!$G:$G, "Facility Costs",
  'Data Repository Table'!$H:$H, "Utility-Exp (002) - Heating",
  'Data Repository Table'!$D:$D, K$13
)</f>
        <v>689988.02642055007</v>
      </c>
      <c r="L39" s="54">
        <f>SUMIFS(
  'Data Repository Table'!$J:$J,
  'Data Repository Table'!$A:$A, "Financial Actual",
  'Data Repository Table'!$C:$C, "Jutik",
  'Data Repository Table'!$B:$B, "Expenses",
  'Data Repository Table'!$G:$G, "Facility Costs",
  'Data Repository Table'!$H:$H, "Utility-Exp (002) - Heating",
  'Data Repository Table'!$D:$D, L$13
)</f>
        <v>775165.96316250006</v>
      </c>
      <c r="M39" s="54">
        <f>SUMIFS(
  'Data Repository Table'!$J:$J,
  'Data Repository Table'!$A:$A, "Financial Actual",
  'Data Repository Table'!$C:$C, "Jutik",
  'Data Repository Table'!$B:$B, "Expenses",
  'Data Repository Table'!$G:$G, "Facility Costs",
  'Data Repository Table'!$H:$H, "Utility-Exp (002) - Heating",
  'Data Repository Table'!$D:$D, M$13
)</f>
        <v>1034512.9923375</v>
      </c>
      <c r="N39" s="54">
        <f>SUMIFS(
  'Data Repository Table'!$J:$J,
  'Data Repository Table'!$A:$A, "Financial Actual",
  'Data Repository Table'!$C:$C, "Jutik",
  'Data Repository Table'!$B:$B, "Expenses",
  'Data Repository Table'!$G:$G, "Facility Costs",
  'Data Repository Table'!$H:$H, "Utility-Exp (002) - Heating",
  'Data Repository Table'!$D:$D, N$13
)</f>
        <v>888365.66788124992</v>
      </c>
      <c r="O39" s="54">
        <f>SUMIFS(
  'Data Repository Table'!$J:$J,
  'Data Repository Table'!$A:$A, "Financial Actual",
  'Data Repository Table'!$C:$C, "Jutik",
  'Data Repository Table'!$B:$B, "Expenses",
  'Data Repository Table'!$G:$G, "Facility Costs",
  'Data Repository Table'!$H:$H, "Utility-Exp (002) - Heating",
  'Data Repository Table'!$D:$D, O$13
)</f>
        <v>1248956.7417843752</v>
      </c>
      <c r="P39" s="54">
        <f>SUMIFS(
  'Data Repository Table'!$J:$J,
  'Data Repository Table'!$A:$A, "Financial Actual",
  'Data Repository Table'!$C:$C, "Jutik",
  'Data Repository Table'!$B:$B, "Expenses",
  'Data Repository Table'!$G:$G, "Facility Costs",
  'Data Repository Table'!$H:$H, "Utility-Exp (002) - Heating",
  'Data Repository Table'!$D:$D, P$13
)</f>
        <v>680069.70427499991</v>
      </c>
      <c r="Q39" s="54">
        <f>SUMIFS(
  'Data Repository Table'!$J:$J,
  'Data Repository Table'!$A:$A, "Financial Actual",
  'Data Repository Table'!$C:$C, "Jutik",
  'Data Repository Table'!$B:$B, "Expenses",
  'Data Repository Table'!$G:$G, "Facility Costs",
  'Data Repository Table'!$H:$H, "Utility-Exp (002) - Heating",
  'Data Repository Table'!$D:$D, Q$13
)</f>
        <v>878169.84401249979</v>
      </c>
      <c r="R39" s="54">
        <f>SUMIFS(
  'Data Repository Table'!$J:$J,
  'Data Repository Table'!$A:$A, "Financial Actual",
  'Data Repository Table'!$C:$C, "Jutik",
  'Data Repository Table'!$B:$B, "Expenses",
  'Data Repository Table'!$G:$G, "Facility Costs",
  'Data Repository Table'!$H:$H, "Utility-Exp (002) - Heating",
  'Data Repository Table'!$D:$D, R$13
)</f>
        <v>1253465.5146975003</v>
      </c>
      <c r="S39" s="54">
        <f t="shared" si="4"/>
        <v>10834063.805491872</v>
      </c>
      <c r="T39" s="4"/>
      <c r="U39" s="4"/>
      <c r="V39" s="4"/>
      <c r="W39" s="4"/>
    </row>
    <row r="40" spans="1:39" ht="14.25" customHeight="1" x14ac:dyDescent="0.25">
      <c r="A40" s="26" t="s">
        <v>182</v>
      </c>
      <c r="B40" s="26" t="s">
        <v>55</v>
      </c>
      <c r="C40" s="26" t="s">
        <v>56</v>
      </c>
      <c r="D40" s="26" t="s">
        <v>60</v>
      </c>
      <c r="E40" s="26" t="s">
        <v>62</v>
      </c>
      <c r="F40" s="53"/>
      <c r="G40" s="54">
        <f>SUMIFS(
  'Data Repository Table'!$J:$J,
  'Data Repository Table'!$A:$A, "Financial Actual",
  'Data Repository Table'!$C:$C, "Jutik",
  'Data Repository Table'!$B:$B, "Expenses",
  'Data Repository Table'!$G:$G, "Facility Costs",
  'Data Repository Table'!$H:$H, "Utility-Exp (002) - Electricity",
  'Data Repository Table'!$D:$D, G$13
)</f>
        <v>829385.88554250007</v>
      </c>
      <c r="H40" s="54">
        <f>SUMIFS(
  'Data Repository Table'!$J:$J,
  'Data Repository Table'!$A:$A, "Financial Actual",
  'Data Repository Table'!$C:$C, "Jutik",
  'Data Repository Table'!$B:$B, "Expenses",
  'Data Repository Table'!$G:$G, "Facility Costs",
  'Data Repository Table'!$H:$H, "Utility-Exp (002) - Electricity",
  'Data Repository Table'!$D:$D, H$13
)</f>
        <v>660748.90166999993</v>
      </c>
      <c r="I40" s="54">
        <f>SUMIFS(
  'Data Repository Table'!$J:$J,
  'Data Repository Table'!$A:$A, "Financial Actual",
  'Data Repository Table'!$C:$C, "Jutik",
  'Data Repository Table'!$B:$B, "Expenses",
  'Data Repository Table'!$G:$G, "Facility Costs",
  'Data Repository Table'!$H:$H, "Utility-Exp (002) - Electricity",
  'Data Repository Table'!$D:$D, I$13
)</f>
        <v>893175.96010499995</v>
      </c>
      <c r="J40" s="54">
        <f>SUMIFS(
  'Data Repository Table'!$J:$J,
  'Data Repository Table'!$A:$A, "Financial Actual",
  'Data Repository Table'!$C:$C, "Jutik",
  'Data Repository Table'!$B:$B, "Expenses",
  'Data Repository Table'!$G:$G, "Facility Costs",
  'Data Repository Table'!$H:$H, "Utility-Exp (002) - Electricity",
  'Data Repository Table'!$D:$D, J$13
)</f>
        <v>751290.50353499991</v>
      </c>
      <c r="K40" s="54">
        <f>SUMIFS(
  'Data Repository Table'!$J:$J,
  'Data Repository Table'!$A:$A, "Financial Actual",
  'Data Repository Table'!$C:$C, "Jutik",
  'Data Repository Table'!$B:$B, "Expenses",
  'Data Repository Table'!$G:$G, "Facility Costs",
  'Data Repository Table'!$H:$H, "Utility-Exp (002) - Electricity",
  'Data Repository Table'!$D:$D, K$13
)</f>
        <v>638877.80224125006</v>
      </c>
      <c r="L40" s="54">
        <f>SUMIFS(
  'Data Repository Table'!$J:$J,
  'Data Repository Table'!$A:$A, "Financial Actual",
  'Data Repository Table'!$C:$C, "Jutik",
  'Data Repository Table'!$B:$B, "Expenses",
  'Data Repository Table'!$G:$G, "Facility Costs",
  'Data Repository Table'!$H:$H, "Utility-Exp (002) - Electricity",
  'Data Repository Table'!$D:$D, L$13
)</f>
        <v>717746.26218750002</v>
      </c>
      <c r="M40" s="54">
        <f>SUMIFS(
  'Data Repository Table'!$J:$J,
  'Data Repository Table'!$A:$A, "Financial Actual",
  'Data Repository Table'!$C:$C, "Jutik",
  'Data Repository Table'!$B:$B, "Expenses",
  'Data Repository Table'!$G:$G, "Facility Costs",
  'Data Repository Table'!$H:$H, "Utility-Exp (002) - Electricity",
  'Data Repository Table'!$D:$D, M$13
)</f>
        <v>957882.40031249996</v>
      </c>
      <c r="N40" s="54">
        <f>SUMIFS(
  'Data Repository Table'!$J:$J,
  'Data Repository Table'!$A:$A, "Financial Actual",
  'Data Repository Table'!$C:$C, "Jutik",
  'Data Repository Table'!$B:$B, "Expenses",
  'Data Repository Table'!$G:$G, "Facility Costs",
  'Data Repository Table'!$H:$H, "Utility-Exp (002) - Electricity",
  'Data Repository Table'!$D:$D, N$13
)</f>
        <v>822560.80359374988</v>
      </c>
      <c r="O40" s="54">
        <f>SUMIFS(
  'Data Repository Table'!$J:$J,
  'Data Repository Table'!$A:$A, "Financial Actual",
  'Data Repository Table'!$C:$C, "Jutik",
  'Data Repository Table'!$B:$B, "Expenses",
  'Data Repository Table'!$G:$G, "Facility Costs",
  'Data Repository Table'!$H:$H, "Utility-Exp (002) - Electricity",
  'Data Repository Table'!$D:$D, O$13
)</f>
        <v>1156441.4275781249</v>
      </c>
      <c r="P40" s="54">
        <f>SUMIFS(
  'Data Repository Table'!$J:$J,
  'Data Repository Table'!$A:$A, "Financial Actual",
  'Data Repository Table'!$C:$C, "Jutik",
  'Data Repository Table'!$B:$B, "Expenses",
  'Data Repository Table'!$G:$G, "Facility Costs",
  'Data Repository Table'!$H:$H, "Utility-Exp (002) - Electricity",
  'Data Repository Table'!$D:$D, P$13
)</f>
        <v>629694.17062500003</v>
      </c>
      <c r="Q40" s="54">
        <f>SUMIFS(
  'Data Repository Table'!$J:$J,
  'Data Repository Table'!$A:$A, "Financial Actual",
  'Data Repository Table'!$C:$C, "Jutik",
  'Data Repository Table'!$B:$B, "Expenses",
  'Data Repository Table'!$G:$G, "Facility Costs",
  'Data Repository Table'!$H:$H, "Utility-Exp (002) - Electricity",
  'Data Repository Table'!$D:$D, Q$13
)</f>
        <v>813120.22593749978</v>
      </c>
      <c r="R40" s="54">
        <f>SUMIFS(
  'Data Repository Table'!$J:$J,
  'Data Repository Table'!$A:$A, "Financial Actual",
  'Data Repository Table'!$C:$C, "Jutik",
  'Data Repository Table'!$B:$B, "Expenses",
  'Data Repository Table'!$G:$G, "Facility Costs",
  'Data Repository Table'!$H:$H, "Utility-Exp (002) - Electricity",
  'Data Repository Table'!$D:$D, R$13
)</f>
        <v>1160616.2173125001</v>
      </c>
      <c r="S40" s="54">
        <f t="shared" si="4"/>
        <v>10031540.560640626</v>
      </c>
      <c r="T40" s="4"/>
      <c r="U40" s="4"/>
      <c r="V40" s="4"/>
      <c r="W40" s="4"/>
    </row>
    <row r="41" spans="1:39" ht="14.25" customHeight="1" x14ac:dyDescent="0.25">
      <c r="A41" s="26" t="s">
        <v>182</v>
      </c>
      <c r="B41" s="26" t="s">
        <v>55</v>
      </c>
      <c r="C41" s="26" t="s">
        <v>56</v>
      </c>
      <c r="D41" s="26" t="s">
        <v>63</v>
      </c>
      <c r="E41" s="26" t="s">
        <v>64</v>
      </c>
      <c r="F41" s="53"/>
      <c r="G41" s="54">
        <f>SUMIFS(
  'Data Repository Table'!$J:$J,
  'Data Repository Table'!$A:$A, "Financial Actual",
  'Data Repository Table'!$C:$C, "Jutik",
  'Data Repository Table'!$B:$B, "Expenses",
  'Data Repository Table'!$G:$G, "Operational Maintenance Costs",
  'Data Repository Table'!$H:$H, "Plant Maintenance (001)",
  'Data Repository Table'!$D:$D, G$13
)</f>
        <v>716589.40510871995</v>
      </c>
      <c r="H41" s="54">
        <f>SUMIFS(
  'Data Repository Table'!$J:$J,
  'Data Repository Table'!$A:$A, "Financial Actual",
  'Data Repository Table'!$C:$C, "Jutik",
  'Data Repository Table'!$B:$B, "Expenses",
  'Data Repository Table'!$G:$G, "Operational Maintenance Costs",
  'Data Repository Table'!$H:$H, "Plant Maintenance (001)",
  'Data Repository Table'!$D:$D, H$13
)</f>
        <v>570887.05104287993</v>
      </c>
      <c r="I41" s="54">
        <f>SUMIFS(
  'Data Repository Table'!$J:$J,
  'Data Repository Table'!$A:$A, "Financial Actual",
  'Data Repository Table'!$C:$C, "Jutik",
  'Data Repository Table'!$B:$B, "Expenses",
  'Data Repository Table'!$G:$G, "Operational Maintenance Costs",
  'Data Repository Table'!$H:$H, "Plant Maintenance (001)",
  'Data Repository Table'!$D:$D, I$13
)</f>
        <v>771704.02953071985</v>
      </c>
      <c r="J41" s="54">
        <f>SUMIFS(
  'Data Repository Table'!$J:$J,
  'Data Repository Table'!$A:$A, "Financial Actual",
  'Data Repository Table'!$C:$C, "Jutik",
  'Data Repository Table'!$B:$B, "Expenses",
  'Data Repository Table'!$G:$G, "Operational Maintenance Costs",
  'Data Repository Table'!$H:$H, "Plant Maintenance (001)",
  'Data Repository Table'!$D:$D, J$13
)</f>
        <v>649114.99505423987</v>
      </c>
      <c r="K41" s="54">
        <f>SUMIFS(
  'Data Repository Table'!$J:$J,
  'Data Repository Table'!$A:$A, "Financial Actual",
  'Data Repository Table'!$C:$C, "Jutik",
  'Data Repository Table'!$B:$B, "Expenses",
  'Data Repository Table'!$G:$G, "Operational Maintenance Costs",
  'Data Repository Table'!$H:$H, "Plant Maintenance (001)",
  'Data Repository Table'!$D:$D, K$13
)</f>
        <v>551990.42113644001</v>
      </c>
      <c r="L41" s="54">
        <f>SUMIFS(
  'Data Repository Table'!$J:$J,
  'Data Repository Table'!$A:$A, "Financial Actual",
  'Data Repository Table'!$C:$C, "Jutik",
  'Data Repository Table'!$B:$B, "Expenses",
  'Data Repository Table'!$G:$G, "Operational Maintenance Costs",
  'Data Repository Table'!$H:$H, "Plant Maintenance (001)",
  'Data Repository Table'!$D:$D, L$13
)</f>
        <v>620132.77052999998</v>
      </c>
      <c r="M41" s="54">
        <f>SUMIFS(
  'Data Repository Table'!$J:$J,
  'Data Repository Table'!$A:$A, "Financial Actual",
  'Data Repository Table'!$C:$C, "Jutik",
  'Data Repository Table'!$B:$B, "Expenses",
  'Data Repository Table'!$G:$G, "Operational Maintenance Costs",
  'Data Repository Table'!$H:$H, "Plant Maintenance (001)",
  'Data Repository Table'!$D:$D, M$13
)</f>
        <v>827610.39387000003</v>
      </c>
      <c r="N41" s="54">
        <f>SUMIFS(
  'Data Repository Table'!$J:$J,
  'Data Repository Table'!$A:$A, "Financial Actual",
  'Data Repository Table'!$C:$C, "Jutik",
  'Data Repository Table'!$B:$B, "Expenses",
  'Data Repository Table'!$G:$G, "Operational Maintenance Costs",
  'Data Repository Table'!$H:$H, "Plant Maintenance (001)",
  'Data Repository Table'!$D:$D, N$13
)</f>
        <v>710692.53430499986</v>
      </c>
      <c r="O41" s="54">
        <f>SUMIFS(
  'Data Repository Table'!$J:$J,
  'Data Repository Table'!$A:$A, "Financial Actual",
  'Data Repository Table'!$C:$C, "Jutik",
  'Data Repository Table'!$B:$B, "Expenses",
  'Data Repository Table'!$G:$G, "Operational Maintenance Costs",
  'Data Repository Table'!$H:$H, "Plant Maintenance (001)",
  'Data Repository Table'!$D:$D, O$13
)</f>
        <v>999165.39342749992</v>
      </c>
      <c r="P41" s="54">
        <f>SUMIFS(
  'Data Repository Table'!$J:$J,
  'Data Repository Table'!$A:$A, "Financial Actual",
  'Data Repository Table'!$C:$C, "Jutik",
  'Data Repository Table'!$B:$B, "Expenses",
  'Data Repository Table'!$G:$G, "Operational Maintenance Costs",
  'Data Repository Table'!$H:$H, "Plant Maintenance (001)",
  'Data Repository Table'!$D:$D, P$13
)</f>
        <v>544055.76341999997</v>
      </c>
      <c r="Q41" s="54">
        <f>SUMIFS(
  'Data Repository Table'!$J:$J,
  'Data Repository Table'!$A:$A, "Financial Actual",
  'Data Repository Table'!$C:$C, "Jutik",
  'Data Repository Table'!$B:$B, "Expenses",
  'Data Repository Table'!$G:$G, "Operational Maintenance Costs",
  'Data Repository Table'!$H:$H, "Plant Maintenance (001)",
  'Data Repository Table'!$D:$D, Q$13
)</f>
        <v>702535.87520999974</v>
      </c>
      <c r="R41" s="54">
        <f>SUMIFS(
  'Data Repository Table'!$J:$J,
  'Data Repository Table'!$A:$A, "Financial Actual",
  'Data Repository Table'!$C:$C, "Jutik",
  'Data Repository Table'!$B:$B, "Expenses",
  'Data Repository Table'!$G:$G, "Operational Maintenance Costs",
  'Data Repository Table'!$H:$H, "Plant Maintenance (001)",
  'Data Repository Table'!$D:$D, R$13
)</f>
        <v>1002772.411758</v>
      </c>
      <c r="S41" s="54">
        <f t="shared" si="4"/>
        <v>8667251.0443934985</v>
      </c>
      <c r="T41" s="4"/>
      <c r="U41" s="4"/>
      <c r="V41" s="4"/>
      <c r="W41" s="4"/>
    </row>
    <row r="42" spans="1:39" ht="14.25" customHeight="1" x14ac:dyDescent="0.25">
      <c r="A42" s="26" t="s">
        <v>182</v>
      </c>
      <c r="B42" s="26" t="s">
        <v>55</v>
      </c>
      <c r="C42" s="26" t="s">
        <v>56</v>
      </c>
      <c r="D42" s="26" t="s">
        <v>63</v>
      </c>
      <c r="E42" s="26" t="s">
        <v>65</v>
      </c>
      <c r="F42" s="53"/>
      <c r="G42" s="54">
        <f>SUMIFS(
  'Data Repository Table'!$J:$J,
  'Data Repository Table'!$A:$A, "Financial Actual",
  'Data Repository Table'!$C:$C, "Jutik",
  'Data Repository Table'!$B:$B, "Expenses",
  'Data Repository Table'!$G:$G, "Operational Maintenance Costs",
  'Data Repository Table'!$H:$H, "Plant Outages (002)",
  'Data Repository Table'!$D:$D, G$13
)</f>
        <v>251329.05622500001</v>
      </c>
      <c r="H42" s="54">
        <f>SUMIFS(
  'Data Repository Table'!$J:$J,
  'Data Repository Table'!$A:$A, "Financial Actual",
  'Data Repository Table'!$C:$C, "Jutik",
  'Data Repository Table'!$B:$B, "Expenses",
  'Data Repository Table'!$G:$G, "Operational Maintenance Costs",
  'Data Repository Table'!$H:$H, "Plant Outages (002)",
  'Data Repository Table'!$D:$D, H$13
)</f>
        <v>200226.9399</v>
      </c>
      <c r="I42" s="54">
        <f>SUMIFS(
  'Data Repository Table'!$J:$J,
  'Data Repository Table'!$A:$A, "Financial Actual",
  'Data Repository Table'!$C:$C, "Jutik",
  'Data Repository Table'!$B:$B, "Expenses",
  'Data Repository Table'!$G:$G, "Operational Maintenance Costs",
  'Data Repository Table'!$H:$H, "Plant Outages (002)",
  'Data Repository Table'!$D:$D, I$13
)</f>
        <v>270659.38184999995</v>
      </c>
      <c r="J42" s="54">
        <f>SUMIFS(
  'Data Repository Table'!$J:$J,
  'Data Repository Table'!$A:$A, "Financial Actual",
  'Data Repository Table'!$C:$C, "Jutik",
  'Data Repository Table'!$B:$B, "Expenses",
  'Data Repository Table'!$G:$G, "Operational Maintenance Costs",
  'Data Repository Table'!$H:$H, "Plant Outages (002)",
  'Data Repository Table'!$D:$D, J$13
)</f>
        <v>227663.78894999996</v>
      </c>
      <c r="K42" s="54">
        <f>SUMIFS(
  'Data Repository Table'!$J:$J,
  'Data Repository Table'!$A:$A, "Financial Actual",
  'Data Repository Table'!$C:$C, "Jutik",
  'Data Repository Table'!$B:$B, "Expenses",
  'Data Repository Table'!$G:$G, "Operational Maintenance Costs",
  'Data Repository Table'!$H:$H, "Plant Outages (002)",
  'Data Repository Table'!$D:$D, K$13
)</f>
        <v>193599.33401250001</v>
      </c>
      <c r="L42" s="54">
        <f>SUMIFS(
  'Data Repository Table'!$J:$J,
  'Data Repository Table'!$A:$A, "Financial Actual",
  'Data Repository Table'!$C:$C, "Jutik",
  'Data Repository Table'!$B:$B, "Expenses",
  'Data Repository Table'!$G:$G, "Operational Maintenance Costs",
  'Data Repository Table'!$H:$H, "Plant Outages (002)",
  'Data Repository Table'!$D:$D, L$13
)</f>
        <v>143549.25243750002</v>
      </c>
      <c r="M42" s="54">
        <f>SUMIFS(
  'Data Repository Table'!$J:$J,
  'Data Repository Table'!$A:$A, "Financial Actual",
  'Data Repository Table'!$C:$C, "Jutik",
  'Data Repository Table'!$B:$B, "Expenses",
  'Data Repository Table'!$G:$G, "Operational Maintenance Costs",
  'Data Repository Table'!$H:$H, "Plant Outages (002)",
  'Data Repository Table'!$D:$D, M$13
)</f>
        <v>153261.18405000001</v>
      </c>
      <c r="N42" s="54">
        <f>SUMIFS(
  'Data Repository Table'!$J:$J,
  'Data Repository Table'!$A:$A, "Financial Actual",
  'Data Repository Table'!$C:$C, "Jutik",
  'Data Repository Table'!$B:$B, "Expenses",
  'Data Repository Table'!$G:$G, "Operational Maintenance Costs",
  'Data Repository Table'!$H:$H, "Plant Outages (002)",
  'Data Repository Table'!$D:$D, N$13
)</f>
        <v>131609.72857499999</v>
      </c>
      <c r="O42" s="54">
        <f>SUMIFS(
  'Data Repository Table'!$J:$J,
  'Data Repository Table'!$A:$A, "Financial Actual",
  'Data Repository Table'!$C:$C, "Jutik",
  'Data Repository Table'!$B:$B, "Expenses",
  'Data Repository Table'!$G:$G, "Operational Maintenance Costs",
  'Data Repository Table'!$H:$H, "Plant Outages (002)",
  'Data Repository Table'!$D:$D, O$13
)</f>
        <v>185030.62841250002</v>
      </c>
      <c r="P42" s="54">
        <f>SUMIFS(
  'Data Repository Table'!$J:$J,
  'Data Repository Table'!$A:$A, "Financial Actual",
  'Data Repository Table'!$C:$C, "Jutik",
  'Data Repository Table'!$B:$B, "Expenses",
  'Data Repository Table'!$G:$G, "Operational Maintenance Costs",
  'Data Repository Table'!$H:$H, "Plant Outages (002)",
  'Data Repository Table'!$D:$D, P$13
)</f>
        <v>100751.0673</v>
      </c>
      <c r="Q42" s="54">
        <f>SUMIFS(
  'Data Repository Table'!$J:$J,
  'Data Repository Table'!$A:$A, "Financial Actual",
  'Data Repository Table'!$C:$C, "Jutik",
  'Data Repository Table'!$B:$B, "Expenses",
  'Data Repository Table'!$G:$G, "Operational Maintenance Costs",
  'Data Repository Table'!$H:$H, "Plant Outages (002)",
  'Data Repository Table'!$D:$D, Q$13
)</f>
        <v>130099.23614999997</v>
      </c>
      <c r="R42" s="54">
        <f>SUMIFS(
  'Data Repository Table'!$J:$J,
  'Data Repository Table'!$A:$A, "Financial Actual",
  'Data Repository Table'!$C:$C, "Jutik",
  'Data Repository Table'!$B:$B, "Expenses",
  'Data Repository Table'!$G:$G, "Operational Maintenance Costs",
  'Data Repository Table'!$H:$H, "Plant Outages (002)",
  'Data Repository Table'!$D:$D, R$13
)</f>
        <v>232123.24346250005</v>
      </c>
      <c r="S42" s="54">
        <f t="shared" si="4"/>
        <v>2219902.8413250004</v>
      </c>
      <c r="T42" s="4"/>
      <c r="U42" s="4"/>
      <c r="V42" s="4"/>
      <c r="W42" s="4"/>
    </row>
    <row r="43" spans="1:39" ht="14.25" customHeight="1" x14ac:dyDescent="0.25">
      <c r="A43" s="26" t="s">
        <v>182</v>
      </c>
      <c r="B43" s="26" t="s">
        <v>55</v>
      </c>
      <c r="C43" s="26" t="s">
        <v>56</v>
      </c>
      <c r="D43" s="26" t="s">
        <v>63</v>
      </c>
      <c r="E43" s="26" t="s">
        <v>66</v>
      </c>
      <c r="F43" s="53"/>
      <c r="G43" s="54">
        <f>SUMIFS(
  'Data Repository Table'!$J:$J,
  'Data Repository Table'!$A:$A, "Financial Actual",
  'Data Repository Table'!$C:$C, "Jutik",
  'Data Repository Table'!$B:$B, "Expenses",
  'Data Repository Table'!$G:$G, "Operational Maintenance Costs",
  'Data Repository Table'!$H:$H, "Plant Op. Costs (003)",
  'Data Repository Table'!$D:$D, G$13
)</f>
        <v>623296.05943799997</v>
      </c>
      <c r="H43" s="54">
        <f>SUMIFS(
  'Data Repository Table'!$J:$J,
  'Data Repository Table'!$A:$A, "Financial Actual",
  'Data Repository Table'!$C:$C, "Jutik",
  'Data Repository Table'!$B:$B, "Expenses",
  'Data Repository Table'!$G:$G, "Operational Maintenance Costs",
  'Data Repository Table'!$H:$H, "Plant Op. Costs (003)",
  'Data Repository Table'!$D:$D, H$13
)</f>
        <v>496562.81095199991</v>
      </c>
      <c r="I43" s="54">
        <f>SUMIFS(
  'Data Repository Table'!$J:$J,
  'Data Repository Table'!$A:$A, "Financial Actual",
  'Data Repository Table'!$C:$C, "Jutik",
  'Data Repository Table'!$B:$B, "Expenses",
  'Data Repository Table'!$G:$G, "Operational Maintenance Costs",
  'Data Repository Table'!$H:$H, "Plant Op. Costs (003)",
  'Data Repository Table'!$D:$D, I$13
)</f>
        <v>671235.2669879999</v>
      </c>
      <c r="J43" s="54">
        <f>SUMIFS(
  'Data Repository Table'!$J:$J,
  'Data Repository Table'!$A:$A, "Financial Actual",
  'Data Repository Table'!$C:$C, "Jutik",
  'Data Repository Table'!$B:$B, "Expenses",
  'Data Repository Table'!$G:$G, "Operational Maintenance Costs",
  'Data Repository Table'!$H:$H, "Plant Op. Costs (003)",
  'Data Repository Table'!$D:$D, J$13
)</f>
        <v>564606.19659599988</v>
      </c>
      <c r="K43" s="54">
        <f>SUMIFS(
  'Data Repository Table'!$J:$J,
  'Data Repository Table'!$A:$A, "Financial Actual",
  'Data Repository Table'!$C:$C, "Jutik",
  'Data Repository Table'!$B:$B, "Expenses",
  'Data Repository Table'!$G:$G, "Operational Maintenance Costs",
  'Data Repository Table'!$H:$H, "Plant Op. Costs (003)",
  'Data Repository Table'!$D:$D, K$13
)</f>
        <v>480126.34835100005</v>
      </c>
      <c r="L43" s="54">
        <f>SUMIFS(
  'Data Repository Table'!$J:$J,
  'Data Repository Table'!$A:$A, "Financial Actual",
  'Data Repository Table'!$C:$C, "Jutik",
  'Data Repository Table'!$B:$B, "Expenses",
  'Data Repository Table'!$G:$G, "Operational Maintenance Costs",
  'Data Repository Table'!$H:$H, "Plant Op. Costs (003)",
  'Data Repository Table'!$D:$D, L$13
)</f>
        <v>356002.146045</v>
      </c>
      <c r="M43" s="54">
        <f>SUMIFS(
  'Data Repository Table'!$J:$J,
  'Data Repository Table'!$A:$A, "Financial Actual",
  'Data Repository Table'!$C:$C, "Jutik",
  'Data Repository Table'!$B:$B, "Expenses",
  'Data Repository Table'!$G:$G, "Operational Maintenance Costs",
  'Data Repository Table'!$H:$H, "Plant Op. Costs (003)",
  'Data Repository Table'!$D:$D, M$13
)</f>
        <v>380087.73644399998</v>
      </c>
      <c r="N43" s="54">
        <f>SUMIFS(
  'Data Repository Table'!$J:$J,
  'Data Repository Table'!$A:$A, "Financial Actual",
  'Data Repository Table'!$C:$C, "Jutik",
  'Data Repository Table'!$B:$B, "Expenses",
  'Data Repository Table'!$G:$G, "Operational Maintenance Costs",
  'Data Repository Table'!$H:$H, "Plant Op. Costs (003)",
  'Data Repository Table'!$D:$D, N$13
)</f>
        <v>326392.12686599995</v>
      </c>
      <c r="O43" s="54">
        <f>SUMIFS(
  'Data Repository Table'!$J:$J,
  'Data Repository Table'!$A:$A, "Financial Actual",
  'Data Repository Table'!$C:$C, "Jutik",
  'Data Repository Table'!$B:$B, "Expenses",
  'Data Repository Table'!$G:$G, "Operational Maintenance Costs",
  'Data Repository Table'!$H:$H, "Plant Op. Costs (003)",
  'Data Repository Table'!$D:$D, O$13
)</f>
        <v>458875.95846300002</v>
      </c>
      <c r="P43" s="54">
        <f>SUMIFS(
  'Data Repository Table'!$J:$J,
  'Data Repository Table'!$A:$A, "Financial Actual",
  'Data Repository Table'!$C:$C, "Jutik",
  'Data Repository Table'!$B:$B, "Expenses",
  'Data Repository Table'!$G:$G, "Operational Maintenance Costs",
  'Data Repository Table'!$H:$H, "Plant Op. Costs (003)",
  'Data Repository Table'!$D:$D, P$13
)</f>
        <v>249862.64690399999</v>
      </c>
      <c r="Q43" s="54">
        <f>SUMIFS(
  'Data Repository Table'!$J:$J,
  'Data Repository Table'!$A:$A, "Financial Actual",
  'Data Repository Table'!$C:$C, "Jutik",
  'Data Repository Table'!$B:$B, "Expenses",
  'Data Repository Table'!$G:$G, "Operational Maintenance Costs",
  'Data Repository Table'!$H:$H, "Plant Op. Costs (003)",
  'Data Repository Table'!$D:$D, Q$13
)</f>
        <v>322646.10565199988</v>
      </c>
      <c r="R43" s="54">
        <f>SUMIFS(
  'Data Repository Table'!$J:$J,
  'Data Repository Table'!$A:$A, "Financial Actual",
  'Data Repository Table'!$C:$C, "Jutik",
  'Data Repository Table'!$B:$B, "Expenses",
  'Data Repository Table'!$G:$G, "Operational Maintenance Costs",
  'Data Repository Table'!$H:$H, "Plant Op. Costs (003)",
  'Data Repository Table'!$D:$D, R$13
)</f>
        <v>575665.6437870001</v>
      </c>
      <c r="S43" s="54">
        <f>SUM(G43:R43)</f>
        <v>5505359.0464859996</v>
      </c>
      <c r="T43" s="4"/>
      <c r="U43" s="4"/>
      <c r="V43" s="4"/>
      <c r="W43" s="4"/>
    </row>
    <row r="44" spans="1:39" ht="14.25" customHeight="1" x14ac:dyDescent="0.25">
      <c r="A44" s="26" t="s">
        <v>182</v>
      </c>
      <c r="B44" s="26" t="s">
        <v>55</v>
      </c>
      <c r="C44" s="26" t="s">
        <v>56</v>
      </c>
      <c r="D44" s="26" t="s">
        <v>63</v>
      </c>
      <c r="E44" s="26" t="s">
        <v>67</v>
      </c>
      <c r="F44" s="53"/>
      <c r="G44" s="54">
        <f>SUMIFS(
  'Data Repository Table'!$J:$J,
  'Data Repository Table'!$A:$A, "Financial Actual",
  'Data Repository Table'!$C:$C, "Jutik",
  'Data Repository Table'!$B:$B, "Expenses",
  'Data Repository Table'!$G:$G, "Operational Maintenance Costs",
  'Data Repository Table'!$H:$H, "Plant Admin Costs (004)",
  'Data Repository Table'!$D:$D, G$13
)</f>
        <v>211116.407229</v>
      </c>
      <c r="H44" s="54">
        <f>SUMIFS(
  'Data Repository Table'!$J:$J,
  'Data Repository Table'!$A:$A, "Financial Actual",
  'Data Repository Table'!$C:$C, "Jutik",
  'Data Repository Table'!$B:$B, "Expenses",
  'Data Repository Table'!$G:$G, "Operational Maintenance Costs",
  'Data Repository Table'!$H:$H, "Plant Admin Costs (004)",
  'Data Repository Table'!$D:$D, H$13
)</f>
        <v>168190.62951599999</v>
      </c>
      <c r="I44" s="54">
        <f>SUMIFS(
  'Data Repository Table'!$J:$J,
  'Data Repository Table'!$A:$A, "Financial Actual",
  'Data Repository Table'!$C:$C, "Jutik",
  'Data Repository Table'!$B:$B, "Expenses",
  'Data Repository Table'!$G:$G, "Operational Maintenance Costs",
  'Data Repository Table'!$H:$H, "Plant Admin Costs (004)",
  'Data Repository Table'!$D:$D, I$13
)</f>
        <v>227353.88075399998</v>
      </c>
      <c r="J44" s="54">
        <f>SUMIFS(
  'Data Repository Table'!$J:$J,
  'Data Repository Table'!$A:$A, "Financial Actual",
  'Data Repository Table'!$C:$C, "Jutik",
  'Data Repository Table'!$B:$B, "Expenses",
  'Data Repository Table'!$G:$G, "Operational Maintenance Costs",
  'Data Repository Table'!$H:$H, "Plant Admin Costs (004)",
  'Data Repository Table'!$D:$D, J$13
)</f>
        <v>191237.58271799999</v>
      </c>
      <c r="K44" s="54">
        <f>SUMIFS(
  'Data Repository Table'!$J:$J,
  'Data Repository Table'!$A:$A, "Financial Actual",
  'Data Repository Table'!$C:$C, "Jutik",
  'Data Repository Table'!$B:$B, "Expenses",
  'Data Repository Table'!$G:$G, "Operational Maintenance Costs",
  'Data Repository Table'!$H:$H, "Plant Admin Costs (004)",
  'Data Repository Table'!$D:$D, K$13
)</f>
        <v>162623.44057050001</v>
      </c>
      <c r="L44" s="54">
        <f>SUMIFS(
  'Data Repository Table'!$J:$J,
  'Data Repository Table'!$A:$A, "Financial Actual",
  'Data Repository Table'!$C:$C, "Jutik",
  'Data Repository Table'!$B:$B, "Expenses",
  'Data Repository Table'!$G:$G, "Operational Maintenance Costs",
  'Data Repository Table'!$H:$H, "Plant Admin Costs (004)",
  'Data Repository Table'!$D:$D, L$13
)</f>
        <v>120581.37204750002</v>
      </c>
      <c r="M44" s="54">
        <f>SUMIFS(
  'Data Repository Table'!$J:$J,
  'Data Repository Table'!$A:$A, "Financial Actual",
  'Data Repository Table'!$C:$C, "Jutik",
  'Data Repository Table'!$B:$B, "Expenses",
  'Data Repository Table'!$G:$G, "Operational Maintenance Costs",
  'Data Repository Table'!$H:$H, "Plant Admin Costs (004)",
  'Data Repository Table'!$D:$D, M$13
)</f>
        <v>128739.394602</v>
      </c>
      <c r="N44" s="54">
        <f>SUMIFS(
  'Data Repository Table'!$J:$J,
  'Data Repository Table'!$A:$A, "Financial Actual",
  'Data Repository Table'!$C:$C, "Jutik",
  'Data Repository Table'!$B:$B, "Expenses",
  'Data Repository Table'!$G:$G, "Operational Maintenance Costs",
  'Data Repository Table'!$H:$H, "Plant Admin Costs (004)",
  'Data Repository Table'!$D:$D, N$13
)</f>
        <v>110552.17200299999</v>
      </c>
      <c r="O44" s="54">
        <f>SUMIFS(
  'Data Repository Table'!$J:$J,
  'Data Repository Table'!$A:$A, "Financial Actual",
  'Data Repository Table'!$C:$C, "Jutik",
  'Data Repository Table'!$B:$B, "Expenses",
  'Data Repository Table'!$G:$G, "Operational Maintenance Costs",
  'Data Repository Table'!$H:$H, "Plant Admin Costs (004)",
  'Data Repository Table'!$D:$D, O$13
)</f>
        <v>155425.7278665</v>
      </c>
      <c r="P44" s="54">
        <f>SUMIFS(
  'Data Repository Table'!$J:$J,
  'Data Repository Table'!$A:$A, "Financial Actual",
  'Data Repository Table'!$C:$C, "Jutik",
  'Data Repository Table'!$B:$B, "Expenses",
  'Data Repository Table'!$G:$G, "Operational Maintenance Costs",
  'Data Repository Table'!$H:$H, "Plant Admin Costs (004)",
  'Data Repository Table'!$D:$D, P$13
)</f>
        <v>84630.896531999999</v>
      </c>
      <c r="Q44" s="54">
        <f>SUMIFS(
  'Data Repository Table'!$J:$J,
  'Data Repository Table'!$A:$A, "Financial Actual",
  'Data Repository Table'!$C:$C, "Jutik",
  'Data Repository Table'!$B:$B, "Expenses",
  'Data Repository Table'!$G:$G, "Operational Maintenance Costs",
  'Data Repository Table'!$H:$H, "Plant Admin Costs (004)",
  'Data Repository Table'!$D:$D, Q$13
)</f>
        <v>109283.35836599997</v>
      </c>
      <c r="R44" s="54">
        <f>SUMIFS(
  'Data Repository Table'!$J:$J,
  'Data Repository Table'!$A:$A, "Financial Actual",
  'Data Repository Table'!$C:$C, "Jutik",
  'Data Repository Table'!$B:$B, "Expenses",
  'Data Repository Table'!$G:$G, "Operational Maintenance Costs",
  'Data Repository Table'!$H:$H, "Plant Admin Costs (004)",
  'Data Repository Table'!$D:$D, R$13
)</f>
        <v>194983.52450850004</v>
      </c>
      <c r="S44" s="54">
        <f>SUM(G44:R44)</f>
        <v>1864718.386713</v>
      </c>
      <c r="T44" s="4"/>
      <c r="U44" s="4"/>
      <c r="V44" s="4"/>
      <c r="W44" s="4"/>
    </row>
    <row r="45" spans="1:39" ht="14.25" customHeight="1" x14ac:dyDescent="0.25">
      <c r="A45" s="26" t="s">
        <v>182</v>
      </c>
      <c r="B45" s="26" t="s">
        <v>55</v>
      </c>
      <c r="C45" s="26" t="s">
        <v>56</v>
      </c>
      <c r="D45" s="26" t="s">
        <v>68</v>
      </c>
      <c r="E45" s="26" t="s">
        <v>69</v>
      </c>
      <c r="F45" s="55"/>
      <c r="G45" s="54">
        <f>SUMIFS(
  'Data Repository Table'!$J:$J,
  'Data Repository Table'!$A:$A, "Financial Actual",
  'Data Repository Table'!$C:$C, "Jutik",
  'Data Repository Table'!$B:$B, "Expenses",
  'Data Repository Table'!$G:$G, "Labour Costs",
  'Data Repository Table'!$H:$H, "Labour-Costs (001)",
  'Data Repository Table'!$D:$D, G$13
)</f>
        <v>3015948.6746999999</v>
      </c>
      <c r="H45" s="54">
        <f>SUMIFS(
  'Data Repository Table'!$J:$J,
  'Data Repository Table'!$A:$A, "Financial Actual",
  'Data Repository Table'!$C:$C, "Jutik",
  'Data Repository Table'!$B:$B, "Expenses",
  'Data Repository Table'!$G:$G, "Labour Costs",
  'Data Repository Table'!$H:$H, "Labour-Costs (001)",
  'Data Repository Table'!$D:$D, H$13
)</f>
        <v>2402723.2787999995</v>
      </c>
      <c r="I45" s="54">
        <f>SUMIFS(
  'Data Repository Table'!$J:$J,
  'Data Repository Table'!$A:$A, "Financial Actual",
  'Data Repository Table'!$C:$C, "Jutik",
  'Data Repository Table'!$B:$B, "Expenses",
  'Data Repository Table'!$G:$G, "Labour Costs",
  'Data Repository Table'!$H:$H, "Labour-Costs (001)",
  'Data Repository Table'!$D:$D, I$13
)</f>
        <v>3247912.5821999996</v>
      </c>
      <c r="J45" s="54">
        <f>SUMIFS(
  'Data Repository Table'!$J:$J,
  'Data Repository Table'!$A:$A, "Financial Actual",
  'Data Repository Table'!$C:$C, "Jutik",
  'Data Repository Table'!$B:$B, "Expenses",
  'Data Repository Table'!$G:$G, "Labour Costs",
  'Data Repository Table'!$H:$H, "Labour-Costs (001)",
  'Data Repository Table'!$D:$D, J$13
)</f>
        <v>2731965.4673999995</v>
      </c>
      <c r="K45" s="54">
        <f>SUMIFS(
  'Data Repository Table'!$J:$J,
  'Data Repository Table'!$A:$A, "Financial Actual",
  'Data Repository Table'!$C:$C, "Jutik",
  'Data Repository Table'!$B:$B, "Expenses",
  'Data Repository Table'!$G:$G, "Labour Costs",
  'Data Repository Table'!$H:$H, "Labour-Costs (001)",
  'Data Repository Table'!$D:$D, K$13
)</f>
        <v>2323192.0081500001</v>
      </c>
      <c r="L45" s="54">
        <f>SUMIFS(
  'Data Repository Table'!$J:$J,
  'Data Repository Table'!$A:$A, "Financial Actual",
  'Data Repository Table'!$C:$C, "Jutik",
  'Data Repository Table'!$B:$B, "Expenses",
  'Data Repository Table'!$G:$G, "Labour Costs",
  'Data Repository Table'!$H:$H, "Labour-Costs (001)",
  'Data Repository Table'!$D:$D, L$13
)</f>
        <v>1722591.0292499999</v>
      </c>
      <c r="M45" s="54">
        <f>SUMIFS(
  'Data Repository Table'!$J:$J,
  'Data Repository Table'!$A:$A, "Financial Actual",
  'Data Repository Table'!$C:$C, "Jutik",
  'Data Repository Table'!$B:$B, "Expenses",
  'Data Repository Table'!$G:$G, "Labour Costs",
  'Data Repository Table'!$H:$H, "Labour-Costs (001)",
  'Data Repository Table'!$D:$D, M$13
)</f>
        <v>1839134.2085999998</v>
      </c>
      <c r="N45" s="54">
        <f>SUMIFS(
  'Data Repository Table'!$J:$J,
  'Data Repository Table'!$A:$A, "Financial Actual",
  'Data Repository Table'!$C:$C, "Jutik",
  'Data Repository Table'!$B:$B, "Expenses",
  'Data Repository Table'!$G:$G, "Labour Costs",
  'Data Repository Table'!$H:$H, "Labour-Costs (001)",
  'Data Repository Table'!$D:$D, N$13
)</f>
        <v>2579316.7429</v>
      </c>
      <c r="O45" s="54">
        <f>SUMIFS(
  'Data Repository Table'!$J:$J,
  'Data Repository Table'!$A:$A, "Financial Actual",
  'Data Repository Table'!$C:$C, "Jutik",
  'Data Repository Table'!$B:$B, "Expenses",
  'Data Repository Table'!$G:$G, "Labour Costs",
  'Data Repository Table'!$H:$H, "Labour-Costs (001)",
  'Data Repository Table'!$D:$D, O$13
)</f>
        <v>2220367.5409499998</v>
      </c>
      <c r="P45" s="54">
        <f>SUMIFS(
  'Data Repository Table'!$J:$J,
  'Data Repository Table'!$A:$A, "Financial Actual",
  'Data Repository Table'!$C:$C, "Jutik",
  'Data Repository Table'!$B:$B, "Expenses",
  'Data Repository Table'!$G:$G, "Labour Costs",
  'Data Repository Table'!$H:$H, "Labour-Costs (001)",
  'Data Repository Table'!$D:$D, P$13
)</f>
        <v>2209012.8075999999</v>
      </c>
      <c r="Q45" s="54">
        <f>SUMIFS(
  'Data Repository Table'!$J:$J,
  'Data Repository Table'!$A:$A, "Financial Actual",
  'Data Repository Table'!$C:$C, "Jutik",
  'Data Repository Table'!$B:$B, "Expenses",
  'Data Repository Table'!$G:$G, "Labour Costs",
  'Data Repository Table'!$H:$H, "Labour-Costs (001)",
  'Data Repository Table'!$D:$D, Q$13
)</f>
        <v>2561190.8338000001</v>
      </c>
      <c r="R45" s="54">
        <f>SUMIFS(
  'Data Repository Table'!$J:$J,
  'Data Repository Table'!$A:$A, "Financial Actual",
  'Data Repository Table'!$C:$C, "Jutik",
  'Data Repository Table'!$B:$B, "Expenses",
  'Data Repository Table'!$G:$G, "Labour Costs",
  'Data Repository Table'!$H:$H, "Labour-Costs (001)",
  'Data Repository Table'!$D:$D, R$13
)</f>
        <v>2785478.9215500001</v>
      </c>
      <c r="S45" s="54">
        <f t="shared" si="4"/>
        <v>29638834.095899999</v>
      </c>
      <c r="T45" s="4"/>
      <c r="U45" s="4"/>
      <c r="V45" s="4"/>
      <c r="W45" s="4"/>
    </row>
    <row r="46" spans="1:39" ht="14.25" customHeight="1" x14ac:dyDescent="0.25">
      <c r="A46" s="26" t="s">
        <v>70</v>
      </c>
      <c r="B46" s="26" t="s">
        <v>55</v>
      </c>
      <c r="C46" s="26"/>
      <c r="D46" s="26"/>
      <c r="E46" s="55"/>
      <c r="F46" s="54"/>
      <c r="G46" s="25">
        <f>SUMIFS(
  'Data Repository Table'!$J:$J,
  'Data Repository Table'!$A:$A, "Water Production Actuals",
  'Data Repository Table'!$C:$C, "Jutik",
  'Data Repository Table'!$D:$D, G$13
)</f>
        <v>250.24199099999998</v>
      </c>
      <c r="H46" s="25">
        <f>SUMIFS(
  'Data Repository Table'!$J:$J,
  'Data Repository Table'!$A:$A, "Water Production Actuals",
  'Data Repository Table'!$C:$C, "Jutik",
  'Data Repository Table'!$D:$D, H$13
)</f>
        <v>206.740703</v>
      </c>
      <c r="I46" s="25">
        <f>SUMIFS(
  'Data Repository Table'!$J:$J,
  'Data Repository Table'!$A:$A, "Water Production Actuals",
  'Data Repository Table'!$C:$C, "Jutik",
  'Data Repository Table'!$D:$D, I$13
)</f>
        <v>201.23546099999996</v>
      </c>
      <c r="J46" s="25">
        <f>SUMIFS(
  'Data Repository Table'!$J:$J,
  'Data Repository Table'!$A:$A, "Water Production Actuals",
  'Data Repository Table'!$C:$C, "Jutik",
  'Data Repository Table'!$D:$D, J$13
)</f>
        <v>174.36956599999999</v>
      </c>
      <c r="K46" s="25">
        <f>SUMIFS(
  'Data Repository Table'!$J:$J,
  'Data Repository Table'!$A:$A, "Water Production Actuals",
  'Data Repository Table'!$C:$C, "Jutik",
  'Data Repository Table'!$D:$D, K$13
)</f>
        <v>204.09105</v>
      </c>
      <c r="L46" s="25">
        <f>SUMIFS(
  'Data Repository Table'!$J:$J,
  'Data Repository Table'!$A:$A, "Water Production Actuals",
  'Data Repository Table'!$C:$C, "Jutik",
  'Data Repository Table'!$D:$D, L$13
)</f>
        <v>146.35666599999999</v>
      </c>
      <c r="M46" s="25">
        <f>SUMIFS(
  'Data Repository Table'!$J:$J,
  'Data Repository Table'!$A:$A, "Water Production Actuals",
  'Data Repository Table'!$C:$C, "Jutik",
  'Data Repository Table'!$D:$D, M$13
)</f>
        <v>204.20249700000002</v>
      </c>
      <c r="N46" s="25">
        <f>SUMIFS(
  'Data Repository Table'!$J:$J,
  'Data Repository Table'!$A:$A, "Water Production Actuals",
  'Data Repository Table'!$C:$C, "Jutik",
  'Data Repository Table'!$D:$D, N$13
)</f>
        <v>217.43019900000002</v>
      </c>
      <c r="O46" s="25">
        <f>SUMIFS(
  'Data Repository Table'!$J:$J,
  'Data Repository Table'!$A:$A, "Water Production Actuals",
  'Data Repository Table'!$C:$C, "Jutik",
  'Data Repository Table'!$D:$D, O$13
)</f>
        <v>230.98220000000001</v>
      </c>
      <c r="P46" s="25">
        <f>SUMIFS(
  'Data Repository Table'!$J:$J,
  'Data Repository Table'!$A:$A, "Water Production Actuals",
  'Data Repository Table'!$C:$C, "Jutik",
  'Data Repository Table'!$D:$D, P$13
)</f>
        <v>236.441136</v>
      </c>
      <c r="Q46" s="25">
        <f>SUMIFS(
  'Data Repository Table'!$J:$J,
  'Data Repository Table'!$A:$A, "Water Production Actuals",
  'Data Repository Table'!$C:$C, "Jutik",
  'Data Repository Table'!$D:$D, Q$13
)</f>
        <v>241.40736899999999</v>
      </c>
      <c r="R46" s="25">
        <f>SUMIFS(
  'Data Repository Table'!$J:$J,
  'Data Repository Table'!$A:$A, "Water Production Actuals",
  'Data Repository Table'!$C:$C, "Jutik",
  'Data Repository Table'!$D:$D, R$13
)</f>
        <v>220.380334</v>
      </c>
      <c r="S46" s="25">
        <f t="shared" si="4"/>
        <v>2533.8791719999995</v>
      </c>
      <c r="T46" s="4"/>
      <c r="U46" s="4"/>
      <c r="V46" s="4"/>
      <c r="W46" s="4"/>
    </row>
    <row r="47" spans="1:39" ht="14.25" customHeight="1" x14ac:dyDescent="0.25">
      <c r="A47" s="133"/>
      <c r="B47" s="134"/>
      <c r="C47" s="135"/>
      <c r="D47" s="135"/>
      <c r="E47" s="134" t="s">
        <v>183</v>
      </c>
      <c r="F47" s="135"/>
      <c r="G47" s="136">
        <f>SUM(G$38:G$45)/(G$46 * 1000)</f>
        <v>32.644395721309699</v>
      </c>
      <c r="H47" s="136">
        <f t="shared" ref="H47:R47" si="5">SUM(H$38:H$45)/(H$46 * 1000)</f>
        <v>31.479124229144556</v>
      </c>
      <c r="I47" s="136">
        <f t="shared" si="5"/>
        <v>43.716430376785929</v>
      </c>
      <c r="J47" s="136">
        <f t="shared" si="5"/>
        <v>42.437461047529588</v>
      </c>
      <c r="K47" s="136">
        <f t="shared" si="5"/>
        <v>30.832306822249631</v>
      </c>
      <c r="L47" s="136">
        <f t="shared" si="5"/>
        <v>40.056607121314855</v>
      </c>
      <c r="M47" s="136">
        <f t="shared" si="5"/>
        <v>35.252643432800426</v>
      </c>
      <c r="N47" s="136">
        <f t="shared" si="5"/>
        <v>34.40970474928254</v>
      </c>
      <c r="O47" s="136">
        <f t="shared" si="5"/>
        <v>37.625793747462467</v>
      </c>
      <c r="P47" s="136">
        <f t="shared" si="5"/>
        <v>28.473377116074253</v>
      </c>
      <c r="Q47" s="136">
        <f t="shared" si="5"/>
        <v>33.597819136852863</v>
      </c>
      <c r="R47" s="136">
        <f t="shared" si="5"/>
        <v>43.016148904686304</v>
      </c>
      <c r="S47" s="137">
        <f>SUM(S38:S45)/S46</f>
        <v>35804.189198254957</v>
      </c>
      <c r="T47" s="138"/>
      <c r="U47" s="138"/>
      <c r="V47" s="138"/>
      <c r="W47" s="138"/>
      <c r="X47" s="133"/>
      <c r="Y47" s="133"/>
      <c r="Z47" s="133"/>
      <c r="AA47" s="133"/>
      <c r="AB47" s="133"/>
      <c r="AC47" s="133"/>
      <c r="AD47" s="133"/>
      <c r="AE47" s="133"/>
      <c r="AF47" s="133"/>
      <c r="AG47" s="133"/>
      <c r="AH47" s="133"/>
      <c r="AI47" s="133"/>
      <c r="AJ47" s="133"/>
      <c r="AK47" s="133"/>
      <c r="AL47" s="133"/>
      <c r="AM47" s="133"/>
    </row>
    <row r="48" spans="1:39" ht="14.25" customHeight="1" x14ac:dyDescent="0.25">
      <c r="A48" s="192" t="s">
        <v>95</v>
      </c>
      <c r="B48" s="192"/>
      <c r="C48" s="192"/>
      <c r="D48" s="140"/>
      <c r="E48" s="192"/>
      <c r="F48" s="141"/>
      <c r="G48" s="141"/>
      <c r="H48" s="141"/>
      <c r="I48" s="141"/>
      <c r="J48" s="141"/>
      <c r="K48" s="141"/>
      <c r="L48" s="141"/>
      <c r="M48" s="141"/>
      <c r="N48" s="141"/>
      <c r="O48" s="141"/>
      <c r="P48" s="141"/>
      <c r="Q48" s="141"/>
      <c r="R48" s="141"/>
      <c r="S48" s="192"/>
      <c r="T48" s="192"/>
      <c r="U48" s="192"/>
      <c r="V48" s="192"/>
      <c r="W48" s="192"/>
      <c r="X48" s="142"/>
      <c r="Y48" s="142"/>
      <c r="Z48" s="142"/>
      <c r="AA48" s="142"/>
      <c r="AB48" s="142"/>
      <c r="AC48" s="142"/>
      <c r="AD48" s="142"/>
      <c r="AE48" s="142"/>
      <c r="AF48" s="142"/>
      <c r="AG48" s="142"/>
      <c r="AH48" s="142"/>
      <c r="AI48" s="142"/>
      <c r="AJ48" s="142"/>
      <c r="AK48" s="142"/>
      <c r="AL48" s="142"/>
      <c r="AM48" s="142"/>
    </row>
    <row r="49" spans="1:39" ht="14.25" customHeight="1" x14ac:dyDescent="0.25">
      <c r="A49" s="4"/>
      <c r="B49" s="4"/>
      <c r="C49" s="4"/>
      <c r="D49" s="38"/>
      <c r="E49" s="4"/>
      <c r="F49" s="54"/>
      <c r="G49" s="54"/>
      <c r="H49" s="54"/>
      <c r="I49" s="54"/>
      <c r="J49" s="54"/>
      <c r="K49" s="54"/>
      <c r="L49" s="54"/>
      <c r="M49" s="54"/>
      <c r="N49" s="54"/>
      <c r="O49" s="54"/>
      <c r="P49" s="54"/>
      <c r="Q49" s="54"/>
      <c r="R49" s="54"/>
      <c r="S49" s="4"/>
      <c r="T49" s="4"/>
      <c r="U49" s="4"/>
      <c r="V49" s="4"/>
      <c r="W49" s="4"/>
      <c r="X49" s="13"/>
      <c r="Y49" s="13"/>
      <c r="Z49" s="13"/>
      <c r="AA49" s="13"/>
      <c r="AB49" s="13"/>
      <c r="AC49" s="13"/>
      <c r="AD49" s="13"/>
      <c r="AE49" s="13"/>
      <c r="AF49" s="13"/>
      <c r="AG49" s="13"/>
      <c r="AH49" s="13"/>
      <c r="AI49" s="13"/>
      <c r="AJ49" s="13"/>
      <c r="AK49" s="13"/>
      <c r="AL49" s="13"/>
      <c r="AM49" s="13"/>
    </row>
    <row r="50" spans="1:39" ht="14.25" customHeight="1" x14ac:dyDescent="0.25">
      <c r="A50" s="4"/>
      <c r="B50" s="4"/>
      <c r="C50" s="4"/>
      <c r="D50" s="38"/>
      <c r="E50" s="4"/>
      <c r="F50" s="54"/>
      <c r="G50" s="54"/>
      <c r="H50" s="54"/>
      <c r="I50" s="54"/>
      <c r="J50" s="54"/>
      <c r="K50" s="54"/>
      <c r="L50" s="54"/>
      <c r="M50" s="54"/>
      <c r="N50" s="54"/>
      <c r="O50" s="54"/>
      <c r="P50" s="54"/>
      <c r="Q50" s="54"/>
      <c r="R50" s="54"/>
      <c r="S50" s="4"/>
      <c r="T50" s="4"/>
      <c r="U50" s="4"/>
      <c r="V50" s="4"/>
      <c r="W50" s="4"/>
      <c r="X50" s="13"/>
      <c r="Y50" s="13"/>
      <c r="Z50" s="13"/>
      <c r="AA50" s="13"/>
      <c r="AB50" s="13"/>
      <c r="AC50" s="13"/>
      <c r="AD50" s="13"/>
      <c r="AE50" s="13"/>
      <c r="AF50" s="13"/>
      <c r="AG50" s="13"/>
      <c r="AH50" s="13"/>
      <c r="AI50" s="13"/>
      <c r="AJ50" s="13"/>
      <c r="AK50" s="13"/>
      <c r="AL50" s="13"/>
      <c r="AM50" s="13"/>
    </row>
    <row r="51" spans="1:39" ht="45" customHeight="1" x14ac:dyDescent="0.25">
      <c r="A51" s="207" t="s">
        <v>184</v>
      </c>
      <c r="B51" s="206"/>
      <c r="C51" s="206"/>
      <c r="D51" s="206"/>
      <c r="E51" s="206"/>
      <c r="F51" s="206"/>
      <c r="G51" s="206"/>
      <c r="H51" s="206"/>
      <c r="I51" s="206"/>
      <c r="J51" s="206"/>
      <c r="K51" s="206"/>
      <c r="L51" s="206"/>
      <c r="M51" s="206"/>
      <c r="N51" s="206"/>
      <c r="O51" s="206"/>
      <c r="P51" s="206"/>
      <c r="Q51" s="206"/>
      <c r="R51" s="206"/>
      <c r="S51" s="206"/>
      <c r="T51" s="206"/>
      <c r="U51" s="206"/>
      <c r="V51" s="206"/>
      <c r="W51" s="123"/>
      <c r="X51" s="128"/>
      <c r="Y51" s="128"/>
      <c r="Z51" s="128"/>
      <c r="AA51" s="128"/>
      <c r="AB51" s="128"/>
      <c r="AC51" s="128"/>
      <c r="AD51" s="128"/>
      <c r="AE51" s="128"/>
      <c r="AF51" s="128"/>
      <c r="AG51" s="128"/>
      <c r="AH51" s="128"/>
      <c r="AI51" s="128"/>
      <c r="AJ51" s="128"/>
      <c r="AK51" s="128"/>
      <c r="AL51" s="128"/>
      <c r="AM51" s="128"/>
    </row>
    <row r="52" spans="1:39" ht="57" customHeight="1" x14ac:dyDescent="0.25">
      <c r="A52" s="205" t="s">
        <v>185</v>
      </c>
      <c r="B52" s="206"/>
      <c r="C52" s="206"/>
      <c r="D52" s="206"/>
      <c r="E52" s="206"/>
      <c r="F52" s="206"/>
      <c r="G52" s="206"/>
      <c r="H52" s="206"/>
      <c r="I52" s="206"/>
      <c r="J52" s="206"/>
      <c r="K52" s="206"/>
      <c r="L52" s="206"/>
      <c r="M52" s="206"/>
      <c r="N52" s="206"/>
      <c r="O52" s="206"/>
      <c r="P52" s="206"/>
      <c r="Q52" s="206"/>
      <c r="R52" s="206"/>
      <c r="S52" s="206"/>
      <c r="T52" s="206"/>
      <c r="U52" s="206"/>
      <c r="V52" s="206"/>
      <c r="W52" s="206"/>
      <c r="X52" s="128"/>
      <c r="Y52" s="128"/>
      <c r="Z52" s="128"/>
      <c r="AA52" s="128"/>
      <c r="AB52" s="128"/>
      <c r="AC52" s="128"/>
      <c r="AD52" s="128"/>
      <c r="AE52" s="128"/>
      <c r="AF52" s="128"/>
      <c r="AG52" s="128"/>
      <c r="AH52" s="128"/>
      <c r="AI52" s="128"/>
      <c r="AJ52" s="128"/>
      <c r="AK52" s="128"/>
      <c r="AL52" s="128"/>
      <c r="AM52" s="128"/>
    </row>
    <row r="53" spans="1:39" ht="37.5" customHeight="1" x14ac:dyDescent="0.25">
      <c r="A53" s="215"/>
      <c r="B53" s="206"/>
      <c r="C53" s="206"/>
      <c r="D53" s="206"/>
      <c r="E53" s="206"/>
      <c r="F53" s="206"/>
      <c r="G53" s="206"/>
      <c r="H53" s="206"/>
      <c r="I53" s="206"/>
      <c r="J53" s="206"/>
      <c r="K53" s="206"/>
      <c r="L53" s="206"/>
      <c r="M53" s="206"/>
      <c r="N53" s="143"/>
      <c r="O53" s="143"/>
      <c r="P53" s="143"/>
      <c r="Q53" s="143"/>
      <c r="R53" s="143"/>
      <c r="S53" s="143"/>
      <c r="T53" s="143"/>
      <c r="U53" s="143"/>
      <c r="V53" s="143"/>
      <c r="W53" s="143"/>
    </row>
    <row r="54" spans="1:39" ht="14.25" customHeight="1" x14ac:dyDescent="0.25">
      <c r="A54" s="115" t="s">
        <v>12</v>
      </c>
      <c r="B54" s="115" t="s">
        <v>16</v>
      </c>
      <c r="C54" s="115" t="s">
        <v>164</v>
      </c>
      <c r="D54" s="115" t="s">
        <v>57</v>
      </c>
      <c r="E54" s="115" t="s">
        <v>181</v>
      </c>
      <c r="F54" s="121"/>
      <c r="G54" s="129">
        <v>41456</v>
      </c>
      <c r="H54" s="129">
        <v>41487</v>
      </c>
      <c r="I54" s="129">
        <v>41518</v>
      </c>
      <c r="J54" s="129">
        <v>41548</v>
      </c>
      <c r="K54" s="129">
        <v>41579</v>
      </c>
      <c r="L54" s="129">
        <v>41609</v>
      </c>
      <c r="M54" s="129">
        <v>41640</v>
      </c>
      <c r="N54" s="129">
        <v>41671</v>
      </c>
      <c r="O54" s="129">
        <v>41699</v>
      </c>
      <c r="P54" s="129">
        <v>41730</v>
      </c>
      <c r="Q54" s="129">
        <v>41760</v>
      </c>
      <c r="R54" s="129">
        <v>41791</v>
      </c>
      <c r="S54" s="144"/>
      <c r="T54" s="121"/>
      <c r="U54" s="121"/>
      <c r="V54" s="121"/>
      <c r="W54" s="121"/>
    </row>
    <row r="55" spans="1:39" ht="14.25" customHeight="1" x14ac:dyDescent="0.25">
      <c r="A55" s="115"/>
      <c r="B55" s="115"/>
      <c r="C55" s="115"/>
      <c r="D55" s="115"/>
      <c r="E55" s="121"/>
      <c r="F55" s="121"/>
      <c r="G55" s="144"/>
      <c r="H55" s="144"/>
      <c r="I55" s="144"/>
      <c r="J55" s="144"/>
      <c r="K55" s="144"/>
      <c r="L55" s="144"/>
      <c r="M55" s="144"/>
      <c r="N55" s="144"/>
      <c r="O55" s="144"/>
      <c r="P55" s="144"/>
      <c r="Q55" s="144"/>
      <c r="R55" s="144"/>
      <c r="S55" s="130" t="s">
        <v>142</v>
      </c>
      <c r="T55" s="121"/>
      <c r="U55" s="121"/>
      <c r="V55" s="121"/>
      <c r="W55" s="121"/>
    </row>
    <row r="56" spans="1:39" ht="14.25" customHeight="1" x14ac:dyDescent="0.25">
      <c r="A56" s="26" t="s">
        <v>182</v>
      </c>
      <c r="B56" s="26" t="s">
        <v>186</v>
      </c>
      <c r="C56" s="26" t="s">
        <v>56</v>
      </c>
      <c r="D56" s="26" t="s">
        <v>58</v>
      </c>
      <c r="E56" s="26" t="s">
        <v>59</v>
      </c>
      <c r="F56" s="4"/>
      <c r="G56" s="54" cm="1">
        <f t="array" ref="G56">SUM(SUMIFS(
  'Data Repository Table'!$J:$J,
  'Data Repository Table'!$A:$A, "Financial Actual",
  'Data Repository Table'!$C:$C, {"Kootha","Surjek","Jutik"},
  'Data Repository Table'!$B:$B, "Expenses",
  'Data Repository Table'!$G:$G, "Chemical Costs",
  'Data Repository Table'!$H:$H, "Chem-Exp (001)",
  'Data Repository Table'!$D:$D, G$13
))</f>
        <v>4752382.6895514736</v>
      </c>
      <c r="H56" s="54" cm="1">
        <f t="array" ref="H56">SUM(SUMIFS(
  'Data Repository Table'!$J:$J,
  'Data Repository Table'!$A:$A, "Financial Actual",
  'Data Repository Table'!$C:$C, {"Kootha","Surjek","Jutik"},
  'Data Repository Table'!$B:$B, "Expenses",
  'Data Repository Table'!$G:$G, "Chemical Costs",
  'Data Repository Table'!$H:$H, "Chem-Exp (001)",
  'Data Repository Table'!$D:$D, H$13
))</f>
        <v>5167035.0438473243</v>
      </c>
      <c r="I56" s="54" cm="1">
        <f t="array" ref="I56">SUM(SUMIFS(
  'Data Repository Table'!$J:$J,
  'Data Repository Table'!$A:$A, "Financial Actual",
  'Data Repository Table'!$C:$C, {"Kootha","Surjek","Jutik"},
  'Data Repository Table'!$B:$B, "Expenses",
  'Data Repository Table'!$G:$G, "Chemical Costs",
  'Data Repository Table'!$H:$H, "Chem-Exp (001)",
  'Data Repository Table'!$D:$D, I$13
))</f>
        <v>5477119.2220016234</v>
      </c>
      <c r="J56" s="54" cm="1">
        <f t="array" ref="J56">SUM(SUMIFS(
  'Data Repository Table'!$J:$J,
  'Data Repository Table'!$A:$A, "Financial Actual",
  'Data Repository Table'!$C:$C, {"Kootha","Surjek","Jutik"},
  'Data Repository Table'!$B:$B, "Expenses",
  'Data Repository Table'!$G:$G, "Chemical Costs",
  'Data Repository Table'!$H:$H, "Chem-Exp (001)",
  'Data Repository Table'!$D:$D, J$13
))</f>
        <v>6217372.1257881755</v>
      </c>
      <c r="K56" s="54" cm="1">
        <f t="array" ref="K56">SUM(SUMIFS(
  'Data Repository Table'!$J:$J,
  'Data Repository Table'!$A:$A, "Financial Actual",
  'Data Repository Table'!$C:$C, {"Kootha","Surjek","Jutik"},
  'Data Repository Table'!$B:$B, "Expenses",
  'Data Repository Table'!$G:$G, "Chemical Costs",
  'Data Repository Table'!$H:$H, "Chem-Exp (001)",
  'Data Repository Table'!$D:$D, K$13
))</f>
        <v>6351549.5562056992</v>
      </c>
      <c r="L56" s="54" cm="1">
        <f t="array" ref="L56">SUM(SUMIFS(
  'Data Repository Table'!$J:$J,
  'Data Repository Table'!$A:$A, "Financial Actual",
  'Data Repository Table'!$C:$C, {"Kootha","Surjek","Jutik"},
  'Data Repository Table'!$B:$B, "Expenses",
  'Data Repository Table'!$G:$G, "Chemical Costs",
  'Data Repository Table'!$H:$H, "Chem-Exp (001)",
  'Data Repository Table'!$D:$D, L$13
))</f>
        <v>5473893.9778650012</v>
      </c>
      <c r="M56" s="54" cm="1">
        <f t="array" ref="M56">SUM(SUMIFS(
  'Data Repository Table'!$J:$J,
  'Data Repository Table'!$A:$A, "Financial Actual",
  'Data Repository Table'!$C:$C, {"Kootha","Surjek","Jutik"},
  'Data Repository Table'!$B:$B, "Expenses",
  'Data Repository Table'!$G:$G, "Chemical Costs",
  'Data Repository Table'!$H:$H, "Chem-Exp (001)",
  'Data Repository Table'!$D:$D, M$13
))</f>
        <v>7073236.3159125</v>
      </c>
      <c r="N56" s="54" cm="1">
        <f t="array" ref="N56">SUM(SUMIFS(
  'Data Repository Table'!$J:$J,
  'Data Repository Table'!$A:$A, "Financial Actual",
  'Data Repository Table'!$C:$C, {"Kootha","Surjek","Jutik"},
  'Data Repository Table'!$B:$B, "Expenses",
  'Data Repository Table'!$G:$G, "Chemical Costs",
  'Data Repository Table'!$H:$H, "Chem-Exp (001)",
  'Data Repository Table'!$D:$D, N$13
))</f>
        <v>7645099.2339562494</v>
      </c>
      <c r="O56" s="54" cm="1">
        <f t="array" ref="O56">SUM(SUMIFS(
  'Data Repository Table'!$J:$J,
  'Data Repository Table'!$A:$A, "Financial Actual",
  'Data Repository Table'!$C:$C, {"Kootha","Surjek","Jutik"},
  'Data Repository Table'!$B:$B, "Expenses",
  'Data Repository Table'!$G:$G, "Chemical Costs",
  'Data Repository Table'!$H:$H, "Chem-Exp (001)",
  'Data Repository Table'!$D:$D, O$13
))</f>
        <v>7576081.9643531246</v>
      </c>
      <c r="P56" s="54" cm="1">
        <f t="array" ref="P56">SUM(SUMIFS(
  'Data Repository Table'!$J:$J,
  'Data Repository Table'!$A:$A, "Financial Actual",
  'Data Repository Table'!$C:$C, {"Kootha","Surjek","Jutik"},
  'Data Repository Table'!$B:$B, "Expenses",
  'Data Repository Table'!$G:$G, "Chemical Costs",
  'Data Repository Table'!$H:$H, "Chem-Exp (001)",
  'Data Repository Table'!$D:$D, P$13
))</f>
        <v>7870566.9194312505</v>
      </c>
      <c r="Q56" s="54" cm="1">
        <f t="array" ref="Q56">SUM(SUMIFS(
  'Data Repository Table'!$J:$J,
  'Data Repository Table'!$A:$A, "Financial Actual",
  'Data Repository Table'!$C:$C, {"Kootha","Surjek","Jutik"},
  'Data Repository Table'!$B:$B, "Expenses",
  'Data Repository Table'!$G:$G, "Chemical Costs",
  'Data Repository Table'!$H:$H, "Chem-Exp (001)",
  'Data Repository Table'!$D:$D, Q$13
))</f>
        <v>9096355.030431252</v>
      </c>
      <c r="R56" s="54" cm="1">
        <f t="array" ref="R56">SUM(SUMIFS(
  'Data Repository Table'!$J:$J,
  'Data Repository Table'!$A:$A, "Financial Actual",
  'Data Repository Table'!$C:$C, {"Kootha","Surjek","Jutik"},
  'Data Repository Table'!$B:$B, "Expenses",
  'Data Repository Table'!$G:$G, "Chemical Costs",
  'Data Repository Table'!$H:$H, "Chem-Exp (001)",
  'Data Repository Table'!$D:$D, R$13
))</f>
        <v>5712658.1783212498</v>
      </c>
      <c r="S56" s="54">
        <f t="shared" ref="S56:S64" si="6">SUM(G56:R56)</f>
        <v>78413350.257664919</v>
      </c>
      <c r="T56" s="4"/>
      <c r="U56" s="4"/>
      <c r="V56" s="4"/>
      <c r="W56" s="4"/>
    </row>
    <row r="57" spans="1:39" ht="14.25" customHeight="1" x14ac:dyDescent="0.25">
      <c r="A57" s="26" t="s">
        <v>182</v>
      </c>
      <c r="B57" s="26" t="s">
        <v>186</v>
      </c>
      <c r="C57" s="26" t="s">
        <v>56</v>
      </c>
      <c r="D57" s="26" t="s">
        <v>60</v>
      </c>
      <c r="E57" s="26" t="s">
        <v>61</v>
      </c>
      <c r="F57" s="4"/>
      <c r="G57" s="54" cm="1">
        <f t="array" ref="G57">SUM(SUMIFS(
  'Data Repository Table'!$J:$J,
  'Data Repository Table'!$A:$A, "Financial Actual",
  'Data Repository Table'!$C:$C, {"Kootha","Surjek","Jutik"},
  'Data Repository Table'!$B:$B, "Expenses",
  'Data Repository Table'!$G:$G,"Facility Costs",
  'Data Repository Table'!$H:$H, "Utility-Exp (002) - Heating",
  'Data Repository Table'!$D:$D, G$13
))</f>
        <v>2439061.3979192991</v>
      </c>
      <c r="H57" s="54" cm="1">
        <f t="array" ref="H57">SUM(SUMIFS(
  'Data Repository Table'!$J:$J,
  'Data Repository Table'!$A:$A, "Financial Actual",
  'Data Repository Table'!$C:$C, {"Kootha","Surjek","Jutik"},
  'Data Repository Table'!$B:$B, "Expenses",
  'Data Repository Table'!$G:$G,"Facility Costs",
  'Data Repository Table'!$H:$H, "Utility-Exp (002) - Heating",
  'Data Repository Table'!$D:$D, H$13
))</f>
        <v>2621863.5100085996</v>
      </c>
      <c r="I57" s="54" cm="1">
        <f t="array" ref="I57">SUM(SUMIFS(
  'Data Repository Table'!$J:$J,
  'Data Repository Table'!$A:$A, "Financial Actual",
  'Data Repository Table'!$C:$C, {"Kootha","Surjek","Jutik"},
  'Data Repository Table'!$B:$B, "Expenses",
  'Data Repository Table'!$G:$G,"Facility Costs",
  'Data Repository Table'!$H:$H, "Utility-Exp (002) - Heating",
  'Data Repository Table'!$D:$D, I$13
))</f>
        <v>2806168.0509719998</v>
      </c>
      <c r="J57" s="54" cm="1">
        <f t="array" ref="J57">SUM(SUMIFS(
  'Data Repository Table'!$J:$J,
  'Data Repository Table'!$A:$A, "Financial Actual",
  'Data Repository Table'!$C:$C, {"Kootha","Surjek","Jutik"},
  'Data Repository Table'!$B:$B, "Expenses",
  'Data Repository Table'!$G:$G,"Facility Costs",
  'Data Repository Table'!$H:$H, "Utility-Exp (002) - Heating",
  'Data Repository Table'!$D:$D, J$13
))</f>
        <v>3163209.5663784007</v>
      </c>
      <c r="K57" s="54" cm="1">
        <f t="array" ref="K57">SUM(SUMIFS(
  'Data Repository Table'!$J:$J,
  'Data Repository Table'!$A:$A, "Financial Actual",
  'Data Repository Table'!$C:$C, {"Kootha","Surjek","Jutik"},
  'Data Repository Table'!$B:$B, "Expenses",
  'Data Repository Table'!$G:$G,"Facility Costs",
  'Data Repository Table'!$H:$H, "Utility-Exp (002) - Heating",
  'Data Repository Table'!$D:$D, K$13
))</f>
        <v>3218501.5770913498</v>
      </c>
      <c r="L57" s="54" cm="1">
        <f t="array" ref="L57">SUM(SUMIFS(
  'Data Repository Table'!$J:$J,
  'Data Repository Table'!$A:$A, "Financial Actual",
  'Data Repository Table'!$C:$C, {"Kootha","Surjek","Jutik"},
  'Data Repository Table'!$B:$B, "Expenses",
  'Data Repository Table'!$G:$G,"Facility Costs",
  'Data Repository Table'!$H:$H, "Utility-Exp (002) - Heating",
  'Data Repository Table'!$D:$D, L$13
))</f>
        <v>2788369.1117025004</v>
      </c>
      <c r="M57" s="54" cm="1">
        <f t="array" ref="M57">SUM(SUMIFS(
  'Data Repository Table'!$J:$J,
  'Data Repository Table'!$A:$A, "Financial Actual",
  'Data Repository Table'!$C:$C, {"Kootha","Surjek","Jutik"},
  'Data Repository Table'!$B:$B, "Expenses",
  'Data Repository Table'!$G:$G,"Facility Costs",
  'Data Repository Table'!$H:$H, "Utility-Exp (002) - Heating",
  'Data Repository Table'!$D:$D, M$13
))</f>
        <v>3593667.2656375002</v>
      </c>
      <c r="N57" s="54" cm="1">
        <f t="array" ref="N57">SUM(SUMIFS(
  'Data Repository Table'!$J:$J,
  'Data Repository Table'!$A:$A, "Financial Actual",
  'Data Repository Table'!$C:$C, {"Kootha","Surjek","Jutik"},
  'Data Repository Table'!$B:$B, "Expenses",
  'Data Repository Table'!$G:$G,"Facility Costs",
  'Data Repository Table'!$H:$H, "Utility-Exp (002) - Heating",
  'Data Repository Table'!$D:$D, N$13
))</f>
        <v>3722191.4510812499</v>
      </c>
      <c r="O57" s="54" cm="1">
        <f t="array" ref="O57">SUM(SUMIFS(
  'Data Repository Table'!$J:$J,
  'Data Repository Table'!$A:$A, "Financial Actual",
  'Data Repository Table'!$C:$C, {"Kootha","Surjek","Jutik"},
  'Data Repository Table'!$B:$B, "Expenses",
  'Data Repository Table'!$G:$G,"Facility Costs",
  'Data Repository Table'!$H:$H, "Utility-Exp (002) - Heating",
  'Data Repository Table'!$D:$D, O$13
))</f>
        <v>3871145.1659843749</v>
      </c>
      <c r="P57" s="54" cm="1">
        <f t="array" ref="P57">SUM(SUMIFS(
  'Data Repository Table'!$J:$J,
  'Data Repository Table'!$A:$A, "Financial Actual",
  'Data Repository Table'!$C:$C, {"Kootha","Surjek","Jutik"},
  'Data Repository Table'!$B:$B, "Expenses",
  'Data Repository Table'!$G:$G,"Facility Costs",
  'Data Repository Table'!$H:$H, "Utility-Exp (002) - Heating",
  'Data Repository Table'!$D:$D, P$13
))</f>
        <v>3465642.2342250003</v>
      </c>
      <c r="Q57" s="54" cm="1">
        <f t="array" ref="Q57">SUM(SUMIFS(
  'Data Repository Table'!$J:$J,
  'Data Repository Table'!$A:$A, "Financial Actual",
  'Data Repository Table'!$C:$C, {"Kootha","Surjek","Jutik"},
  'Data Repository Table'!$B:$B, "Expenses",
  'Data Repository Table'!$G:$G,"Facility Costs",
  'Data Repository Table'!$H:$H, "Utility-Exp (002) - Heating",
  'Data Repository Table'!$D:$D, Q$13
))</f>
        <v>4094860.7397625004</v>
      </c>
      <c r="R57" s="54" cm="1">
        <f t="array" ref="R57">SUM(SUMIFS(
  'Data Repository Table'!$J:$J,
  'Data Repository Table'!$A:$A, "Financial Actual",
  'Data Repository Table'!$C:$C, {"Kootha","Surjek","Jutik"},
  'Data Repository Table'!$B:$B, "Expenses",
  'Data Repository Table'!$G:$G,"Facility Costs",
  'Data Repository Table'!$H:$H, "Utility-Exp (002) - Heating",
  'Data Repository Table'!$D:$D, R$13
))</f>
        <v>2932911.3268075003</v>
      </c>
      <c r="S57" s="54">
        <f t="shared" si="6"/>
        <v>38717591.397570275</v>
      </c>
      <c r="T57" s="56"/>
      <c r="U57" s="4"/>
      <c r="V57" s="4"/>
      <c r="W57" s="4"/>
    </row>
    <row r="58" spans="1:39" ht="14.25" customHeight="1" x14ac:dyDescent="0.25">
      <c r="A58" s="26" t="s">
        <v>182</v>
      </c>
      <c r="B58" s="26" t="s">
        <v>186</v>
      </c>
      <c r="C58" s="26" t="s">
        <v>56</v>
      </c>
      <c r="D58" s="26" t="s">
        <v>60</v>
      </c>
      <c r="E58" s="26" t="s">
        <v>62</v>
      </c>
      <c r="F58" s="4"/>
      <c r="G58" s="54" cm="1">
        <f t="array" ref="G58">SUM(SUMIFS(
  'Data Repository Table'!$J:$J,
  'Data Repository Table'!$A:$A, "Financial Actual",
  'Data Repository Table'!$C:$C, {"Kootha","Surjek","Jutik"},
  'Data Repository Table'!$B:$B, "Expenses",
  'Data Repository Table'!$G:$G, "Facility Costs",
  'Data Repository Table'!$H:$H, "Utility-Exp (002) - Electricity",
  'Data Repository Table'!$D:$D, G$13
))</f>
        <v>2300028.0101369992</v>
      </c>
      <c r="H58" s="54" cm="1">
        <f t="array" ref="H58">SUM(SUMIFS(
  'Data Repository Table'!$J:$J,
  'Data Repository Table'!$A:$A, "Financial Actual",
  'Data Repository Table'!$C:$C, {"Kootha","Surjek","Jutik"},
  'Data Repository Table'!$B:$B, "Expenses",
  'Data Repository Table'!$G:$G, "Facility Costs",
  'Data Repository Table'!$H:$H, "Utility-Exp (002) - Electricity",
  'Data Repository Table'!$D:$D, H$13
))</f>
        <v>2505939.5584575003</v>
      </c>
      <c r="I58" s="54" cm="1">
        <f t="array" ref="I58">SUM(SUMIFS(
  'Data Repository Table'!$J:$J,
  'Data Repository Table'!$A:$A, "Financial Actual",
  'Data Repository Table'!$C:$C, {"Kootha","Surjek","Jutik"},
  'Data Repository Table'!$B:$B, "Expenses",
  'Data Repository Table'!$G:$G, "Facility Costs",
  'Data Repository Table'!$H:$H, "Utility-Exp (002) - Electricity",
  'Data Repository Table'!$D:$D, I$13
))</f>
        <v>2627415.3951704986</v>
      </c>
      <c r="J58" s="54" cm="1">
        <f t="array" ref="J58">SUM(SUMIFS(
  'Data Repository Table'!$J:$J,
  'Data Repository Table'!$A:$A, "Financial Actual",
  'Data Repository Table'!$C:$C, {"Kootha","Surjek","Jutik"},
  'Data Repository Table'!$B:$B, "Expenses",
  'Data Repository Table'!$G:$G, "Facility Costs",
  'Data Repository Table'!$H:$H, "Utility-Exp (002) - Electricity",
  'Data Repository Table'!$D:$D, J$13
))</f>
        <v>2900613.3153855</v>
      </c>
      <c r="K58" s="54" cm="1">
        <f t="array" ref="K58">SUM(SUMIFS(
  'Data Repository Table'!$J:$J,
  'Data Repository Table'!$A:$A, "Financial Actual",
  'Data Repository Table'!$C:$C, {"Kootha","Surjek","Jutik"},
  'Data Repository Table'!$B:$B, "Expenses",
  'Data Repository Table'!$G:$G, "Facility Costs",
  'Data Repository Table'!$H:$H, "Utility-Exp (002) - Electricity",
  'Data Repository Table'!$D:$D, K$13
))</f>
        <v>2940556.1633002497</v>
      </c>
      <c r="L58" s="54" cm="1">
        <f t="array" ref="L58">SUM(SUMIFS(
  'Data Repository Table'!$J:$J,
  'Data Repository Table'!$A:$A, "Financial Actual",
  'Data Repository Table'!$C:$C, {"Kootha","Surjek","Jutik"},
  'Data Repository Table'!$B:$B, "Expenses",
  'Data Repository Table'!$G:$G, "Facility Costs",
  'Data Repository Table'!$H:$H, "Utility-Exp (002) - Electricity",
  'Data Repository Table'!$D:$D, L$13
))</f>
        <v>2582565.0096375002</v>
      </c>
      <c r="M58" s="54" cm="1">
        <f t="array" ref="M58">SUM(SUMIFS(
  'Data Repository Table'!$J:$J,
  'Data Repository Table'!$A:$A, "Financial Actual",
  'Data Repository Table'!$C:$C, {"Kootha","Surjek","Jutik"},
  'Data Repository Table'!$B:$B, "Expenses",
  'Data Repository Table'!$G:$G, "Facility Costs",
  'Data Repository Table'!$H:$H, "Utility-Exp (002) - Electricity",
  'Data Repository Table'!$D:$D, M$13
))</f>
        <v>3446732.8680624999</v>
      </c>
      <c r="N58" s="54" cm="1">
        <f t="array" ref="N58">SUM(SUMIFS(
  'Data Repository Table'!$J:$J,
  'Data Repository Table'!$A:$A, "Financial Actual",
  'Data Repository Table'!$C:$C, {"Kootha","Surjek","Jutik"},
  'Data Repository Table'!$B:$B, "Expenses",
  'Data Repository Table'!$G:$G, "Facility Costs",
  'Data Repository Table'!$H:$H, "Utility-Exp (002) - Electricity",
  'Data Repository Table'!$D:$D, N$13
))</f>
        <v>3483983.4045937499</v>
      </c>
      <c r="O58" s="54" cm="1">
        <f t="array" ref="O58">SUM(SUMIFS(
  'Data Repository Table'!$J:$J,
  'Data Repository Table'!$A:$A, "Financial Actual",
  'Data Repository Table'!$C:$C, {"Kootha","Surjek","Jutik"},
  'Data Repository Table'!$B:$B, "Expenses",
  'Data Repository Table'!$G:$G, "Facility Costs",
  'Data Repository Table'!$H:$H, "Utility-Exp (002) - Electricity",
  'Data Repository Table'!$D:$D, O$13
))</f>
        <v>3640816.4610781251</v>
      </c>
      <c r="P58" s="54" cm="1">
        <f t="array" ref="P58">SUM(SUMIFS(
  'Data Repository Table'!$J:$J,
  'Data Repository Table'!$A:$A, "Financial Actual",
  'Data Repository Table'!$C:$C, {"Kootha","Surjek","Jutik"},
  'Data Repository Table'!$B:$B, "Expenses",
  'Data Repository Table'!$G:$G, "Facility Costs",
  'Data Repository Table'!$H:$H, "Utility-Exp (002) - Electricity",
  'Data Repository Table'!$D:$D, P$13
))</f>
        <v>3250872.5897500003</v>
      </c>
      <c r="Q58" s="54" cm="1">
        <f t="array" ref="Q58">SUM(SUMIFS(
  'Data Repository Table'!$J:$J,
  'Data Repository Table'!$A:$A, "Financial Actual",
  'Data Repository Table'!$C:$C, {"Kootha","Surjek","Jutik"},
  'Data Repository Table'!$B:$B, "Expenses",
  'Data Repository Table'!$G:$G, "Facility Costs",
  'Data Repository Table'!$H:$H, "Utility-Exp (002) - Electricity",
  'Data Repository Table'!$D:$D, Q$13
))</f>
        <v>3812121.7015625001</v>
      </c>
      <c r="R58" s="54" cm="1">
        <f t="array" ref="R58">SUM(SUMIFS(
  'Data Repository Table'!$J:$J,
  'Data Repository Table'!$A:$A, "Financial Actual",
  'Data Repository Table'!$C:$C, {"Kootha","Surjek","Jutik"},
  'Data Repository Table'!$B:$B, "Expenses",
  'Data Repository Table'!$G:$G, "Facility Costs",
  'Data Repository Table'!$H:$H, "Utility-Exp (002) - Electricity",
  'Data Repository Table'!$D:$D, R$13
))</f>
        <v>2923183.2132374998</v>
      </c>
      <c r="S58" s="54">
        <f t="shared" si="6"/>
        <v>36414827.690372624</v>
      </c>
      <c r="T58" s="4"/>
      <c r="U58" s="4"/>
      <c r="V58" s="4"/>
      <c r="W58" s="4"/>
    </row>
    <row r="59" spans="1:39" ht="14.25" customHeight="1" x14ac:dyDescent="0.25">
      <c r="A59" s="26" t="s">
        <v>182</v>
      </c>
      <c r="B59" s="26" t="s">
        <v>186</v>
      </c>
      <c r="C59" s="26" t="s">
        <v>56</v>
      </c>
      <c r="D59" s="26" t="s">
        <v>63</v>
      </c>
      <c r="E59" s="26" t="s">
        <v>64</v>
      </c>
      <c r="F59" s="4"/>
      <c r="G59" s="54" cm="1">
        <f t="array" ref="G59">SUM(SUMIFS(
  'Data Repository Table'!$J:$J,
  'Data Repository Table'!$A:$A, "Financial Actual",
  'Data Repository Table'!$C:$C, {"Kootha","Surjek","Jutik"},
  'Data Repository Table'!$B:$B, "Expenses",
  'Data Repository Table'!$G:$G, "Operational Maintenance Costs",
  'Data Repository Table'!$H:$H, "Plant Maintenance (001)",
  'Data Repository Table'!$D:$D, G$13
))</f>
        <v>2073604.724326327</v>
      </c>
      <c r="H59" s="54" cm="1">
        <f t="array" ref="H59">SUM(SUMIFS(
  'Data Repository Table'!$J:$J,
  'Data Repository Table'!$A:$A, "Financial Actual",
  'Data Repository Table'!$C:$C, {"Kootha","Surjek","Jutik"},
  'Data Repository Table'!$B:$B, "Expenses",
  'Data Repository Table'!$G:$G, "Operational Maintenance Costs",
  'Data Repository Table'!$H:$H, "Plant Maintenance (001)",
  'Data Repository Table'!$D:$D, H$13
))</f>
        <v>2269539.7804914797</v>
      </c>
      <c r="I59" s="54" cm="1">
        <f t="array" ref="I59">SUM(SUMIFS(
  'Data Repository Table'!$J:$J,
  'Data Repository Table'!$A:$A, "Financial Actual",
  'Data Repository Table'!$C:$C, {"Kootha","Surjek","Jutik"},
  'Data Repository Table'!$B:$B, "Expenses",
  'Data Repository Table'!$G:$G, "Operational Maintenance Costs",
  'Data Repository Table'!$H:$H, "Plant Maintenance (001)",
  'Data Repository Table'!$D:$D, I$13
))</f>
        <v>2374998.790312151</v>
      </c>
      <c r="J59" s="54" cm="1">
        <f t="array" ref="J59">SUM(SUMIFS(
  'Data Repository Table'!$J:$J,
  'Data Repository Table'!$A:$A, "Financial Actual",
  'Data Repository Table'!$C:$C, {"Kootha","Surjek","Jutik"},
  'Data Repository Table'!$B:$B, "Expenses",
  'Data Repository Table'!$G:$G, "Operational Maintenance Costs",
  'Data Repository Table'!$H:$H, "Plant Maintenance (001)",
  'Data Repository Table'!$D:$D, J$13
))</f>
        <v>2645968.110327912</v>
      </c>
      <c r="K59" s="54" cm="1">
        <f t="array" ref="K59">SUM(SUMIFS(
  'Data Repository Table'!$J:$J,
  'Data Repository Table'!$A:$A, "Financial Actual",
  'Data Repository Table'!$C:$C, {"Kootha","Surjek","Jutik"},
  'Data Repository Table'!$B:$B, "Expenses",
  'Data Repository Table'!$G:$G, "Operational Maintenance Costs",
  'Data Repository Table'!$H:$H, "Plant Maintenance (001)",
  'Data Repository Table'!$D:$D, K$13
))</f>
        <v>2691801.6955241356</v>
      </c>
      <c r="L59" s="54" cm="1">
        <f t="array" ref="L59">SUM(SUMIFS(
  'Data Repository Table'!$J:$J,
  'Data Repository Table'!$A:$A, "Financial Actual",
  'Data Repository Table'!$C:$C, {"Kootha","Surjek","Jutik"},
  'Data Repository Table'!$B:$B, "Expenses",
  'Data Repository Table'!$G:$G, "Operational Maintenance Costs",
  'Data Repository Table'!$H:$H, "Plant Maintenance (001)",
  'Data Repository Table'!$D:$D, L$13
))</f>
        <v>2348808.3419548003</v>
      </c>
      <c r="M59" s="54" cm="1">
        <f t="array" ref="M59">SUM(SUMIFS(
  'Data Repository Table'!$J:$J,
  'Data Repository Table'!$A:$A, "Financial Actual",
  'Data Repository Table'!$C:$C, {"Kootha","Surjek","Jutik"},
  'Data Repository Table'!$B:$B, "Expenses",
  'Data Repository Table'!$G:$G, "Operational Maintenance Costs",
  'Data Repository Table'!$H:$H, "Plant Maintenance (001)",
  'Data Repository Table'!$D:$D, M$13
))</f>
        <v>2879996.1652659997</v>
      </c>
      <c r="N59" s="54" cm="1">
        <f t="array" ref="N59">SUM(SUMIFS(
  'Data Repository Table'!$J:$J,
  'Data Repository Table'!$A:$A, "Financial Actual",
  'Data Repository Table'!$C:$C, {"Kootha","Surjek","Jutik"},
  'Data Repository Table'!$B:$B, "Expenses",
  'Data Repository Table'!$G:$G, "Operational Maintenance Costs",
  'Data Repository Table'!$H:$H, "Plant Maintenance (001)",
  'Data Repository Table'!$D:$D, N$13
))</f>
        <v>2972957.9397390001</v>
      </c>
      <c r="O59" s="54" cm="1">
        <f t="array" ref="O59">SUM(SUMIFS(
  'Data Repository Table'!$J:$J,
  'Data Repository Table'!$A:$A, "Financial Actual",
  'Data Repository Table'!$C:$C, {"Kootha","Surjek","Jutik"},
  'Data Repository Table'!$B:$B, "Expenses",
  'Data Repository Table'!$G:$G, "Operational Maintenance Costs",
  'Data Repository Table'!$H:$H, "Plant Maintenance (001)",
  'Data Repository Table'!$D:$D, O$13
))</f>
        <v>3094867.6019314998</v>
      </c>
      <c r="P59" s="54" cm="1">
        <f t="array" ref="P59">SUM(SUMIFS(
  'Data Repository Table'!$J:$J,
  'Data Repository Table'!$A:$A, "Financial Actual",
  'Data Repository Table'!$C:$C, {"Kootha","Surjek","Jutik"},
  'Data Repository Table'!$B:$B, "Expenses",
  'Data Repository Table'!$G:$G, "Operational Maintenance Costs",
  'Data Repository Table'!$H:$H, "Plant Maintenance (001)",
  'Data Repository Table'!$D:$D, P$13
))</f>
        <v>2768358.2978389999</v>
      </c>
      <c r="Q59" s="54" cm="1">
        <f t="array" ref="Q59">SUM(SUMIFS(
  'Data Repository Table'!$J:$J,
  'Data Repository Table'!$A:$A, "Financial Actual",
  'Data Repository Table'!$C:$C, {"Kootha","Surjek","Jutik"},
  'Data Repository Table'!$B:$B, "Expenses",
  'Data Repository Table'!$G:$G, "Operational Maintenance Costs",
  'Data Repository Table'!$H:$H, "Plant Maintenance (001)",
  'Data Repository Table'!$D:$D, Q$13
))</f>
        <v>3268026.2100749998</v>
      </c>
      <c r="R59" s="54" cm="1">
        <f t="array" ref="R59">SUM(SUMIFS(
  'Data Repository Table'!$J:$J,
  'Data Repository Table'!$A:$A, "Financial Actual",
  'Data Repository Table'!$C:$C, {"Kootha","Surjek","Jutik"},
  'Data Repository Table'!$B:$B, "Expenses",
  'Data Repository Table'!$G:$G, "Operational Maintenance Costs",
  'Data Repository Table'!$H:$H, "Plant Maintenance (001)",
  'Data Repository Table'!$D:$D, R$13
))</f>
        <v>2363869.6207261998</v>
      </c>
      <c r="S59" s="54">
        <f t="shared" si="6"/>
        <v>31752797.278513506</v>
      </c>
      <c r="T59" s="4"/>
      <c r="U59" s="4"/>
      <c r="V59" s="4"/>
      <c r="W59" s="4"/>
    </row>
    <row r="60" spans="1:39" ht="14.25" customHeight="1" x14ac:dyDescent="0.25">
      <c r="A60" s="26" t="s">
        <v>182</v>
      </c>
      <c r="B60" s="26" t="s">
        <v>186</v>
      </c>
      <c r="C60" s="26" t="s">
        <v>56</v>
      </c>
      <c r="D60" s="26" t="s">
        <v>63</v>
      </c>
      <c r="E60" s="26" t="s">
        <v>65</v>
      </c>
      <c r="F60" s="4"/>
      <c r="G60" s="54" cm="1">
        <f t="array" ref="G60">SUM(SUMIFS(
  'Data Repository Table'!$J:$J,
  'Data Repository Table'!$A:$A, "Financial Actual",
  'Data Repository Table'!$C:$C, {"Kootha","Surjek","Jutik"},
  'Data Repository Table'!$B:$B, "Expenses",
  'Data Repository Table'!$G:$G, "Operational Maintenance Costs",
  'Data Repository Table'!$H:$H, "Plant Outages (002)",
  'Data Repository Table'!$D:$D, G$13
))</f>
        <v>1347738.8706587995</v>
      </c>
      <c r="H60" s="54" cm="1">
        <f t="array" ref="H60">SUM(SUMIFS(
  'Data Repository Table'!$J:$J,
  'Data Repository Table'!$A:$A, "Financial Actual",
  'Data Repository Table'!$C:$C, {"Kootha","Surjek","Jutik"},
  'Data Repository Table'!$B:$B, "Expenses",
  'Data Repository Table'!$G:$G, "Operational Maintenance Costs",
  'Data Repository Table'!$H:$H, "Plant Outages (002)",
  'Data Repository Table'!$D:$D, H$13
))</f>
        <v>1561170.3574350001</v>
      </c>
      <c r="I60" s="54" cm="1">
        <f t="array" ref="I60">SUM(SUMIFS(
  'Data Repository Table'!$J:$J,
  'Data Repository Table'!$A:$A, "Financial Actual",
  'Data Repository Table'!$C:$C, {"Kootha","Surjek","Jutik"},
  'Data Repository Table'!$B:$B, "Expenses",
  'Data Repository Table'!$G:$G, "Operational Maintenance Costs",
  'Data Repository Table'!$H:$H, "Plant Outages (002)",
  'Data Repository Table'!$D:$D, I$13
))</f>
        <v>1574874.1415601994</v>
      </c>
      <c r="J60" s="54" cm="1">
        <f t="array" ref="J60">SUM(SUMIFS(
  'Data Repository Table'!$J:$J,
  'Data Repository Table'!$A:$A, "Financial Actual",
  'Data Repository Table'!$C:$C, {"Kootha","Surjek","Jutik"},
  'Data Repository Table'!$B:$B, "Expenses",
  'Data Repository Table'!$G:$G, "Operational Maintenance Costs",
  'Data Repository Table'!$H:$H, "Plant Outages (002)",
  'Data Repository Table'!$D:$D, J$13
))</f>
        <v>1880373.5227742002</v>
      </c>
      <c r="K60" s="54" cm="1">
        <f t="array" ref="K60">SUM(SUMIFS(
  'Data Repository Table'!$J:$J,
  'Data Repository Table'!$A:$A, "Financial Actual",
  'Data Repository Table'!$C:$C, {"Kootha","Surjek","Jutik"},
  'Data Repository Table'!$B:$B, "Expenses",
  'Data Repository Table'!$G:$G, "Operational Maintenance Costs",
  'Data Repository Table'!$H:$H, "Plant Outages (002)",
  'Data Repository Table'!$D:$D, K$13
))</f>
        <v>1968683.2157081</v>
      </c>
      <c r="L60" s="54" cm="1">
        <f t="array" ref="L60">SUM(SUMIFS(
  'Data Repository Table'!$J:$J,
  'Data Repository Table'!$A:$A, "Financial Actual",
  'Data Repository Table'!$C:$C, {"Kootha","Surjek","Jutik"},
  'Data Repository Table'!$B:$B, "Expenses",
  'Data Repository Table'!$G:$G, "Operational Maintenance Costs",
  'Data Repository Table'!$H:$H, "Plant Outages (002)",
  'Data Repository Table'!$D:$D, L$13
))</f>
        <v>1158623.1401823002</v>
      </c>
      <c r="M60" s="54" cm="1">
        <f t="array" ref="M60">SUM(SUMIFS(
  'Data Repository Table'!$J:$J,
  'Data Repository Table'!$A:$A, "Financial Actual",
  'Data Repository Table'!$C:$C, {"Kootha","Surjek","Jutik"},
  'Data Repository Table'!$B:$B, "Expenses",
  'Data Repository Table'!$G:$G, "Operational Maintenance Costs",
  'Data Repository Table'!$H:$H, "Plant Outages (002)",
  'Data Repository Table'!$D:$D, M$13
))</f>
        <v>1176136.1610068001</v>
      </c>
      <c r="N60" s="54" cm="1">
        <f t="array" ref="N60">SUM(SUMIFS(
  'Data Repository Table'!$J:$J,
  'Data Repository Table'!$A:$A, "Financial Actual",
  'Data Repository Table'!$C:$C, {"Kootha","Surjek","Jutik"},
  'Data Repository Table'!$B:$B, "Expenses",
  'Data Repository Table'!$G:$G, "Operational Maintenance Costs",
  'Data Repository Table'!$H:$H, "Plant Outages (002)",
  'Data Repository Table'!$D:$D, N$13
))</f>
        <v>1239117.5758722001</v>
      </c>
      <c r="O60" s="54" cm="1">
        <f t="array" ref="O60">SUM(SUMIFS(
  'Data Repository Table'!$J:$J,
  'Data Repository Table'!$A:$A, "Financial Actual",
  'Data Repository Table'!$C:$C, {"Kootha","Surjek","Jutik"},
  'Data Repository Table'!$B:$B, "Expenses",
  'Data Repository Table'!$G:$G, "Operational Maintenance Costs",
  'Data Repository Table'!$H:$H, "Plant Outages (002)",
  'Data Repository Table'!$D:$D, O$13
))</f>
        <v>1215602.9551357001</v>
      </c>
      <c r="P60" s="54" cm="1">
        <f t="array" ref="P60">SUM(SUMIFS(
  'Data Repository Table'!$J:$J,
  'Data Repository Table'!$A:$A, "Financial Actual",
  'Data Repository Table'!$C:$C, {"Kootha","Surjek","Jutik"},
  'Data Repository Table'!$B:$B, "Expenses",
  'Data Repository Table'!$G:$G, "Operational Maintenance Costs",
  'Data Repository Table'!$H:$H, "Plant Outages (002)",
  'Data Repository Table'!$D:$D, P$13
))</f>
        <v>1190750.2535102002</v>
      </c>
      <c r="Q60" s="54" cm="1">
        <f t="array" ref="Q60">SUM(SUMIFS(
  'Data Repository Table'!$J:$J,
  'Data Repository Table'!$A:$A, "Financial Actual",
  'Data Repository Table'!$C:$C, {"Kootha","Surjek","Jutik"},
  'Data Repository Table'!$B:$B, "Expenses",
  'Data Repository Table'!$G:$G, "Operational Maintenance Costs",
  'Data Repository Table'!$H:$H, "Plant Outages (002)",
  'Data Repository Table'!$D:$D, Q$13
))</f>
        <v>1381387.0449670001</v>
      </c>
      <c r="R60" s="54" cm="1">
        <f t="array" ref="R60">SUM(SUMIFS(
  'Data Repository Table'!$J:$J,
  'Data Repository Table'!$A:$A, "Financial Actual",
  'Data Repository Table'!$C:$C, {"Kootha","Surjek","Jutik"},
  'Data Repository Table'!$B:$B, "Expenses",
  'Data Repository Table'!$G:$G, "Operational Maintenance Costs",
  'Data Repository Table'!$H:$H, "Plant Outages (002)",
  'Data Repository Table'!$D:$D, R$13
))</f>
        <v>1040665.7581107001</v>
      </c>
      <c r="S60" s="54">
        <f t="shared" si="6"/>
        <v>16735122.996921198</v>
      </c>
      <c r="T60" s="4"/>
      <c r="U60" s="4"/>
      <c r="V60" s="4"/>
      <c r="W60" s="4"/>
    </row>
    <row r="61" spans="1:39" ht="14.25" customHeight="1" x14ac:dyDescent="0.25">
      <c r="A61" s="26" t="s">
        <v>182</v>
      </c>
      <c r="B61" s="26" t="s">
        <v>186</v>
      </c>
      <c r="C61" s="26" t="s">
        <v>56</v>
      </c>
      <c r="D61" s="26" t="s">
        <v>63</v>
      </c>
      <c r="E61" s="26" t="s">
        <v>66</v>
      </c>
      <c r="F61" s="4"/>
      <c r="G61" s="54" cm="1">
        <f t="array" ref="G61">SUM(SUMIFS(
  'Data Repository Table'!$J:$J,
  'Data Repository Table'!$A:$A, "Financial Actual",
  'Data Repository Table'!$C:$C, {"Kootha","Surjek","Jutik"},
  'Data Repository Table'!$B:$B, "Expenses",
  'Data Repository Table'!$G:$G, "Operational Maintenance Costs",
  'Data Repository Table'!$H:$H, "Plant Op. Costs (003)",
  'Data Repository Table'!$D:$D, G$13
))</f>
        <v>1800236.6472906992</v>
      </c>
      <c r="H61" s="54" cm="1">
        <f t="array" ref="H61">SUM(SUMIFS(
  'Data Repository Table'!$J:$J,
  'Data Repository Table'!$A:$A, "Financial Actual",
  'Data Repository Table'!$C:$C, {"Kootha","Surjek","Jutik"},
  'Data Repository Table'!$B:$B, "Expenses",
  'Data Repository Table'!$G:$G, "Operational Maintenance Costs",
  'Data Repository Table'!$H:$H, "Plant Op. Costs (003)",
  'Data Repository Table'!$D:$D, H$13
))</f>
        <v>1959718.9384044998</v>
      </c>
      <c r="I61" s="54" cm="1">
        <f t="array" ref="I61">SUM(SUMIFS(
  'Data Repository Table'!$J:$J,
  'Data Repository Table'!$A:$A, "Financial Actual",
  'Data Repository Table'!$C:$C, {"Kootha","Surjek","Jutik"},
  'Data Repository Table'!$B:$B, "Expenses",
  'Data Repository Table'!$G:$G, "Operational Maintenance Costs",
  'Data Repository Table'!$H:$H, "Plant Op. Costs (003)",
  'Data Repository Table'!$D:$D, I$13
))</f>
        <v>2069515.5841112991</v>
      </c>
      <c r="J61" s="54" cm="1">
        <f t="array" ref="J61">SUM(SUMIFS(
  'Data Repository Table'!$J:$J,
  'Data Repository Table'!$A:$A, "Financial Actual",
  'Data Repository Table'!$C:$C, {"Kootha","Surjek","Jutik"},
  'Data Repository Table'!$B:$B, "Expenses",
  'Data Repository Table'!$G:$G, "Operational Maintenance Costs",
  'Data Repository Table'!$H:$H, "Plant Op. Costs (003)",
  'Data Repository Table'!$D:$D, J$13
))</f>
        <v>2330999.3359503001</v>
      </c>
      <c r="K61" s="54" cm="1">
        <f t="array" ref="K61">SUM(SUMIFS(
  'Data Repository Table'!$J:$J,
  'Data Repository Table'!$A:$A, "Financial Actual",
  'Data Repository Table'!$C:$C, {"Kootha","Surjek","Jutik"},
  'Data Repository Table'!$B:$B, "Expenses",
  'Data Repository Table'!$G:$G, "Operational Maintenance Costs",
  'Data Repository Table'!$H:$H, "Plant Op. Costs (003)",
  'Data Repository Table'!$D:$D, K$13
))</f>
        <v>2376535.9434183999</v>
      </c>
      <c r="L61" s="54" cm="1">
        <f t="array" ref="L61">SUM(SUMIFS(
  'Data Repository Table'!$J:$J,
  'Data Repository Table'!$A:$A, "Financial Actual",
  'Data Repository Table'!$C:$C, {"Kootha","Surjek","Jutik"},
  'Data Repository Table'!$B:$B, "Expenses",
  'Data Repository Table'!$G:$G, "Operational Maintenance Costs",
  'Data Repository Table'!$H:$H, "Plant Op. Costs (003)",
  'Data Repository Table'!$D:$D, L$13
))</f>
        <v>1447049.2500542002</v>
      </c>
      <c r="M61" s="54" cm="1">
        <f t="array" ref="M61">SUM(SUMIFS(
  'Data Repository Table'!$J:$J,
  'Data Repository Table'!$A:$A, "Financial Actual",
  'Data Repository Table'!$C:$C, {"Kootha","Surjek","Jutik"},
  'Data Repository Table'!$B:$B, "Expenses",
  'Data Repository Table'!$G:$G, "Operational Maintenance Costs",
  'Data Repository Table'!$H:$H, "Plant Op. Costs (003)",
  'Data Repository Table'!$D:$D, M$13
))</f>
        <v>1483562.2037511999</v>
      </c>
      <c r="N61" s="54" cm="1">
        <f t="array" ref="N61">SUM(SUMIFS(
  'Data Repository Table'!$J:$J,
  'Data Repository Table'!$A:$A, "Financial Actual",
  'Data Repository Table'!$C:$C, {"Kootha","Surjek","Jutik"},
  'Data Repository Table'!$B:$B, "Expenses",
  'Data Repository Table'!$G:$G, "Operational Maintenance Costs",
  'Data Repository Table'!$H:$H, "Plant Op. Costs (003)",
  'Data Repository Table'!$D:$D, N$13
))</f>
        <v>1516247.7055998</v>
      </c>
      <c r="O61" s="54" cm="1">
        <f t="array" ref="O61">SUM(SUMIFS(
  'Data Repository Table'!$J:$J,
  'Data Repository Table'!$A:$A, "Financial Actual",
  'Data Repository Table'!$C:$C, {"Kootha","Surjek","Jutik"},
  'Data Repository Table'!$B:$B, "Expenses",
  'Data Repository Table'!$G:$G, "Operational Maintenance Costs",
  'Data Repository Table'!$H:$H, "Plant Op. Costs (003)",
  'Data Repository Table'!$D:$D, O$13
))</f>
        <v>1567231.2198758</v>
      </c>
      <c r="P61" s="54" cm="1">
        <f t="array" ref="P61">SUM(SUMIFS(
  'Data Repository Table'!$J:$J,
  'Data Repository Table'!$A:$A, "Financial Actual",
  'Data Repository Table'!$C:$C, {"Kootha","Surjek","Jutik"},
  'Data Repository Table'!$B:$B, "Expenses",
  'Data Repository Table'!$G:$G, "Operational Maintenance Costs",
  'Data Repository Table'!$H:$H, "Plant Op. Costs (003)",
  'Data Repository Table'!$D:$D, P$13
))</f>
        <v>1421177.7427773001</v>
      </c>
      <c r="Q61" s="54" cm="1">
        <f t="array" ref="Q61">SUM(SUMIFS(
  'Data Repository Table'!$J:$J,
  'Data Repository Table'!$A:$A, "Financial Actual",
  'Data Repository Table'!$C:$C, {"Kootha","Surjek","Jutik"},
  'Data Repository Table'!$B:$B, "Expenses",
  'Data Repository Table'!$G:$G, "Operational Maintenance Costs",
  'Data Repository Table'!$H:$H, "Plant Op. Costs (003)",
  'Data Repository Table'!$D:$D, Q$13
))</f>
        <v>1665801.7318074999</v>
      </c>
      <c r="R61" s="54" cm="1">
        <f t="array" ref="R61">SUM(SUMIFS(
  'Data Repository Table'!$J:$J,
  'Data Repository Table'!$A:$A, "Financial Actual",
  'Data Repository Table'!$C:$C, {"Kootha","Surjek","Jutik"},
  'Data Repository Table'!$B:$B, "Expenses",
  'Data Repository Table'!$G:$G, "Operational Maintenance Costs",
  'Data Repository Table'!$H:$H, "Plant Op. Costs (003)",
  'Data Repository Table'!$D:$D, R$13
))</f>
        <v>1452590.2533372999</v>
      </c>
      <c r="S61" s="54">
        <f t="shared" si="6"/>
        <v>21090666.556378298</v>
      </c>
      <c r="T61" s="4"/>
      <c r="U61" s="4"/>
      <c r="V61" s="4"/>
      <c r="W61" s="4"/>
    </row>
    <row r="62" spans="1:39" ht="14.25" customHeight="1" x14ac:dyDescent="0.25">
      <c r="A62" s="26" t="s">
        <v>182</v>
      </c>
      <c r="B62" s="26" t="s">
        <v>186</v>
      </c>
      <c r="C62" s="26" t="s">
        <v>56</v>
      </c>
      <c r="D62" s="26" t="s">
        <v>63</v>
      </c>
      <c r="E62" s="26" t="s">
        <v>67</v>
      </c>
      <c r="F62" s="4"/>
      <c r="G62" s="54" cm="1">
        <f t="array" ref="G62">SUM(SUMIFS(
  'Data Repository Table'!$J:$J,
  'Data Repository Table'!$A:$A, "Financial Actual",
  'Data Repository Table'!$C:$C, {"Kootha","Surjek","Jutik"},
  'Data Repository Table'!$B:$B, "Expenses",
  'Data Repository Table'!$G:$G, "Operational Maintenance Costs",
  'Data Repository Table'!$H:$H, "Plant Admin Costs (004)",
  'Data Repository Table'!$D:$D, G$13
))</f>
        <v>886197.60176639946</v>
      </c>
      <c r="H62" s="54" cm="1">
        <f t="array" ref="H62">SUM(SUMIFS(
  'Data Repository Table'!$J:$J,
  'Data Repository Table'!$A:$A, "Financial Actual",
  'Data Repository Table'!$C:$C, {"Kootha","Surjek","Jutik"},
  'Data Repository Table'!$B:$B, "Expenses",
  'Data Repository Table'!$G:$G, "Operational Maintenance Costs",
  'Data Repository Table'!$H:$H, "Plant Admin Costs (004)",
  'Data Repository Table'!$D:$D, H$13
))</f>
        <v>1012646.749821</v>
      </c>
      <c r="I62" s="54" cm="1">
        <f t="array" ref="I62">SUM(SUMIFS(
  'Data Repository Table'!$J:$J,
  'Data Repository Table'!$A:$A, "Financial Actual",
  'Data Repository Table'!$C:$C, {"Kootha","Surjek","Jutik"},
  'Data Repository Table'!$B:$B, "Expenses",
  'Data Repository Table'!$G:$G, "Operational Maintenance Costs",
  'Data Repository Table'!$H:$H, "Plant Admin Costs (004)",
  'Data Repository Table'!$D:$D, I$13
))</f>
        <v>1025398.9493285995</v>
      </c>
      <c r="J62" s="54" cm="1">
        <f t="array" ref="J62">SUM(SUMIFS(
  'Data Repository Table'!$J:$J,
  'Data Repository Table'!$A:$A, "Financial Actual",
  'Data Repository Table'!$C:$C, {"Kootha","Surjek","Jutik"},
  'Data Repository Table'!$B:$B, "Expenses",
  'Data Repository Table'!$G:$G, "Operational Maintenance Costs",
  'Data Repository Table'!$H:$H, "Plant Admin Costs (004)",
  'Data Repository Table'!$D:$D, J$13
))</f>
        <v>1186610.9527146001</v>
      </c>
      <c r="K62" s="54" cm="1">
        <f t="array" ref="K62">SUM(SUMIFS(
  'Data Repository Table'!$J:$J,
  'Data Repository Table'!$A:$A, "Financial Actual",
  'Data Repository Table'!$C:$C, {"Kootha","Surjek","Jutik"},
  'Data Repository Table'!$B:$B, "Expenses",
  'Data Repository Table'!$G:$G, "Operational Maintenance Costs",
  'Data Repository Table'!$H:$H, "Plant Admin Costs (004)",
  'Data Repository Table'!$D:$D, K$13
))</f>
        <v>1229462.2582892999</v>
      </c>
      <c r="L62" s="54" cm="1">
        <f t="array" ref="L62">SUM(SUMIFS(
  'Data Repository Table'!$J:$J,
  'Data Repository Table'!$A:$A, "Financial Actual",
  'Data Repository Table'!$C:$C, {"Kootha","Surjek","Jutik"},
  'Data Repository Table'!$B:$B, "Expenses",
  'Data Repository Table'!$G:$G, "Operational Maintenance Costs",
  'Data Repository Table'!$H:$H, "Plant Admin Costs (004)",
  'Data Repository Table'!$D:$D, L$13
))</f>
        <v>749668.56593790022</v>
      </c>
      <c r="M62" s="54" cm="1">
        <f t="array" ref="M62">SUM(SUMIFS(
  'Data Repository Table'!$J:$J,
  'Data Repository Table'!$A:$A, "Financial Actual",
  'Data Repository Table'!$C:$C, {"Kootha","Surjek","Jutik"},
  'Data Repository Table'!$B:$B, "Expenses",
  'Data Repository Table'!$G:$G, "Operational Maintenance Costs",
  'Data Repository Table'!$H:$H, "Plant Admin Costs (004)",
  'Data Repository Table'!$D:$D, M$13
))</f>
        <v>774322.04976840003</v>
      </c>
      <c r="N62" s="54" cm="1">
        <f t="array" ref="N62">SUM(SUMIFS(
  'Data Repository Table'!$J:$J,
  'Data Repository Table'!$A:$A, "Financial Actual",
  'Data Repository Table'!$C:$C, {"Kootha","Surjek","Jutik"},
  'Data Repository Table'!$B:$B, "Expenses",
  'Data Repository Table'!$G:$G, "Operational Maintenance Costs",
  'Data Repository Table'!$H:$H, "Plant Admin Costs (004)",
  'Data Repository Table'!$D:$D, N$13
))</f>
        <v>795356.48947859998</v>
      </c>
      <c r="O62" s="54" cm="1">
        <f t="array" ref="O62">SUM(SUMIFS(
  'Data Repository Table'!$J:$J,
  'Data Repository Table'!$A:$A, "Financial Actual",
  'Data Repository Table'!$C:$C, {"Kootha","Surjek","Jutik"},
  'Data Repository Table'!$B:$B, "Expenses",
  'Data Repository Table'!$G:$G, "Operational Maintenance Costs",
  'Data Repository Table'!$H:$H, "Plant Admin Costs (004)",
  'Data Repository Table'!$D:$D, O$13
))</f>
        <v>795992.24834010005</v>
      </c>
      <c r="P62" s="54" cm="1">
        <f t="array" ref="P62">SUM(SUMIFS(
  'Data Repository Table'!$J:$J,
  'Data Repository Table'!$A:$A, "Financial Actual",
  'Data Repository Table'!$C:$C, {"Kootha","Surjek","Jutik"},
  'Data Repository Table'!$B:$B, "Expenses",
  'Data Repository Table'!$G:$G, "Operational Maintenance Costs",
  'Data Repository Table'!$H:$H, "Plant Admin Costs (004)",
  'Data Repository Table'!$D:$D, P$13
))</f>
        <v>759387.99960660015</v>
      </c>
      <c r="Q62" s="54" cm="1">
        <f t="array" ref="Q62">SUM(SUMIFS(
  'Data Repository Table'!$J:$J,
  'Data Repository Table'!$A:$A, "Financial Actual",
  'Data Repository Table'!$C:$C, {"Kootha","Surjek","Jutik"},
  'Data Repository Table'!$B:$B, "Expenses",
  'Data Repository Table'!$G:$G, "Operational Maintenance Costs",
  'Data Repository Table'!$H:$H, "Plant Admin Costs (004)",
  'Data Repository Table'!$D:$D, Q$13
))</f>
        <v>879614.44655700005</v>
      </c>
      <c r="R62" s="54" cm="1">
        <f t="array" ref="R62">SUM(SUMIFS(
  'Data Repository Table'!$J:$J,
  'Data Repository Table'!$A:$A, "Financial Actual",
  'Data Repository Table'!$C:$C, {"Kootha","Surjek","Jutik"},
  'Data Repository Table'!$B:$B, "Expenses",
  'Data Repository Table'!$G:$G, "Operational Maintenance Costs",
  'Data Repository Table'!$H:$H, "Plant Admin Costs (004)",
  'Data Repository Table'!$D:$D, R$13
))</f>
        <v>718766.35225710005</v>
      </c>
      <c r="S62" s="54">
        <f t="shared" si="6"/>
        <v>10813424.6638656</v>
      </c>
      <c r="T62" s="4"/>
      <c r="U62" s="4"/>
      <c r="V62" s="4"/>
      <c r="W62" s="4"/>
    </row>
    <row r="63" spans="1:39" ht="14.25" customHeight="1" x14ac:dyDescent="0.25">
      <c r="A63" s="26" t="s">
        <v>182</v>
      </c>
      <c r="B63" s="26" t="s">
        <v>186</v>
      </c>
      <c r="C63" s="26" t="s">
        <v>56</v>
      </c>
      <c r="D63" s="26" t="s">
        <v>68</v>
      </c>
      <c r="E63" s="26" t="s">
        <v>69</v>
      </c>
      <c r="F63" s="4"/>
      <c r="G63" s="54" cm="1">
        <f t="array" ref="G63">SUM(SUMIFS(
  'Data Repository Table'!$J:$J,
  'Data Repository Table'!$A:$A, "Financial Actual",
  'Data Repository Table'!$C:$C, {"Kootha","Surjek","Jutik"},
  'Data Repository Table'!$B:$B, "Expenses",
  'Data Repository Table'!$G:$G, "Labour Costs",
  'Data Repository Table'!$H:$H, "Labour-Costs (001)",
  'Data Repository Table'!$D:$D, G$13
))</f>
        <v>7367588.6791624967</v>
      </c>
      <c r="H63" s="54" cm="1">
        <f t="array" ref="H63">SUM(SUMIFS(
  'Data Repository Table'!$J:$J,
  'Data Repository Table'!$A:$A, "Financial Actual",
  'Data Repository Table'!$C:$C, {"Kootha","Surjek","Jutik"},
  'Data Repository Table'!$B:$B, "Expenses",
  'Data Repository Table'!$G:$G, "Labour Costs",
  'Data Repository Table'!$H:$H, "Labour-Costs (001)",
  'Data Repository Table'!$D:$D, H$13
))</f>
        <v>7849336.0209874995</v>
      </c>
      <c r="I63" s="54" cm="1">
        <f t="array" ref="I63">SUM(SUMIFS(
  'Data Repository Table'!$J:$J,
  'Data Repository Table'!$A:$A, "Financial Actual",
  'Data Repository Table'!$C:$C, {"Kootha","Surjek","Jutik"},
  'Data Repository Table'!$B:$B, "Expenses",
  'Data Repository Table'!$G:$G, "Labour Costs",
  'Data Repository Table'!$H:$H, "Labour-Costs (001)",
  'Data Repository Table'!$D:$D, I$13
))</f>
        <v>8389760.6297374964</v>
      </c>
      <c r="J63" s="54" cm="1">
        <f t="array" ref="J63">SUM(SUMIFS(
  'Data Repository Table'!$J:$J,
  'Data Repository Table'!$A:$A, "Financial Actual",
  'Data Repository Table'!$C:$C, {"Kootha","Surjek","Jutik"},
  'Data Repository Table'!$B:$B, "Expenses",
  'Data Repository Table'!$G:$G, "Labour Costs",
  'Data Repository Table'!$H:$H, "Labour-Costs (001)",
  'Data Repository Table'!$D:$D, J$13
))</f>
        <v>9137407.9125625007</v>
      </c>
      <c r="K63" s="54" cm="1">
        <f t="array" ref="K63">SUM(SUMIFS(
  'Data Repository Table'!$J:$J,
  'Data Repository Table'!$A:$A, "Financial Actual",
  'Data Repository Table'!$C:$C, {"Kootha","Surjek","Jutik"},
  'Data Repository Table'!$B:$B, "Expenses",
  'Data Repository Table'!$G:$G, "Labour Costs",
  'Data Repository Table'!$H:$H, "Labour-Costs (001)",
  'Data Repository Table'!$D:$D, K$13
))</f>
        <v>9187415.9798249993</v>
      </c>
      <c r="L63" s="54" cm="1">
        <f t="array" ref="L63">SUM(SUMIFS(
  'Data Repository Table'!$J:$J,
  'Data Repository Table'!$A:$A, "Financial Actual",
  'Data Repository Table'!$C:$C, {"Kootha","Surjek","Jutik"},
  'Data Repository Table'!$B:$B, "Expenses",
  'Data Repository Table'!$G:$G, "Labour Costs",
  'Data Repository Table'!$H:$H, "Labour-Costs (001)",
  'Data Repository Table'!$D:$D, L$13
))</f>
        <v>5779740.0739000011</v>
      </c>
      <c r="M63" s="54" cm="1">
        <f t="array" ref="M63">SUM(SUMIFS(
  'Data Repository Table'!$J:$J,
  'Data Repository Table'!$A:$A, "Financial Actual",
  'Data Repository Table'!$C:$C, {"Kootha","Surjek","Jutik"},
  'Data Repository Table'!$B:$B, "Expenses",
  'Data Repository Table'!$G:$G, "Labour Costs",
  'Data Repository Table'!$H:$H, "Labour-Costs (001)",
  'Data Repository Table'!$D:$D, M$13
))</f>
        <v>6008311.4579999996</v>
      </c>
      <c r="N63" s="54" cm="1">
        <f t="array" ref="N63">SUM(SUMIFS(
  'Data Repository Table'!$J:$J,
  'Data Repository Table'!$A:$A, "Financial Actual",
  'Data Repository Table'!$C:$C, {"Kootha","Surjek","Jutik"},
  'Data Repository Table'!$B:$B, "Expenses",
  'Data Repository Table'!$G:$G, "Labour Costs",
  'Data Repository Table'!$H:$H, "Labour-Costs (001)",
  'Data Repository Table'!$D:$D, N$13
))</f>
        <v>6995040.989875</v>
      </c>
      <c r="O63" s="54" cm="1">
        <f t="array" ref="O63">SUM(SUMIFS(
  'Data Repository Table'!$J:$J,
  'Data Repository Table'!$A:$A, "Financial Actual",
  'Data Repository Table'!$C:$C, {"Kootha","Surjek","Jutik"},
  'Data Repository Table'!$B:$B, "Expenses",
  'Data Repository Table'!$G:$G, "Labour Costs",
  'Data Repository Table'!$H:$H, "Labour-Costs (001)",
  'Data Repository Table'!$D:$D, O$13
))</f>
        <v>6352457.05155</v>
      </c>
      <c r="P63" s="54" cm="1">
        <f t="array" ref="P63">SUM(SUMIFS(
  'Data Repository Table'!$J:$J,
  'Data Repository Table'!$A:$A, "Financial Actual",
  'Data Repository Table'!$C:$C, {"Kootha","Surjek","Jutik"},
  'Data Repository Table'!$B:$B, "Expenses",
  'Data Repository Table'!$G:$G, "Labour Costs",
  'Data Repository Table'!$H:$H, "Labour-Costs (001)",
  'Data Repository Table'!$D:$D, P$13
))</f>
        <v>6560328.9663875001</v>
      </c>
      <c r="Q63" s="54" cm="1">
        <f t="array" ref="Q63">SUM(SUMIFS(
  'Data Repository Table'!$J:$J,
  'Data Repository Table'!$A:$A, "Financial Actual",
  'Data Repository Table'!$C:$C, {"Kootha","Surjek","Jutik"},
  'Data Repository Table'!$B:$B, "Expenses",
  'Data Repository Table'!$G:$G, "Labour Costs",
  'Data Repository Table'!$H:$H, "Labour-Costs (001)",
  'Data Repository Table'!$D:$D, Q$13
))</f>
        <v>7526766.7026125006</v>
      </c>
      <c r="R63" s="54" cm="1">
        <f t="array" ref="R63">SUM(SUMIFS(
  'Data Repository Table'!$J:$J,
  'Data Repository Table'!$A:$A, "Financial Actual",
  'Data Repository Table'!$C:$C, {"Kootha","Surjek","Jutik"},
  'Data Repository Table'!$B:$B, "Expenses",
  'Data Repository Table'!$G:$G, "Labour Costs",
  'Data Repository Table'!$H:$H, "Labour-Costs (001)",
  'Data Repository Table'!$D:$D, R$13
))</f>
        <v>6174477.1062125005</v>
      </c>
      <c r="S63" s="54">
        <f t="shared" si="6"/>
        <v>87328631.570812494</v>
      </c>
      <c r="T63" s="4"/>
      <c r="U63" s="4"/>
      <c r="V63" s="4"/>
      <c r="W63" s="4"/>
    </row>
    <row r="64" spans="1:39" ht="14.25" customHeight="1" x14ac:dyDescent="0.25">
      <c r="A64" s="26" t="s">
        <v>70</v>
      </c>
      <c r="B64" s="38" t="s">
        <v>186</v>
      </c>
      <c r="C64" s="26"/>
      <c r="D64" s="26"/>
      <c r="E64" s="26"/>
      <c r="F64" s="4"/>
      <c r="G64" s="25" cm="1">
        <f t="array" ref="G64">SUM(SUMIFS(
  'Data Repository Table'!$J:$J,
  'Data Repository Table'!$A:$A, "Water Production Actuals",
  'Data Repository Table'!$C:$C, {"Kootha","Surjek","Jutik"},
  'Data Repository Table'!$D:$D, G$13
))</f>
        <v>647.14428099999998</v>
      </c>
      <c r="H64" s="25" cm="1">
        <f t="array" ref="H64">SUM(SUMIFS(
  'Data Repository Table'!$J:$J,
  'Data Repository Table'!$A:$A, "Water Production Actuals",
  'Data Repository Table'!$C:$C, {"Kootha","Surjek","Jutik"},
  'Data Repository Table'!$D:$D, H$13
))</f>
        <v>622.38369699999998</v>
      </c>
      <c r="I64" s="25" cm="1">
        <f t="array" ref="I64">SUM(SUMIFS(
  'Data Repository Table'!$J:$J,
  'Data Repository Table'!$A:$A, "Water Production Actuals",
  'Data Repository Table'!$C:$C, {"Kootha","Surjek","Jutik"},
  'Data Repository Table'!$D:$D, I$13
))</f>
        <v>602.54558499999996</v>
      </c>
      <c r="J64" s="25" cm="1">
        <f t="array" ref="J64">SUM(SUMIFS(
  'Data Repository Table'!$J:$J,
  'Data Repository Table'!$A:$A, "Water Production Actuals",
  'Data Repository Table'!$C:$C, {"Kootha","Surjek","Jutik"},
  'Data Repository Table'!$D:$D, J$13
))</f>
        <v>602.67093499999999</v>
      </c>
      <c r="K64" s="25" cm="1">
        <f t="array" ref="K64">SUM(SUMIFS(
  'Data Repository Table'!$J:$J,
  'Data Repository Table'!$A:$A, "Water Production Actuals",
  'Data Repository Table'!$C:$C, {"Kootha","Surjek","Jutik"},
  'Data Repository Table'!$D:$D, K$13
))</f>
        <v>534.23997600000007</v>
      </c>
      <c r="L64" s="25" cm="1">
        <f t="array" ref="L64">SUM(SUMIFS(
  'Data Repository Table'!$J:$J,
  'Data Repository Table'!$A:$A, "Water Production Actuals",
  'Data Repository Table'!$C:$C, {"Kootha","Surjek","Jutik"},
  'Data Repository Table'!$D:$D, L$13
))</f>
        <v>571.87367900000004</v>
      </c>
      <c r="M64" s="25" cm="1">
        <f t="array" ref="M64">SUM(SUMIFS(
  'Data Repository Table'!$J:$J,
  'Data Repository Table'!$A:$A, "Water Production Actuals",
  'Data Repository Table'!$C:$C, {"Kootha","Surjek","Jutik"},
  'Data Repository Table'!$D:$D, M$13
))</f>
        <v>679.26448500000004</v>
      </c>
      <c r="N64" s="25" cm="1">
        <f t="array" ref="N64">SUM(SUMIFS(
  'Data Repository Table'!$J:$J,
  'Data Repository Table'!$A:$A, "Water Production Actuals",
  'Data Repository Table'!$C:$C, {"Kootha","Surjek","Jutik"},
  'Data Repository Table'!$D:$D, N$13
))</f>
        <v>682.90148799999997</v>
      </c>
      <c r="O64" s="25" cm="1">
        <f t="array" ref="O64">SUM(SUMIFS(
  'Data Repository Table'!$J:$J,
  'Data Repository Table'!$A:$A, "Water Production Actuals",
  'Data Repository Table'!$C:$C, {"Kootha","Surjek","Jutik"},
  'Data Repository Table'!$D:$D, O$13
))</f>
        <v>790.03688200000011</v>
      </c>
      <c r="P64" s="25" cm="1">
        <f t="array" ref="P64">SUM(SUMIFS(
  'Data Repository Table'!$J:$J,
  'Data Repository Table'!$A:$A, "Water Production Actuals",
  'Data Repository Table'!$C:$C, {"Kootha","Surjek","Jutik"},
  'Data Repository Table'!$D:$D, P$13
))</f>
        <v>759.48916599999995</v>
      </c>
      <c r="Q64" s="25" cm="1">
        <f t="array" ref="Q64">SUM(SUMIFS(
  'Data Repository Table'!$J:$J,
  'Data Repository Table'!$A:$A, "Water Production Actuals",
  'Data Repository Table'!$C:$C, {"Kootha","Surjek","Jutik"},
  'Data Repository Table'!$D:$D, Q$13
))</f>
        <v>773.51636800000006</v>
      </c>
      <c r="R64" s="25" cm="1">
        <f t="array" ref="R64">SUM(SUMIFS(
  'Data Repository Table'!$J:$J,
  'Data Repository Table'!$A:$A, "Water Production Actuals",
  'Data Repository Table'!$C:$C, {"Kootha","Surjek","Jutik"},
  'Data Repository Table'!$D:$D, R$13
))</f>
        <v>623.20135099999993</v>
      </c>
      <c r="S64" s="25">
        <f t="shared" si="6"/>
        <v>7889.2678930000002</v>
      </c>
      <c r="T64" s="4"/>
      <c r="U64" s="4"/>
      <c r="V64" s="4"/>
      <c r="W64" s="4"/>
    </row>
    <row r="65" spans="1:39" ht="14.25" customHeight="1" x14ac:dyDescent="0.25">
      <c r="A65" s="133"/>
      <c r="B65" s="134"/>
      <c r="C65" s="135"/>
      <c r="D65" s="135"/>
      <c r="E65" s="134" t="s">
        <v>183</v>
      </c>
      <c r="F65" s="135"/>
      <c r="G65" s="145">
        <f>SUM(G$56:G$63)/(G$64 * 1000)</f>
        <v>35.4895180180268</v>
      </c>
      <c r="H65" s="145">
        <f t="shared" ref="H65:R65" si="7">SUM(H$56:H$63)/(H$64 * 1000)</f>
        <v>40.083392414844866</v>
      </c>
      <c r="I65" s="145">
        <f t="shared" si="7"/>
        <v>43.723249193160832</v>
      </c>
      <c r="J65" s="145">
        <f t="shared" si="7"/>
        <v>48.886636356341938</v>
      </c>
      <c r="K65" s="145">
        <f t="shared" si="7"/>
        <v>56.088102230227392</v>
      </c>
      <c r="L65" s="145">
        <f t="shared" si="7"/>
        <v>39.044842053719009</v>
      </c>
      <c r="M65" s="145">
        <f t="shared" si="7"/>
        <v>38.918514174055339</v>
      </c>
      <c r="N65" s="145">
        <f t="shared" si="7"/>
        <v>41.543319627670584</v>
      </c>
      <c r="O65" s="145">
        <f t="shared" si="7"/>
        <v>35.585926820374347</v>
      </c>
      <c r="P65" s="145">
        <f t="shared" si="7"/>
        <v>35.928208360416363</v>
      </c>
      <c r="Q65" s="145">
        <f t="shared" si="7"/>
        <v>41.013913758286819</v>
      </c>
      <c r="R65" s="145">
        <f t="shared" si="7"/>
        <v>37.418278653587279</v>
      </c>
      <c r="S65" s="146">
        <f>SUM(S56:S63)/S64</f>
        <v>40721.955036810519</v>
      </c>
      <c r="T65" s="147"/>
      <c r="U65" s="147"/>
      <c r="V65" s="147"/>
      <c r="W65" s="147"/>
      <c r="X65" s="148"/>
      <c r="Y65" s="148"/>
      <c r="Z65" s="148"/>
      <c r="AA65" s="148"/>
      <c r="AB65" s="148"/>
      <c r="AC65" s="148"/>
      <c r="AD65" s="148"/>
      <c r="AE65" s="148"/>
      <c r="AF65" s="148"/>
      <c r="AG65" s="148"/>
      <c r="AH65" s="148"/>
      <c r="AI65" s="148"/>
      <c r="AJ65" s="148"/>
      <c r="AK65" s="148"/>
      <c r="AL65" s="148"/>
      <c r="AM65" s="148"/>
    </row>
    <row r="66" spans="1:39" ht="14.25" customHeight="1" x14ac:dyDescent="0.25">
      <c r="A66" s="57"/>
      <c r="T66" s="149"/>
      <c r="U66" s="149"/>
      <c r="V66" s="149"/>
      <c r="W66" s="149"/>
    </row>
    <row r="67" spans="1:39" ht="14.25" customHeight="1" x14ac:dyDescent="0.25">
      <c r="A67" s="57"/>
      <c r="T67" s="149"/>
      <c r="U67" s="149"/>
      <c r="V67" s="149"/>
      <c r="W67" s="149"/>
    </row>
    <row r="68" spans="1:39" ht="14.25" customHeight="1" x14ac:dyDescent="0.25">
      <c r="A68" s="57"/>
      <c r="T68" s="149"/>
      <c r="U68" s="149"/>
      <c r="V68" s="149"/>
      <c r="W68" s="149"/>
    </row>
    <row r="69" spans="1:39" ht="14.25" customHeight="1" x14ac:dyDescent="0.25">
      <c r="A69" s="57"/>
      <c r="T69" s="149"/>
      <c r="U69" s="149"/>
      <c r="V69" s="149"/>
      <c r="W69" s="149"/>
    </row>
    <row r="70" spans="1:39" ht="14.25" customHeight="1" x14ac:dyDescent="0.25">
      <c r="A70" s="57"/>
      <c r="T70" s="149"/>
      <c r="U70" s="149"/>
      <c r="V70" s="149"/>
      <c r="W70" s="149"/>
    </row>
    <row r="71" spans="1:39" ht="14.25" customHeight="1" x14ac:dyDescent="0.25">
      <c r="A71" s="4"/>
      <c r="B71" s="4"/>
      <c r="C71" s="4"/>
      <c r="D71" s="4"/>
      <c r="E71" s="4"/>
      <c r="F71" s="7"/>
      <c r="G71" s="7"/>
      <c r="H71" s="7"/>
      <c r="I71" s="7"/>
      <c r="J71" s="7"/>
      <c r="K71" s="7"/>
      <c r="L71" s="7"/>
      <c r="M71" s="7"/>
      <c r="N71" s="7"/>
      <c r="O71" s="7"/>
      <c r="P71" s="7"/>
      <c r="Q71" s="7"/>
      <c r="R71" s="7"/>
      <c r="S71" s="4"/>
      <c r="T71" s="4"/>
      <c r="U71" s="4"/>
      <c r="V71" s="4"/>
      <c r="W71" s="4"/>
    </row>
    <row r="72" spans="1:39" ht="14.25" customHeight="1" x14ac:dyDescent="0.25">
      <c r="A72" s="4"/>
      <c r="B72" s="4"/>
      <c r="C72" s="4"/>
      <c r="D72" s="4"/>
      <c r="E72" s="4"/>
      <c r="F72" s="7"/>
      <c r="G72" s="7"/>
      <c r="H72" s="7"/>
      <c r="I72" s="7"/>
      <c r="J72" s="7"/>
      <c r="K72" s="7"/>
      <c r="L72" s="7"/>
      <c r="M72" s="7"/>
      <c r="N72" s="7"/>
      <c r="O72" s="7"/>
      <c r="P72" s="7"/>
      <c r="Q72" s="7"/>
      <c r="R72" s="7"/>
      <c r="S72" s="4"/>
      <c r="T72" s="4"/>
      <c r="U72" s="4"/>
      <c r="V72" s="4"/>
      <c r="W72" s="4"/>
    </row>
    <row r="73" spans="1:39" ht="14.25" customHeight="1" x14ac:dyDescent="0.25">
      <c r="A73" s="4"/>
      <c r="B73" s="4"/>
      <c r="C73" s="4"/>
      <c r="D73" s="4"/>
      <c r="E73" s="4"/>
      <c r="F73" s="7"/>
      <c r="G73" s="7"/>
      <c r="H73" s="7"/>
      <c r="I73" s="7"/>
      <c r="J73" s="7"/>
      <c r="K73" s="7"/>
      <c r="L73" s="7"/>
      <c r="M73" s="7"/>
      <c r="N73" s="7"/>
      <c r="O73" s="7"/>
      <c r="P73" s="7"/>
      <c r="Q73" s="7"/>
      <c r="R73" s="7"/>
      <c r="S73" s="4"/>
      <c r="T73" s="4"/>
      <c r="U73" s="4"/>
      <c r="V73" s="4"/>
      <c r="W73" s="4"/>
    </row>
    <row r="74" spans="1:39" ht="14.25" customHeight="1" x14ac:dyDescent="0.25">
      <c r="A74" s="4"/>
      <c r="B74" s="4"/>
      <c r="C74" s="4"/>
      <c r="D74" s="4"/>
      <c r="E74" s="4"/>
      <c r="F74" s="7"/>
      <c r="G74" s="7"/>
      <c r="H74" s="7"/>
      <c r="I74" s="7"/>
      <c r="J74" s="7"/>
      <c r="K74" s="7"/>
      <c r="L74" s="7"/>
      <c r="M74" s="7"/>
      <c r="N74" s="7"/>
      <c r="O74" s="7"/>
      <c r="P74" s="7"/>
      <c r="Q74" s="7"/>
      <c r="R74" s="7"/>
      <c r="S74" s="4"/>
      <c r="T74" s="4"/>
      <c r="U74" s="4"/>
      <c r="V74" s="4"/>
      <c r="W74" s="4"/>
    </row>
    <row r="75" spans="1:39" ht="14.25" customHeight="1" x14ac:dyDescent="0.25">
      <c r="A75" s="4"/>
      <c r="B75" s="4"/>
      <c r="C75" s="4"/>
      <c r="D75" s="4"/>
      <c r="E75" s="4"/>
      <c r="F75" s="7"/>
      <c r="G75" s="7"/>
      <c r="H75" s="7"/>
      <c r="I75" s="7"/>
      <c r="J75" s="7"/>
      <c r="K75" s="7"/>
      <c r="L75" s="7"/>
      <c r="M75" s="7"/>
      <c r="N75" s="7"/>
      <c r="O75" s="7"/>
      <c r="P75" s="7"/>
      <c r="Q75" s="7"/>
      <c r="R75" s="7"/>
      <c r="S75" s="4"/>
      <c r="T75" s="4"/>
      <c r="U75" s="4"/>
      <c r="V75" s="4"/>
      <c r="W75" s="4"/>
    </row>
    <row r="76" spans="1:39" ht="14.25" customHeight="1" x14ac:dyDescent="0.25">
      <c r="A76" s="4"/>
      <c r="B76" s="4"/>
      <c r="C76" s="4"/>
      <c r="D76" s="4"/>
      <c r="E76" s="4"/>
      <c r="F76" s="7"/>
      <c r="G76" s="7"/>
      <c r="H76" s="7"/>
      <c r="I76" s="7"/>
      <c r="J76" s="7"/>
      <c r="K76" s="7"/>
      <c r="L76" s="7"/>
      <c r="M76" s="7"/>
      <c r="N76" s="7"/>
      <c r="O76" s="7"/>
      <c r="P76" s="7"/>
      <c r="Q76" s="7"/>
      <c r="R76" s="7"/>
      <c r="S76" s="4"/>
      <c r="T76" s="4"/>
      <c r="U76" s="4"/>
      <c r="V76" s="4"/>
      <c r="W76" s="4"/>
    </row>
    <row r="77" spans="1:39" ht="14.25" customHeight="1" x14ac:dyDescent="0.25">
      <c r="A77" s="4"/>
      <c r="B77" s="4"/>
      <c r="C77" s="4"/>
      <c r="D77" s="4"/>
      <c r="E77" s="4"/>
      <c r="F77" s="7"/>
      <c r="G77" s="7"/>
      <c r="H77" s="7"/>
      <c r="I77" s="7"/>
      <c r="J77" s="7"/>
      <c r="K77" s="7"/>
      <c r="L77" s="7"/>
      <c r="M77" s="7"/>
      <c r="N77" s="7"/>
      <c r="O77" s="7"/>
      <c r="P77" s="7"/>
      <c r="Q77" s="7"/>
      <c r="R77" s="7"/>
      <c r="S77" s="4"/>
      <c r="T77" s="4"/>
      <c r="U77" s="4"/>
      <c r="V77" s="4"/>
      <c r="W77" s="4"/>
    </row>
    <row r="78" spans="1:39" ht="14.25" customHeight="1" x14ac:dyDescent="0.25">
      <c r="A78" s="4"/>
      <c r="B78" s="4"/>
      <c r="C78" s="4"/>
      <c r="D78" s="4"/>
      <c r="E78" s="4"/>
      <c r="F78" s="7"/>
      <c r="G78" s="7"/>
      <c r="H78" s="7"/>
      <c r="I78" s="7"/>
      <c r="J78" s="7"/>
      <c r="K78" s="7"/>
      <c r="L78" s="7"/>
      <c r="M78" s="7"/>
      <c r="N78" s="7"/>
      <c r="O78" s="7"/>
      <c r="P78" s="7"/>
      <c r="Q78" s="7"/>
      <c r="R78" s="7"/>
      <c r="S78" s="4"/>
      <c r="T78" s="4"/>
      <c r="U78" s="4"/>
      <c r="V78" s="4"/>
      <c r="W78" s="4"/>
    </row>
    <row r="79" spans="1:39" ht="14.25" customHeight="1" x14ac:dyDescent="0.25">
      <c r="A79" s="4"/>
      <c r="B79" s="4"/>
      <c r="C79" s="4"/>
      <c r="D79" s="4"/>
      <c r="E79" s="4"/>
      <c r="F79" s="7"/>
      <c r="G79" s="7"/>
      <c r="H79" s="7"/>
      <c r="I79" s="7"/>
      <c r="J79" s="7"/>
      <c r="K79" s="7"/>
      <c r="L79" s="7"/>
      <c r="M79" s="7"/>
      <c r="N79" s="7"/>
      <c r="O79" s="7"/>
      <c r="P79" s="7"/>
      <c r="Q79" s="7"/>
      <c r="R79" s="7"/>
      <c r="S79" s="4"/>
      <c r="T79" s="4"/>
      <c r="U79" s="4"/>
      <c r="V79" s="4"/>
      <c r="W79" s="4"/>
    </row>
    <row r="80" spans="1:39" ht="14.25" customHeight="1" x14ac:dyDescent="0.25">
      <c r="A80" s="4"/>
      <c r="B80" s="4"/>
      <c r="C80" s="4"/>
      <c r="D80" s="4"/>
      <c r="E80" s="4"/>
      <c r="F80" s="7"/>
      <c r="G80" s="7"/>
      <c r="H80" s="7"/>
      <c r="I80" s="7"/>
      <c r="J80" s="7"/>
      <c r="K80" s="7"/>
      <c r="L80" s="7"/>
      <c r="M80" s="7"/>
      <c r="N80" s="7"/>
      <c r="O80" s="7"/>
      <c r="P80" s="7"/>
      <c r="Q80" s="7"/>
      <c r="R80" s="7"/>
      <c r="S80" s="4"/>
      <c r="T80" s="4"/>
      <c r="U80" s="4"/>
      <c r="V80" s="4"/>
      <c r="W80" s="4"/>
    </row>
    <row r="81" spans="1:39" ht="14.25" customHeight="1" x14ac:dyDescent="0.25">
      <c r="A81" s="4"/>
      <c r="B81" s="4"/>
      <c r="C81" s="4"/>
      <c r="D81" s="4"/>
      <c r="E81" s="4"/>
      <c r="F81" s="7"/>
      <c r="G81" s="7"/>
      <c r="H81" s="7"/>
      <c r="I81" s="7"/>
      <c r="J81" s="7"/>
      <c r="K81" s="7"/>
      <c r="L81" s="7"/>
      <c r="M81" s="7"/>
      <c r="N81" s="7"/>
      <c r="O81" s="7"/>
      <c r="P81" s="7"/>
      <c r="Q81" s="7"/>
      <c r="R81" s="7"/>
      <c r="S81" s="4"/>
      <c r="T81" s="4"/>
      <c r="U81" s="4"/>
      <c r="V81" s="4"/>
      <c r="W81" s="4"/>
    </row>
    <row r="82" spans="1:39" ht="14.25" customHeight="1" x14ac:dyDescent="0.25">
      <c r="A82" s="4"/>
      <c r="B82" s="4"/>
      <c r="C82" s="4"/>
      <c r="D82" s="4"/>
      <c r="E82" s="4"/>
      <c r="F82" s="7"/>
      <c r="G82" s="7"/>
      <c r="H82" s="7"/>
      <c r="I82" s="7"/>
      <c r="J82" s="7"/>
      <c r="K82" s="7"/>
      <c r="L82" s="7"/>
      <c r="M82" s="7"/>
      <c r="N82" s="7"/>
      <c r="O82" s="7"/>
      <c r="P82" s="7"/>
      <c r="Q82" s="7"/>
      <c r="R82" s="7"/>
      <c r="S82" s="4"/>
      <c r="T82" s="4"/>
      <c r="U82" s="4"/>
      <c r="V82" s="4"/>
      <c r="W82" s="4"/>
    </row>
    <row r="83" spans="1:39" ht="14.25" customHeight="1" x14ac:dyDescent="0.25">
      <c r="A83" s="4"/>
      <c r="B83" s="4"/>
      <c r="C83" s="4"/>
      <c r="D83" s="4"/>
      <c r="E83" s="4"/>
      <c r="F83" s="7"/>
      <c r="G83" s="7"/>
      <c r="H83" s="7"/>
      <c r="I83" s="7"/>
      <c r="J83" s="7"/>
      <c r="K83" s="7"/>
      <c r="L83" s="7"/>
      <c r="M83" s="7"/>
      <c r="N83" s="7"/>
      <c r="O83" s="7"/>
      <c r="P83" s="7"/>
      <c r="Q83" s="7"/>
      <c r="R83" s="7"/>
      <c r="S83" s="4"/>
      <c r="T83" s="4"/>
      <c r="U83" s="4"/>
      <c r="V83" s="4"/>
      <c r="W83" s="4"/>
    </row>
    <row r="84" spans="1:39" ht="99" customHeight="1" x14ac:dyDescent="0.25">
      <c r="A84" s="216" t="s">
        <v>187</v>
      </c>
      <c r="B84" s="206"/>
      <c r="C84" s="206"/>
      <c r="D84" s="206"/>
      <c r="E84" s="206"/>
      <c r="F84" s="206"/>
      <c r="G84" s="206"/>
      <c r="H84" s="206"/>
      <c r="I84" s="206"/>
      <c r="J84" s="206"/>
      <c r="K84" s="206"/>
      <c r="L84" s="206"/>
      <c r="M84" s="206"/>
      <c r="N84" s="206"/>
      <c r="O84" s="206"/>
      <c r="P84" s="206"/>
      <c r="Q84" s="206"/>
      <c r="R84" s="206"/>
      <c r="S84" s="206"/>
      <c r="T84" s="206"/>
      <c r="U84" s="206"/>
      <c r="V84" s="206"/>
      <c r="W84" s="150"/>
      <c r="X84" s="111"/>
      <c r="Y84" s="111"/>
      <c r="Z84" s="111"/>
      <c r="AA84" s="111"/>
      <c r="AB84" s="111"/>
      <c r="AC84" s="111"/>
      <c r="AD84" s="111"/>
      <c r="AE84" s="111"/>
      <c r="AF84" s="111"/>
      <c r="AG84" s="111"/>
      <c r="AH84" s="111"/>
      <c r="AI84" s="111"/>
      <c r="AJ84" s="111"/>
      <c r="AK84" s="111"/>
      <c r="AL84" s="111"/>
      <c r="AM84" s="111"/>
    </row>
    <row r="85" spans="1:39" ht="60" customHeight="1" x14ac:dyDescent="0.25">
      <c r="A85" s="216" t="s">
        <v>188</v>
      </c>
      <c r="B85" s="206"/>
      <c r="C85" s="206"/>
      <c r="D85" s="206"/>
      <c r="E85" s="206"/>
      <c r="F85" s="206"/>
      <c r="G85" s="206"/>
      <c r="H85" s="206"/>
      <c r="I85" s="206"/>
      <c r="J85" s="206"/>
      <c r="K85" s="206"/>
      <c r="L85" s="206"/>
      <c r="M85" s="206"/>
      <c r="N85" s="206"/>
      <c r="O85" s="206"/>
      <c r="P85" s="151"/>
      <c r="Q85" s="151"/>
      <c r="R85" s="151"/>
      <c r="S85" s="151"/>
      <c r="T85" s="151"/>
      <c r="U85" s="151"/>
      <c r="V85" s="151"/>
      <c r="W85" s="150"/>
      <c r="X85" s="111"/>
      <c r="Y85" s="111"/>
      <c r="Z85" s="111"/>
      <c r="AA85" s="111"/>
      <c r="AB85" s="111"/>
      <c r="AC85" s="111"/>
      <c r="AD85" s="111"/>
      <c r="AE85" s="111"/>
      <c r="AF85" s="111"/>
      <c r="AG85" s="111"/>
      <c r="AH85" s="111"/>
      <c r="AI85" s="111"/>
      <c r="AJ85" s="111"/>
      <c r="AK85" s="111"/>
      <c r="AL85" s="111"/>
      <c r="AM85" s="111"/>
    </row>
    <row r="86" spans="1:39" ht="14.25" customHeight="1" x14ac:dyDescent="0.25">
      <c r="A86" s="4"/>
      <c r="B86" s="4"/>
      <c r="C86" s="4"/>
      <c r="D86" s="4"/>
      <c r="E86" s="4"/>
      <c r="F86" s="7"/>
      <c r="G86" s="7"/>
      <c r="H86" s="7"/>
      <c r="I86" s="7"/>
      <c r="J86" s="7"/>
      <c r="K86" s="7"/>
      <c r="L86" s="7"/>
      <c r="M86" s="7"/>
      <c r="N86" s="7"/>
      <c r="O86" s="7"/>
      <c r="P86" s="7"/>
      <c r="Q86" s="7"/>
      <c r="R86" s="7"/>
      <c r="S86" s="4"/>
      <c r="T86" s="4"/>
      <c r="U86" s="4"/>
      <c r="V86" s="4"/>
      <c r="W86" s="4"/>
    </row>
    <row r="87" spans="1:39" ht="14.25" customHeight="1" x14ac:dyDescent="0.25">
      <c r="A87" s="4"/>
      <c r="B87" s="4"/>
      <c r="C87" s="4"/>
      <c r="D87" s="4"/>
      <c r="E87" s="4"/>
      <c r="F87" s="7"/>
      <c r="G87" s="7"/>
      <c r="H87" s="7"/>
      <c r="I87" s="7"/>
      <c r="J87" s="7"/>
      <c r="K87" s="7"/>
      <c r="L87" s="7"/>
      <c r="M87" s="7"/>
      <c r="N87" s="7"/>
      <c r="O87" s="7"/>
      <c r="P87" s="7"/>
      <c r="Q87" s="7"/>
      <c r="R87" s="7"/>
      <c r="S87" s="4"/>
      <c r="T87" s="4"/>
      <c r="U87" s="4"/>
      <c r="V87" s="4"/>
      <c r="W87" s="4"/>
    </row>
    <row r="88" spans="1:39" ht="14.25" customHeight="1" x14ac:dyDescent="0.25">
      <c r="A88" s="4"/>
      <c r="B88" s="4"/>
      <c r="C88" s="4"/>
      <c r="D88" s="4"/>
      <c r="E88" s="4"/>
      <c r="F88" s="7"/>
      <c r="G88" s="7"/>
      <c r="H88" s="7"/>
      <c r="I88" s="7"/>
      <c r="J88" s="7"/>
      <c r="K88" s="7"/>
      <c r="L88" s="7"/>
      <c r="M88" s="7"/>
      <c r="N88" s="7"/>
      <c r="O88" s="7"/>
      <c r="P88" s="7"/>
      <c r="Q88" s="7"/>
      <c r="R88" s="7"/>
      <c r="S88" s="4"/>
      <c r="T88" s="4"/>
      <c r="U88" s="4"/>
      <c r="V88" s="4"/>
      <c r="W88" s="4"/>
    </row>
    <row r="89" spans="1:39" ht="14.25" customHeight="1" x14ac:dyDescent="0.25">
      <c r="A89" s="4"/>
      <c r="B89" s="4"/>
      <c r="C89" s="4"/>
      <c r="D89" s="4"/>
      <c r="E89" s="4"/>
      <c r="F89" s="7"/>
      <c r="G89" s="7"/>
      <c r="H89" s="7"/>
      <c r="I89" s="7"/>
      <c r="J89" s="7"/>
      <c r="K89" s="7"/>
      <c r="L89" s="7"/>
      <c r="M89" s="7"/>
      <c r="N89" s="7"/>
      <c r="O89" s="7"/>
      <c r="P89" s="7"/>
      <c r="Q89" s="7"/>
      <c r="R89" s="7"/>
      <c r="S89" s="4"/>
      <c r="T89" s="4"/>
      <c r="U89" s="4"/>
      <c r="V89" s="4"/>
      <c r="W89" s="4"/>
    </row>
    <row r="90" spans="1:39" ht="14.25" customHeight="1" x14ac:dyDescent="0.25">
      <c r="A90" s="4"/>
      <c r="B90" s="4"/>
      <c r="C90" s="4"/>
      <c r="D90" s="4"/>
      <c r="E90" s="4"/>
      <c r="F90" s="7"/>
      <c r="G90" s="7"/>
      <c r="H90" s="7"/>
      <c r="I90" s="7"/>
      <c r="J90" s="7"/>
      <c r="K90" s="7"/>
      <c r="L90" s="7"/>
      <c r="M90" s="7"/>
      <c r="N90" s="7"/>
      <c r="O90" s="7"/>
      <c r="P90" s="7"/>
      <c r="Q90" s="7"/>
      <c r="R90" s="7"/>
      <c r="S90" s="4"/>
      <c r="T90" s="4"/>
      <c r="U90" s="4"/>
      <c r="V90" s="4"/>
      <c r="W90" s="4"/>
    </row>
    <row r="91" spans="1:39" ht="14.25" customHeight="1" x14ac:dyDescent="0.25">
      <c r="A91" s="4"/>
      <c r="B91" s="4"/>
      <c r="C91" s="4"/>
      <c r="D91" s="4"/>
      <c r="E91" s="4"/>
      <c r="F91" s="7"/>
      <c r="G91" s="7"/>
      <c r="H91" s="7"/>
      <c r="I91" s="7"/>
      <c r="J91" s="7"/>
      <c r="K91" s="7"/>
      <c r="L91" s="7"/>
      <c r="M91" s="7"/>
      <c r="N91" s="7"/>
      <c r="O91" s="7"/>
      <c r="P91" s="7"/>
      <c r="Q91" s="7"/>
      <c r="R91" s="7"/>
      <c r="S91" s="4"/>
      <c r="T91" s="4"/>
      <c r="U91" s="4"/>
      <c r="V91" s="4"/>
      <c r="W91" s="4"/>
    </row>
    <row r="92" spans="1:39" ht="14.25" customHeight="1" x14ac:dyDescent="0.25">
      <c r="A92" s="4"/>
      <c r="B92" s="4"/>
      <c r="C92" s="4"/>
      <c r="D92" s="4"/>
      <c r="E92" s="4"/>
      <c r="F92" s="7"/>
      <c r="G92" s="7"/>
      <c r="H92" s="7"/>
      <c r="I92" s="7"/>
      <c r="J92" s="7"/>
      <c r="K92" s="7"/>
      <c r="L92" s="7"/>
      <c r="M92" s="7"/>
      <c r="N92" s="7"/>
      <c r="O92" s="7"/>
      <c r="P92" s="7"/>
      <c r="Q92" s="7"/>
      <c r="R92" s="7"/>
      <c r="S92" s="4"/>
      <c r="T92" s="4"/>
      <c r="U92" s="4"/>
      <c r="V92" s="4"/>
      <c r="W92" s="4"/>
    </row>
    <row r="93" spans="1:39" ht="14.25" customHeight="1" x14ac:dyDescent="0.25">
      <c r="A93" s="4"/>
      <c r="B93" s="4"/>
      <c r="C93" s="4"/>
      <c r="D93" s="4"/>
      <c r="E93" s="4"/>
      <c r="F93" s="7"/>
      <c r="G93" s="7"/>
      <c r="H93" s="7"/>
      <c r="I93" s="7"/>
      <c r="J93" s="7"/>
      <c r="K93" s="7"/>
      <c r="L93" s="7"/>
      <c r="M93" s="7"/>
      <c r="N93" s="7"/>
      <c r="O93" s="7"/>
      <c r="P93" s="7"/>
      <c r="Q93" s="7"/>
      <c r="R93" s="7"/>
      <c r="S93" s="4"/>
      <c r="T93" s="4"/>
      <c r="U93" s="4"/>
      <c r="V93" s="4"/>
      <c r="W93" s="4"/>
    </row>
    <row r="94" spans="1:39" ht="14.25" customHeight="1" x14ac:dyDescent="0.25">
      <c r="A94" s="4"/>
      <c r="B94" s="4"/>
      <c r="C94" s="4"/>
      <c r="D94" s="4"/>
      <c r="E94" s="4"/>
      <c r="F94" s="7"/>
      <c r="G94" s="7"/>
      <c r="H94" s="7"/>
      <c r="I94" s="7"/>
      <c r="J94" s="7"/>
      <c r="K94" s="7"/>
      <c r="L94" s="7"/>
      <c r="M94" s="7"/>
      <c r="N94" s="7"/>
      <c r="O94" s="7"/>
      <c r="P94" s="7"/>
      <c r="Q94" s="7"/>
      <c r="R94" s="7"/>
      <c r="S94" s="4"/>
      <c r="T94" s="4"/>
      <c r="U94" s="4"/>
      <c r="V94" s="4"/>
      <c r="W94" s="4"/>
    </row>
    <row r="95" spans="1:39" ht="14.25" customHeight="1" x14ac:dyDescent="0.25">
      <c r="A95" s="4"/>
      <c r="B95" s="4"/>
      <c r="C95" s="4"/>
      <c r="D95" s="4"/>
      <c r="E95" s="4"/>
      <c r="F95" s="7"/>
      <c r="G95" s="7"/>
      <c r="H95" s="7"/>
      <c r="I95" s="7"/>
      <c r="J95" s="7"/>
      <c r="K95" s="7"/>
      <c r="L95" s="7"/>
      <c r="M95" s="7"/>
      <c r="N95" s="7"/>
      <c r="O95" s="7"/>
      <c r="P95" s="7"/>
      <c r="Q95" s="7"/>
      <c r="R95" s="7"/>
      <c r="S95" s="4"/>
      <c r="T95" s="4"/>
      <c r="U95" s="4"/>
      <c r="V95" s="4"/>
      <c r="W95" s="4"/>
    </row>
    <row r="96" spans="1:39" ht="14.25" customHeight="1" x14ac:dyDescent="0.25">
      <c r="A96" s="4"/>
      <c r="B96" s="4"/>
      <c r="C96" s="4"/>
      <c r="D96" s="4"/>
      <c r="E96" s="4"/>
      <c r="F96" s="7"/>
      <c r="G96" s="7"/>
      <c r="H96" s="7"/>
      <c r="I96" s="7"/>
      <c r="J96" s="7"/>
      <c r="K96" s="7"/>
      <c r="L96" s="7"/>
      <c r="M96" s="7"/>
      <c r="N96" s="7"/>
      <c r="O96" s="7"/>
      <c r="P96" s="7"/>
      <c r="Q96" s="7"/>
      <c r="R96" s="7"/>
      <c r="S96" s="4"/>
      <c r="T96" s="4"/>
      <c r="U96" s="4"/>
      <c r="V96" s="4"/>
      <c r="W96" s="4"/>
    </row>
    <row r="97" spans="1:39" ht="14.25" customHeight="1" x14ac:dyDescent="0.25">
      <c r="A97" s="4"/>
      <c r="B97" s="4"/>
      <c r="C97" s="4"/>
      <c r="D97" s="4"/>
      <c r="E97" s="4"/>
      <c r="F97" s="7"/>
      <c r="G97" s="7"/>
      <c r="H97" s="7"/>
      <c r="I97" s="7"/>
      <c r="J97" s="7"/>
      <c r="K97" s="7"/>
      <c r="L97" s="7"/>
      <c r="M97" s="7"/>
      <c r="N97" s="7"/>
      <c r="O97" s="7"/>
      <c r="P97" s="7"/>
      <c r="Q97" s="7"/>
      <c r="R97" s="7"/>
      <c r="S97" s="4"/>
      <c r="T97" s="4"/>
      <c r="U97" s="4"/>
      <c r="V97" s="4"/>
      <c r="W97" s="4"/>
    </row>
    <row r="98" spans="1:39" ht="14.25" customHeight="1" x14ac:dyDescent="0.25">
      <c r="A98" s="4"/>
      <c r="B98" s="4"/>
      <c r="C98" s="4"/>
      <c r="D98" s="4"/>
      <c r="E98" s="4"/>
      <c r="F98" s="7"/>
      <c r="G98" s="7"/>
      <c r="H98" s="7"/>
      <c r="I98" s="7"/>
      <c r="J98" s="7"/>
      <c r="K98" s="7"/>
      <c r="L98" s="7"/>
      <c r="M98" s="7"/>
      <c r="N98" s="7"/>
      <c r="O98" s="7"/>
      <c r="P98" s="7"/>
      <c r="Q98" s="7"/>
      <c r="R98" s="7"/>
      <c r="S98" s="4"/>
      <c r="T98" s="4"/>
      <c r="U98" s="4"/>
      <c r="V98" s="4"/>
      <c r="W98" s="4"/>
    </row>
    <row r="99" spans="1:39" ht="14.25" customHeight="1" x14ac:dyDescent="0.25">
      <c r="A99" s="4"/>
      <c r="B99" s="4"/>
      <c r="C99" s="4"/>
      <c r="D99" s="4"/>
      <c r="E99" s="4"/>
      <c r="F99" s="7"/>
      <c r="G99" s="7"/>
      <c r="H99" s="7"/>
      <c r="I99" s="7"/>
      <c r="J99" s="7"/>
      <c r="K99" s="7"/>
      <c r="L99" s="7"/>
      <c r="M99" s="7"/>
      <c r="N99" s="7"/>
      <c r="O99" s="7"/>
      <c r="P99" s="7"/>
      <c r="Q99" s="7"/>
      <c r="R99" s="7"/>
      <c r="S99" s="4"/>
      <c r="T99" s="4"/>
      <c r="U99" s="4"/>
      <c r="V99" s="4"/>
      <c r="W99" s="4"/>
    </row>
    <row r="100" spans="1:39" ht="14.25" customHeight="1" x14ac:dyDescent="0.25">
      <c r="A100" s="4"/>
      <c r="B100" s="4"/>
      <c r="C100" s="4"/>
      <c r="D100" s="4"/>
      <c r="E100" s="4"/>
      <c r="F100" s="7"/>
      <c r="G100" s="7"/>
      <c r="H100" s="7"/>
      <c r="I100" s="7"/>
      <c r="J100" s="7"/>
      <c r="K100" s="7"/>
      <c r="L100" s="7"/>
      <c r="M100" s="7"/>
      <c r="N100" s="7"/>
      <c r="O100" s="7"/>
      <c r="P100" s="7"/>
      <c r="Q100" s="7"/>
      <c r="R100" s="7"/>
      <c r="S100" s="4"/>
      <c r="T100" s="4"/>
      <c r="U100" s="4"/>
      <c r="V100" s="4"/>
      <c r="W100" s="4"/>
    </row>
    <row r="101" spans="1:39" ht="14.25" customHeight="1" x14ac:dyDescent="0.25">
      <c r="A101" s="4"/>
      <c r="B101" s="4"/>
      <c r="C101" s="4"/>
      <c r="D101" s="4"/>
      <c r="E101" s="4"/>
      <c r="F101" s="7"/>
      <c r="G101" s="7"/>
      <c r="H101" s="7"/>
      <c r="I101" s="7"/>
      <c r="J101" s="7"/>
      <c r="K101" s="7"/>
      <c r="L101" s="7"/>
      <c r="M101" s="7"/>
      <c r="N101" s="7"/>
      <c r="O101" s="7"/>
      <c r="P101" s="7"/>
      <c r="Q101" s="7"/>
      <c r="R101" s="7"/>
      <c r="S101" s="4"/>
      <c r="T101" s="4"/>
      <c r="U101" s="4"/>
      <c r="V101" s="4"/>
      <c r="W101" s="4"/>
    </row>
    <row r="102" spans="1:39" ht="14.25" customHeight="1" x14ac:dyDescent="0.25">
      <c r="A102" s="217"/>
      <c r="B102" s="206"/>
      <c r="C102" s="206"/>
      <c r="D102" s="4"/>
      <c r="E102" s="218"/>
      <c r="F102" s="206"/>
      <c r="G102" s="206"/>
      <c r="H102" s="206"/>
      <c r="I102" s="7"/>
      <c r="J102" s="219"/>
      <c r="K102" s="206"/>
      <c r="L102" s="206"/>
      <c r="M102" s="206"/>
      <c r="N102" s="206"/>
      <c r="O102" s="7"/>
      <c r="P102" s="7"/>
      <c r="Q102" s="7"/>
      <c r="R102" s="7"/>
      <c r="S102" s="4"/>
      <c r="T102" s="4"/>
      <c r="U102" s="4"/>
      <c r="V102" s="4"/>
      <c r="W102" s="4"/>
    </row>
    <row r="103" spans="1:39" ht="14.25" customHeight="1" x14ac:dyDescent="0.25">
      <c r="A103" s="206"/>
      <c r="B103" s="206"/>
      <c r="C103" s="206"/>
      <c r="D103" s="4"/>
      <c r="E103" s="206"/>
      <c r="F103" s="206"/>
      <c r="G103" s="206"/>
      <c r="H103" s="206"/>
      <c r="I103" s="7"/>
      <c r="J103" s="206"/>
      <c r="K103" s="206"/>
      <c r="L103" s="206"/>
      <c r="M103" s="206"/>
      <c r="N103" s="206"/>
      <c r="O103" s="7"/>
      <c r="P103" s="7"/>
      <c r="Q103" s="7"/>
      <c r="R103" s="7"/>
      <c r="S103" s="4"/>
      <c r="T103" s="4"/>
      <c r="U103" s="4"/>
      <c r="V103" s="4"/>
      <c r="W103" s="4"/>
    </row>
    <row r="104" spans="1:39" ht="22.5" customHeight="1" x14ac:dyDescent="0.25">
      <c r="A104" s="57"/>
      <c r="B104" s="57"/>
      <c r="C104" s="57"/>
      <c r="D104" s="57"/>
      <c r="E104" s="57"/>
      <c r="F104" s="57"/>
      <c r="G104" s="57"/>
      <c r="H104" s="57"/>
      <c r="I104" s="57"/>
      <c r="J104" s="57"/>
      <c r="K104" s="57"/>
      <c r="L104" s="57"/>
      <c r="M104" s="57"/>
      <c r="N104" s="57"/>
      <c r="O104" s="57"/>
      <c r="P104" s="57"/>
      <c r="Q104" s="57"/>
      <c r="R104" s="57"/>
      <c r="S104" s="57"/>
      <c r="T104" s="57"/>
      <c r="U104" s="57"/>
      <c r="V104" s="57"/>
      <c r="W104" s="4"/>
    </row>
    <row r="105" spans="1:39" ht="165.75" customHeight="1" x14ac:dyDescent="0.25">
      <c r="A105" s="205" t="s">
        <v>189</v>
      </c>
      <c r="B105" s="206"/>
      <c r="C105" s="206"/>
      <c r="D105" s="206"/>
      <c r="E105" s="206"/>
      <c r="F105" s="206"/>
      <c r="G105" s="206"/>
      <c r="H105" s="206"/>
      <c r="I105" s="206"/>
      <c r="J105" s="206"/>
      <c r="K105" s="206"/>
      <c r="L105" s="206"/>
      <c r="M105" s="206"/>
      <c r="N105" s="206"/>
      <c r="O105" s="206"/>
      <c r="P105" s="206"/>
      <c r="Q105" s="206"/>
      <c r="R105" s="206"/>
      <c r="S105" s="206"/>
      <c r="T105" s="206"/>
      <c r="U105" s="206"/>
      <c r="V105" s="206"/>
      <c r="W105" s="123"/>
      <c r="X105" s="128"/>
      <c r="Y105" s="128"/>
      <c r="Z105" s="128"/>
      <c r="AA105" s="128"/>
      <c r="AB105" s="128"/>
      <c r="AC105" s="128"/>
      <c r="AD105" s="128"/>
      <c r="AE105" s="128"/>
      <c r="AF105" s="128"/>
      <c r="AG105" s="128"/>
      <c r="AH105" s="128"/>
      <c r="AI105" s="128"/>
      <c r="AJ105" s="128"/>
      <c r="AK105" s="128"/>
      <c r="AL105" s="128"/>
      <c r="AM105" s="128"/>
    </row>
    <row r="106" spans="1:39" ht="66" customHeight="1" x14ac:dyDescent="0.25">
      <c r="A106" s="205" t="s">
        <v>190</v>
      </c>
      <c r="B106" s="206"/>
      <c r="C106" s="206"/>
      <c r="D106" s="206"/>
      <c r="E106" s="206"/>
      <c r="F106" s="206"/>
      <c r="G106" s="206"/>
      <c r="H106" s="206"/>
      <c r="I106" s="206"/>
      <c r="J106" s="206"/>
      <c r="K106" s="206"/>
      <c r="L106" s="206"/>
      <c r="M106" s="206"/>
      <c r="N106" s="206"/>
      <c r="O106" s="206"/>
      <c r="P106" s="206"/>
      <c r="Q106" s="206"/>
      <c r="R106" s="206"/>
      <c r="S106" s="206"/>
      <c r="T106" s="206"/>
      <c r="U106" s="206"/>
      <c r="V106" s="206"/>
      <c r="W106" s="205"/>
      <c r="X106" s="206"/>
      <c r="Y106" s="206"/>
      <c r="Z106" s="206"/>
      <c r="AA106" s="206"/>
      <c r="AB106" s="206"/>
      <c r="AC106" s="206"/>
      <c r="AD106" s="206"/>
      <c r="AE106" s="206"/>
      <c r="AF106" s="206"/>
      <c r="AG106" s="206"/>
      <c r="AH106" s="206"/>
      <c r="AI106" s="206"/>
      <c r="AJ106" s="206"/>
      <c r="AK106" s="206"/>
      <c r="AL106" s="206"/>
      <c r="AM106" s="206"/>
    </row>
    <row r="107" spans="1:39" ht="30" customHeight="1" x14ac:dyDescent="0.25">
      <c r="A107" s="205" t="s">
        <v>191</v>
      </c>
      <c r="B107" s="206"/>
      <c r="C107" s="206"/>
      <c r="D107" s="206"/>
      <c r="E107" s="206"/>
      <c r="F107" s="206"/>
      <c r="G107" s="206"/>
      <c r="H107" s="206"/>
      <c r="I107" s="206"/>
      <c r="J107" s="206"/>
      <c r="K107" s="152"/>
      <c r="L107" s="152"/>
      <c r="M107" s="152"/>
      <c r="N107" s="152"/>
      <c r="O107" s="152"/>
      <c r="P107" s="152"/>
      <c r="Q107" s="152"/>
      <c r="R107" s="152"/>
      <c r="S107" s="152"/>
      <c r="T107" s="152"/>
      <c r="U107" s="152"/>
      <c r="V107" s="152"/>
      <c r="W107" s="191"/>
      <c r="X107" s="152"/>
      <c r="Y107" s="152"/>
      <c r="Z107" s="152"/>
      <c r="AA107" s="152"/>
      <c r="AB107" s="152"/>
      <c r="AC107" s="152"/>
      <c r="AD107" s="152"/>
      <c r="AE107" s="152"/>
      <c r="AF107" s="152"/>
      <c r="AG107" s="152"/>
      <c r="AH107" s="152"/>
      <c r="AI107" s="152"/>
      <c r="AJ107" s="152"/>
      <c r="AK107" s="152"/>
      <c r="AL107" s="152"/>
      <c r="AM107" s="152"/>
    </row>
    <row r="108" spans="1:39" ht="54.75" customHeight="1" x14ac:dyDescent="0.25">
      <c r="A108" s="38" t="s">
        <v>16</v>
      </c>
      <c r="B108" s="58" t="s">
        <v>192</v>
      </c>
      <c r="C108" s="58" t="s">
        <v>193</v>
      </c>
      <c r="D108" s="58"/>
      <c r="E108" s="58"/>
      <c r="F108" s="6"/>
      <c r="G108" s="6"/>
      <c r="H108" s="6"/>
      <c r="I108" s="6"/>
      <c r="J108" s="6"/>
      <c r="K108" s="6"/>
      <c r="L108" s="6"/>
      <c r="M108" s="6"/>
      <c r="N108" s="6"/>
      <c r="O108" s="6"/>
      <c r="P108" s="6"/>
      <c r="Q108" s="6"/>
      <c r="R108" s="6"/>
      <c r="S108" s="59"/>
      <c r="T108" s="59"/>
      <c r="U108" s="59"/>
      <c r="V108" s="59"/>
      <c r="W108" s="59"/>
      <c r="X108" s="59"/>
      <c r="Y108" s="59"/>
      <c r="Z108" s="59"/>
      <c r="AA108" s="59"/>
      <c r="AB108" s="59"/>
      <c r="AC108" s="59"/>
      <c r="AD108" s="59"/>
      <c r="AE108" s="59"/>
      <c r="AF108" s="59"/>
      <c r="AG108" s="59"/>
      <c r="AH108" s="59"/>
      <c r="AI108" s="59"/>
      <c r="AJ108" s="59"/>
      <c r="AK108" s="59"/>
      <c r="AL108" s="59"/>
      <c r="AM108" s="59"/>
    </row>
    <row r="109" spans="1:39" ht="14.25" customHeight="1" x14ac:dyDescent="0.25">
      <c r="A109" s="38" t="s">
        <v>46</v>
      </c>
      <c r="B109" s="60">
        <f>SUM(S16:S23)/(S24 * 1000)</f>
        <v>25.001374005209883</v>
      </c>
      <c r="C109" s="61">
        <f>AVERAGEIFS('Water Trading Repository Table'!C:C, 'Data Repository Table'!C:C, "Kootha")</f>
        <v>55.517132988258403</v>
      </c>
      <c r="D109" s="61"/>
      <c r="E109" s="61"/>
      <c r="F109" s="7"/>
      <c r="G109" s="7"/>
      <c r="H109" s="7"/>
      <c r="I109" s="7"/>
      <c r="J109" s="7"/>
      <c r="K109" s="7"/>
      <c r="L109" s="7"/>
      <c r="M109" s="7"/>
      <c r="N109" s="7"/>
      <c r="O109" s="7"/>
      <c r="P109" s="7"/>
      <c r="Q109" s="7"/>
      <c r="R109" s="7"/>
    </row>
    <row r="110" spans="1:39" ht="14.25" customHeight="1" x14ac:dyDescent="0.25">
      <c r="A110" s="38" t="s">
        <v>54</v>
      </c>
      <c r="B110" s="61">
        <f>SUM(S27:S34)/(S35 * 1000)</f>
        <v>54.231506516209798</v>
      </c>
      <c r="C110" s="61">
        <f>AVERAGEIFS('Water Trading Repository Table'!C:C, 'Data Repository Table'!C:C, "Surjek")</f>
        <v>55.735351791726728</v>
      </c>
      <c r="D110" s="61"/>
      <c r="E110" s="61"/>
      <c r="F110" s="7"/>
      <c r="G110" s="7"/>
      <c r="H110" s="7"/>
      <c r="I110" s="7"/>
      <c r="J110" s="7"/>
      <c r="K110" s="7"/>
      <c r="L110" s="7"/>
      <c r="M110" s="7"/>
      <c r="N110" s="7"/>
      <c r="O110" s="7"/>
      <c r="P110" s="7"/>
      <c r="Q110" s="7"/>
      <c r="R110" s="7"/>
    </row>
    <row r="111" spans="1:39" ht="14.25" customHeight="1" x14ac:dyDescent="0.25">
      <c r="A111" s="38" t="s">
        <v>55</v>
      </c>
      <c r="B111" s="61">
        <f>SUM(S38:S45)/(S46 * 1000)</f>
        <v>35.80418919825496</v>
      </c>
      <c r="C111" s="61">
        <f>AVERAGEIFS('Water Trading Repository Table'!C:C, 'Data Repository Table'!C:C, "Jutik")</f>
        <v>56.667660360191988</v>
      </c>
      <c r="D111" s="61"/>
      <c r="E111" s="61"/>
      <c r="F111" s="7"/>
      <c r="G111" s="7"/>
      <c r="H111" s="7"/>
      <c r="I111" s="7"/>
      <c r="J111" s="7"/>
      <c r="K111" s="7"/>
      <c r="L111" s="7"/>
      <c r="M111" s="7"/>
      <c r="N111" s="7"/>
      <c r="O111" s="7"/>
      <c r="P111" s="7"/>
      <c r="Q111" s="7"/>
      <c r="R111" s="7"/>
    </row>
    <row r="112" spans="1:39" ht="14.25" customHeight="1" x14ac:dyDescent="0.25">
      <c r="F112" s="7"/>
      <c r="G112" s="7"/>
      <c r="H112" s="7"/>
      <c r="I112" s="7"/>
      <c r="J112" s="7"/>
      <c r="K112" s="7"/>
      <c r="L112" s="7"/>
      <c r="M112" s="7"/>
      <c r="N112" s="7"/>
      <c r="O112" s="7"/>
      <c r="P112" s="7"/>
      <c r="Q112" s="7"/>
      <c r="R112" s="7"/>
    </row>
    <row r="113" spans="6:18" ht="14.25" customHeight="1" x14ac:dyDescent="0.25">
      <c r="F113" s="7"/>
      <c r="G113" s="7"/>
      <c r="H113" s="7"/>
      <c r="I113" s="7"/>
      <c r="J113" s="7"/>
      <c r="K113" s="7"/>
      <c r="L113" s="7"/>
      <c r="M113" s="7"/>
      <c r="N113" s="7"/>
      <c r="O113" s="7"/>
      <c r="P113" s="7"/>
      <c r="Q113" s="7"/>
      <c r="R113" s="7"/>
    </row>
    <row r="114" spans="6:18" ht="14.25" customHeight="1" x14ac:dyDescent="0.25">
      <c r="F114" s="7"/>
      <c r="G114" s="7"/>
      <c r="H114" s="7"/>
      <c r="I114" s="7"/>
      <c r="J114" s="7"/>
      <c r="K114" s="7"/>
      <c r="L114" s="7"/>
      <c r="M114" s="7"/>
      <c r="N114" s="7"/>
      <c r="O114" s="7"/>
      <c r="P114" s="7"/>
      <c r="Q114" s="7"/>
      <c r="R114" s="7"/>
    </row>
    <row r="115" spans="6:18" ht="14.25" customHeight="1" x14ac:dyDescent="0.25">
      <c r="F115" s="7"/>
      <c r="G115" s="7"/>
      <c r="H115" s="7"/>
      <c r="I115" s="7"/>
      <c r="J115" s="7"/>
      <c r="K115" s="7"/>
      <c r="L115" s="7"/>
      <c r="M115" s="7"/>
      <c r="N115" s="7"/>
      <c r="O115" s="7"/>
      <c r="P115" s="7"/>
      <c r="Q115" s="7"/>
      <c r="R115" s="7"/>
    </row>
    <row r="116" spans="6:18" ht="14.25" customHeight="1" x14ac:dyDescent="0.25">
      <c r="F116" s="7"/>
      <c r="G116" s="7"/>
      <c r="H116" s="7"/>
      <c r="I116" s="7"/>
      <c r="J116" s="7"/>
      <c r="K116" s="7"/>
      <c r="L116" s="7"/>
      <c r="M116" s="7"/>
      <c r="N116" s="7"/>
      <c r="O116" s="7"/>
      <c r="P116" s="7"/>
      <c r="Q116" s="7"/>
      <c r="R116" s="7"/>
    </row>
    <row r="117" spans="6:18" ht="14.25" customHeight="1" x14ac:dyDescent="0.25">
      <c r="F117" s="7"/>
      <c r="G117" s="7"/>
      <c r="H117" s="7"/>
      <c r="I117" s="7"/>
      <c r="J117" s="7"/>
      <c r="K117" s="7"/>
      <c r="L117" s="7"/>
      <c r="M117" s="7"/>
      <c r="N117" s="7"/>
      <c r="O117" s="7"/>
      <c r="P117" s="7"/>
      <c r="Q117" s="7"/>
      <c r="R117" s="7"/>
    </row>
    <row r="118" spans="6:18" ht="14.25" customHeight="1" x14ac:dyDescent="0.25">
      <c r="F118" s="7"/>
      <c r="G118" s="7"/>
      <c r="H118" s="7"/>
      <c r="I118" s="7"/>
      <c r="J118" s="7"/>
      <c r="K118" s="7"/>
      <c r="L118" s="7"/>
      <c r="M118" s="7"/>
      <c r="N118" s="7"/>
      <c r="O118" s="7"/>
      <c r="P118" s="7"/>
      <c r="Q118" s="7"/>
      <c r="R118" s="7"/>
    </row>
    <row r="119" spans="6:18" ht="14.25" customHeight="1" x14ac:dyDescent="0.25">
      <c r="F119" s="7"/>
      <c r="G119" s="7"/>
      <c r="H119" s="7"/>
      <c r="I119" s="7"/>
      <c r="J119" s="7"/>
      <c r="K119" s="7"/>
      <c r="L119" s="7"/>
      <c r="M119" s="7"/>
      <c r="N119" s="7"/>
      <c r="O119" s="7"/>
      <c r="P119" s="7"/>
      <c r="Q119" s="7"/>
      <c r="R119" s="7"/>
    </row>
    <row r="120" spans="6:18" ht="14.25" customHeight="1" x14ac:dyDescent="0.25">
      <c r="F120" s="7"/>
      <c r="G120" s="7"/>
      <c r="H120" s="7"/>
      <c r="I120" s="7"/>
      <c r="J120" s="7"/>
      <c r="K120" s="7"/>
      <c r="L120" s="7"/>
      <c r="M120" s="7"/>
      <c r="N120" s="7"/>
      <c r="O120" s="7"/>
      <c r="P120" s="7"/>
      <c r="Q120" s="7"/>
      <c r="R120" s="7"/>
    </row>
    <row r="121" spans="6:18" ht="14.25" customHeight="1" x14ac:dyDescent="0.25">
      <c r="F121" s="7"/>
      <c r="G121" s="7"/>
      <c r="H121" s="7"/>
      <c r="I121" s="7"/>
      <c r="J121" s="7"/>
      <c r="K121" s="7"/>
      <c r="L121" s="7"/>
      <c r="M121" s="7"/>
      <c r="N121" s="7"/>
      <c r="O121" s="7"/>
      <c r="P121" s="7"/>
      <c r="Q121" s="7"/>
      <c r="R121" s="7"/>
    </row>
    <row r="122" spans="6:18" ht="14.25" customHeight="1" x14ac:dyDescent="0.25">
      <c r="F122" s="7"/>
      <c r="G122" s="7"/>
      <c r="H122" s="7"/>
      <c r="I122" s="7"/>
      <c r="J122" s="7"/>
      <c r="K122" s="7"/>
      <c r="L122" s="7"/>
      <c r="M122" s="7"/>
      <c r="N122" s="7"/>
      <c r="O122" s="7"/>
      <c r="P122" s="7"/>
      <c r="Q122" s="7"/>
      <c r="R122" s="7"/>
    </row>
    <row r="123" spans="6:18" ht="14.25" customHeight="1" x14ac:dyDescent="0.25">
      <c r="F123" s="7"/>
      <c r="G123" s="7"/>
      <c r="H123" s="7"/>
      <c r="I123" s="7"/>
      <c r="J123" s="7"/>
      <c r="K123" s="7"/>
      <c r="L123" s="7"/>
      <c r="M123" s="7"/>
      <c r="N123" s="7"/>
      <c r="O123" s="7"/>
      <c r="P123" s="7"/>
      <c r="Q123" s="7"/>
      <c r="R123" s="7"/>
    </row>
    <row r="124" spans="6:18" ht="14.25" customHeight="1" x14ac:dyDescent="0.25">
      <c r="F124" s="7"/>
      <c r="G124" s="7"/>
      <c r="H124" s="7"/>
      <c r="I124" s="7"/>
      <c r="J124" s="7"/>
      <c r="K124" s="7"/>
      <c r="L124" s="7"/>
      <c r="M124" s="7"/>
      <c r="N124" s="7"/>
      <c r="O124" s="7"/>
      <c r="P124" s="7"/>
      <c r="Q124" s="7"/>
      <c r="R124" s="7"/>
    </row>
    <row r="125" spans="6:18" ht="14.25" customHeight="1" x14ac:dyDescent="0.25">
      <c r="F125" s="7"/>
      <c r="G125" s="7"/>
      <c r="H125" s="7"/>
      <c r="I125" s="7"/>
      <c r="J125" s="7"/>
      <c r="K125" s="7"/>
      <c r="L125" s="7"/>
      <c r="M125" s="7"/>
      <c r="N125" s="7"/>
      <c r="O125" s="7"/>
      <c r="P125" s="7"/>
      <c r="Q125" s="7"/>
      <c r="R125" s="7"/>
    </row>
    <row r="126" spans="6:18" ht="14.25" customHeight="1" x14ac:dyDescent="0.25">
      <c r="F126" s="7"/>
      <c r="G126" s="7"/>
      <c r="H126" s="7"/>
      <c r="I126" s="7"/>
      <c r="J126" s="7"/>
      <c r="K126" s="7"/>
      <c r="L126" s="7"/>
      <c r="M126" s="7"/>
      <c r="N126" s="7"/>
      <c r="O126" s="7"/>
      <c r="P126" s="7"/>
      <c r="Q126" s="7"/>
      <c r="R126" s="7"/>
    </row>
    <row r="127" spans="6:18" ht="14.25" customHeight="1" x14ac:dyDescent="0.25">
      <c r="F127" s="7"/>
      <c r="G127" s="7"/>
      <c r="H127" s="7"/>
      <c r="I127" s="7"/>
      <c r="J127" s="7"/>
      <c r="K127" s="7"/>
      <c r="L127" s="7"/>
      <c r="M127" s="7"/>
      <c r="N127" s="7"/>
      <c r="O127" s="7"/>
      <c r="P127" s="7"/>
      <c r="Q127" s="7"/>
      <c r="R127" s="7"/>
    </row>
    <row r="128" spans="6:18" ht="14.25" customHeight="1" x14ac:dyDescent="0.25">
      <c r="F128" s="7"/>
      <c r="G128" s="7"/>
      <c r="H128" s="7"/>
      <c r="I128" s="7"/>
      <c r="J128" s="7"/>
      <c r="K128" s="7"/>
      <c r="L128" s="7"/>
      <c r="M128" s="7"/>
      <c r="N128" s="7"/>
      <c r="O128" s="7"/>
      <c r="P128" s="7"/>
      <c r="Q128" s="7"/>
      <c r="R128" s="7"/>
    </row>
    <row r="129" spans="6:18" ht="14.25" customHeight="1" x14ac:dyDescent="0.25">
      <c r="F129" s="7"/>
      <c r="G129" s="7"/>
      <c r="H129" s="7"/>
      <c r="I129" s="7"/>
      <c r="J129" s="7"/>
      <c r="K129" s="7"/>
      <c r="L129" s="7"/>
      <c r="M129" s="7"/>
      <c r="N129" s="7"/>
      <c r="O129" s="7"/>
      <c r="P129" s="7"/>
      <c r="Q129" s="7"/>
      <c r="R129" s="7"/>
    </row>
    <row r="130" spans="6:18" ht="14.25" customHeight="1" x14ac:dyDescent="0.25">
      <c r="F130" s="7"/>
      <c r="G130" s="7"/>
      <c r="H130" s="7"/>
      <c r="I130" s="7"/>
      <c r="J130" s="7"/>
      <c r="K130" s="7"/>
      <c r="L130" s="7"/>
      <c r="M130" s="7"/>
      <c r="N130" s="7"/>
      <c r="O130" s="7"/>
      <c r="P130" s="7"/>
      <c r="Q130" s="7"/>
      <c r="R130" s="7"/>
    </row>
    <row r="131" spans="6:18" ht="14.25" customHeight="1" x14ac:dyDescent="0.25">
      <c r="F131" s="7"/>
      <c r="G131" s="7"/>
      <c r="H131" s="7"/>
      <c r="I131" s="7"/>
      <c r="J131" s="7"/>
      <c r="K131" s="7"/>
      <c r="L131" s="7"/>
      <c r="M131" s="7"/>
      <c r="N131" s="7"/>
      <c r="O131" s="7"/>
      <c r="P131" s="7"/>
      <c r="Q131" s="7"/>
      <c r="R131" s="7"/>
    </row>
    <row r="132" spans="6:18" ht="14.25" customHeight="1" x14ac:dyDescent="0.25">
      <c r="F132" s="7"/>
      <c r="G132" s="7"/>
      <c r="H132" s="7"/>
      <c r="I132" s="7"/>
      <c r="J132" s="7"/>
      <c r="K132" s="7"/>
      <c r="L132" s="7"/>
      <c r="M132" s="7"/>
      <c r="N132" s="7"/>
      <c r="O132" s="7"/>
      <c r="P132" s="7"/>
      <c r="Q132" s="7"/>
      <c r="R132" s="7"/>
    </row>
    <row r="133" spans="6:18" ht="14.25" customHeight="1" x14ac:dyDescent="0.25">
      <c r="F133" s="7"/>
      <c r="G133" s="7"/>
      <c r="H133" s="7"/>
      <c r="I133" s="7"/>
      <c r="J133" s="7"/>
      <c r="K133" s="7"/>
      <c r="L133" s="7"/>
      <c r="M133" s="7"/>
      <c r="N133" s="7"/>
      <c r="O133" s="7"/>
      <c r="P133" s="7"/>
      <c r="Q133" s="7"/>
      <c r="R133" s="7"/>
    </row>
    <row r="134" spans="6:18" ht="14.25" customHeight="1" x14ac:dyDescent="0.25">
      <c r="F134" s="7"/>
      <c r="G134" s="7"/>
      <c r="H134" s="7"/>
      <c r="I134" s="7"/>
      <c r="J134" s="7"/>
      <c r="K134" s="7"/>
      <c r="L134" s="7"/>
      <c r="M134" s="7"/>
      <c r="N134" s="7"/>
      <c r="O134" s="7"/>
      <c r="P134" s="7"/>
      <c r="Q134" s="7"/>
      <c r="R134" s="7"/>
    </row>
    <row r="135" spans="6:18" ht="14.25" customHeight="1" x14ac:dyDescent="0.25">
      <c r="F135" s="7"/>
      <c r="G135" s="7"/>
      <c r="H135" s="7"/>
      <c r="I135" s="7"/>
      <c r="J135" s="7"/>
      <c r="K135" s="7"/>
      <c r="L135" s="7"/>
      <c r="M135" s="7"/>
      <c r="N135" s="7"/>
      <c r="O135" s="7"/>
      <c r="P135" s="7"/>
      <c r="Q135" s="7"/>
      <c r="R135" s="7"/>
    </row>
    <row r="136" spans="6:18" ht="14.25" customHeight="1" x14ac:dyDescent="0.25">
      <c r="F136" s="7"/>
      <c r="G136" s="7"/>
      <c r="H136" s="7"/>
      <c r="I136" s="7"/>
      <c r="J136" s="7"/>
      <c r="K136" s="7"/>
      <c r="L136" s="7"/>
      <c r="M136" s="7"/>
      <c r="N136" s="7"/>
      <c r="O136" s="7"/>
      <c r="P136" s="7"/>
      <c r="Q136" s="7"/>
      <c r="R136" s="7"/>
    </row>
    <row r="137" spans="6:18" ht="14.25" customHeight="1" x14ac:dyDescent="0.25">
      <c r="F137" s="7"/>
      <c r="G137" s="7"/>
      <c r="H137" s="7"/>
      <c r="I137" s="7"/>
      <c r="J137" s="7"/>
      <c r="K137" s="7"/>
      <c r="L137" s="7"/>
      <c r="M137" s="7"/>
      <c r="N137" s="7"/>
      <c r="O137" s="7"/>
      <c r="P137" s="7"/>
      <c r="Q137" s="7"/>
      <c r="R137" s="7"/>
    </row>
    <row r="138" spans="6:18" ht="14.25" customHeight="1" x14ac:dyDescent="0.25">
      <c r="F138" s="7"/>
      <c r="G138" s="7"/>
      <c r="H138" s="7"/>
      <c r="I138" s="7"/>
      <c r="J138" s="7"/>
      <c r="K138" s="7"/>
      <c r="L138" s="7"/>
      <c r="M138" s="7"/>
      <c r="N138" s="7"/>
      <c r="O138" s="7"/>
      <c r="P138" s="7"/>
      <c r="Q138" s="7"/>
      <c r="R138" s="7"/>
    </row>
    <row r="139" spans="6:18" ht="14.25" customHeight="1" x14ac:dyDescent="0.25">
      <c r="F139" s="7"/>
      <c r="G139" s="7"/>
      <c r="H139" s="7"/>
      <c r="I139" s="7"/>
      <c r="J139" s="7"/>
      <c r="K139" s="7"/>
      <c r="L139" s="7"/>
      <c r="M139" s="7"/>
      <c r="N139" s="7"/>
      <c r="O139" s="7"/>
      <c r="P139" s="7"/>
      <c r="Q139" s="7"/>
      <c r="R139" s="7"/>
    </row>
    <row r="140" spans="6:18" ht="14.25" customHeight="1" x14ac:dyDescent="0.25">
      <c r="F140" s="7"/>
      <c r="G140" s="7"/>
      <c r="H140" s="7"/>
      <c r="I140" s="7"/>
      <c r="J140" s="7"/>
      <c r="K140" s="7"/>
      <c r="L140" s="7"/>
      <c r="M140" s="7"/>
      <c r="N140" s="7"/>
      <c r="O140" s="7"/>
      <c r="P140" s="7"/>
      <c r="Q140" s="7"/>
      <c r="R140" s="7"/>
    </row>
    <row r="141" spans="6:18" ht="14.25" customHeight="1" x14ac:dyDescent="0.25">
      <c r="F141" s="7"/>
      <c r="G141" s="7"/>
      <c r="H141" s="7"/>
      <c r="I141" s="7"/>
      <c r="J141" s="7"/>
      <c r="K141" s="7"/>
      <c r="L141" s="7"/>
      <c r="M141" s="7"/>
      <c r="N141" s="7"/>
      <c r="O141" s="7"/>
      <c r="P141" s="7"/>
      <c r="Q141" s="7"/>
      <c r="R141" s="7"/>
    </row>
    <row r="142" spans="6:18" ht="14.25" customHeight="1" x14ac:dyDescent="0.25">
      <c r="F142" s="7"/>
      <c r="G142" s="7"/>
      <c r="H142" s="7"/>
      <c r="I142" s="7"/>
      <c r="J142" s="7"/>
      <c r="K142" s="7"/>
      <c r="L142" s="7"/>
      <c r="M142" s="7"/>
      <c r="N142" s="7"/>
      <c r="O142" s="7"/>
      <c r="P142" s="7"/>
      <c r="Q142" s="7"/>
      <c r="R142" s="7"/>
    </row>
    <row r="143" spans="6:18" ht="14.25" customHeight="1" x14ac:dyDescent="0.25">
      <c r="F143" s="7"/>
      <c r="G143" s="7"/>
      <c r="H143" s="7"/>
      <c r="I143" s="7"/>
      <c r="J143" s="7"/>
      <c r="K143" s="7"/>
      <c r="L143" s="7"/>
      <c r="M143" s="7"/>
      <c r="N143" s="7"/>
      <c r="O143" s="7"/>
      <c r="P143" s="7"/>
      <c r="Q143" s="7"/>
      <c r="R143" s="7"/>
    </row>
    <row r="144" spans="6:18" ht="14.25" customHeight="1" x14ac:dyDescent="0.25">
      <c r="F144" s="7"/>
      <c r="G144" s="7"/>
      <c r="H144" s="7"/>
      <c r="I144" s="7"/>
      <c r="J144" s="7"/>
      <c r="K144" s="7"/>
      <c r="L144" s="7"/>
      <c r="M144" s="7"/>
      <c r="N144" s="7"/>
      <c r="O144" s="7"/>
      <c r="P144" s="7"/>
      <c r="Q144" s="7"/>
      <c r="R144" s="7"/>
    </row>
    <row r="145" spans="6:18" ht="14.25" customHeight="1" x14ac:dyDescent="0.25">
      <c r="F145" s="7"/>
      <c r="G145" s="7"/>
      <c r="H145" s="7"/>
      <c r="I145" s="7"/>
      <c r="J145" s="7"/>
      <c r="K145" s="7"/>
      <c r="L145" s="7"/>
      <c r="M145" s="7"/>
      <c r="N145" s="7"/>
      <c r="O145" s="7"/>
      <c r="P145" s="7"/>
      <c r="Q145" s="7"/>
      <c r="R145" s="7"/>
    </row>
    <row r="146" spans="6:18" ht="14.25" customHeight="1" x14ac:dyDescent="0.25">
      <c r="F146" s="7"/>
      <c r="G146" s="7"/>
      <c r="H146" s="7"/>
      <c r="I146" s="7"/>
      <c r="J146" s="7"/>
      <c r="K146" s="7"/>
      <c r="L146" s="7"/>
      <c r="M146" s="7"/>
      <c r="N146" s="7"/>
      <c r="O146" s="7"/>
      <c r="P146" s="7"/>
      <c r="Q146" s="7"/>
      <c r="R146" s="7"/>
    </row>
    <row r="147" spans="6:18" ht="14.25" customHeight="1" x14ac:dyDescent="0.25">
      <c r="F147" s="7"/>
      <c r="G147" s="7"/>
      <c r="H147" s="7"/>
      <c r="I147" s="7"/>
      <c r="J147" s="7"/>
      <c r="K147" s="7"/>
      <c r="L147" s="7"/>
      <c r="M147" s="7"/>
      <c r="N147" s="7"/>
      <c r="O147" s="7"/>
      <c r="P147" s="7"/>
      <c r="Q147" s="7"/>
      <c r="R147" s="7"/>
    </row>
    <row r="148" spans="6:18" ht="14.25" customHeight="1" x14ac:dyDescent="0.25">
      <c r="F148" s="7"/>
      <c r="G148" s="7"/>
      <c r="H148" s="7"/>
      <c r="I148" s="7"/>
      <c r="J148" s="7"/>
      <c r="K148" s="7"/>
      <c r="L148" s="7"/>
      <c r="M148" s="7"/>
      <c r="N148" s="7"/>
      <c r="O148" s="7"/>
      <c r="P148" s="7"/>
      <c r="Q148" s="7"/>
      <c r="R148" s="7"/>
    </row>
    <row r="149" spans="6:18" ht="14.25" customHeight="1" x14ac:dyDescent="0.25">
      <c r="F149" s="7"/>
      <c r="G149" s="7"/>
      <c r="H149" s="7"/>
      <c r="I149" s="7"/>
      <c r="J149" s="7"/>
      <c r="K149" s="7"/>
      <c r="L149" s="7"/>
      <c r="M149" s="7"/>
      <c r="N149" s="7"/>
      <c r="O149" s="7"/>
      <c r="P149" s="7"/>
      <c r="Q149" s="7"/>
      <c r="R149" s="7"/>
    </row>
    <row r="150" spans="6:18" ht="14.25" customHeight="1" x14ac:dyDescent="0.25">
      <c r="F150" s="7"/>
      <c r="G150" s="7"/>
      <c r="H150" s="7"/>
      <c r="I150" s="7"/>
      <c r="J150" s="7"/>
      <c r="K150" s="7"/>
      <c r="L150" s="7"/>
      <c r="M150" s="7"/>
      <c r="N150" s="7"/>
      <c r="O150" s="7"/>
      <c r="P150" s="7"/>
      <c r="Q150" s="7"/>
      <c r="R150" s="7"/>
    </row>
    <row r="151" spans="6:18" ht="14.25" customHeight="1" x14ac:dyDescent="0.25">
      <c r="F151" s="7"/>
      <c r="G151" s="7"/>
      <c r="H151" s="7"/>
      <c r="I151" s="7"/>
      <c r="J151" s="7"/>
      <c r="K151" s="7"/>
      <c r="L151" s="7"/>
      <c r="M151" s="7"/>
      <c r="N151" s="7"/>
      <c r="O151" s="7"/>
      <c r="P151" s="7"/>
      <c r="Q151" s="7"/>
      <c r="R151" s="7"/>
    </row>
    <row r="152" spans="6:18" ht="14.25" customHeight="1" x14ac:dyDescent="0.25">
      <c r="F152" s="7"/>
      <c r="G152" s="7"/>
      <c r="H152" s="7"/>
      <c r="I152" s="7"/>
      <c r="J152" s="7"/>
      <c r="K152" s="7"/>
      <c r="L152" s="7"/>
      <c r="M152" s="7"/>
      <c r="N152" s="7"/>
      <c r="O152" s="7"/>
      <c r="P152" s="7"/>
      <c r="Q152" s="7"/>
      <c r="R152" s="7"/>
    </row>
    <row r="153" spans="6:18" ht="14.25" customHeight="1" x14ac:dyDescent="0.25">
      <c r="F153" s="7"/>
      <c r="G153" s="7"/>
      <c r="H153" s="7"/>
      <c r="I153" s="7"/>
      <c r="J153" s="7"/>
      <c r="K153" s="7"/>
      <c r="L153" s="7"/>
      <c r="M153" s="7"/>
      <c r="N153" s="7"/>
      <c r="O153" s="7"/>
      <c r="P153" s="7"/>
      <c r="Q153" s="7"/>
      <c r="R153" s="7"/>
    </row>
    <row r="154" spans="6:18" ht="14.25" customHeight="1" x14ac:dyDescent="0.25">
      <c r="F154" s="7"/>
      <c r="G154" s="7"/>
      <c r="H154" s="7"/>
      <c r="I154" s="7"/>
      <c r="J154" s="7"/>
      <c r="K154" s="7"/>
      <c r="L154" s="7"/>
      <c r="M154" s="7"/>
      <c r="N154" s="7"/>
      <c r="O154" s="7"/>
      <c r="P154" s="7"/>
      <c r="Q154" s="7"/>
      <c r="R154" s="7"/>
    </row>
    <row r="155" spans="6:18" ht="14.25" customHeight="1" x14ac:dyDescent="0.25">
      <c r="F155" s="7"/>
      <c r="G155" s="7"/>
      <c r="H155" s="7"/>
      <c r="I155" s="7"/>
      <c r="J155" s="7"/>
      <c r="K155" s="7"/>
      <c r="L155" s="7"/>
      <c r="M155" s="7"/>
      <c r="N155" s="7"/>
      <c r="O155" s="7"/>
      <c r="P155" s="7"/>
      <c r="Q155" s="7"/>
      <c r="R155" s="7"/>
    </row>
    <row r="156" spans="6:18" ht="14.25" customHeight="1" x14ac:dyDescent="0.25">
      <c r="F156" s="7"/>
      <c r="G156" s="7"/>
      <c r="H156" s="7"/>
      <c r="I156" s="7"/>
      <c r="J156" s="7"/>
      <c r="K156" s="7"/>
      <c r="L156" s="7"/>
      <c r="M156" s="7"/>
      <c r="N156" s="7"/>
      <c r="O156" s="7"/>
      <c r="P156" s="7"/>
      <c r="Q156" s="7"/>
      <c r="R156" s="7"/>
    </row>
    <row r="157" spans="6:18" ht="14.25" customHeight="1" x14ac:dyDescent="0.25">
      <c r="F157" s="7"/>
      <c r="G157" s="7"/>
      <c r="H157" s="7"/>
      <c r="I157" s="7"/>
      <c r="J157" s="7"/>
      <c r="K157" s="7"/>
      <c r="L157" s="7"/>
      <c r="M157" s="7"/>
      <c r="N157" s="7"/>
      <c r="O157" s="7"/>
      <c r="P157" s="7"/>
      <c r="Q157" s="7"/>
      <c r="R157" s="7"/>
    </row>
    <row r="158" spans="6:18" ht="14.25" customHeight="1" x14ac:dyDescent="0.25">
      <c r="F158" s="7"/>
      <c r="G158" s="7"/>
      <c r="H158" s="7"/>
      <c r="I158" s="7"/>
      <c r="J158" s="7"/>
      <c r="K158" s="7"/>
      <c r="L158" s="7"/>
      <c r="M158" s="7"/>
      <c r="N158" s="7"/>
      <c r="O158" s="7"/>
      <c r="P158" s="7"/>
      <c r="Q158" s="7"/>
      <c r="R158" s="7"/>
    </row>
    <row r="159" spans="6:18" ht="14.25" customHeight="1" x14ac:dyDescent="0.25">
      <c r="F159" s="7"/>
      <c r="G159" s="7"/>
      <c r="H159" s="7"/>
      <c r="I159" s="7"/>
      <c r="J159" s="7"/>
      <c r="K159" s="7"/>
      <c r="L159" s="7"/>
      <c r="M159" s="7"/>
      <c r="N159" s="7"/>
      <c r="O159" s="7"/>
      <c r="P159" s="7"/>
      <c r="Q159" s="7"/>
      <c r="R159" s="7"/>
    </row>
    <row r="160" spans="6:18" ht="14.25" customHeight="1" x14ac:dyDescent="0.25">
      <c r="F160" s="7"/>
      <c r="G160" s="7"/>
      <c r="H160" s="7"/>
      <c r="I160" s="7"/>
      <c r="J160" s="7"/>
      <c r="K160" s="7"/>
      <c r="L160" s="7"/>
      <c r="M160" s="7"/>
      <c r="N160" s="7"/>
      <c r="O160" s="7"/>
      <c r="P160" s="7"/>
      <c r="Q160" s="7"/>
      <c r="R160" s="7"/>
    </row>
    <row r="161" spans="6:18" ht="14.25" customHeight="1" x14ac:dyDescent="0.25">
      <c r="F161" s="7"/>
      <c r="G161" s="7"/>
      <c r="H161" s="7"/>
      <c r="I161" s="7"/>
      <c r="J161" s="7"/>
      <c r="K161" s="7"/>
      <c r="L161" s="7"/>
      <c r="M161" s="7"/>
      <c r="N161" s="7"/>
      <c r="O161" s="7"/>
      <c r="P161" s="7"/>
      <c r="Q161" s="7"/>
      <c r="R161" s="7"/>
    </row>
    <row r="162" spans="6:18" ht="14.25" customHeight="1" x14ac:dyDescent="0.25">
      <c r="F162" s="7"/>
      <c r="G162" s="7"/>
      <c r="H162" s="7"/>
      <c r="I162" s="7"/>
      <c r="J162" s="7"/>
      <c r="K162" s="7"/>
      <c r="L162" s="7"/>
      <c r="M162" s="7"/>
      <c r="N162" s="7"/>
      <c r="O162" s="7"/>
      <c r="P162" s="7"/>
      <c r="Q162" s="7"/>
      <c r="R162" s="7"/>
    </row>
    <row r="163" spans="6:18" ht="14.25" customHeight="1" x14ac:dyDescent="0.25">
      <c r="F163" s="7"/>
      <c r="G163" s="7"/>
      <c r="H163" s="7"/>
      <c r="I163" s="7"/>
      <c r="J163" s="7"/>
      <c r="K163" s="7"/>
      <c r="L163" s="7"/>
      <c r="M163" s="7"/>
      <c r="N163" s="7"/>
      <c r="O163" s="7"/>
      <c r="P163" s="7"/>
      <c r="Q163" s="7"/>
      <c r="R163" s="7"/>
    </row>
    <row r="164" spans="6:18" ht="14.25" customHeight="1" x14ac:dyDescent="0.25">
      <c r="F164" s="7"/>
      <c r="G164" s="7"/>
      <c r="H164" s="7"/>
      <c r="I164" s="7"/>
      <c r="J164" s="7"/>
      <c r="K164" s="7"/>
      <c r="L164" s="7"/>
      <c r="M164" s="7"/>
      <c r="N164" s="7"/>
      <c r="O164" s="7"/>
      <c r="P164" s="7"/>
      <c r="Q164" s="7"/>
      <c r="R164" s="7"/>
    </row>
    <row r="165" spans="6:18" ht="14.25" customHeight="1" x14ac:dyDescent="0.25">
      <c r="F165" s="7"/>
      <c r="G165" s="7"/>
      <c r="H165" s="7"/>
      <c r="I165" s="7"/>
      <c r="J165" s="7"/>
      <c r="K165" s="7"/>
      <c r="L165" s="7"/>
      <c r="M165" s="7"/>
      <c r="N165" s="7"/>
      <c r="O165" s="7"/>
      <c r="P165" s="7"/>
      <c r="Q165" s="7"/>
      <c r="R165" s="7"/>
    </row>
    <row r="166" spans="6:18" ht="14.25" customHeight="1" x14ac:dyDescent="0.25">
      <c r="F166" s="7"/>
      <c r="G166" s="7"/>
      <c r="H166" s="7"/>
      <c r="I166" s="7"/>
      <c r="J166" s="7"/>
      <c r="K166" s="7"/>
      <c r="L166" s="7"/>
      <c r="M166" s="7"/>
      <c r="N166" s="7"/>
      <c r="O166" s="7"/>
      <c r="P166" s="7"/>
      <c r="Q166" s="7"/>
      <c r="R166" s="7"/>
    </row>
    <row r="167" spans="6:18" ht="14.25" customHeight="1" x14ac:dyDescent="0.25">
      <c r="F167" s="7"/>
      <c r="G167" s="7"/>
      <c r="H167" s="7"/>
      <c r="I167" s="7"/>
      <c r="J167" s="7"/>
      <c r="K167" s="7"/>
      <c r="L167" s="7"/>
      <c r="M167" s="7"/>
      <c r="N167" s="7"/>
      <c r="O167" s="7"/>
      <c r="P167" s="7"/>
      <c r="Q167" s="7"/>
      <c r="R167" s="7"/>
    </row>
    <row r="168" spans="6:18" ht="14.25" customHeight="1" x14ac:dyDescent="0.25">
      <c r="F168" s="7"/>
      <c r="G168" s="7"/>
      <c r="H168" s="7"/>
      <c r="I168" s="7"/>
      <c r="J168" s="7"/>
      <c r="K168" s="7"/>
      <c r="L168" s="7"/>
      <c r="M168" s="7"/>
      <c r="N168" s="7"/>
      <c r="O168" s="7"/>
      <c r="P168" s="7"/>
      <c r="Q168" s="7"/>
      <c r="R168" s="7"/>
    </row>
    <row r="169" spans="6:18" ht="14.25" customHeight="1" x14ac:dyDescent="0.25">
      <c r="F169" s="7"/>
      <c r="G169" s="7"/>
      <c r="H169" s="7"/>
      <c r="I169" s="7"/>
      <c r="J169" s="7"/>
      <c r="K169" s="7"/>
      <c r="L169" s="7"/>
      <c r="M169" s="7"/>
      <c r="N169" s="7"/>
      <c r="O169" s="7"/>
      <c r="P169" s="7"/>
      <c r="Q169" s="7"/>
      <c r="R169" s="7"/>
    </row>
    <row r="170" spans="6:18" ht="14.25" customHeight="1" x14ac:dyDescent="0.25">
      <c r="F170" s="7"/>
      <c r="G170" s="7"/>
      <c r="H170" s="7"/>
      <c r="I170" s="7"/>
      <c r="J170" s="7"/>
      <c r="K170" s="7"/>
      <c r="L170" s="7"/>
      <c r="M170" s="7"/>
      <c r="N170" s="7"/>
      <c r="O170" s="7"/>
      <c r="P170" s="7"/>
      <c r="Q170" s="7"/>
      <c r="R170" s="7"/>
    </row>
    <row r="171" spans="6:18" ht="14.25" customHeight="1" x14ac:dyDescent="0.25">
      <c r="F171" s="7"/>
      <c r="G171" s="7"/>
      <c r="H171" s="7"/>
      <c r="I171" s="7"/>
      <c r="J171" s="7"/>
      <c r="K171" s="7"/>
      <c r="L171" s="7"/>
      <c r="M171" s="7"/>
      <c r="N171" s="7"/>
      <c r="O171" s="7"/>
      <c r="P171" s="7"/>
      <c r="Q171" s="7"/>
      <c r="R171" s="7"/>
    </row>
    <row r="172" spans="6:18" ht="14.25" customHeight="1" x14ac:dyDescent="0.25">
      <c r="F172" s="7"/>
      <c r="G172" s="7"/>
      <c r="H172" s="7"/>
      <c r="I172" s="7"/>
      <c r="J172" s="7"/>
      <c r="K172" s="7"/>
      <c r="L172" s="7"/>
      <c r="M172" s="7"/>
      <c r="N172" s="7"/>
      <c r="O172" s="7"/>
      <c r="P172" s="7"/>
      <c r="Q172" s="7"/>
      <c r="R172" s="7"/>
    </row>
    <row r="173" spans="6:18" ht="14.25" customHeight="1" x14ac:dyDescent="0.25">
      <c r="F173" s="7"/>
      <c r="G173" s="7"/>
      <c r="H173" s="7"/>
      <c r="I173" s="7"/>
      <c r="J173" s="7"/>
      <c r="K173" s="7"/>
      <c r="L173" s="7"/>
      <c r="M173" s="7"/>
      <c r="N173" s="7"/>
      <c r="O173" s="7"/>
      <c r="P173" s="7"/>
      <c r="Q173" s="7"/>
      <c r="R173" s="7"/>
    </row>
    <row r="174" spans="6:18" ht="14.25" customHeight="1" x14ac:dyDescent="0.25">
      <c r="F174" s="7"/>
      <c r="G174" s="7"/>
      <c r="H174" s="7"/>
      <c r="I174" s="7"/>
      <c r="J174" s="7"/>
      <c r="K174" s="7"/>
      <c r="L174" s="7"/>
      <c r="M174" s="7"/>
      <c r="N174" s="7"/>
      <c r="O174" s="7"/>
      <c r="P174" s="7"/>
      <c r="Q174" s="7"/>
      <c r="R174" s="7"/>
    </row>
    <row r="175" spans="6:18" ht="14.25" customHeight="1" x14ac:dyDescent="0.25">
      <c r="F175" s="7"/>
      <c r="G175" s="7"/>
      <c r="H175" s="7"/>
      <c r="I175" s="7"/>
      <c r="J175" s="7"/>
      <c r="K175" s="7"/>
      <c r="L175" s="7"/>
      <c r="M175" s="7"/>
      <c r="N175" s="7"/>
      <c r="O175" s="7"/>
      <c r="P175" s="7"/>
      <c r="Q175" s="7"/>
      <c r="R175" s="7"/>
    </row>
    <row r="176" spans="6:18" ht="14.25" customHeight="1" x14ac:dyDescent="0.25">
      <c r="F176" s="7"/>
      <c r="G176" s="7"/>
      <c r="H176" s="7"/>
      <c r="I176" s="7"/>
      <c r="J176" s="7"/>
      <c r="K176" s="7"/>
      <c r="L176" s="7"/>
      <c r="M176" s="7"/>
      <c r="N176" s="7"/>
      <c r="O176" s="7"/>
      <c r="P176" s="7"/>
      <c r="Q176" s="7"/>
      <c r="R176" s="7"/>
    </row>
    <row r="177" spans="6:18" ht="14.25" customHeight="1" x14ac:dyDescent="0.25">
      <c r="F177" s="7"/>
      <c r="G177" s="7"/>
      <c r="H177" s="7"/>
      <c r="I177" s="7"/>
      <c r="J177" s="7"/>
      <c r="K177" s="7"/>
      <c r="L177" s="7"/>
      <c r="M177" s="7"/>
      <c r="N177" s="7"/>
      <c r="O177" s="7"/>
      <c r="P177" s="7"/>
      <c r="Q177" s="7"/>
      <c r="R177" s="7"/>
    </row>
    <row r="178" spans="6:18" ht="14.25" customHeight="1" x14ac:dyDescent="0.25">
      <c r="F178" s="7"/>
      <c r="G178" s="7"/>
      <c r="H178" s="7"/>
      <c r="I178" s="7"/>
      <c r="J178" s="7"/>
      <c r="K178" s="7"/>
      <c r="L178" s="7"/>
      <c r="M178" s="7"/>
      <c r="N178" s="7"/>
      <c r="O178" s="7"/>
      <c r="P178" s="7"/>
      <c r="Q178" s="7"/>
      <c r="R178" s="7"/>
    </row>
    <row r="179" spans="6:18" ht="14.25" customHeight="1" x14ac:dyDescent="0.25">
      <c r="F179" s="7"/>
      <c r="G179" s="7"/>
      <c r="H179" s="7"/>
      <c r="I179" s="7"/>
      <c r="J179" s="7"/>
      <c r="K179" s="7"/>
      <c r="L179" s="7"/>
      <c r="M179" s="7"/>
      <c r="N179" s="7"/>
      <c r="O179" s="7"/>
      <c r="P179" s="7"/>
      <c r="Q179" s="7"/>
      <c r="R179" s="7"/>
    </row>
    <row r="180" spans="6:18" ht="14.25" customHeight="1" x14ac:dyDescent="0.25">
      <c r="F180" s="7"/>
      <c r="G180" s="7"/>
      <c r="H180" s="7"/>
      <c r="I180" s="7"/>
      <c r="J180" s="7"/>
      <c r="K180" s="7"/>
      <c r="L180" s="7"/>
      <c r="M180" s="7"/>
      <c r="N180" s="7"/>
      <c r="O180" s="7"/>
      <c r="P180" s="7"/>
      <c r="Q180" s="7"/>
      <c r="R180" s="7"/>
    </row>
    <row r="181" spans="6:18" ht="14.25" customHeight="1" x14ac:dyDescent="0.25">
      <c r="F181" s="7"/>
      <c r="G181" s="7"/>
      <c r="H181" s="7"/>
      <c r="I181" s="7"/>
      <c r="J181" s="7"/>
      <c r="K181" s="7"/>
      <c r="L181" s="7"/>
      <c r="M181" s="7"/>
      <c r="N181" s="7"/>
      <c r="O181" s="7"/>
      <c r="P181" s="7"/>
      <c r="Q181" s="7"/>
      <c r="R181" s="7"/>
    </row>
    <row r="182" spans="6:18" ht="14.25" customHeight="1" x14ac:dyDescent="0.25">
      <c r="F182" s="7"/>
      <c r="G182" s="7"/>
      <c r="H182" s="7"/>
      <c r="I182" s="7"/>
      <c r="J182" s="7"/>
      <c r="K182" s="7"/>
      <c r="L182" s="7"/>
      <c r="M182" s="7"/>
      <c r="N182" s="7"/>
      <c r="O182" s="7"/>
      <c r="P182" s="7"/>
      <c r="Q182" s="7"/>
      <c r="R182" s="7"/>
    </row>
    <row r="183" spans="6:18" ht="14.25" customHeight="1" x14ac:dyDescent="0.25">
      <c r="F183" s="7"/>
      <c r="G183" s="7"/>
      <c r="H183" s="7"/>
      <c r="I183" s="7"/>
      <c r="J183" s="7"/>
      <c r="K183" s="7"/>
      <c r="L183" s="7"/>
      <c r="M183" s="7"/>
      <c r="N183" s="7"/>
      <c r="O183" s="7"/>
      <c r="P183" s="7"/>
      <c r="Q183" s="7"/>
      <c r="R183" s="7"/>
    </row>
    <row r="184" spans="6:18" ht="14.25" customHeight="1" x14ac:dyDescent="0.25">
      <c r="F184" s="7"/>
      <c r="G184" s="7"/>
      <c r="H184" s="7"/>
      <c r="I184" s="7"/>
      <c r="J184" s="7"/>
      <c r="K184" s="7"/>
      <c r="L184" s="7"/>
      <c r="M184" s="7"/>
      <c r="N184" s="7"/>
      <c r="O184" s="7"/>
      <c r="P184" s="7"/>
      <c r="Q184" s="7"/>
      <c r="R184" s="7"/>
    </row>
    <row r="185" spans="6:18" ht="14.25" customHeight="1" x14ac:dyDescent="0.25">
      <c r="F185" s="7"/>
      <c r="G185" s="7"/>
      <c r="H185" s="7"/>
      <c r="I185" s="7"/>
      <c r="J185" s="7"/>
      <c r="K185" s="7"/>
      <c r="L185" s="7"/>
      <c r="M185" s="7"/>
      <c r="N185" s="7"/>
      <c r="O185" s="7"/>
      <c r="P185" s="7"/>
      <c r="Q185" s="7"/>
      <c r="R185" s="7"/>
    </row>
    <row r="186" spans="6:18" ht="14.25" customHeight="1" x14ac:dyDescent="0.25">
      <c r="F186" s="7"/>
      <c r="G186" s="7"/>
      <c r="H186" s="7"/>
      <c r="I186" s="7"/>
      <c r="J186" s="7"/>
      <c r="K186" s="7"/>
      <c r="L186" s="7"/>
      <c r="M186" s="7"/>
      <c r="N186" s="7"/>
      <c r="O186" s="7"/>
      <c r="P186" s="7"/>
      <c r="Q186" s="7"/>
      <c r="R186" s="7"/>
    </row>
    <row r="187" spans="6:18" ht="14.25" customHeight="1" x14ac:dyDescent="0.25">
      <c r="F187" s="7"/>
      <c r="G187" s="7"/>
      <c r="H187" s="7"/>
      <c r="I187" s="7"/>
      <c r="J187" s="7"/>
      <c r="K187" s="7"/>
      <c r="L187" s="7"/>
      <c r="M187" s="7"/>
      <c r="N187" s="7"/>
      <c r="O187" s="7"/>
      <c r="P187" s="7"/>
      <c r="Q187" s="7"/>
      <c r="R187" s="7"/>
    </row>
    <row r="188" spans="6:18" ht="14.25" customHeight="1" x14ac:dyDescent="0.25">
      <c r="F188" s="7"/>
      <c r="G188" s="7"/>
      <c r="H188" s="7"/>
      <c r="I188" s="7"/>
      <c r="J188" s="7"/>
      <c r="K188" s="7"/>
      <c r="L188" s="7"/>
      <c r="M188" s="7"/>
      <c r="N188" s="7"/>
      <c r="O188" s="7"/>
      <c r="P188" s="7"/>
      <c r="Q188" s="7"/>
      <c r="R188" s="7"/>
    </row>
    <row r="189" spans="6:18" ht="14.25" customHeight="1" x14ac:dyDescent="0.25">
      <c r="F189" s="7"/>
      <c r="G189" s="7"/>
      <c r="H189" s="7"/>
      <c r="I189" s="7"/>
      <c r="J189" s="7"/>
      <c r="K189" s="7"/>
      <c r="L189" s="7"/>
      <c r="M189" s="7"/>
      <c r="N189" s="7"/>
      <c r="O189" s="7"/>
      <c r="P189" s="7"/>
      <c r="Q189" s="7"/>
      <c r="R189" s="7"/>
    </row>
    <row r="190" spans="6:18" ht="14.25" customHeight="1" x14ac:dyDescent="0.25">
      <c r="F190" s="7"/>
      <c r="G190" s="7"/>
      <c r="H190" s="7"/>
      <c r="I190" s="7"/>
      <c r="J190" s="7"/>
      <c r="K190" s="7"/>
      <c r="L190" s="7"/>
      <c r="M190" s="7"/>
      <c r="N190" s="7"/>
      <c r="O190" s="7"/>
      <c r="P190" s="7"/>
      <c r="Q190" s="7"/>
      <c r="R190" s="7"/>
    </row>
    <row r="191" spans="6:18" ht="14.25" customHeight="1" x14ac:dyDescent="0.25">
      <c r="F191" s="7"/>
      <c r="G191" s="7"/>
      <c r="H191" s="7"/>
      <c r="I191" s="7"/>
      <c r="J191" s="7"/>
      <c r="K191" s="7"/>
      <c r="L191" s="7"/>
      <c r="M191" s="7"/>
      <c r="N191" s="7"/>
      <c r="O191" s="7"/>
      <c r="P191" s="7"/>
      <c r="Q191" s="7"/>
      <c r="R191" s="7"/>
    </row>
    <row r="192" spans="6:18" ht="14.25" customHeight="1" x14ac:dyDescent="0.25">
      <c r="F192" s="7"/>
      <c r="G192" s="7"/>
      <c r="H192" s="7"/>
      <c r="I192" s="7"/>
      <c r="J192" s="7"/>
      <c r="K192" s="7"/>
      <c r="L192" s="7"/>
      <c r="M192" s="7"/>
      <c r="N192" s="7"/>
      <c r="O192" s="7"/>
      <c r="P192" s="7"/>
      <c r="Q192" s="7"/>
      <c r="R192" s="7"/>
    </row>
    <row r="193" spans="6:18" ht="14.25" customHeight="1" x14ac:dyDescent="0.25">
      <c r="F193" s="7"/>
      <c r="G193" s="7"/>
      <c r="H193" s="7"/>
      <c r="I193" s="7"/>
      <c r="J193" s="7"/>
      <c r="K193" s="7"/>
      <c r="L193" s="7"/>
      <c r="M193" s="7"/>
      <c r="N193" s="7"/>
      <c r="O193" s="7"/>
      <c r="P193" s="7"/>
      <c r="Q193" s="7"/>
      <c r="R193" s="7"/>
    </row>
    <row r="194" spans="6:18" ht="14.25" customHeight="1" x14ac:dyDescent="0.25">
      <c r="F194" s="7"/>
      <c r="G194" s="7"/>
      <c r="H194" s="7"/>
      <c r="I194" s="7"/>
      <c r="J194" s="7"/>
      <c r="K194" s="7"/>
      <c r="L194" s="7"/>
      <c r="M194" s="7"/>
      <c r="N194" s="7"/>
      <c r="O194" s="7"/>
      <c r="P194" s="7"/>
      <c r="Q194" s="7"/>
      <c r="R194" s="7"/>
    </row>
    <row r="195" spans="6:18" ht="14.25" customHeight="1" x14ac:dyDescent="0.25">
      <c r="F195" s="7"/>
      <c r="G195" s="7"/>
      <c r="H195" s="7"/>
      <c r="I195" s="7"/>
      <c r="J195" s="7"/>
      <c r="K195" s="7"/>
      <c r="L195" s="7"/>
      <c r="M195" s="7"/>
      <c r="N195" s="7"/>
      <c r="O195" s="7"/>
      <c r="P195" s="7"/>
      <c r="Q195" s="7"/>
      <c r="R195" s="7"/>
    </row>
    <row r="196" spans="6:18" ht="14.25" customHeight="1" x14ac:dyDescent="0.25">
      <c r="F196" s="7"/>
      <c r="G196" s="7"/>
      <c r="H196" s="7"/>
      <c r="I196" s="7"/>
      <c r="J196" s="7"/>
      <c r="K196" s="7"/>
      <c r="L196" s="7"/>
      <c r="M196" s="7"/>
      <c r="N196" s="7"/>
      <c r="O196" s="7"/>
      <c r="P196" s="7"/>
      <c r="Q196" s="7"/>
      <c r="R196" s="7"/>
    </row>
    <row r="197" spans="6:18" ht="14.25" customHeight="1" x14ac:dyDescent="0.25">
      <c r="F197" s="7"/>
      <c r="G197" s="7"/>
      <c r="H197" s="7"/>
      <c r="I197" s="7"/>
      <c r="J197" s="7"/>
      <c r="K197" s="7"/>
      <c r="L197" s="7"/>
      <c r="M197" s="7"/>
      <c r="N197" s="7"/>
      <c r="O197" s="7"/>
      <c r="P197" s="7"/>
      <c r="Q197" s="7"/>
      <c r="R197" s="7"/>
    </row>
    <row r="198" spans="6:18" ht="14.25" customHeight="1" x14ac:dyDescent="0.25">
      <c r="F198" s="7"/>
      <c r="G198" s="7"/>
      <c r="H198" s="7"/>
      <c r="I198" s="7"/>
      <c r="J198" s="7"/>
      <c r="K198" s="7"/>
      <c r="L198" s="7"/>
      <c r="M198" s="7"/>
      <c r="N198" s="7"/>
      <c r="O198" s="7"/>
      <c r="P198" s="7"/>
      <c r="Q198" s="7"/>
      <c r="R198" s="7"/>
    </row>
    <row r="199" spans="6:18" ht="14.25" customHeight="1" x14ac:dyDescent="0.25">
      <c r="F199" s="7"/>
      <c r="G199" s="7"/>
      <c r="H199" s="7"/>
      <c r="I199" s="7"/>
      <c r="J199" s="7"/>
      <c r="K199" s="7"/>
      <c r="L199" s="7"/>
      <c r="M199" s="7"/>
      <c r="N199" s="7"/>
      <c r="O199" s="7"/>
      <c r="P199" s="7"/>
      <c r="Q199" s="7"/>
      <c r="R199" s="7"/>
    </row>
    <row r="200" spans="6:18" ht="14.25" customHeight="1" x14ac:dyDescent="0.25">
      <c r="F200" s="7"/>
      <c r="G200" s="7"/>
      <c r="H200" s="7"/>
      <c r="I200" s="7"/>
      <c r="J200" s="7"/>
      <c r="K200" s="7"/>
      <c r="L200" s="7"/>
      <c r="M200" s="7"/>
      <c r="N200" s="7"/>
      <c r="O200" s="7"/>
      <c r="P200" s="7"/>
      <c r="Q200" s="7"/>
      <c r="R200" s="7"/>
    </row>
    <row r="201" spans="6:18" ht="14.25" customHeight="1" x14ac:dyDescent="0.25">
      <c r="F201" s="7"/>
      <c r="G201" s="7"/>
      <c r="H201" s="7"/>
      <c r="I201" s="7"/>
      <c r="J201" s="7"/>
      <c r="K201" s="7"/>
      <c r="L201" s="7"/>
      <c r="M201" s="7"/>
      <c r="N201" s="7"/>
      <c r="O201" s="7"/>
      <c r="P201" s="7"/>
      <c r="Q201" s="7"/>
      <c r="R201" s="7"/>
    </row>
    <row r="202" spans="6:18" ht="14.25" customHeight="1" x14ac:dyDescent="0.25">
      <c r="F202" s="7"/>
      <c r="G202" s="7"/>
      <c r="H202" s="7"/>
      <c r="I202" s="7"/>
      <c r="J202" s="7"/>
      <c r="K202" s="7"/>
      <c r="L202" s="7"/>
      <c r="M202" s="7"/>
      <c r="N202" s="7"/>
      <c r="O202" s="7"/>
      <c r="P202" s="7"/>
      <c r="Q202" s="7"/>
      <c r="R202" s="7"/>
    </row>
    <row r="203" spans="6:18" ht="14.25" customHeight="1" x14ac:dyDescent="0.25">
      <c r="F203" s="7"/>
      <c r="G203" s="7"/>
      <c r="H203" s="7"/>
      <c r="I203" s="7"/>
      <c r="J203" s="7"/>
      <c r="K203" s="7"/>
      <c r="L203" s="7"/>
      <c r="M203" s="7"/>
      <c r="N203" s="7"/>
      <c r="O203" s="7"/>
      <c r="P203" s="7"/>
      <c r="Q203" s="7"/>
      <c r="R203" s="7"/>
    </row>
    <row r="204" spans="6:18" ht="14.25" customHeight="1" x14ac:dyDescent="0.25">
      <c r="F204" s="7"/>
      <c r="G204" s="7"/>
      <c r="H204" s="7"/>
      <c r="I204" s="7"/>
      <c r="J204" s="7"/>
      <c r="K204" s="7"/>
      <c r="L204" s="7"/>
      <c r="M204" s="7"/>
      <c r="N204" s="7"/>
      <c r="O204" s="7"/>
      <c r="P204" s="7"/>
      <c r="Q204" s="7"/>
      <c r="R204" s="7"/>
    </row>
    <row r="205" spans="6:18" ht="14.25" customHeight="1" x14ac:dyDescent="0.25">
      <c r="F205" s="7"/>
      <c r="G205" s="7"/>
      <c r="H205" s="7"/>
      <c r="I205" s="7"/>
      <c r="J205" s="7"/>
      <c r="K205" s="7"/>
      <c r="L205" s="7"/>
      <c r="M205" s="7"/>
      <c r="N205" s="7"/>
      <c r="O205" s="7"/>
      <c r="P205" s="7"/>
      <c r="Q205" s="7"/>
      <c r="R205" s="7"/>
    </row>
    <row r="206" spans="6:18" ht="14.25" customHeight="1" x14ac:dyDescent="0.25">
      <c r="F206" s="7"/>
      <c r="G206" s="7"/>
      <c r="H206" s="7"/>
      <c r="I206" s="7"/>
      <c r="J206" s="7"/>
      <c r="K206" s="7"/>
      <c r="L206" s="7"/>
      <c r="M206" s="7"/>
      <c r="N206" s="7"/>
      <c r="O206" s="7"/>
      <c r="P206" s="7"/>
      <c r="Q206" s="7"/>
      <c r="R206" s="7"/>
    </row>
    <row r="207" spans="6:18" ht="14.25" customHeight="1" x14ac:dyDescent="0.25">
      <c r="F207" s="7"/>
      <c r="G207" s="7"/>
      <c r="H207" s="7"/>
      <c r="I207" s="7"/>
      <c r="J207" s="7"/>
      <c r="K207" s="7"/>
      <c r="L207" s="7"/>
      <c r="M207" s="7"/>
      <c r="N207" s="7"/>
      <c r="O207" s="7"/>
      <c r="P207" s="7"/>
      <c r="Q207" s="7"/>
      <c r="R207" s="7"/>
    </row>
    <row r="208" spans="6:18" ht="14.25" customHeight="1" x14ac:dyDescent="0.25">
      <c r="F208" s="7"/>
      <c r="G208" s="7"/>
      <c r="H208" s="7"/>
      <c r="I208" s="7"/>
      <c r="J208" s="7"/>
      <c r="K208" s="7"/>
      <c r="L208" s="7"/>
      <c r="M208" s="7"/>
      <c r="N208" s="7"/>
      <c r="O208" s="7"/>
      <c r="P208" s="7"/>
      <c r="Q208" s="7"/>
      <c r="R208" s="7"/>
    </row>
    <row r="209" spans="6:18" ht="14.25" customHeight="1" x14ac:dyDescent="0.25">
      <c r="F209" s="7"/>
      <c r="G209" s="7"/>
      <c r="H209" s="7"/>
      <c r="I209" s="7"/>
      <c r="J209" s="7"/>
      <c r="K209" s="7"/>
      <c r="L209" s="7"/>
      <c r="M209" s="7"/>
      <c r="N209" s="7"/>
      <c r="O209" s="7"/>
      <c r="P209" s="7"/>
      <c r="Q209" s="7"/>
      <c r="R209" s="7"/>
    </row>
    <row r="210" spans="6:18" ht="14.25" customHeight="1" x14ac:dyDescent="0.25">
      <c r="F210" s="7"/>
      <c r="G210" s="7"/>
      <c r="H210" s="7"/>
      <c r="I210" s="7"/>
      <c r="J210" s="7"/>
      <c r="K210" s="7"/>
      <c r="L210" s="7"/>
      <c r="M210" s="7"/>
      <c r="N210" s="7"/>
      <c r="O210" s="7"/>
      <c r="P210" s="7"/>
      <c r="Q210" s="7"/>
      <c r="R210" s="7"/>
    </row>
    <row r="211" spans="6:18" ht="14.25" customHeight="1" x14ac:dyDescent="0.25">
      <c r="F211" s="7"/>
      <c r="G211" s="7"/>
      <c r="H211" s="7"/>
      <c r="I211" s="7"/>
      <c r="J211" s="7"/>
      <c r="K211" s="7"/>
      <c r="L211" s="7"/>
      <c r="M211" s="7"/>
      <c r="N211" s="7"/>
      <c r="O211" s="7"/>
      <c r="P211" s="7"/>
      <c r="Q211" s="7"/>
      <c r="R211" s="7"/>
    </row>
    <row r="212" spans="6:18" ht="14.25" customHeight="1" x14ac:dyDescent="0.25">
      <c r="F212" s="7"/>
      <c r="G212" s="7"/>
      <c r="H212" s="7"/>
      <c r="I212" s="7"/>
      <c r="J212" s="7"/>
      <c r="K212" s="7"/>
      <c r="L212" s="7"/>
      <c r="M212" s="7"/>
      <c r="N212" s="7"/>
      <c r="O212" s="7"/>
      <c r="P212" s="7"/>
      <c r="Q212" s="7"/>
      <c r="R212" s="7"/>
    </row>
    <row r="213" spans="6:18" ht="14.25" customHeight="1" x14ac:dyDescent="0.25">
      <c r="F213" s="7"/>
      <c r="G213" s="7"/>
      <c r="H213" s="7"/>
      <c r="I213" s="7"/>
      <c r="J213" s="7"/>
      <c r="K213" s="7"/>
      <c r="L213" s="7"/>
      <c r="M213" s="7"/>
      <c r="N213" s="7"/>
      <c r="O213" s="7"/>
      <c r="P213" s="7"/>
      <c r="Q213" s="7"/>
      <c r="R213" s="7"/>
    </row>
    <row r="214" spans="6:18" ht="14.25" customHeight="1" x14ac:dyDescent="0.25">
      <c r="F214" s="7"/>
      <c r="G214" s="7"/>
      <c r="H214" s="7"/>
      <c r="I214" s="7"/>
      <c r="J214" s="7"/>
      <c r="K214" s="7"/>
      <c r="L214" s="7"/>
      <c r="M214" s="7"/>
      <c r="N214" s="7"/>
      <c r="O214" s="7"/>
      <c r="P214" s="7"/>
      <c r="Q214" s="7"/>
      <c r="R214" s="7"/>
    </row>
    <row r="215" spans="6:18" ht="14.25" customHeight="1" x14ac:dyDescent="0.25">
      <c r="F215" s="7"/>
      <c r="G215" s="7"/>
      <c r="H215" s="7"/>
      <c r="I215" s="7"/>
      <c r="J215" s="7"/>
      <c r="K215" s="7"/>
      <c r="L215" s="7"/>
      <c r="M215" s="7"/>
      <c r="N215" s="7"/>
      <c r="O215" s="7"/>
      <c r="P215" s="7"/>
      <c r="Q215" s="7"/>
      <c r="R215" s="7"/>
    </row>
    <row r="216" spans="6:18" ht="14.25" customHeight="1" x14ac:dyDescent="0.25">
      <c r="F216" s="7"/>
      <c r="G216" s="7"/>
      <c r="H216" s="7"/>
      <c r="I216" s="7"/>
      <c r="J216" s="7"/>
      <c r="K216" s="7"/>
      <c r="L216" s="7"/>
      <c r="M216" s="7"/>
      <c r="N216" s="7"/>
      <c r="O216" s="7"/>
      <c r="P216" s="7"/>
      <c r="Q216" s="7"/>
      <c r="R216" s="7"/>
    </row>
    <row r="217" spans="6:18" ht="14.25" customHeight="1" x14ac:dyDescent="0.25">
      <c r="F217" s="7"/>
      <c r="G217" s="7"/>
      <c r="H217" s="7"/>
      <c r="I217" s="7"/>
      <c r="J217" s="7"/>
      <c r="K217" s="7"/>
      <c r="L217" s="7"/>
      <c r="M217" s="7"/>
      <c r="N217" s="7"/>
      <c r="O217" s="7"/>
      <c r="P217" s="7"/>
      <c r="Q217" s="7"/>
      <c r="R217" s="7"/>
    </row>
    <row r="218" spans="6:18" ht="14.25" customHeight="1" x14ac:dyDescent="0.25">
      <c r="F218" s="7"/>
      <c r="G218" s="7"/>
      <c r="H218" s="7"/>
      <c r="I218" s="7"/>
      <c r="J218" s="7"/>
      <c r="K218" s="7"/>
      <c r="L218" s="7"/>
      <c r="M218" s="7"/>
      <c r="N218" s="7"/>
      <c r="O218" s="7"/>
      <c r="P218" s="7"/>
      <c r="Q218" s="7"/>
      <c r="R218" s="7"/>
    </row>
    <row r="219" spans="6:18" ht="14.25" customHeight="1" x14ac:dyDescent="0.25">
      <c r="F219" s="7"/>
      <c r="G219" s="7"/>
      <c r="H219" s="7"/>
      <c r="I219" s="7"/>
      <c r="J219" s="7"/>
      <c r="K219" s="7"/>
      <c r="L219" s="7"/>
      <c r="M219" s="7"/>
      <c r="N219" s="7"/>
      <c r="O219" s="7"/>
      <c r="P219" s="7"/>
      <c r="Q219" s="7"/>
      <c r="R219" s="7"/>
    </row>
    <row r="220" spans="6:18" ht="14.25" customHeight="1" x14ac:dyDescent="0.25">
      <c r="F220" s="7"/>
      <c r="G220" s="7"/>
      <c r="H220" s="7"/>
      <c r="I220" s="7"/>
      <c r="J220" s="7"/>
      <c r="K220" s="7"/>
      <c r="L220" s="7"/>
      <c r="M220" s="7"/>
      <c r="N220" s="7"/>
      <c r="O220" s="7"/>
      <c r="P220" s="7"/>
      <c r="Q220" s="7"/>
      <c r="R220" s="7"/>
    </row>
    <row r="221" spans="6:18" ht="14.25" customHeight="1" x14ac:dyDescent="0.25">
      <c r="F221" s="7"/>
      <c r="G221" s="7"/>
      <c r="H221" s="7"/>
      <c r="I221" s="7"/>
      <c r="J221" s="7"/>
      <c r="K221" s="7"/>
      <c r="L221" s="7"/>
      <c r="M221" s="7"/>
      <c r="N221" s="7"/>
      <c r="O221" s="7"/>
      <c r="P221" s="7"/>
      <c r="Q221" s="7"/>
      <c r="R221" s="7"/>
    </row>
    <row r="222" spans="6:18" ht="14.25" customHeight="1" x14ac:dyDescent="0.25">
      <c r="F222" s="7"/>
      <c r="G222" s="7"/>
      <c r="H222" s="7"/>
      <c r="I222" s="7"/>
      <c r="J222" s="7"/>
      <c r="K222" s="7"/>
      <c r="L222" s="7"/>
      <c r="M222" s="7"/>
      <c r="N222" s="7"/>
      <c r="O222" s="7"/>
      <c r="P222" s="7"/>
      <c r="Q222" s="7"/>
      <c r="R222" s="7"/>
    </row>
    <row r="223" spans="6:18" ht="14.25" customHeight="1" x14ac:dyDescent="0.25">
      <c r="F223" s="7"/>
      <c r="G223" s="7"/>
      <c r="H223" s="7"/>
      <c r="I223" s="7"/>
      <c r="J223" s="7"/>
      <c r="K223" s="7"/>
      <c r="L223" s="7"/>
      <c r="M223" s="7"/>
      <c r="N223" s="7"/>
      <c r="O223" s="7"/>
      <c r="P223" s="7"/>
      <c r="Q223" s="7"/>
      <c r="R223" s="7"/>
    </row>
    <row r="224" spans="6:18" ht="14.25" customHeight="1" x14ac:dyDescent="0.25">
      <c r="F224" s="7"/>
      <c r="G224" s="7"/>
      <c r="H224" s="7"/>
      <c r="I224" s="7"/>
      <c r="J224" s="7"/>
      <c r="K224" s="7"/>
      <c r="L224" s="7"/>
      <c r="M224" s="7"/>
      <c r="N224" s="7"/>
      <c r="O224" s="7"/>
      <c r="P224" s="7"/>
      <c r="Q224" s="7"/>
      <c r="R224" s="7"/>
    </row>
    <row r="225" spans="6:18" ht="14.25" customHeight="1" x14ac:dyDescent="0.25">
      <c r="F225" s="7"/>
      <c r="G225" s="7"/>
      <c r="H225" s="7"/>
      <c r="I225" s="7"/>
      <c r="J225" s="7"/>
      <c r="K225" s="7"/>
      <c r="L225" s="7"/>
      <c r="M225" s="7"/>
      <c r="N225" s="7"/>
      <c r="O225" s="7"/>
      <c r="P225" s="7"/>
      <c r="Q225" s="7"/>
      <c r="R225" s="7"/>
    </row>
    <row r="226" spans="6:18" ht="14.25" customHeight="1" x14ac:dyDescent="0.25">
      <c r="F226" s="7"/>
      <c r="G226" s="7"/>
      <c r="H226" s="7"/>
      <c r="I226" s="7"/>
      <c r="J226" s="7"/>
      <c r="K226" s="7"/>
      <c r="L226" s="7"/>
      <c r="M226" s="7"/>
      <c r="N226" s="7"/>
      <c r="O226" s="7"/>
      <c r="P226" s="7"/>
      <c r="Q226" s="7"/>
      <c r="R226" s="7"/>
    </row>
    <row r="227" spans="6:18" ht="14.25" customHeight="1" x14ac:dyDescent="0.25">
      <c r="F227" s="7"/>
      <c r="G227" s="7"/>
      <c r="H227" s="7"/>
      <c r="I227" s="7"/>
      <c r="J227" s="7"/>
      <c r="K227" s="7"/>
      <c r="L227" s="7"/>
      <c r="M227" s="7"/>
      <c r="N227" s="7"/>
      <c r="O227" s="7"/>
      <c r="P227" s="7"/>
      <c r="Q227" s="7"/>
      <c r="R227" s="7"/>
    </row>
    <row r="228" spans="6:18" ht="14.25" customHeight="1" x14ac:dyDescent="0.25">
      <c r="F228" s="7"/>
      <c r="G228" s="7"/>
      <c r="H228" s="7"/>
      <c r="I228" s="7"/>
      <c r="J228" s="7"/>
      <c r="K228" s="7"/>
      <c r="L228" s="7"/>
      <c r="M228" s="7"/>
      <c r="N228" s="7"/>
      <c r="O228" s="7"/>
      <c r="P228" s="7"/>
      <c r="Q228" s="7"/>
      <c r="R228" s="7"/>
    </row>
    <row r="229" spans="6:18" ht="14.25" customHeight="1" x14ac:dyDescent="0.25">
      <c r="F229" s="7"/>
      <c r="G229" s="7"/>
      <c r="H229" s="7"/>
      <c r="I229" s="7"/>
      <c r="J229" s="7"/>
      <c r="K229" s="7"/>
      <c r="L229" s="7"/>
      <c r="M229" s="7"/>
      <c r="N229" s="7"/>
      <c r="O229" s="7"/>
      <c r="P229" s="7"/>
      <c r="Q229" s="7"/>
      <c r="R229" s="7"/>
    </row>
    <row r="230" spans="6:18" ht="14.25" customHeight="1" x14ac:dyDescent="0.25">
      <c r="F230" s="7"/>
      <c r="G230" s="7"/>
      <c r="H230" s="7"/>
      <c r="I230" s="7"/>
      <c r="J230" s="7"/>
      <c r="K230" s="7"/>
      <c r="L230" s="7"/>
      <c r="M230" s="7"/>
      <c r="N230" s="7"/>
      <c r="O230" s="7"/>
      <c r="P230" s="7"/>
      <c r="Q230" s="7"/>
      <c r="R230" s="7"/>
    </row>
    <row r="231" spans="6:18" ht="14.25" customHeight="1" x14ac:dyDescent="0.25">
      <c r="F231" s="7"/>
      <c r="G231" s="7"/>
      <c r="H231" s="7"/>
      <c r="I231" s="7"/>
      <c r="J231" s="7"/>
      <c r="K231" s="7"/>
      <c r="L231" s="7"/>
      <c r="M231" s="7"/>
      <c r="N231" s="7"/>
      <c r="O231" s="7"/>
      <c r="P231" s="7"/>
      <c r="Q231" s="7"/>
      <c r="R231" s="7"/>
    </row>
    <row r="232" spans="6:18" ht="14.25" customHeight="1" x14ac:dyDescent="0.25">
      <c r="F232" s="7"/>
      <c r="G232" s="7"/>
      <c r="H232" s="7"/>
      <c r="I232" s="7"/>
      <c r="J232" s="7"/>
      <c r="K232" s="7"/>
      <c r="L232" s="7"/>
      <c r="M232" s="7"/>
      <c r="N232" s="7"/>
      <c r="O232" s="7"/>
      <c r="P232" s="7"/>
      <c r="Q232" s="7"/>
      <c r="R232" s="7"/>
    </row>
    <row r="233" spans="6:18" ht="14.25" customHeight="1" x14ac:dyDescent="0.25">
      <c r="F233" s="7"/>
      <c r="G233" s="7"/>
      <c r="H233" s="7"/>
      <c r="I233" s="7"/>
      <c r="J233" s="7"/>
      <c r="K233" s="7"/>
      <c r="L233" s="7"/>
      <c r="M233" s="7"/>
      <c r="N233" s="7"/>
      <c r="O233" s="7"/>
      <c r="P233" s="7"/>
      <c r="Q233" s="7"/>
      <c r="R233" s="7"/>
    </row>
    <row r="234" spans="6:18" ht="14.25" customHeight="1" x14ac:dyDescent="0.25">
      <c r="F234" s="7"/>
      <c r="G234" s="7"/>
      <c r="H234" s="7"/>
      <c r="I234" s="7"/>
      <c r="J234" s="7"/>
      <c r="K234" s="7"/>
      <c r="L234" s="7"/>
      <c r="M234" s="7"/>
      <c r="N234" s="7"/>
      <c r="O234" s="7"/>
      <c r="P234" s="7"/>
      <c r="Q234" s="7"/>
      <c r="R234" s="7"/>
    </row>
    <row r="235" spans="6:18" ht="14.25" customHeight="1" x14ac:dyDescent="0.25">
      <c r="F235" s="7"/>
      <c r="G235" s="7"/>
      <c r="H235" s="7"/>
      <c r="I235" s="7"/>
      <c r="J235" s="7"/>
      <c r="K235" s="7"/>
      <c r="L235" s="7"/>
      <c r="M235" s="7"/>
      <c r="N235" s="7"/>
      <c r="O235" s="7"/>
      <c r="P235" s="7"/>
      <c r="Q235" s="7"/>
      <c r="R235" s="7"/>
    </row>
    <row r="236" spans="6:18" ht="14.25" customHeight="1" x14ac:dyDescent="0.25">
      <c r="F236" s="7"/>
      <c r="G236" s="7"/>
      <c r="H236" s="7"/>
      <c r="I236" s="7"/>
      <c r="J236" s="7"/>
      <c r="K236" s="7"/>
      <c r="L236" s="7"/>
      <c r="M236" s="7"/>
      <c r="N236" s="7"/>
      <c r="O236" s="7"/>
      <c r="P236" s="7"/>
      <c r="Q236" s="7"/>
      <c r="R236" s="7"/>
    </row>
    <row r="237" spans="6:18" ht="14.25" customHeight="1" x14ac:dyDescent="0.25">
      <c r="F237" s="7"/>
      <c r="G237" s="7"/>
      <c r="H237" s="7"/>
      <c r="I237" s="7"/>
      <c r="J237" s="7"/>
      <c r="K237" s="7"/>
      <c r="L237" s="7"/>
      <c r="M237" s="7"/>
      <c r="N237" s="7"/>
      <c r="O237" s="7"/>
      <c r="P237" s="7"/>
      <c r="Q237" s="7"/>
      <c r="R237" s="7"/>
    </row>
    <row r="238" spans="6:18" ht="14.25" customHeight="1" x14ac:dyDescent="0.25">
      <c r="F238" s="7"/>
      <c r="G238" s="7"/>
      <c r="H238" s="7"/>
      <c r="I238" s="7"/>
      <c r="J238" s="7"/>
      <c r="K238" s="7"/>
      <c r="L238" s="7"/>
      <c r="M238" s="7"/>
      <c r="N238" s="7"/>
      <c r="O238" s="7"/>
      <c r="P238" s="7"/>
      <c r="Q238" s="7"/>
      <c r="R238" s="7"/>
    </row>
    <row r="239" spans="6:18" ht="14.25" customHeight="1" x14ac:dyDescent="0.25">
      <c r="F239" s="7"/>
      <c r="G239" s="7"/>
      <c r="H239" s="7"/>
      <c r="I239" s="7"/>
      <c r="J239" s="7"/>
      <c r="K239" s="7"/>
      <c r="L239" s="7"/>
      <c r="M239" s="7"/>
      <c r="N239" s="7"/>
      <c r="O239" s="7"/>
      <c r="P239" s="7"/>
      <c r="Q239" s="7"/>
      <c r="R239" s="7"/>
    </row>
    <row r="240" spans="6:18" ht="14.25" customHeight="1" x14ac:dyDescent="0.25">
      <c r="F240" s="7"/>
      <c r="G240" s="7"/>
      <c r="H240" s="7"/>
      <c r="I240" s="7"/>
      <c r="J240" s="7"/>
      <c r="K240" s="7"/>
      <c r="L240" s="7"/>
      <c r="M240" s="7"/>
      <c r="N240" s="7"/>
      <c r="O240" s="7"/>
      <c r="P240" s="7"/>
      <c r="Q240" s="7"/>
      <c r="R240" s="7"/>
    </row>
    <row r="241" spans="6:18" ht="14.25" customHeight="1" x14ac:dyDescent="0.25">
      <c r="F241" s="7"/>
      <c r="G241" s="7"/>
      <c r="H241" s="7"/>
      <c r="I241" s="7"/>
      <c r="J241" s="7"/>
      <c r="K241" s="7"/>
      <c r="L241" s="7"/>
      <c r="M241" s="7"/>
      <c r="N241" s="7"/>
      <c r="O241" s="7"/>
      <c r="P241" s="7"/>
      <c r="Q241" s="7"/>
      <c r="R241" s="7"/>
    </row>
    <row r="242" spans="6:18" ht="14.25" customHeight="1" x14ac:dyDescent="0.25">
      <c r="F242" s="7"/>
      <c r="G242" s="7"/>
      <c r="H242" s="7"/>
      <c r="I242" s="7"/>
      <c r="J242" s="7"/>
      <c r="K242" s="7"/>
      <c r="L242" s="7"/>
      <c r="M242" s="7"/>
      <c r="N242" s="7"/>
      <c r="O242" s="7"/>
      <c r="P242" s="7"/>
      <c r="Q242" s="7"/>
      <c r="R242" s="7"/>
    </row>
    <row r="243" spans="6:18" ht="14.25" customHeight="1" x14ac:dyDescent="0.25">
      <c r="F243" s="7"/>
      <c r="G243" s="7"/>
      <c r="H243" s="7"/>
      <c r="I243" s="7"/>
      <c r="J243" s="7"/>
      <c r="K243" s="7"/>
      <c r="L243" s="7"/>
      <c r="M243" s="7"/>
      <c r="N243" s="7"/>
      <c r="O243" s="7"/>
      <c r="P243" s="7"/>
      <c r="Q243" s="7"/>
      <c r="R243" s="7"/>
    </row>
    <row r="244" spans="6:18" ht="14.25" customHeight="1" x14ac:dyDescent="0.25">
      <c r="F244" s="7"/>
      <c r="G244" s="7"/>
      <c r="H244" s="7"/>
      <c r="I244" s="7"/>
      <c r="J244" s="7"/>
      <c r="K244" s="7"/>
      <c r="L244" s="7"/>
      <c r="M244" s="7"/>
      <c r="N244" s="7"/>
      <c r="O244" s="7"/>
      <c r="P244" s="7"/>
      <c r="Q244" s="7"/>
      <c r="R244" s="7"/>
    </row>
    <row r="245" spans="6:18" ht="14.25" customHeight="1" x14ac:dyDescent="0.25">
      <c r="F245" s="7"/>
      <c r="G245" s="7"/>
      <c r="H245" s="7"/>
      <c r="I245" s="7"/>
      <c r="J245" s="7"/>
      <c r="K245" s="7"/>
      <c r="L245" s="7"/>
      <c r="M245" s="7"/>
      <c r="N245" s="7"/>
      <c r="O245" s="7"/>
      <c r="P245" s="7"/>
      <c r="Q245" s="7"/>
      <c r="R245" s="7"/>
    </row>
    <row r="246" spans="6:18" ht="14.25" customHeight="1" x14ac:dyDescent="0.25">
      <c r="F246" s="7"/>
      <c r="G246" s="7"/>
      <c r="H246" s="7"/>
      <c r="I246" s="7"/>
      <c r="J246" s="7"/>
      <c r="K246" s="7"/>
      <c r="L246" s="7"/>
      <c r="M246" s="7"/>
      <c r="N246" s="7"/>
      <c r="O246" s="7"/>
      <c r="P246" s="7"/>
      <c r="Q246" s="7"/>
      <c r="R246" s="7"/>
    </row>
    <row r="247" spans="6:18" ht="14.25" customHeight="1" x14ac:dyDescent="0.25">
      <c r="F247" s="7"/>
      <c r="G247" s="7"/>
      <c r="H247" s="7"/>
      <c r="I247" s="7"/>
      <c r="J247" s="7"/>
      <c r="K247" s="7"/>
      <c r="L247" s="7"/>
      <c r="M247" s="7"/>
      <c r="N247" s="7"/>
      <c r="O247" s="7"/>
      <c r="P247" s="7"/>
      <c r="Q247" s="7"/>
      <c r="R247" s="7"/>
    </row>
    <row r="248" spans="6:18" ht="14.25" customHeight="1" x14ac:dyDescent="0.25">
      <c r="F248" s="7"/>
      <c r="G248" s="7"/>
      <c r="H248" s="7"/>
      <c r="I248" s="7"/>
      <c r="J248" s="7"/>
      <c r="K248" s="7"/>
      <c r="L248" s="7"/>
      <c r="M248" s="7"/>
      <c r="N248" s="7"/>
      <c r="O248" s="7"/>
      <c r="P248" s="7"/>
      <c r="Q248" s="7"/>
      <c r="R248" s="7"/>
    </row>
    <row r="249" spans="6:18" ht="14.25" customHeight="1" x14ac:dyDescent="0.25">
      <c r="F249" s="7"/>
      <c r="G249" s="7"/>
      <c r="H249" s="7"/>
      <c r="I249" s="7"/>
      <c r="J249" s="7"/>
      <c r="K249" s="7"/>
      <c r="L249" s="7"/>
      <c r="M249" s="7"/>
      <c r="N249" s="7"/>
      <c r="O249" s="7"/>
      <c r="P249" s="7"/>
      <c r="Q249" s="7"/>
      <c r="R249" s="7"/>
    </row>
    <row r="250" spans="6:18" ht="14.25" customHeight="1" x14ac:dyDescent="0.25">
      <c r="F250" s="7"/>
      <c r="G250" s="7"/>
      <c r="H250" s="7"/>
      <c r="I250" s="7"/>
      <c r="J250" s="7"/>
      <c r="K250" s="7"/>
      <c r="L250" s="7"/>
      <c r="M250" s="7"/>
      <c r="N250" s="7"/>
      <c r="O250" s="7"/>
      <c r="P250" s="7"/>
      <c r="Q250" s="7"/>
      <c r="R250" s="7"/>
    </row>
    <row r="251" spans="6:18" ht="14.25" customHeight="1" x14ac:dyDescent="0.25">
      <c r="F251" s="7"/>
      <c r="G251" s="7"/>
      <c r="H251" s="7"/>
      <c r="I251" s="7"/>
      <c r="J251" s="7"/>
      <c r="K251" s="7"/>
      <c r="L251" s="7"/>
      <c r="M251" s="7"/>
      <c r="N251" s="7"/>
      <c r="O251" s="7"/>
      <c r="P251" s="7"/>
      <c r="Q251" s="7"/>
      <c r="R251" s="7"/>
    </row>
    <row r="252" spans="6:18" ht="14.25" customHeight="1" x14ac:dyDescent="0.25">
      <c r="F252" s="7"/>
      <c r="G252" s="7"/>
      <c r="H252" s="7"/>
      <c r="I252" s="7"/>
      <c r="J252" s="7"/>
      <c r="K252" s="7"/>
      <c r="L252" s="7"/>
      <c r="M252" s="7"/>
      <c r="N252" s="7"/>
      <c r="O252" s="7"/>
      <c r="P252" s="7"/>
      <c r="Q252" s="7"/>
      <c r="R252" s="7"/>
    </row>
    <row r="253" spans="6:18" ht="14.25" customHeight="1" x14ac:dyDescent="0.25">
      <c r="F253" s="7"/>
      <c r="G253" s="7"/>
      <c r="H253" s="7"/>
      <c r="I253" s="7"/>
      <c r="J253" s="7"/>
      <c r="K253" s="7"/>
      <c r="L253" s="7"/>
      <c r="M253" s="7"/>
      <c r="N253" s="7"/>
      <c r="O253" s="7"/>
      <c r="P253" s="7"/>
      <c r="Q253" s="7"/>
      <c r="R253" s="7"/>
    </row>
    <row r="254" spans="6:18" ht="14.25" customHeight="1" x14ac:dyDescent="0.25">
      <c r="F254" s="7"/>
      <c r="G254" s="7"/>
      <c r="H254" s="7"/>
      <c r="I254" s="7"/>
      <c r="J254" s="7"/>
      <c r="K254" s="7"/>
      <c r="L254" s="7"/>
      <c r="M254" s="7"/>
      <c r="N254" s="7"/>
      <c r="O254" s="7"/>
      <c r="P254" s="7"/>
      <c r="Q254" s="7"/>
      <c r="R254" s="7"/>
    </row>
    <row r="255" spans="6:18" ht="14.25" customHeight="1" x14ac:dyDescent="0.25">
      <c r="F255" s="7"/>
      <c r="G255" s="7"/>
      <c r="H255" s="7"/>
      <c r="I255" s="7"/>
      <c r="J255" s="7"/>
      <c r="K255" s="7"/>
      <c r="L255" s="7"/>
      <c r="M255" s="7"/>
      <c r="N255" s="7"/>
      <c r="O255" s="7"/>
      <c r="P255" s="7"/>
      <c r="Q255" s="7"/>
      <c r="R255" s="7"/>
    </row>
    <row r="256" spans="6:18" ht="14.25" customHeight="1" x14ac:dyDescent="0.25">
      <c r="F256" s="7"/>
      <c r="G256" s="7"/>
      <c r="H256" s="7"/>
      <c r="I256" s="7"/>
      <c r="J256" s="7"/>
      <c r="K256" s="7"/>
      <c r="L256" s="7"/>
      <c r="M256" s="7"/>
      <c r="N256" s="7"/>
      <c r="O256" s="7"/>
      <c r="P256" s="7"/>
      <c r="Q256" s="7"/>
      <c r="R256" s="7"/>
    </row>
    <row r="257" spans="6:18" ht="14.25" customHeight="1" x14ac:dyDescent="0.25">
      <c r="F257" s="7"/>
      <c r="G257" s="7"/>
      <c r="H257" s="7"/>
      <c r="I257" s="7"/>
      <c r="J257" s="7"/>
      <c r="K257" s="7"/>
      <c r="L257" s="7"/>
      <c r="M257" s="7"/>
      <c r="N257" s="7"/>
      <c r="O257" s="7"/>
      <c r="P257" s="7"/>
      <c r="Q257" s="7"/>
      <c r="R257" s="7"/>
    </row>
    <row r="258" spans="6:18" ht="14.25" customHeight="1" x14ac:dyDescent="0.25">
      <c r="F258" s="7"/>
      <c r="G258" s="7"/>
      <c r="H258" s="7"/>
      <c r="I258" s="7"/>
      <c r="J258" s="7"/>
      <c r="K258" s="7"/>
      <c r="L258" s="7"/>
      <c r="M258" s="7"/>
      <c r="N258" s="7"/>
      <c r="O258" s="7"/>
      <c r="P258" s="7"/>
      <c r="Q258" s="7"/>
      <c r="R258" s="7"/>
    </row>
    <row r="259" spans="6:18" ht="14.25" customHeight="1" x14ac:dyDescent="0.25">
      <c r="F259" s="7"/>
      <c r="G259" s="7"/>
      <c r="H259" s="7"/>
      <c r="I259" s="7"/>
      <c r="J259" s="7"/>
      <c r="K259" s="7"/>
      <c r="L259" s="7"/>
      <c r="M259" s="7"/>
      <c r="N259" s="7"/>
      <c r="O259" s="7"/>
      <c r="P259" s="7"/>
      <c r="Q259" s="7"/>
      <c r="R259" s="7"/>
    </row>
    <row r="260" spans="6:18" ht="14.25" customHeight="1" x14ac:dyDescent="0.25">
      <c r="F260" s="7"/>
      <c r="G260" s="7"/>
      <c r="H260" s="7"/>
      <c r="I260" s="7"/>
      <c r="J260" s="7"/>
      <c r="K260" s="7"/>
      <c r="L260" s="7"/>
      <c r="M260" s="7"/>
      <c r="N260" s="7"/>
      <c r="O260" s="7"/>
      <c r="P260" s="7"/>
      <c r="Q260" s="7"/>
      <c r="R260" s="7"/>
    </row>
    <row r="261" spans="6:18" ht="14.25" customHeight="1" x14ac:dyDescent="0.25">
      <c r="F261" s="7"/>
      <c r="G261" s="7"/>
      <c r="H261" s="7"/>
      <c r="I261" s="7"/>
      <c r="J261" s="7"/>
      <c r="K261" s="7"/>
      <c r="L261" s="7"/>
      <c r="M261" s="7"/>
      <c r="N261" s="7"/>
      <c r="O261" s="7"/>
      <c r="P261" s="7"/>
      <c r="Q261" s="7"/>
      <c r="R261" s="7"/>
    </row>
    <row r="262" spans="6:18" ht="14.25" customHeight="1" x14ac:dyDescent="0.25">
      <c r="F262" s="7"/>
      <c r="G262" s="7"/>
      <c r="H262" s="7"/>
      <c r="I262" s="7"/>
      <c r="J262" s="7"/>
      <c r="K262" s="7"/>
      <c r="L262" s="7"/>
      <c r="M262" s="7"/>
      <c r="N262" s="7"/>
      <c r="O262" s="7"/>
      <c r="P262" s="7"/>
      <c r="Q262" s="7"/>
      <c r="R262" s="7"/>
    </row>
    <row r="263" spans="6:18" ht="14.25" customHeight="1" x14ac:dyDescent="0.25">
      <c r="F263" s="7"/>
      <c r="G263" s="7"/>
      <c r="H263" s="7"/>
      <c r="I263" s="7"/>
      <c r="J263" s="7"/>
      <c r="K263" s="7"/>
      <c r="L263" s="7"/>
      <c r="M263" s="7"/>
      <c r="N263" s="7"/>
      <c r="O263" s="7"/>
      <c r="P263" s="7"/>
      <c r="Q263" s="7"/>
      <c r="R263" s="7"/>
    </row>
    <row r="264" spans="6:18" ht="14.25" customHeight="1" x14ac:dyDescent="0.25">
      <c r="F264" s="7"/>
      <c r="G264" s="7"/>
      <c r="H264" s="7"/>
      <c r="I264" s="7"/>
      <c r="J264" s="7"/>
      <c r="K264" s="7"/>
      <c r="L264" s="7"/>
      <c r="M264" s="7"/>
      <c r="N264" s="7"/>
      <c r="O264" s="7"/>
      <c r="P264" s="7"/>
      <c r="Q264" s="7"/>
      <c r="R264" s="7"/>
    </row>
    <row r="265" spans="6:18" ht="14.25" customHeight="1" x14ac:dyDescent="0.25">
      <c r="F265" s="7"/>
      <c r="G265" s="7"/>
      <c r="H265" s="7"/>
      <c r="I265" s="7"/>
      <c r="J265" s="7"/>
      <c r="K265" s="7"/>
      <c r="L265" s="7"/>
      <c r="M265" s="7"/>
      <c r="N265" s="7"/>
      <c r="O265" s="7"/>
      <c r="P265" s="7"/>
      <c r="Q265" s="7"/>
      <c r="R265" s="7"/>
    </row>
    <row r="266" spans="6:18" ht="14.25" customHeight="1" x14ac:dyDescent="0.25">
      <c r="F266" s="7"/>
      <c r="G266" s="7"/>
      <c r="H266" s="7"/>
      <c r="I266" s="7"/>
      <c r="J266" s="7"/>
      <c r="K266" s="7"/>
      <c r="L266" s="7"/>
      <c r="M266" s="7"/>
      <c r="N266" s="7"/>
      <c r="O266" s="7"/>
      <c r="P266" s="7"/>
      <c r="Q266" s="7"/>
      <c r="R266" s="7"/>
    </row>
    <row r="267" spans="6:18" ht="14.25" customHeight="1" x14ac:dyDescent="0.25">
      <c r="F267" s="7"/>
      <c r="G267" s="7"/>
      <c r="H267" s="7"/>
      <c r="I267" s="7"/>
      <c r="J267" s="7"/>
      <c r="K267" s="7"/>
      <c r="L267" s="7"/>
      <c r="M267" s="7"/>
      <c r="N267" s="7"/>
      <c r="O267" s="7"/>
      <c r="P267" s="7"/>
      <c r="Q267" s="7"/>
      <c r="R267" s="7"/>
    </row>
    <row r="268" spans="6:18" ht="14.25" customHeight="1" x14ac:dyDescent="0.25">
      <c r="F268" s="7"/>
      <c r="G268" s="7"/>
      <c r="H268" s="7"/>
      <c r="I268" s="7"/>
      <c r="J268" s="7"/>
      <c r="K268" s="7"/>
      <c r="L268" s="7"/>
      <c r="M268" s="7"/>
      <c r="N268" s="7"/>
      <c r="O268" s="7"/>
      <c r="P268" s="7"/>
      <c r="Q268" s="7"/>
      <c r="R268" s="7"/>
    </row>
    <row r="269" spans="6:18" ht="14.25" customHeight="1" x14ac:dyDescent="0.25">
      <c r="F269" s="7"/>
      <c r="G269" s="7"/>
      <c r="H269" s="7"/>
      <c r="I269" s="7"/>
      <c r="J269" s="7"/>
      <c r="K269" s="7"/>
      <c r="L269" s="7"/>
      <c r="M269" s="7"/>
      <c r="N269" s="7"/>
      <c r="O269" s="7"/>
      <c r="P269" s="7"/>
      <c r="Q269" s="7"/>
      <c r="R269" s="7"/>
    </row>
    <row r="270" spans="6:18" ht="14.25" customHeight="1" x14ac:dyDescent="0.25">
      <c r="F270" s="7"/>
      <c r="G270" s="7"/>
      <c r="H270" s="7"/>
      <c r="I270" s="7"/>
      <c r="J270" s="7"/>
      <c r="K270" s="7"/>
      <c r="L270" s="7"/>
      <c r="M270" s="7"/>
      <c r="N270" s="7"/>
      <c r="O270" s="7"/>
      <c r="P270" s="7"/>
      <c r="Q270" s="7"/>
      <c r="R270" s="7"/>
    </row>
    <row r="271" spans="6:18" ht="14.25" customHeight="1" x14ac:dyDescent="0.25">
      <c r="F271" s="7"/>
      <c r="G271" s="7"/>
      <c r="H271" s="7"/>
      <c r="I271" s="7"/>
      <c r="J271" s="7"/>
      <c r="K271" s="7"/>
      <c r="L271" s="7"/>
      <c r="M271" s="7"/>
      <c r="N271" s="7"/>
      <c r="O271" s="7"/>
      <c r="P271" s="7"/>
      <c r="Q271" s="7"/>
      <c r="R271" s="7"/>
    </row>
    <row r="272" spans="6:18" ht="14.25" customHeight="1" x14ac:dyDescent="0.25">
      <c r="F272" s="7"/>
      <c r="G272" s="7"/>
      <c r="H272" s="7"/>
      <c r="I272" s="7"/>
      <c r="J272" s="7"/>
      <c r="K272" s="7"/>
      <c r="L272" s="7"/>
      <c r="M272" s="7"/>
      <c r="N272" s="7"/>
      <c r="O272" s="7"/>
      <c r="P272" s="7"/>
      <c r="Q272" s="7"/>
      <c r="R272" s="7"/>
    </row>
    <row r="273" spans="6:18" ht="14.25" customHeight="1" x14ac:dyDescent="0.25">
      <c r="F273" s="7"/>
      <c r="G273" s="7"/>
      <c r="H273" s="7"/>
      <c r="I273" s="7"/>
      <c r="J273" s="7"/>
      <c r="K273" s="7"/>
      <c r="L273" s="7"/>
      <c r="M273" s="7"/>
      <c r="N273" s="7"/>
      <c r="O273" s="7"/>
      <c r="P273" s="7"/>
      <c r="Q273" s="7"/>
      <c r="R273" s="7"/>
    </row>
    <row r="274" spans="6:18" ht="14.25" customHeight="1" x14ac:dyDescent="0.25">
      <c r="F274" s="7"/>
      <c r="G274" s="7"/>
      <c r="H274" s="7"/>
      <c r="I274" s="7"/>
      <c r="J274" s="7"/>
      <c r="K274" s="7"/>
      <c r="L274" s="7"/>
      <c r="M274" s="7"/>
      <c r="N274" s="7"/>
      <c r="O274" s="7"/>
      <c r="P274" s="7"/>
      <c r="Q274" s="7"/>
      <c r="R274" s="7"/>
    </row>
    <row r="275" spans="6:18" ht="14.25" customHeight="1" x14ac:dyDescent="0.25">
      <c r="F275" s="7"/>
      <c r="G275" s="7"/>
      <c r="H275" s="7"/>
      <c r="I275" s="7"/>
      <c r="J275" s="7"/>
      <c r="K275" s="7"/>
      <c r="L275" s="7"/>
      <c r="M275" s="7"/>
      <c r="N275" s="7"/>
      <c r="O275" s="7"/>
      <c r="P275" s="7"/>
      <c r="Q275" s="7"/>
      <c r="R275" s="7"/>
    </row>
    <row r="276" spans="6:18" ht="14.25" customHeight="1" x14ac:dyDescent="0.25">
      <c r="F276" s="7"/>
      <c r="G276" s="7"/>
      <c r="H276" s="7"/>
      <c r="I276" s="7"/>
      <c r="J276" s="7"/>
      <c r="K276" s="7"/>
      <c r="L276" s="7"/>
      <c r="M276" s="7"/>
      <c r="N276" s="7"/>
      <c r="O276" s="7"/>
      <c r="P276" s="7"/>
      <c r="Q276" s="7"/>
      <c r="R276" s="7"/>
    </row>
    <row r="277" spans="6:18" ht="14.25" customHeight="1" x14ac:dyDescent="0.25">
      <c r="F277" s="7"/>
      <c r="G277" s="7"/>
      <c r="H277" s="7"/>
      <c r="I277" s="7"/>
      <c r="J277" s="7"/>
      <c r="K277" s="7"/>
      <c r="L277" s="7"/>
      <c r="M277" s="7"/>
      <c r="N277" s="7"/>
      <c r="O277" s="7"/>
      <c r="P277" s="7"/>
      <c r="Q277" s="7"/>
      <c r="R277" s="7"/>
    </row>
    <row r="278" spans="6:18" ht="14.25" customHeight="1" x14ac:dyDescent="0.25">
      <c r="F278" s="7"/>
      <c r="G278" s="7"/>
      <c r="H278" s="7"/>
      <c r="I278" s="7"/>
      <c r="J278" s="7"/>
      <c r="K278" s="7"/>
      <c r="L278" s="7"/>
      <c r="M278" s="7"/>
      <c r="N278" s="7"/>
      <c r="O278" s="7"/>
      <c r="P278" s="7"/>
      <c r="Q278" s="7"/>
      <c r="R278" s="7"/>
    </row>
    <row r="279" spans="6:18" ht="14.25" customHeight="1" x14ac:dyDescent="0.25">
      <c r="F279" s="7"/>
      <c r="G279" s="7"/>
      <c r="H279" s="7"/>
      <c r="I279" s="7"/>
      <c r="J279" s="7"/>
      <c r="K279" s="7"/>
      <c r="L279" s="7"/>
      <c r="M279" s="7"/>
      <c r="N279" s="7"/>
      <c r="O279" s="7"/>
      <c r="P279" s="7"/>
      <c r="Q279" s="7"/>
      <c r="R279" s="7"/>
    </row>
    <row r="280" spans="6:18" ht="14.25" customHeight="1" x14ac:dyDescent="0.25">
      <c r="F280" s="7"/>
      <c r="G280" s="7"/>
      <c r="H280" s="7"/>
      <c r="I280" s="7"/>
      <c r="J280" s="7"/>
      <c r="K280" s="7"/>
      <c r="L280" s="7"/>
      <c r="M280" s="7"/>
      <c r="N280" s="7"/>
      <c r="O280" s="7"/>
      <c r="P280" s="7"/>
      <c r="Q280" s="7"/>
      <c r="R280" s="7"/>
    </row>
    <row r="281" spans="6:18" ht="14.25" customHeight="1" x14ac:dyDescent="0.25">
      <c r="F281" s="7"/>
      <c r="G281" s="7"/>
      <c r="H281" s="7"/>
      <c r="I281" s="7"/>
      <c r="J281" s="7"/>
      <c r="K281" s="7"/>
      <c r="L281" s="7"/>
      <c r="M281" s="7"/>
      <c r="N281" s="7"/>
      <c r="O281" s="7"/>
      <c r="P281" s="7"/>
      <c r="Q281" s="7"/>
      <c r="R281" s="7"/>
    </row>
    <row r="282" spans="6:18" ht="14.25" customHeight="1" x14ac:dyDescent="0.25">
      <c r="F282" s="7"/>
      <c r="G282" s="7"/>
      <c r="H282" s="7"/>
      <c r="I282" s="7"/>
      <c r="J282" s="7"/>
      <c r="K282" s="7"/>
      <c r="L282" s="7"/>
      <c r="M282" s="7"/>
      <c r="N282" s="7"/>
      <c r="O282" s="7"/>
      <c r="P282" s="7"/>
      <c r="Q282" s="7"/>
      <c r="R282" s="7"/>
    </row>
    <row r="283" spans="6:18" ht="14.25" customHeight="1" x14ac:dyDescent="0.25">
      <c r="F283" s="7"/>
      <c r="G283" s="7"/>
      <c r="H283" s="7"/>
      <c r="I283" s="7"/>
      <c r="J283" s="7"/>
      <c r="K283" s="7"/>
      <c r="L283" s="7"/>
      <c r="M283" s="7"/>
      <c r="N283" s="7"/>
      <c r="O283" s="7"/>
      <c r="P283" s="7"/>
      <c r="Q283" s="7"/>
      <c r="R283" s="7"/>
    </row>
    <row r="284" spans="6:18" ht="14.25" customHeight="1" x14ac:dyDescent="0.25">
      <c r="F284" s="7"/>
      <c r="G284" s="7"/>
      <c r="H284" s="7"/>
      <c r="I284" s="7"/>
      <c r="J284" s="7"/>
      <c r="K284" s="7"/>
      <c r="L284" s="7"/>
      <c r="M284" s="7"/>
      <c r="N284" s="7"/>
      <c r="O284" s="7"/>
      <c r="P284" s="7"/>
      <c r="Q284" s="7"/>
      <c r="R284" s="7"/>
    </row>
    <row r="285" spans="6:18" ht="14.25" customHeight="1" x14ac:dyDescent="0.25">
      <c r="F285" s="7"/>
      <c r="G285" s="7"/>
      <c r="H285" s="7"/>
      <c r="I285" s="7"/>
      <c r="J285" s="7"/>
      <c r="K285" s="7"/>
      <c r="L285" s="7"/>
      <c r="M285" s="7"/>
      <c r="N285" s="7"/>
      <c r="O285" s="7"/>
      <c r="P285" s="7"/>
      <c r="Q285" s="7"/>
      <c r="R285" s="7"/>
    </row>
    <row r="286" spans="6:18" ht="14.25" customHeight="1" x14ac:dyDescent="0.25">
      <c r="F286" s="7"/>
      <c r="G286" s="7"/>
      <c r="H286" s="7"/>
      <c r="I286" s="7"/>
      <c r="J286" s="7"/>
      <c r="K286" s="7"/>
      <c r="L286" s="7"/>
      <c r="M286" s="7"/>
      <c r="N286" s="7"/>
      <c r="O286" s="7"/>
      <c r="P286" s="7"/>
      <c r="Q286" s="7"/>
      <c r="R286" s="7"/>
    </row>
    <row r="287" spans="6:18" ht="14.25" customHeight="1" x14ac:dyDescent="0.25">
      <c r="F287" s="7"/>
      <c r="G287" s="7"/>
      <c r="H287" s="7"/>
      <c r="I287" s="7"/>
      <c r="J287" s="7"/>
      <c r="K287" s="7"/>
      <c r="L287" s="7"/>
      <c r="M287" s="7"/>
      <c r="N287" s="7"/>
      <c r="O287" s="7"/>
      <c r="P287" s="7"/>
      <c r="Q287" s="7"/>
      <c r="R287" s="7"/>
    </row>
    <row r="288" spans="6:18" ht="14.25" customHeight="1" x14ac:dyDescent="0.25">
      <c r="F288" s="7"/>
      <c r="G288" s="7"/>
      <c r="H288" s="7"/>
      <c r="I288" s="7"/>
      <c r="J288" s="7"/>
      <c r="K288" s="7"/>
      <c r="L288" s="7"/>
      <c r="M288" s="7"/>
      <c r="N288" s="7"/>
      <c r="O288" s="7"/>
      <c r="P288" s="7"/>
      <c r="Q288" s="7"/>
      <c r="R288" s="7"/>
    </row>
    <row r="289" spans="6:18" ht="14.25" customHeight="1" x14ac:dyDescent="0.25">
      <c r="F289" s="7"/>
      <c r="G289" s="7"/>
      <c r="H289" s="7"/>
      <c r="I289" s="7"/>
      <c r="J289" s="7"/>
      <c r="K289" s="7"/>
      <c r="L289" s="7"/>
      <c r="M289" s="7"/>
      <c r="N289" s="7"/>
      <c r="O289" s="7"/>
      <c r="P289" s="7"/>
      <c r="Q289" s="7"/>
      <c r="R289" s="7"/>
    </row>
    <row r="290" spans="6:18" ht="14.25" customHeight="1" x14ac:dyDescent="0.25">
      <c r="F290" s="7"/>
      <c r="G290" s="7"/>
      <c r="H290" s="7"/>
      <c r="I290" s="7"/>
      <c r="J290" s="7"/>
      <c r="K290" s="7"/>
      <c r="L290" s="7"/>
      <c r="M290" s="7"/>
      <c r="N290" s="7"/>
      <c r="O290" s="7"/>
      <c r="P290" s="7"/>
      <c r="Q290" s="7"/>
      <c r="R290" s="7"/>
    </row>
    <row r="291" spans="6:18" ht="14.25" customHeight="1" x14ac:dyDescent="0.25">
      <c r="F291" s="7"/>
      <c r="G291" s="7"/>
      <c r="H291" s="7"/>
      <c r="I291" s="7"/>
      <c r="J291" s="7"/>
      <c r="K291" s="7"/>
      <c r="L291" s="7"/>
      <c r="M291" s="7"/>
      <c r="N291" s="7"/>
      <c r="O291" s="7"/>
      <c r="P291" s="7"/>
      <c r="Q291" s="7"/>
      <c r="R291" s="7"/>
    </row>
    <row r="292" spans="6:18" ht="14.25" customHeight="1" x14ac:dyDescent="0.25">
      <c r="F292" s="7"/>
      <c r="G292" s="7"/>
      <c r="H292" s="7"/>
      <c r="I292" s="7"/>
      <c r="J292" s="7"/>
      <c r="K292" s="7"/>
      <c r="L292" s="7"/>
      <c r="M292" s="7"/>
      <c r="N292" s="7"/>
      <c r="O292" s="7"/>
      <c r="P292" s="7"/>
      <c r="Q292" s="7"/>
      <c r="R292" s="7"/>
    </row>
    <row r="293" spans="6:18" ht="14.25" customHeight="1" x14ac:dyDescent="0.25">
      <c r="F293" s="7"/>
      <c r="G293" s="7"/>
      <c r="H293" s="7"/>
      <c r="I293" s="7"/>
      <c r="J293" s="7"/>
      <c r="K293" s="7"/>
      <c r="L293" s="7"/>
      <c r="M293" s="7"/>
      <c r="N293" s="7"/>
      <c r="O293" s="7"/>
      <c r="P293" s="7"/>
      <c r="Q293" s="7"/>
      <c r="R293" s="7"/>
    </row>
    <row r="294" spans="6:18" ht="14.25" customHeight="1" x14ac:dyDescent="0.25">
      <c r="F294" s="7"/>
      <c r="G294" s="7"/>
      <c r="H294" s="7"/>
      <c r="I294" s="7"/>
      <c r="J294" s="7"/>
      <c r="K294" s="7"/>
      <c r="L294" s="7"/>
      <c r="M294" s="7"/>
      <c r="N294" s="7"/>
      <c r="O294" s="7"/>
      <c r="P294" s="7"/>
      <c r="Q294" s="7"/>
      <c r="R294" s="7"/>
    </row>
    <row r="295" spans="6:18" ht="14.25" customHeight="1" x14ac:dyDescent="0.25">
      <c r="F295" s="7"/>
      <c r="G295" s="7"/>
      <c r="H295" s="7"/>
      <c r="I295" s="7"/>
      <c r="J295" s="7"/>
      <c r="K295" s="7"/>
      <c r="L295" s="7"/>
      <c r="M295" s="7"/>
      <c r="N295" s="7"/>
      <c r="O295" s="7"/>
      <c r="P295" s="7"/>
      <c r="Q295" s="7"/>
      <c r="R295" s="7"/>
    </row>
    <row r="296" spans="6:18" ht="14.25" customHeight="1" x14ac:dyDescent="0.25">
      <c r="F296" s="7"/>
      <c r="G296" s="7"/>
      <c r="H296" s="7"/>
      <c r="I296" s="7"/>
      <c r="J296" s="7"/>
      <c r="K296" s="7"/>
      <c r="L296" s="7"/>
      <c r="M296" s="7"/>
      <c r="N296" s="7"/>
      <c r="O296" s="7"/>
      <c r="P296" s="7"/>
      <c r="Q296" s="7"/>
      <c r="R296" s="7"/>
    </row>
    <row r="297" spans="6:18" ht="14.25" customHeight="1" x14ac:dyDescent="0.25">
      <c r="F297" s="7"/>
      <c r="G297" s="7"/>
      <c r="H297" s="7"/>
      <c r="I297" s="7"/>
      <c r="J297" s="7"/>
      <c r="K297" s="7"/>
      <c r="L297" s="7"/>
      <c r="M297" s="7"/>
      <c r="N297" s="7"/>
      <c r="O297" s="7"/>
      <c r="P297" s="7"/>
      <c r="Q297" s="7"/>
      <c r="R297" s="7"/>
    </row>
    <row r="298" spans="6:18" ht="14.25" customHeight="1" x14ac:dyDescent="0.25">
      <c r="F298" s="7"/>
      <c r="G298" s="7"/>
      <c r="H298" s="7"/>
      <c r="I298" s="7"/>
      <c r="J298" s="7"/>
      <c r="K298" s="7"/>
      <c r="L298" s="7"/>
      <c r="M298" s="7"/>
      <c r="N298" s="7"/>
      <c r="O298" s="7"/>
      <c r="P298" s="7"/>
      <c r="Q298" s="7"/>
      <c r="R298" s="7"/>
    </row>
    <row r="299" spans="6:18" ht="14.25" customHeight="1" x14ac:dyDescent="0.25">
      <c r="F299" s="7"/>
      <c r="G299" s="7"/>
      <c r="H299" s="7"/>
      <c r="I299" s="7"/>
      <c r="J299" s="7"/>
      <c r="K299" s="7"/>
      <c r="L299" s="7"/>
      <c r="M299" s="7"/>
      <c r="N299" s="7"/>
      <c r="O299" s="7"/>
      <c r="P299" s="7"/>
      <c r="Q299" s="7"/>
      <c r="R299" s="7"/>
    </row>
    <row r="300" spans="6:18" ht="14.25" customHeight="1" x14ac:dyDescent="0.25">
      <c r="F300" s="7"/>
      <c r="G300" s="7"/>
      <c r="H300" s="7"/>
      <c r="I300" s="7"/>
      <c r="J300" s="7"/>
      <c r="K300" s="7"/>
      <c r="L300" s="7"/>
      <c r="M300" s="7"/>
      <c r="N300" s="7"/>
      <c r="O300" s="7"/>
      <c r="P300" s="7"/>
      <c r="Q300" s="7"/>
      <c r="R300" s="7"/>
    </row>
    <row r="301" spans="6:18" ht="14.25" customHeight="1" x14ac:dyDescent="0.25">
      <c r="F301" s="7"/>
      <c r="G301" s="7"/>
      <c r="H301" s="7"/>
      <c r="I301" s="7"/>
      <c r="J301" s="7"/>
      <c r="K301" s="7"/>
      <c r="L301" s="7"/>
      <c r="M301" s="7"/>
      <c r="N301" s="7"/>
      <c r="O301" s="7"/>
      <c r="P301" s="7"/>
      <c r="Q301" s="7"/>
      <c r="R301" s="7"/>
    </row>
    <row r="302" spans="6:18" ht="14.25" customHeight="1" x14ac:dyDescent="0.25">
      <c r="F302" s="7"/>
      <c r="G302" s="7"/>
      <c r="H302" s="7"/>
      <c r="I302" s="7"/>
      <c r="J302" s="7"/>
      <c r="K302" s="7"/>
      <c r="L302" s="7"/>
      <c r="M302" s="7"/>
      <c r="N302" s="7"/>
      <c r="O302" s="7"/>
      <c r="P302" s="7"/>
      <c r="Q302" s="7"/>
      <c r="R302" s="7"/>
    </row>
    <row r="303" spans="6:18" ht="14.25" customHeight="1" x14ac:dyDescent="0.25">
      <c r="F303" s="7"/>
      <c r="G303" s="7"/>
      <c r="H303" s="7"/>
      <c r="I303" s="7"/>
      <c r="J303" s="7"/>
      <c r="K303" s="7"/>
      <c r="L303" s="7"/>
      <c r="M303" s="7"/>
      <c r="N303" s="7"/>
      <c r="O303" s="7"/>
      <c r="P303" s="7"/>
      <c r="Q303" s="7"/>
      <c r="R303" s="7"/>
    </row>
    <row r="304" spans="6:18" ht="14.25" customHeight="1" x14ac:dyDescent="0.25">
      <c r="F304" s="7"/>
      <c r="G304" s="7"/>
      <c r="H304" s="7"/>
      <c r="I304" s="7"/>
      <c r="J304" s="7"/>
      <c r="K304" s="7"/>
      <c r="L304" s="7"/>
      <c r="M304" s="7"/>
      <c r="N304" s="7"/>
      <c r="O304" s="7"/>
      <c r="P304" s="7"/>
      <c r="Q304" s="7"/>
      <c r="R304" s="7"/>
    </row>
    <row r="305" spans="6:18" ht="14.25" customHeight="1" x14ac:dyDescent="0.25">
      <c r="F305" s="7"/>
      <c r="G305" s="7"/>
      <c r="H305" s="7"/>
      <c r="I305" s="7"/>
      <c r="J305" s="7"/>
      <c r="K305" s="7"/>
      <c r="L305" s="7"/>
      <c r="M305" s="7"/>
      <c r="N305" s="7"/>
      <c r="O305" s="7"/>
      <c r="P305" s="7"/>
      <c r="Q305" s="7"/>
      <c r="R305" s="7"/>
    </row>
    <row r="306" spans="6:18" ht="14.25" customHeight="1" x14ac:dyDescent="0.25">
      <c r="F306" s="7"/>
      <c r="G306" s="7"/>
      <c r="H306" s="7"/>
      <c r="I306" s="7"/>
      <c r="J306" s="7"/>
      <c r="K306" s="7"/>
      <c r="L306" s="7"/>
      <c r="M306" s="7"/>
      <c r="N306" s="7"/>
      <c r="O306" s="7"/>
      <c r="P306" s="7"/>
      <c r="Q306" s="7"/>
      <c r="R306" s="7"/>
    </row>
    <row r="307" spans="6:18" ht="14.25" customHeight="1" x14ac:dyDescent="0.25">
      <c r="F307" s="7"/>
      <c r="G307" s="7"/>
      <c r="H307" s="7"/>
      <c r="I307" s="7"/>
      <c r="J307" s="7"/>
      <c r="K307" s="7"/>
      <c r="L307" s="7"/>
      <c r="M307" s="7"/>
      <c r="N307" s="7"/>
      <c r="O307" s="7"/>
      <c r="P307" s="7"/>
      <c r="Q307" s="7"/>
      <c r="R307" s="7"/>
    </row>
    <row r="308" spans="6:18" ht="14.25" customHeight="1" x14ac:dyDescent="0.25">
      <c r="F308" s="7"/>
      <c r="G308" s="7"/>
      <c r="H308" s="7"/>
      <c r="I308" s="7"/>
      <c r="J308" s="7"/>
      <c r="K308" s="7"/>
      <c r="L308" s="7"/>
      <c r="M308" s="7"/>
      <c r="N308" s="7"/>
      <c r="O308" s="7"/>
      <c r="P308" s="7"/>
      <c r="Q308" s="7"/>
      <c r="R308" s="7"/>
    </row>
    <row r="309" spans="6:18" ht="14.25" customHeight="1" x14ac:dyDescent="0.25">
      <c r="F309" s="7"/>
      <c r="G309" s="7"/>
      <c r="H309" s="7"/>
      <c r="I309" s="7"/>
      <c r="J309" s="7"/>
      <c r="K309" s="7"/>
      <c r="L309" s="7"/>
      <c r="M309" s="7"/>
      <c r="N309" s="7"/>
      <c r="O309" s="7"/>
      <c r="P309" s="7"/>
      <c r="Q309" s="7"/>
      <c r="R309" s="7"/>
    </row>
    <row r="310" spans="6:18" ht="14.25" customHeight="1" x14ac:dyDescent="0.25">
      <c r="F310" s="7"/>
      <c r="G310" s="7"/>
      <c r="H310" s="7"/>
      <c r="I310" s="7"/>
      <c r="J310" s="7"/>
      <c r="K310" s="7"/>
      <c r="L310" s="7"/>
      <c r="M310" s="7"/>
      <c r="N310" s="7"/>
      <c r="O310" s="7"/>
      <c r="P310" s="7"/>
      <c r="Q310" s="7"/>
      <c r="R310" s="7"/>
    </row>
    <row r="311" spans="6:18" ht="14.25" customHeight="1" x14ac:dyDescent="0.25">
      <c r="F311" s="7"/>
      <c r="G311" s="7"/>
      <c r="H311" s="7"/>
      <c r="I311" s="7"/>
      <c r="J311" s="7"/>
      <c r="K311" s="7"/>
      <c r="L311" s="7"/>
      <c r="M311" s="7"/>
      <c r="N311" s="7"/>
      <c r="O311" s="7"/>
      <c r="P311" s="7"/>
      <c r="Q311" s="7"/>
      <c r="R311" s="7"/>
    </row>
    <row r="312" spans="6:18" ht="14.25" customHeight="1" x14ac:dyDescent="0.25">
      <c r="F312" s="7"/>
      <c r="G312" s="7"/>
      <c r="H312" s="7"/>
      <c r="I312" s="7"/>
      <c r="J312" s="7"/>
      <c r="K312" s="7"/>
      <c r="L312" s="7"/>
      <c r="M312" s="7"/>
      <c r="N312" s="7"/>
      <c r="O312" s="7"/>
      <c r="P312" s="7"/>
      <c r="Q312" s="7"/>
      <c r="R312" s="7"/>
    </row>
    <row r="313" spans="6:18" ht="14.25" customHeight="1" x14ac:dyDescent="0.25">
      <c r="F313" s="7"/>
      <c r="G313" s="7"/>
      <c r="H313" s="7"/>
      <c r="I313" s="7"/>
      <c r="J313" s="7"/>
      <c r="K313" s="7"/>
      <c r="L313" s="7"/>
      <c r="M313" s="7"/>
      <c r="N313" s="7"/>
      <c r="O313" s="7"/>
      <c r="P313" s="7"/>
      <c r="Q313" s="7"/>
      <c r="R313" s="7"/>
    </row>
    <row r="314" spans="6:18" ht="14.25" customHeight="1" x14ac:dyDescent="0.25">
      <c r="F314" s="7"/>
      <c r="G314" s="7"/>
      <c r="H314" s="7"/>
      <c r="I314" s="7"/>
      <c r="J314" s="7"/>
      <c r="K314" s="7"/>
      <c r="L314" s="7"/>
      <c r="M314" s="7"/>
      <c r="N314" s="7"/>
      <c r="O314" s="7"/>
      <c r="P314" s="7"/>
      <c r="Q314" s="7"/>
      <c r="R314" s="7"/>
    </row>
    <row r="315" spans="6:18" ht="14.25" customHeight="1" x14ac:dyDescent="0.25">
      <c r="F315" s="7"/>
      <c r="G315" s="7"/>
      <c r="H315" s="7"/>
      <c r="I315" s="7"/>
      <c r="J315" s="7"/>
      <c r="K315" s="7"/>
      <c r="L315" s="7"/>
      <c r="M315" s="7"/>
      <c r="N315" s="7"/>
      <c r="O315" s="7"/>
      <c r="P315" s="7"/>
      <c r="Q315" s="7"/>
      <c r="R315" s="7"/>
    </row>
    <row r="316" spans="6:18" ht="14.25" customHeight="1" x14ac:dyDescent="0.25">
      <c r="F316" s="7"/>
      <c r="G316" s="7"/>
      <c r="H316" s="7"/>
      <c r="I316" s="7"/>
      <c r="J316" s="7"/>
      <c r="K316" s="7"/>
      <c r="L316" s="7"/>
      <c r="M316" s="7"/>
      <c r="N316" s="7"/>
      <c r="O316" s="7"/>
      <c r="P316" s="7"/>
      <c r="Q316" s="7"/>
      <c r="R316" s="7"/>
    </row>
    <row r="317" spans="6:18" ht="14.25" customHeight="1" x14ac:dyDescent="0.25">
      <c r="F317" s="7"/>
      <c r="G317" s="7"/>
      <c r="H317" s="7"/>
      <c r="I317" s="7"/>
      <c r="J317" s="7"/>
      <c r="K317" s="7"/>
      <c r="L317" s="7"/>
      <c r="M317" s="7"/>
      <c r="N317" s="7"/>
      <c r="O317" s="7"/>
      <c r="P317" s="7"/>
      <c r="Q317" s="7"/>
      <c r="R317" s="7"/>
    </row>
    <row r="318" spans="6:18" ht="14.25" customHeight="1" x14ac:dyDescent="0.25">
      <c r="F318" s="7"/>
      <c r="G318" s="7"/>
      <c r="H318" s="7"/>
      <c r="I318" s="7"/>
      <c r="J318" s="7"/>
      <c r="K318" s="7"/>
      <c r="L318" s="7"/>
      <c r="M318" s="7"/>
      <c r="N318" s="7"/>
      <c r="O318" s="7"/>
      <c r="P318" s="7"/>
      <c r="Q318" s="7"/>
      <c r="R318" s="7"/>
    </row>
    <row r="319" spans="6:18" ht="14.25" customHeight="1" x14ac:dyDescent="0.25">
      <c r="F319" s="7"/>
      <c r="G319" s="7"/>
      <c r="H319" s="7"/>
      <c r="I319" s="7"/>
      <c r="J319" s="7"/>
      <c r="K319" s="7"/>
      <c r="L319" s="7"/>
      <c r="M319" s="7"/>
      <c r="N319" s="7"/>
      <c r="O319" s="7"/>
      <c r="P319" s="7"/>
      <c r="Q319" s="7"/>
      <c r="R319" s="7"/>
    </row>
    <row r="320" spans="6:18" ht="14.25" customHeight="1" x14ac:dyDescent="0.25">
      <c r="F320" s="7"/>
      <c r="G320" s="7"/>
      <c r="H320" s="7"/>
      <c r="I320" s="7"/>
      <c r="J320" s="7"/>
      <c r="K320" s="7"/>
      <c r="L320" s="7"/>
      <c r="M320" s="7"/>
      <c r="N320" s="7"/>
      <c r="O320" s="7"/>
      <c r="P320" s="7"/>
      <c r="Q320" s="7"/>
      <c r="R320" s="7"/>
    </row>
    <row r="321" spans="6:18" ht="14.25" customHeight="1" x14ac:dyDescent="0.25">
      <c r="F321" s="7"/>
      <c r="G321" s="7"/>
      <c r="H321" s="7"/>
      <c r="I321" s="7"/>
      <c r="J321" s="7"/>
      <c r="K321" s="7"/>
      <c r="L321" s="7"/>
      <c r="M321" s="7"/>
      <c r="N321" s="7"/>
      <c r="O321" s="7"/>
      <c r="P321" s="7"/>
      <c r="Q321" s="7"/>
      <c r="R321" s="7"/>
    </row>
    <row r="322" spans="6:18" ht="14.25" customHeight="1" x14ac:dyDescent="0.25">
      <c r="F322" s="7"/>
      <c r="G322" s="7"/>
      <c r="H322" s="7"/>
      <c r="I322" s="7"/>
      <c r="J322" s="7"/>
      <c r="K322" s="7"/>
      <c r="L322" s="7"/>
      <c r="M322" s="7"/>
      <c r="N322" s="7"/>
      <c r="O322" s="7"/>
      <c r="P322" s="7"/>
      <c r="Q322" s="7"/>
      <c r="R322" s="7"/>
    </row>
    <row r="323" spans="6:18" ht="14.25" customHeight="1" x14ac:dyDescent="0.25">
      <c r="F323" s="7"/>
      <c r="G323" s="7"/>
      <c r="H323" s="7"/>
      <c r="I323" s="7"/>
      <c r="J323" s="7"/>
      <c r="K323" s="7"/>
      <c r="L323" s="7"/>
      <c r="M323" s="7"/>
      <c r="N323" s="7"/>
      <c r="O323" s="7"/>
      <c r="P323" s="7"/>
      <c r="Q323" s="7"/>
      <c r="R323" s="7"/>
    </row>
    <row r="324" spans="6:18" ht="14.25" customHeight="1" x14ac:dyDescent="0.25">
      <c r="F324" s="7"/>
      <c r="G324" s="7"/>
      <c r="H324" s="7"/>
      <c r="I324" s="7"/>
      <c r="J324" s="7"/>
      <c r="K324" s="7"/>
      <c r="L324" s="7"/>
      <c r="M324" s="7"/>
      <c r="N324" s="7"/>
      <c r="O324" s="7"/>
      <c r="P324" s="7"/>
      <c r="Q324" s="7"/>
      <c r="R324" s="7"/>
    </row>
    <row r="325" spans="6:18" ht="14.25" customHeight="1" x14ac:dyDescent="0.25">
      <c r="F325" s="7"/>
      <c r="G325" s="7"/>
      <c r="H325" s="7"/>
      <c r="I325" s="7"/>
      <c r="J325" s="7"/>
      <c r="K325" s="7"/>
      <c r="L325" s="7"/>
      <c r="M325" s="7"/>
      <c r="N325" s="7"/>
      <c r="O325" s="7"/>
      <c r="P325" s="7"/>
      <c r="Q325" s="7"/>
      <c r="R325" s="7"/>
    </row>
    <row r="326" spans="6:18" ht="14.25" customHeight="1" x14ac:dyDescent="0.25">
      <c r="F326" s="7"/>
      <c r="G326" s="7"/>
      <c r="H326" s="7"/>
      <c r="I326" s="7"/>
      <c r="J326" s="7"/>
      <c r="K326" s="7"/>
      <c r="L326" s="7"/>
      <c r="M326" s="7"/>
      <c r="N326" s="7"/>
      <c r="O326" s="7"/>
      <c r="P326" s="7"/>
      <c r="Q326" s="7"/>
      <c r="R326" s="7"/>
    </row>
    <row r="327" spans="6:18" ht="14.25" customHeight="1" x14ac:dyDescent="0.25">
      <c r="F327" s="7"/>
      <c r="G327" s="7"/>
      <c r="H327" s="7"/>
      <c r="I327" s="7"/>
      <c r="J327" s="7"/>
      <c r="K327" s="7"/>
      <c r="L327" s="7"/>
      <c r="M327" s="7"/>
      <c r="N327" s="7"/>
      <c r="O327" s="7"/>
      <c r="P327" s="7"/>
      <c r="Q327" s="7"/>
      <c r="R327" s="7"/>
    </row>
    <row r="328" spans="6:18" ht="14.25" customHeight="1" x14ac:dyDescent="0.25">
      <c r="F328" s="7"/>
      <c r="G328" s="7"/>
      <c r="H328" s="7"/>
      <c r="I328" s="7"/>
      <c r="J328" s="7"/>
      <c r="K328" s="7"/>
      <c r="L328" s="7"/>
      <c r="M328" s="7"/>
      <c r="N328" s="7"/>
      <c r="O328" s="7"/>
      <c r="P328" s="7"/>
      <c r="Q328" s="7"/>
      <c r="R328" s="7"/>
    </row>
    <row r="329" spans="6:18" ht="14.25" customHeight="1" x14ac:dyDescent="0.25">
      <c r="F329" s="7"/>
      <c r="G329" s="7"/>
      <c r="H329" s="7"/>
      <c r="I329" s="7"/>
      <c r="J329" s="7"/>
      <c r="K329" s="7"/>
      <c r="L329" s="7"/>
      <c r="M329" s="7"/>
      <c r="N329" s="7"/>
      <c r="O329" s="7"/>
      <c r="P329" s="7"/>
      <c r="Q329" s="7"/>
      <c r="R329" s="7"/>
    </row>
    <row r="330" spans="6:18" ht="14.25" customHeight="1" x14ac:dyDescent="0.25">
      <c r="F330" s="7"/>
      <c r="G330" s="7"/>
      <c r="H330" s="7"/>
      <c r="I330" s="7"/>
      <c r="J330" s="7"/>
      <c r="K330" s="7"/>
      <c r="L330" s="7"/>
      <c r="M330" s="7"/>
      <c r="N330" s="7"/>
      <c r="O330" s="7"/>
      <c r="P330" s="7"/>
      <c r="Q330" s="7"/>
      <c r="R330" s="7"/>
    </row>
    <row r="331" spans="6:18" ht="14.25" customHeight="1" x14ac:dyDescent="0.25">
      <c r="F331" s="7"/>
      <c r="G331" s="7"/>
      <c r="H331" s="7"/>
      <c r="I331" s="7"/>
      <c r="J331" s="7"/>
      <c r="K331" s="7"/>
      <c r="L331" s="7"/>
      <c r="M331" s="7"/>
      <c r="N331" s="7"/>
      <c r="O331" s="7"/>
      <c r="P331" s="7"/>
      <c r="Q331" s="7"/>
      <c r="R331" s="7"/>
    </row>
    <row r="332" spans="6:18" ht="14.25" customHeight="1" x14ac:dyDescent="0.25">
      <c r="F332" s="7"/>
      <c r="G332" s="7"/>
      <c r="H332" s="7"/>
      <c r="I332" s="7"/>
      <c r="J332" s="7"/>
      <c r="K332" s="7"/>
      <c r="L332" s="7"/>
      <c r="M332" s="7"/>
      <c r="N332" s="7"/>
      <c r="O332" s="7"/>
      <c r="P332" s="7"/>
      <c r="Q332" s="7"/>
      <c r="R332" s="7"/>
    </row>
    <row r="333" spans="6:18" ht="14.25" customHeight="1" x14ac:dyDescent="0.25">
      <c r="F333" s="7"/>
      <c r="G333" s="7"/>
      <c r="H333" s="7"/>
      <c r="I333" s="7"/>
      <c r="J333" s="7"/>
      <c r="K333" s="7"/>
      <c r="L333" s="7"/>
      <c r="M333" s="7"/>
      <c r="N333" s="7"/>
      <c r="O333" s="7"/>
      <c r="P333" s="7"/>
      <c r="Q333" s="7"/>
      <c r="R333" s="7"/>
    </row>
    <row r="334" spans="6:18" ht="14.25" customHeight="1" x14ac:dyDescent="0.25">
      <c r="F334" s="7"/>
      <c r="G334" s="7"/>
      <c r="H334" s="7"/>
      <c r="I334" s="7"/>
      <c r="J334" s="7"/>
      <c r="K334" s="7"/>
      <c r="L334" s="7"/>
      <c r="M334" s="7"/>
      <c r="N334" s="7"/>
      <c r="O334" s="7"/>
      <c r="P334" s="7"/>
      <c r="Q334" s="7"/>
      <c r="R334" s="7"/>
    </row>
    <row r="335" spans="6:18" ht="14.25" customHeight="1" x14ac:dyDescent="0.25">
      <c r="F335" s="7"/>
      <c r="G335" s="7"/>
      <c r="H335" s="7"/>
      <c r="I335" s="7"/>
      <c r="J335" s="7"/>
      <c r="K335" s="7"/>
      <c r="L335" s="7"/>
      <c r="M335" s="7"/>
      <c r="N335" s="7"/>
      <c r="O335" s="7"/>
      <c r="P335" s="7"/>
      <c r="Q335" s="7"/>
      <c r="R335" s="7"/>
    </row>
    <row r="336" spans="6:18" ht="14.25" customHeight="1" x14ac:dyDescent="0.25">
      <c r="F336" s="7"/>
      <c r="G336" s="7"/>
      <c r="H336" s="7"/>
      <c r="I336" s="7"/>
      <c r="J336" s="7"/>
      <c r="K336" s="7"/>
      <c r="L336" s="7"/>
      <c r="M336" s="7"/>
      <c r="N336" s="7"/>
      <c r="O336" s="7"/>
      <c r="P336" s="7"/>
      <c r="Q336" s="7"/>
      <c r="R336" s="7"/>
    </row>
    <row r="337" spans="6:18" ht="14.25" customHeight="1" x14ac:dyDescent="0.25">
      <c r="F337" s="7"/>
      <c r="G337" s="7"/>
      <c r="H337" s="7"/>
      <c r="I337" s="7"/>
      <c r="J337" s="7"/>
      <c r="K337" s="7"/>
      <c r="L337" s="7"/>
      <c r="M337" s="7"/>
      <c r="N337" s="7"/>
      <c r="O337" s="7"/>
      <c r="P337" s="7"/>
      <c r="Q337" s="7"/>
      <c r="R337" s="7"/>
    </row>
    <row r="338" spans="6:18" ht="14.25" customHeight="1" x14ac:dyDescent="0.25">
      <c r="F338" s="7"/>
      <c r="G338" s="7"/>
      <c r="H338" s="7"/>
      <c r="I338" s="7"/>
      <c r="J338" s="7"/>
      <c r="K338" s="7"/>
      <c r="L338" s="7"/>
      <c r="M338" s="7"/>
      <c r="N338" s="7"/>
      <c r="O338" s="7"/>
      <c r="P338" s="7"/>
      <c r="Q338" s="7"/>
      <c r="R338" s="7"/>
    </row>
    <row r="339" spans="6:18" ht="14.25" customHeight="1" x14ac:dyDescent="0.25">
      <c r="F339" s="7"/>
      <c r="G339" s="7"/>
      <c r="H339" s="7"/>
      <c r="I339" s="7"/>
      <c r="J339" s="7"/>
      <c r="K339" s="7"/>
      <c r="L339" s="7"/>
      <c r="M339" s="7"/>
      <c r="N339" s="7"/>
      <c r="O339" s="7"/>
      <c r="P339" s="7"/>
      <c r="Q339" s="7"/>
      <c r="R339" s="7"/>
    </row>
    <row r="340" spans="6:18" ht="14.25" customHeight="1" x14ac:dyDescent="0.25">
      <c r="F340" s="7"/>
      <c r="G340" s="7"/>
      <c r="H340" s="7"/>
      <c r="I340" s="7"/>
      <c r="J340" s="7"/>
      <c r="K340" s="7"/>
      <c r="L340" s="7"/>
      <c r="M340" s="7"/>
      <c r="N340" s="7"/>
      <c r="O340" s="7"/>
      <c r="P340" s="7"/>
      <c r="Q340" s="7"/>
      <c r="R340" s="7"/>
    </row>
    <row r="341" spans="6:18" ht="14.25" customHeight="1" x14ac:dyDescent="0.25">
      <c r="F341" s="7"/>
      <c r="G341" s="7"/>
      <c r="H341" s="7"/>
      <c r="I341" s="7"/>
      <c r="J341" s="7"/>
      <c r="K341" s="7"/>
      <c r="L341" s="7"/>
      <c r="M341" s="7"/>
      <c r="N341" s="7"/>
      <c r="O341" s="7"/>
      <c r="P341" s="7"/>
      <c r="Q341" s="7"/>
      <c r="R341" s="7"/>
    </row>
    <row r="342" spans="6:18" ht="14.25" customHeight="1" x14ac:dyDescent="0.25">
      <c r="F342" s="7"/>
      <c r="G342" s="7"/>
      <c r="H342" s="7"/>
      <c r="I342" s="7"/>
      <c r="J342" s="7"/>
      <c r="K342" s="7"/>
      <c r="L342" s="7"/>
      <c r="M342" s="7"/>
      <c r="N342" s="7"/>
      <c r="O342" s="7"/>
      <c r="P342" s="7"/>
      <c r="Q342" s="7"/>
      <c r="R342" s="7"/>
    </row>
    <row r="343" spans="6:18" ht="14.25" customHeight="1" x14ac:dyDescent="0.25">
      <c r="F343" s="7"/>
      <c r="G343" s="7"/>
      <c r="H343" s="7"/>
      <c r="I343" s="7"/>
      <c r="J343" s="7"/>
      <c r="K343" s="7"/>
      <c r="L343" s="7"/>
      <c r="M343" s="7"/>
      <c r="N343" s="7"/>
      <c r="O343" s="7"/>
      <c r="P343" s="7"/>
      <c r="Q343" s="7"/>
      <c r="R343" s="7"/>
    </row>
    <row r="344" spans="6:18" ht="14.25" customHeight="1" x14ac:dyDescent="0.25">
      <c r="F344" s="7"/>
      <c r="G344" s="7"/>
      <c r="H344" s="7"/>
      <c r="I344" s="7"/>
      <c r="J344" s="7"/>
      <c r="K344" s="7"/>
      <c r="L344" s="7"/>
      <c r="M344" s="7"/>
      <c r="N344" s="7"/>
      <c r="O344" s="7"/>
      <c r="P344" s="7"/>
      <c r="Q344" s="7"/>
      <c r="R344" s="7"/>
    </row>
    <row r="345" spans="6:18" ht="14.25" customHeight="1" x14ac:dyDescent="0.25">
      <c r="F345" s="7"/>
      <c r="G345" s="7"/>
      <c r="H345" s="7"/>
      <c r="I345" s="7"/>
      <c r="J345" s="7"/>
      <c r="K345" s="7"/>
      <c r="L345" s="7"/>
      <c r="M345" s="7"/>
      <c r="N345" s="7"/>
      <c r="O345" s="7"/>
      <c r="P345" s="7"/>
      <c r="Q345" s="7"/>
      <c r="R345" s="7"/>
    </row>
    <row r="346" spans="6:18" ht="14.25" customHeight="1" x14ac:dyDescent="0.25">
      <c r="F346" s="7"/>
      <c r="G346" s="7"/>
      <c r="H346" s="7"/>
      <c r="I346" s="7"/>
      <c r="J346" s="7"/>
      <c r="K346" s="7"/>
      <c r="L346" s="7"/>
      <c r="M346" s="7"/>
      <c r="N346" s="7"/>
      <c r="O346" s="7"/>
      <c r="P346" s="7"/>
      <c r="Q346" s="7"/>
      <c r="R346" s="7"/>
    </row>
    <row r="347" spans="6:18" ht="14.25" customHeight="1" x14ac:dyDescent="0.25">
      <c r="F347" s="7"/>
      <c r="G347" s="7"/>
      <c r="H347" s="7"/>
      <c r="I347" s="7"/>
      <c r="J347" s="7"/>
      <c r="K347" s="7"/>
      <c r="L347" s="7"/>
      <c r="M347" s="7"/>
      <c r="N347" s="7"/>
      <c r="O347" s="7"/>
      <c r="P347" s="7"/>
      <c r="Q347" s="7"/>
      <c r="R347" s="7"/>
    </row>
    <row r="348" spans="6:18" ht="14.25" customHeight="1" x14ac:dyDescent="0.25">
      <c r="F348" s="7"/>
      <c r="G348" s="7"/>
      <c r="H348" s="7"/>
      <c r="I348" s="7"/>
      <c r="J348" s="7"/>
      <c r="K348" s="7"/>
      <c r="L348" s="7"/>
      <c r="M348" s="7"/>
      <c r="N348" s="7"/>
      <c r="O348" s="7"/>
      <c r="P348" s="7"/>
      <c r="Q348" s="7"/>
      <c r="R348" s="7"/>
    </row>
    <row r="349" spans="6:18" ht="14.25" customHeight="1" x14ac:dyDescent="0.25">
      <c r="F349" s="7"/>
      <c r="G349" s="7"/>
      <c r="H349" s="7"/>
      <c r="I349" s="7"/>
      <c r="J349" s="7"/>
      <c r="K349" s="7"/>
      <c r="L349" s="7"/>
      <c r="M349" s="7"/>
      <c r="N349" s="7"/>
      <c r="O349" s="7"/>
      <c r="P349" s="7"/>
      <c r="Q349" s="7"/>
      <c r="R349" s="7"/>
    </row>
    <row r="350" spans="6:18" ht="14.25" customHeight="1" x14ac:dyDescent="0.25">
      <c r="F350" s="7"/>
      <c r="G350" s="7"/>
      <c r="H350" s="7"/>
      <c r="I350" s="7"/>
      <c r="J350" s="7"/>
      <c r="K350" s="7"/>
      <c r="L350" s="7"/>
      <c r="M350" s="7"/>
      <c r="N350" s="7"/>
      <c r="O350" s="7"/>
      <c r="P350" s="7"/>
      <c r="Q350" s="7"/>
      <c r="R350" s="7"/>
    </row>
    <row r="351" spans="6:18" ht="14.25" customHeight="1" x14ac:dyDescent="0.25">
      <c r="F351" s="7"/>
      <c r="G351" s="7"/>
      <c r="H351" s="7"/>
      <c r="I351" s="7"/>
      <c r="J351" s="7"/>
      <c r="K351" s="7"/>
      <c r="L351" s="7"/>
      <c r="M351" s="7"/>
      <c r="N351" s="7"/>
      <c r="O351" s="7"/>
      <c r="P351" s="7"/>
      <c r="Q351" s="7"/>
      <c r="R351" s="7"/>
    </row>
    <row r="352" spans="6:18" ht="14.25" customHeight="1" x14ac:dyDescent="0.25">
      <c r="F352" s="7"/>
      <c r="G352" s="7"/>
      <c r="H352" s="7"/>
      <c r="I352" s="7"/>
      <c r="J352" s="7"/>
      <c r="K352" s="7"/>
      <c r="L352" s="7"/>
      <c r="M352" s="7"/>
      <c r="N352" s="7"/>
      <c r="O352" s="7"/>
      <c r="P352" s="7"/>
      <c r="Q352" s="7"/>
      <c r="R352" s="7"/>
    </row>
    <row r="353" spans="6:18" ht="14.25" customHeight="1" x14ac:dyDescent="0.25">
      <c r="F353" s="7"/>
      <c r="G353" s="7"/>
      <c r="H353" s="7"/>
      <c r="I353" s="7"/>
      <c r="J353" s="7"/>
      <c r="K353" s="7"/>
      <c r="L353" s="7"/>
      <c r="M353" s="7"/>
      <c r="N353" s="7"/>
      <c r="O353" s="7"/>
      <c r="P353" s="7"/>
      <c r="Q353" s="7"/>
      <c r="R353" s="7"/>
    </row>
    <row r="354" spans="6:18" ht="14.25" customHeight="1" x14ac:dyDescent="0.25">
      <c r="F354" s="7"/>
      <c r="G354" s="7"/>
      <c r="H354" s="7"/>
      <c r="I354" s="7"/>
      <c r="J354" s="7"/>
      <c r="K354" s="7"/>
      <c r="L354" s="7"/>
      <c r="M354" s="7"/>
      <c r="N354" s="7"/>
      <c r="O354" s="7"/>
      <c r="P354" s="7"/>
      <c r="Q354" s="7"/>
      <c r="R354" s="7"/>
    </row>
    <row r="355" spans="6:18" ht="14.25" customHeight="1" x14ac:dyDescent="0.25">
      <c r="F355" s="7"/>
      <c r="G355" s="7"/>
      <c r="H355" s="7"/>
      <c r="I355" s="7"/>
      <c r="J355" s="7"/>
      <c r="K355" s="7"/>
      <c r="L355" s="7"/>
      <c r="M355" s="7"/>
      <c r="N355" s="7"/>
      <c r="O355" s="7"/>
      <c r="P355" s="7"/>
      <c r="Q355" s="7"/>
      <c r="R355" s="7"/>
    </row>
    <row r="356" spans="6:18" ht="14.25" customHeight="1" x14ac:dyDescent="0.25">
      <c r="F356" s="7"/>
      <c r="G356" s="7"/>
      <c r="H356" s="7"/>
      <c r="I356" s="7"/>
      <c r="J356" s="7"/>
      <c r="K356" s="7"/>
      <c r="L356" s="7"/>
      <c r="M356" s="7"/>
      <c r="N356" s="7"/>
      <c r="O356" s="7"/>
      <c r="P356" s="7"/>
      <c r="Q356" s="7"/>
      <c r="R356" s="7"/>
    </row>
    <row r="357" spans="6:18" ht="14.25" customHeight="1" x14ac:dyDescent="0.25">
      <c r="F357" s="7"/>
      <c r="G357" s="7"/>
      <c r="H357" s="7"/>
      <c r="I357" s="7"/>
      <c r="J357" s="7"/>
      <c r="K357" s="7"/>
      <c r="L357" s="7"/>
      <c r="M357" s="7"/>
      <c r="N357" s="7"/>
      <c r="O357" s="7"/>
      <c r="P357" s="7"/>
      <c r="Q357" s="7"/>
      <c r="R357" s="7"/>
    </row>
    <row r="358" spans="6:18" ht="14.25" customHeight="1" x14ac:dyDescent="0.25">
      <c r="F358" s="7"/>
      <c r="G358" s="7"/>
      <c r="H358" s="7"/>
      <c r="I358" s="7"/>
      <c r="J358" s="7"/>
      <c r="K358" s="7"/>
      <c r="L358" s="7"/>
      <c r="M358" s="7"/>
      <c r="N358" s="7"/>
      <c r="O358" s="7"/>
      <c r="P358" s="7"/>
      <c r="Q358" s="7"/>
      <c r="R358" s="7"/>
    </row>
    <row r="359" spans="6:18" ht="14.25" customHeight="1" x14ac:dyDescent="0.25">
      <c r="F359" s="7"/>
      <c r="G359" s="7"/>
      <c r="H359" s="7"/>
      <c r="I359" s="7"/>
      <c r="J359" s="7"/>
      <c r="K359" s="7"/>
      <c r="L359" s="7"/>
      <c r="M359" s="7"/>
      <c r="N359" s="7"/>
      <c r="O359" s="7"/>
      <c r="P359" s="7"/>
      <c r="Q359" s="7"/>
      <c r="R359" s="7"/>
    </row>
    <row r="360" spans="6:18" ht="14.25" customHeight="1" x14ac:dyDescent="0.25">
      <c r="F360" s="7"/>
      <c r="G360" s="7"/>
      <c r="H360" s="7"/>
      <c r="I360" s="7"/>
      <c r="J360" s="7"/>
      <c r="K360" s="7"/>
      <c r="L360" s="7"/>
      <c r="M360" s="7"/>
      <c r="N360" s="7"/>
      <c r="O360" s="7"/>
      <c r="P360" s="7"/>
      <c r="Q360" s="7"/>
      <c r="R360" s="7"/>
    </row>
    <row r="361" spans="6:18" ht="14.25" customHeight="1" x14ac:dyDescent="0.25">
      <c r="F361" s="7"/>
      <c r="G361" s="7"/>
      <c r="H361" s="7"/>
      <c r="I361" s="7"/>
      <c r="J361" s="7"/>
      <c r="K361" s="7"/>
      <c r="L361" s="7"/>
      <c r="M361" s="7"/>
      <c r="N361" s="7"/>
      <c r="O361" s="7"/>
      <c r="P361" s="7"/>
      <c r="Q361" s="7"/>
      <c r="R361" s="7"/>
    </row>
    <row r="362" spans="6:18" ht="14.25" customHeight="1" x14ac:dyDescent="0.25">
      <c r="F362" s="7"/>
      <c r="G362" s="7"/>
      <c r="H362" s="7"/>
      <c r="I362" s="7"/>
      <c r="J362" s="7"/>
      <c r="K362" s="7"/>
      <c r="L362" s="7"/>
      <c r="M362" s="7"/>
      <c r="N362" s="7"/>
      <c r="O362" s="7"/>
      <c r="P362" s="7"/>
      <c r="Q362" s="7"/>
      <c r="R362" s="7"/>
    </row>
    <row r="363" spans="6:18" ht="14.25" customHeight="1" x14ac:dyDescent="0.25">
      <c r="F363" s="7"/>
      <c r="G363" s="7"/>
      <c r="H363" s="7"/>
      <c r="I363" s="7"/>
      <c r="J363" s="7"/>
      <c r="K363" s="7"/>
      <c r="L363" s="7"/>
      <c r="M363" s="7"/>
      <c r="N363" s="7"/>
      <c r="O363" s="7"/>
      <c r="P363" s="7"/>
      <c r="Q363" s="7"/>
      <c r="R363" s="7"/>
    </row>
    <row r="364" spans="6:18" ht="14.25" customHeight="1" x14ac:dyDescent="0.25">
      <c r="F364" s="7"/>
      <c r="G364" s="7"/>
      <c r="H364" s="7"/>
      <c r="I364" s="7"/>
      <c r="J364" s="7"/>
      <c r="K364" s="7"/>
      <c r="L364" s="7"/>
      <c r="M364" s="7"/>
      <c r="N364" s="7"/>
      <c r="O364" s="7"/>
      <c r="P364" s="7"/>
      <c r="Q364" s="7"/>
      <c r="R364" s="7"/>
    </row>
    <row r="365" spans="6:18" ht="14.25" customHeight="1" x14ac:dyDescent="0.25">
      <c r="F365" s="7"/>
      <c r="G365" s="7"/>
      <c r="H365" s="7"/>
      <c r="I365" s="7"/>
      <c r="J365" s="7"/>
      <c r="K365" s="7"/>
      <c r="L365" s="7"/>
      <c r="M365" s="7"/>
      <c r="N365" s="7"/>
      <c r="O365" s="7"/>
      <c r="P365" s="7"/>
      <c r="Q365" s="7"/>
      <c r="R365" s="7"/>
    </row>
    <row r="366" spans="6:18" ht="14.25" customHeight="1" x14ac:dyDescent="0.25">
      <c r="F366" s="7"/>
      <c r="G366" s="7"/>
      <c r="H366" s="7"/>
      <c r="I366" s="7"/>
      <c r="J366" s="7"/>
      <c r="K366" s="7"/>
      <c r="L366" s="7"/>
      <c r="M366" s="7"/>
      <c r="N366" s="7"/>
      <c r="O366" s="7"/>
      <c r="P366" s="7"/>
      <c r="Q366" s="7"/>
      <c r="R366" s="7"/>
    </row>
    <row r="367" spans="6:18" ht="14.25" customHeight="1" x14ac:dyDescent="0.25">
      <c r="F367" s="7"/>
      <c r="G367" s="7"/>
      <c r="H367" s="7"/>
      <c r="I367" s="7"/>
      <c r="J367" s="7"/>
      <c r="K367" s="7"/>
      <c r="L367" s="7"/>
      <c r="M367" s="7"/>
      <c r="N367" s="7"/>
      <c r="O367" s="7"/>
      <c r="P367" s="7"/>
      <c r="Q367" s="7"/>
      <c r="R367" s="7"/>
    </row>
    <row r="368" spans="6:18" ht="14.25" customHeight="1" x14ac:dyDescent="0.25">
      <c r="F368" s="7"/>
      <c r="G368" s="7"/>
      <c r="H368" s="7"/>
      <c r="I368" s="7"/>
      <c r="J368" s="7"/>
      <c r="K368" s="7"/>
      <c r="L368" s="7"/>
      <c r="M368" s="7"/>
      <c r="N368" s="7"/>
      <c r="O368" s="7"/>
      <c r="P368" s="7"/>
      <c r="Q368" s="7"/>
      <c r="R368" s="7"/>
    </row>
    <row r="369" spans="6:18" ht="14.25" customHeight="1" x14ac:dyDescent="0.25">
      <c r="F369" s="7"/>
      <c r="G369" s="7"/>
      <c r="H369" s="7"/>
      <c r="I369" s="7"/>
      <c r="J369" s="7"/>
      <c r="K369" s="7"/>
      <c r="L369" s="7"/>
      <c r="M369" s="7"/>
      <c r="N369" s="7"/>
      <c r="O369" s="7"/>
      <c r="P369" s="7"/>
      <c r="Q369" s="7"/>
      <c r="R369" s="7"/>
    </row>
    <row r="370" spans="6:18" ht="14.25" customHeight="1" x14ac:dyDescent="0.25">
      <c r="F370" s="7"/>
      <c r="G370" s="7"/>
      <c r="H370" s="7"/>
      <c r="I370" s="7"/>
      <c r="J370" s="7"/>
      <c r="K370" s="7"/>
      <c r="L370" s="7"/>
      <c r="M370" s="7"/>
      <c r="N370" s="7"/>
      <c r="O370" s="7"/>
      <c r="P370" s="7"/>
      <c r="Q370" s="7"/>
      <c r="R370" s="7"/>
    </row>
    <row r="371" spans="6:18" ht="14.25" customHeight="1" x14ac:dyDescent="0.25">
      <c r="F371" s="7"/>
      <c r="G371" s="7"/>
      <c r="H371" s="7"/>
      <c r="I371" s="7"/>
      <c r="J371" s="7"/>
      <c r="K371" s="7"/>
      <c r="L371" s="7"/>
      <c r="M371" s="7"/>
      <c r="N371" s="7"/>
      <c r="O371" s="7"/>
      <c r="P371" s="7"/>
      <c r="Q371" s="7"/>
      <c r="R371" s="7"/>
    </row>
    <row r="372" spans="6:18" ht="14.25" customHeight="1" x14ac:dyDescent="0.25">
      <c r="F372" s="7"/>
      <c r="G372" s="7"/>
      <c r="H372" s="7"/>
      <c r="I372" s="7"/>
      <c r="J372" s="7"/>
      <c r="K372" s="7"/>
      <c r="L372" s="7"/>
      <c r="M372" s="7"/>
      <c r="N372" s="7"/>
      <c r="O372" s="7"/>
      <c r="P372" s="7"/>
      <c r="Q372" s="7"/>
      <c r="R372" s="7"/>
    </row>
    <row r="373" spans="6:18" ht="14.25" customHeight="1" x14ac:dyDescent="0.25">
      <c r="F373" s="7"/>
      <c r="G373" s="7"/>
      <c r="H373" s="7"/>
      <c r="I373" s="7"/>
      <c r="J373" s="7"/>
      <c r="K373" s="7"/>
      <c r="L373" s="7"/>
      <c r="M373" s="7"/>
      <c r="N373" s="7"/>
      <c r="O373" s="7"/>
      <c r="P373" s="7"/>
      <c r="Q373" s="7"/>
      <c r="R373" s="7"/>
    </row>
    <row r="374" spans="6:18" ht="14.25" customHeight="1" x14ac:dyDescent="0.25">
      <c r="F374" s="7"/>
      <c r="G374" s="7"/>
      <c r="H374" s="7"/>
      <c r="I374" s="7"/>
      <c r="J374" s="7"/>
      <c r="K374" s="7"/>
      <c r="L374" s="7"/>
      <c r="M374" s="7"/>
      <c r="N374" s="7"/>
      <c r="O374" s="7"/>
      <c r="P374" s="7"/>
      <c r="Q374" s="7"/>
      <c r="R374" s="7"/>
    </row>
    <row r="375" spans="6:18" ht="14.25" customHeight="1" x14ac:dyDescent="0.25">
      <c r="F375" s="7"/>
      <c r="G375" s="7"/>
      <c r="H375" s="7"/>
      <c r="I375" s="7"/>
      <c r="J375" s="7"/>
      <c r="K375" s="7"/>
      <c r="L375" s="7"/>
      <c r="M375" s="7"/>
      <c r="N375" s="7"/>
      <c r="O375" s="7"/>
      <c r="P375" s="7"/>
      <c r="Q375" s="7"/>
      <c r="R375" s="7"/>
    </row>
    <row r="376" spans="6:18" ht="14.25" customHeight="1" x14ac:dyDescent="0.25">
      <c r="F376" s="7"/>
      <c r="G376" s="7"/>
      <c r="H376" s="7"/>
      <c r="I376" s="7"/>
      <c r="J376" s="7"/>
      <c r="K376" s="7"/>
      <c r="L376" s="7"/>
      <c r="M376" s="7"/>
      <c r="N376" s="7"/>
      <c r="O376" s="7"/>
      <c r="P376" s="7"/>
      <c r="Q376" s="7"/>
      <c r="R376" s="7"/>
    </row>
    <row r="377" spans="6:18" ht="14.25" customHeight="1" x14ac:dyDescent="0.25">
      <c r="F377" s="7"/>
      <c r="G377" s="7"/>
      <c r="H377" s="7"/>
      <c r="I377" s="7"/>
      <c r="J377" s="7"/>
      <c r="K377" s="7"/>
      <c r="L377" s="7"/>
      <c r="M377" s="7"/>
      <c r="N377" s="7"/>
      <c r="O377" s="7"/>
      <c r="P377" s="7"/>
      <c r="Q377" s="7"/>
      <c r="R377" s="7"/>
    </row>
    <row r="378" spans="6:18" ht="14.25" customHeight="1" x14ac:dyDescent="0.25">
      <c r="F378" s="7"/>
      <c r="G378" s="7"/>
      <c r="H378" s="7"/>
      <c r="I378" s="7"/>
      <c r="J378" s="7"/>
      <c r="K378" s="7"/>
      <c r="L378" s="7"/>
      <c r="M378" s="7"/>
      <c r="N378" s="7"/>
      <c r="O378" s="7"/>
      <c r="P378" s="7"/>
      <c r="Q378" s="7"/>
      <c r="R378" s="7"/>
    </row>
    <row r="379" spans="6:18" ht="14.25" customHeight="1" x14ac:dyDescent="0.25">
      <c r="F379" s="7"/>
      <c r="G379" s="7"/>
      <c r="H379" s="7"/>
      <c r="I379" s="7"/>
      <c r="J379" s="7"/>
      <c r="K379" s="7"/>
      <c r="L379" s="7"/>
      <c r="M379" s="7"/>
      <c r="N379" s="7"/>
      <c r="O379" s="7"/>
      <c r="P379" s="7"/>
      <c r="Q379" s="7"/>
      <c r="R379" s="7"/>
    </row>
    <row r="380" spans="6:18" ht="14.25" customHeight="1" x14ac:dyDescent="0.25">
      <c r="F380" s="7"/>
      <c r="G380" s="7"/>
      <c r="H380" s="7"/>
      <c r="I380" s="7"/>
      <c r="J380" s="7"/>
      <c r="K380" s="7"/>
      <c r="L380" s="7"/>
      <c r="M380" s="7"/>
      <c r="N380" s="7"/>
      <c r="O380" s="7"/>
      <c r="P380" s="7"/>
      <c r="Q380" s="7"/>
      <c r="R380" s="7"/>
    </row>
    <row r="381" spans="6:18" ht="14.25" customHeight="1" x14ac:dyDescent="0.25">
      <c r="F381" s="7"/>
      <c r="G381" s="7"/>
      <c r="H381" s="7"/>
      <c r="I381" s="7"/>
      <c r="J381" s="7"/>
      <c r="K381" s="7"/>
      <c r="L381" s="7"/>
      <c r="M381" s="7"/>
      <c r="N381" s="7"/>
      <c r="O381" s="7"/>
      <c r="P381" s="7"/>
      <c r="Q381" s="7"/>
      <c r="R381" s="7"/>
    </row>
    <row r="382" spans="6:18" ht="14.25" customHeight="1" x14ac:dyDescent="0.25">
      <c r="F382" s="7"/>
      <c r="G382" s="7"/>
      <c r="H382" s="7"/>
      <c r="I382" s="7"/>
      <c r="J382" s="7"/>
      <c r="K382" s="7"/>
      <c r="L382" s="7"/>
      <c r="M382" s="7"/>
      <c r="N382" s="7"/>
      <c r="O382" s="7"/>
      <c r="P382" s="7"/>
      <c r="Q382" s="7"/>
      <c r="R382" s="7"/>
    </row>
    <row r="383" spans="6:18" ht="14.25" customHeight="1" x14ac:dyDescent="0.25">
      <c r="F383" s="7"/>
      <c r="G383" s="7"/>
      <c r="H383" s="7"/>
      <c r="I383" s="7"/>
      <c r="J383" s="7"/>
      <c r="K383" s="7"/>
      <c r="L383" s="7"/>
      <c r="M383" s="7"/>
      <c r="N383" s="7"/>
      <c r="O383" s="7"/>
      <c r="P383" s="7"/>
      <c r="Q383" s="7"/>
      <c r="R383" s="7"/>
    </row>
    <row r="384" spans="6:18" ht="14.25" customHeight="1" x14ac:dyDescent="0.25">
      <c r="F384" s="7"/>
      <c r="G384" s="7"/>
      <c r="H384" s="7"/>
      <c r="I384" s="7"/>
      <c r="J384" s="7"/>
      <c r="K384" s="7"/>
      <c r="L384" s="7"/>
      <c r="M384" s="7"/>
      <c r="N384" s="7"/>
      <c r="O384" s="7"/>
      <c r="P384" s="7"/>
      <c r="Q384" s="7"/>
      <c r="R384" s="7"/>
    </row>
    <row r="385" spans="6:18" ht="14.25" customHeight="1" x14ac:dyDescent="0.25">
      <c r="F385" s="7"/>
      <c r="G385" s="7"/>
      <c r="H385" s="7"/>
      <c r="I385" s="7"/>
      <c r="J385" s="7"/>
      <c r="K385" s="7"/>
      <c r="L385" s="7"/>
      <c r="M385" s="7"/>
      <c r="N385" s="7"/>
      <c r="O385" s="7"/>
      <c r="P385" s="7"/>
      <c r="Q385" s="7"/>
      <c r="R385" s="7"/>
    </row>
    <row r="386" spans="6:18" ht="14.25" customHeight="1" x14ac:dyDescent="0.25">
      <c r="F386" s="7"/>
      <c r="G386" s="7"/>
      <c r="H386" s="7"/>
      <c r="I386" s="7"/>
      <c r="J386" s="7"/>
      <c r="K386" s="7"/>
      <c r="L386" s="7"/>
      <c r="M386" s="7"/>
      <c r="N386" s="7"/>
      <c r="O386" s="7"/>
      <c r="P386" s="7"/>
      <c r="Q386" s="7"/>
      <c r="R386" s="7"/>
    </row>
    <row r="387" spans="6:18" ht="14.25" customHeight="1" x14ac:dyDescent="0.25">
      <c r="F387" s="7"/>
      <c r="G387" s="7"/>
      <c r="H387" s="7"/>
      <c r="I387" s="7"/>
      <c r="J387" s="7"/>
      <c r="K387" s="7"/>
      <c r="L387" s="7"/>
      <c r="M387" s="7"/>
      <c r="N387" s="7"/>
      <c r="O387" s="7"/>
      <c r="P387" s="7"/>
      <c r="Q387" s="7"/>
      <c r="R387" s="7"/>
    </row>
    <row r="388" spans="6:18" ht="14.25" customHeight="1" x14ac:dyDescent="0.25">
      <c r="F388" s="7"/>
      <c r="G388" s="7"/>
      <c r="H388" s="7"/>
      <c r="I388" s="7"/>
      <c r="J388" s="7"/>
      <c r="K388" s="7"/>
      <c r="L388" s="7"/>
      <c r="M388" s="7"/>
      <c r="N388" s="7"/>
      <c r="O388" s="7"/>
      <c r="P388" s="7"/>
      <c r="Q388" s="7"/>
      <c r="R388" s="7"/>
    </row>
    <row r="389" spans="6:18" ht="14.25" customHeight="1" x14ac:dyDescent="0.25">
      <c r="F389" s="7"/>
      <c r="G389" s="7"/>
      <c r="H389" s="7"/>
      <c r="I389" s="7"/>
      <c r="J389" s="7"/>
      <c r="K389" s="7"/>
      <c r="L389" s="7"/>
      <c r="M389" s="7"/>
      <c r="N389" s="7"/>
      <c r="O389" s="7"/>
      <c r="P389" s="7"/>
      <c r="Q389" s="7"/>
      <c r="R389" s="7"/>
    </row>
    <row r="390" spans="6:18" ht="14.25" customHeight="1" x14ac:dyDescent="0.25">
      <c r="F390" s="7"/>
      <c r="G390" s="7"/>
      <c r="H390" s="7"/>
      <c r="I390" s="7"/>
      <c r="J390" s="7"/>
      <c r="K390" s="7"/>
      <c r="L390" s="7"/>
      <c r="M390" s="7"/>
      <c r="N390" s="7"/>
      <c r="O390" s="7"/>
      <c r="P390" s="7"/>
      <c r="Q390" s="7"/>
      <c r="R390" s="7"/>
    </row>
    <row r="391" spans="6:18" ht="14.25" customHeight="1" x14ac:dyDescent="0.25">
      <c r="F391" s="7"/>
      <c r="G391" s="7"/>
      <c r="H391" s="7"/>
      <c r="I391" s="7"/>
      <c r="J391" s="7"/>
      <c r="K391" s="7"/>
      <c r="L391" s="7"/>
      <c r="M391" s="7"/>
      <c r="N391" s="7"/>
      <c r="O391" s="7"/>
      <c r="P391" s="7"/>
      <c r="Q391" s="7"/>
      <c r="R391" s="7"/>
    </row>
    <row r="392" spans="6:18" ht="14.25" customHeight="1" x14ac:dyDescent="0.25">
      <c r="F392" s="7"/>
      <c r="G392" s="7"/>
      <c r="H392" s="7"/>
      <c r="I392" s="7"/>
      <c r="J392" s="7"/>
      <c r="K392" s="7"/>
      <c r="L392" s="7"/>
      <c r="M392" s="7"/>
      <c r="N392" s="7"/>
      <c r="O392" s="7"/>
      <c r="P392" s="7"/>
      <c r="Q392" s="7"/>
      <c r="R392" s="7"/>
    </row>
    <row r="393" spans="6:18" ht="14.25" customHeight="1" x14ac:dyDescent="0.25">
      <c r="F393" s="7"/>
      <c r="G393" s="7"/>
      <c r="H393" s="7"/>
      <c r="I393" s="7"/>
      <c r="J393" s="7"/>
      <c r="K393" s="7"/>
      <c r="L393" s="7"/>
      <c r="M393" s="7"/>
      <c r="N393" s="7"/>
      <c r="O393" s="7"/>
      <c r="P393" s="7"/>
      <c r="Q393" s="7"/>
      <c r="R393" s="7"/>
    </row>
    <row r="394" spans="6:18" ht="14.25" customHeight="1" x14ac:dyDescent="0.25">
      <c r="F394" s="7"/>
      <c r="G394" s="7"/>
      <c r="H394" s="7"/>
      <c r="I394" s="7"/>
      <c r="J394" s="7"/>
      <c r="K394" s="7"/>
      <c r="L394" s="7"/>
      <c r="M394" s="7"/>
      <c r="N394" s="7"/>
      <c r="O394" s="7"/>
      <c r="P394" s="7"/>
      <c r="Q394" s="7"/>
      <c r="R394" s="7"/>
    </row>
    <row r="395" spans="6:18" ht="14.25" customHeight="1" x14ac:dyDescent="0.25">
      <c r="F395" s="7"/>
      <c r="G395" s="7"/>
      <c r="H395" s="7"/>
      <c r="I395" s="7"/>
      <c r="J395" s="7"/>
      <c r="K395" s="7"/>
      <c r="L395" s="7"/>
      <c r="M395" s="7"/>
      <c r="N395" s="7"/>
      <c r="O395" s="7"/>
      <c r="P395" s="7"/>
      <c r="Q395" s="7"/>
      <c r="R395" s="7"/>
    </row>
    <row r="396" spans="6:18" ht="14.25" customHeight="1" x14ac:dyDescent="0.25">
      <c r="F396" s="7"/>
      <c r="G396" s="7"/>
      <c r="H396" s="7"/>
      <c r="I396" s="7"/>
      <c r="J396" s="7"/>
      <c r="K396" s="7"/>
      <c r="L396" s="7"/>
      <c r="M396" s="7"/>
      <c r="N396" s="7"/>
      <c r="O396" s="7"/>
      <c r="P396" s="7"/>
      <c r="Q396" s="7"/>
      <c r="R396" s="7"/>
    </row>
    <row r="397" spans="6:18" ht="14.25" customHeight="1" x14ac:dyDescent="0.25">
      <c r="F397" s="7"/>
      <c r="G397" s="7"/>
      <c r="H397" s="7"/>
      <c r="I397" s="7"/>
      <c r="J397" s="7"/>
      <c r="K397" s="7"/>
      <c r="L397" s="7"/>
      <c r="M397" s="7"/>
      <c r="N397" s="7"/>
      <c r="O397" s="7"/>
      <c r="P397" s="7"/>
      <c r="Q397" s="7"/>
      <c r="R397" s="7"/>
    </row>
    <row r="398" spans="6:18" ht="14.25" customHeight="1" x14ac:dyDescent="0.25">
      <c r="F398" s="7"/>
      <c r="G398" s="7"/>
      <c r="H398" s="7"/>
      <c r="I398" s="7"/>
      <c r="J398" s="7"/>
      <c r="K398" s="7"/>
      <c r="L398" s="7"/>
      <c r="M398" s="7"/>
      <c r="N398" s="7"/>
      <c r="O398" s="7"/>
      <c r="P398" s="7"/>
      <c r="Q398" s="7"/>
      <c r="R398" s="7"/>
    </row>
    <row r="399" spans="6:18" ht="14.25" customHeight="1" x14ac:dyDescent="0.25">
      <c r="F399" s="7"/>
      <c r="G399" s="7"/>
      <c r="H399" s="7"/>
      <c r="I399" s="7"/>
      <c r="J399" s="7"/>
      <c r="K399" s="7"/>
      <c r="L399" s="7"/>
      <c r="M399" s="7"/>
      <c r="N399" s="7"/>
      <c r="O399" s="7"/>
      <c r="P399" s="7"/>
      <c r="Q399" s="7"/>
      <c r="R399" s="7"/>
    </row>
    <row r="400" spans="6:18" ht="14.25" customHeight="1" x14ac:dyDescent="0.25">
      <c r="F400" s="7"/>
      <c r="G400" s="7"/>
      <c r="H400" s="7"/>
      <c r="I400" s="7"/>
      <c r="J400" s="7"/>
      <c r="K400" s="7"/>
      <c r="L400" s="7"/>
      <c r="M400" s="7"/>
      <c r="N400" s="7"/>
      <c r="O400" s="7"/>
      <c r="P400" s="7"/>
      <c r="Q400" s="7"/>
      <c r="R400" s="7"/>
    </row>
    <row r="401" spans="6:18" ht="14.25" customHeight="1" x14ac:dyDescent="0.25">
      <c r="F401" s="7"/>
      <c r="G401" s="7"/>
      <c r="H401" s="7"/>
      <c r="I401" s="7"/>
      <c r="J401" s="7"/>
      <c r="K401" s="7"/>
      <c r="L401" s="7"/>
      <c r="M401" s="7"/>
      <c r="N401" s="7"/>
      <c r="O401" s="7"/>
      <c r="P401" s="7"/>
      <c r="Q401" s="7"/>
      <c r="R401" s="7"/>
    </row>
    <row r="402" spans="6:18" ht="14.25" customHeight="1" x14ac:dyDescent="0.25">
      <c r="F402" s="7"/>
      <c r="G402" s="7"/>
      <c r="H402" s="7"/>
      <c r="I402" s="7"/>
      <c r="J402" s="7"/>
      <c r="K402" s="7"/>
      <c r="L402" s="7"/>
      <c r="M402" s="7"/>
      <c r="N402" s="7"/>
      <c r="O402" s="7"/>
      <c r="P402" s="7"/>
      <c r="Q402" s="7"/>
      <c r="R402" s="7"/>
    </row>
    <row r="403" spans="6:18" ht="14.25" customHeight="1" x14ac:dyDescent="0.25">
      <c r="F403" s="7"/>
      <c r="G403" s="7"/>
      <c r="H403" s="7"/>
      <c r="I403" s="7"/>
      <c r="J403" s="7"/>
      <c r="K403" s="7"/>
      <c r="L403" s="7"/>
      <c r="M403" s="7"/>
      <c r="N403" s="7"/>
      <c r="O403" s="7"/>
      <c r="P403" s="7"/>
      <c r="Q403" s="7"/>
      <c r="R403" s="7"/>
    </row>
    <row r="404" spans="6:18" ht="14.25" customHeight="1" x14ac:dyDescent="0.25">
      <c r="F404" s="7"/>
      <c r="G404" s="7"/>
      <c r="H404" s="7"/>
      <c r="I404" s="7"/>
      <c r="J404" s="7"/>
      <c r="K404" s="7"/>
      <c r="L404" s="7"/>
      <c r="M404" s="7"/>
      <c r="N404" s="7"/>
      <c r="O404" s="7"/>
      <c r="P404" s="7"/>
      <c r="Q404" s="7"/>
      <c r="R404" s="7"/>
    </row>
    <row r="405" spans="6:18" ht="14.25" customHeight="1" x14ac:dyDescent="0.25">
      <c r="F405" s="7"/>
      <c r="G405" s="7"/>
      <c r="H405" s="7"/>
      <c r="I405" s="7"/>
      <c r="J405" s="7"/>
      <c r="K405" s="7"/>
      <c r="L405" s="7"/>
      <c r="M405" s="7"/>
      <c r="N405" s="7"/>
      <c r="O405" s="7"/>
      <c r="P405" s="7"/>
      <c r="Q405" s="7"/>
      <c r="R405" s="7"/>
    </row>
    <row r="406" spans="6:18" ht="14.25" customHeight="1" x14ac:dyDescent="0.25">
      <c r="F406" s="7"/>
      <c r="G406" s="7"/>
      <c r="H406" s="7"/>
      <c r="I406" s="7"/>
      <c r="J406" s="7"/>
      <c r="K406" s="7"/>
      <c r="L406" s="7"/>
      <c r="M406" s="7"/>
      <c r="N406" s="7"/>
      <c r="O406" s="7"/>
      <c r="P406" s="7"/>
      <c r="Q406" s="7"/>
      <c r="R406" s="7"/>
    </row>
    <row r="407" spans="6:18" ht="14.25" customHeight="1" x14ac:dyDescent="0.25">
      <c r="F407" s="7"/>
      <c r="G407" s="7"/>
      <c r="H407" s="7"/>
      <c r="I407" s="7"/>
      <c r="J407" s="7"/>
      <c r="K407" s="7"/>
      <c r="L407" s="7"/>
      <c r="M407" s="7"/>
      <c r="N407" s="7"/>
      <c r="O407" s="7"/>
      <c r="P407" s="7"/>
      <c r="Q407" s="7"/>
      <c r="R407" s="7"/>
    </row>
    <row r="408" spans="6:18" ht="14.25" customHeight="1" x14ac:dyDescent="0.25">
      <c r="F408" s="7"/>
      <c r="G408" s="7"/>
      <c r="H408" s="7"/>
      <c r="I408" s="7"/>
      <c r="J408" s="7"/>
      <c r="K408" s="7"/>
      <c r="L408" s="7"/>
      <c r="M408" s="7"/>
      <c r="N408" s="7"/>
      <c r="O408" s="7"/>
      <c r="P408" s="7"/>
      <c r="Q408" s="7"/>
      <c r="R408" s="7"/>
    </row>
    <row r="409" spans="6:18" ht="14.25" customHeight="1" x14ac:dyDescent="0.25">
      <c r="F409" s="7"/>
      <c r="G409" s="7"/>
      <c r="H409" s="7"/>
      <c r="I409" s="7"/>
      <c r="J409" s="7"/>
      <c r="K409" s="7"/>
      <c r="L409" s="7"/>
      <c r="M409" s="7"/>
      <c r="N409" s="7"/>
      <c r="O409" s="7"/>
      <c r="P409" s="7"/>
      <c r="Q409" s="7"/>
      <c r="R409" s="7"/>
    </row>
    <row r="410" spans="6:18" ht="14.25" customHeight="1" x14ac:dyDescent="0.25">
      <c r="F410" s="7"/>
      <c r="G410" s="7"/>
      <c r="H410" s="7"/>
      <c r="I410" s="7"/>
      <c r="J410" s="7"/>
      <c r="K410" s="7"/>
      <c r="L410" s="7"/>
      <c r="M410" s="7"/>
      <c r="N410" s="7"/>
      <c r="O410" s="7"/>
      <c r="P410" s="7"/>
      <c r="Q410" s="7"/>
      <c r="R410" s="7"/>
    </row>
    <row r="411" spans="6:18" ht="14.25" customHeight="1" x14ac:dyDescent="0.25">
      <c r="F411" s="7"/>
      <c r="G411" s="7"/>
      <c r="H411" s="7"/>
      <c r="I411" s="7"/>
      <c r="J411" s="7"/>
      <c r="K411" s="7"/>
      <c r="L411" s="7"/>
      <c r="M411" s="7"/>
      <c r="N411" s="7"/>
      <c r="O411" s="7"/>
      <c r="P411" s="7"/>
      <c r="Q411" s="7"/>
      <c r="R411" s="7"/>
    </row>
    <row r="412" spans="6:18" ht="14.25" customHeight="1" x14ac:dyDescent="0.25">
      <c r="F412" s="7"/>
      <c r="G412" s="7"/>
      <c r="H412" s="7"/>
      <c r="I412" s="7"/>
      <c r="J412" s="7"/>
      <c r="K412" s="7"/>
      <c r="L412" s="7"/>
      <c r="M412" s="7"/>
      <c r="N412" s="7"/>
      <c r="O412" s="7"/>
      <c r="P412" s="7"/>
      <c r="Q412" s="7"/>
      <c r="R412" s="7"/>
    </row>
    <row r="413" spans="6:18" ht="14.25" customHeight="1" x14ac:dyDescent="0.25">
      <c r="F413" s="7"/>
      <c r="G413" s="7"/>
      <c r="H413" s="7"/>
      <c r="I413" s="7"/>
      <c r="J413" s="7"/>
      <c r="K413" s="7"/>
      <c r="L413" s="7"/>
      <c r="M413" s="7"/>
      <c r="N413" s="7"/>
      <c r="O413" s="7"/>
      <c r="P413" s="7"/>
      <c r="Q413" s="7"/>
      <c r="R413" s="7"/>
    </row>
    <row r="414" spans="6:18" ht="14.25" customHeight="1" x14ac:dyDescent="0.25">
      <c r="F414" s="7"/>
      <c r="G414" s="7"/>
      <c r="H414" s="7"/>
      <c r="I414" s="7"/>
      <c r="J414" s="7"/>
      <c r="K414" s="7"/>
      <c r="L414" s="7"/>
      <c r="M414" s="7"/>
      <c r="N414" s="7"/>
      <c r="O414" s="7"/>
      <c r="P414" s="7"/>
      <c r="Q414" s="7"/>
      <c r="R414" s="7"/>
    </row>
    <row r="415" spans="6:18" ht="14.25" customHeight="1" x14ac:dyDescent="0.25">
      <c r="F415" s="7"/>
      <c r="G415" s="7"/>
      <c r="H415" s="7"/>
      <c r="I415" s="7"/>
      <c r="J415" s="7"/>
      <c r="K415" s="7"/>
      <c r="L415" s="7"/>
      <c r="M415" s="7"/>
      <c r="N415" s="7"/>
      <c r="O415" s="7"/>
      <c r="P415" s="7"/>
      <c r="Q415" s="7"/>
      <c r="R415" s="7"/>
    </row>
    <row r="416" spans="6:18" ht="14.25" customHeight="1" x14ac:dyDescent="0.25">
      <c r="F416" s="7"/>
      <c r="G416" s="7"/>
      <c r="H416" s="7"/>
      <c r="I416" s="7"/>
      <c r="J416" s="7"/>
      <c r="K416" s="7"/>
      <c r="L416" s="7"/>
      <c r="M416" s="7"/>
      <c r="N416" s="7"/>
      <c r="O416" s="7"/>
      <c r="P416" s="7"/>
      <c r="Q416" s="7"/>
      <c r="R416" s="7"/>
    </row>
    <row r="417" spans="6:18" ht="14.25" customHeight="1" x14ac:dyDescent="0.25">
      <c r="F417" s="7"/>
      <c r="G417" s="7"/>
      <c r="H417" s="7"/>
      <c r="I417" s="7"/>
      <c r="J417" s="7"/>
      <c r="K417" s="7"/>
      <c r="L417" s="7"/>
      <c r="M417" s="7"/>
      <c r="N417" s="7"/>
      <c r="O417" s="7"/>
      <c r="P417" s="7"/>
      <c r="Q417" s="7"/>
      <c r="R417" s="7"/>
    </row>
    <row r="418" spans="6:18" ht="14.25" customHeight="1" x14ac:dyDescent="0.25">
      <c r="F418" s="7"/>
      <c r="G418" s="7"/>
      <c r="H418" s="7"/>
      <c r="I418" s="7"/>
      <c r="J418" s="7"/>
      <c r="K418" s="7"/>
      <c r="L418" s="7"/>
      <c r="M418" s="7"/>
      <c r="N418" s="7"/>
      <c r="O418" s="7"/>
      <c r="P418" s="7"/>
      <c r="Q418" s="7"/>
      <c r="R418" s="7"/>
    </row>
    <row r="419" spans="6:18" ht="14.25" customHeight="1" x14ac:dyDescent="0.25">
      <c r="F419" s="7"/>
      <c r="G419" s="7"/>
      <c r="H419" s="7"/>
      <c r="I419" s="7"/>
      <c r="J419" s="7"/>
      <c r="K419" s="7"/>
      <c r="L419" s="7"/>
      <c r="M419" s="7"/>
      <c r="N419" s="7"/>
      <c r="O419" s="7"/>
      <c r="P419" s="7"/>
      <c r="Q419" s="7"/>
      <c r="R419" s="7"/>
    </row>
    <row r="420" spans="6:18" ht="14.25" customHeight="1" x14ac:dyDescent="0.25">
      <c r="F420" s="7"/>
      <c r="G420" s="7"/>
      <c r="H420" s="7"/>
      <c r="I420" s="7"/>
      <c r="J420" s="7"/>
      <c r="K420" s="7"/>
      <c r="L420" s="7"/>
      <c r="M420" s="7"/>
      <c r="N420" s="7"/>
      <c r="O420" s="7"/>
      <c r="P420" s="7"/>
      <c r="Q420" s="7"/>
      <c r="R420" s="7"/>
    </row>
    <row r="421" spans="6:18" ht="14.25" customHeight="1" x14ac:dyDescent="0.25">
      <c r="F421" s="7"/>
      <c r="G421" s="7"/>
      <c r="H421" s="7"/>
      <c r="I421" s="7"/>
      <c r="J421" s="7"/>
      <c r="K421" s="7"/>
      <c r="L421" s="7"/>
      <c r="M421" s="7"/>
      <c r="N421" s="7"/>
      <c r="O421" s="7"/>
      <c r="P421" s="7"/>
      <c r="Q421" s="7"/>
      <c r="R421" s="7"/>
    </row>
    <row r="422" spans="6:18" ht="14.25" customHeight="1" x14ac:dyDescent="0.25">
      <c r="F422" s="7"/>
      <c r="G422" s="7"/>
      <c r="H422" s="7"/>
      <c r="I422" s="7"/>
      <c r="J422" s="7"/>
      <c r="K422" s="7"/>
      <c r="L422" s="7"/>
      <c r="M422" s="7"/>
      <c r="N422" s="7"/>
      <c r="O422" s="7"/>
      <c r="P422" s="7"/>
      <c r="Q422" s="7"/>
      <c r="R422" s="7"/>
    </row>
    <row r="423" spans="6:18" ht="14.25" customHeight="1" x14ac:dyDescent="0.25">
      <c r="F423" s="7"/>
      <c r="G423" s="7"/>
      <c r="H423" s="7"/>
      <c r="I423" s="7"/>
      <c r="J423" s="7"/>
      <c r="K423" s="7"/>
      <c r="L423" s="7"/>
      <c r="M423" s="7"/>
      <c r="N423" s="7"/>
      <c r="O423" s="7"/>
      <c r="P423" s="7"/>
      <c r="Q423" s="7"/>
      <c r="R423" s="7"/>
    </row>
    <row r="424" spans="6:18" ht="14.25" customHeight="1" x14ac:dyDescent="0.25">
      <c r="F424" s="7"/>
      <c r="G424" s="7"/>
      <c r="H424" s="7"/>
      <c r="I424" s="7"/>
      <c r="J424" s="7"/>
      <c r="K424" s="7"/>
      <c r="L424" s="7"/>
      <c r="M424" s="7"/>
      <c r="N424" s="7"/>
      <c r="O424" s="7"/>
      <c r="P424" s="7"/>
      <c r="Q424" s="7"/>
      <c r="R424" s="7"/>
    </row>
    <row r="425" spans="6:18" ht="14.25" customHeight="1" x14ac:dyDescent="0.25">
      <c r="F425" s="7"/>
      <c r="G425" s="7"/>
      <c r="H425" s="7"/>
      <c r="I425" s="7"/>
      <c r="J425" s="7"/>
      <c r="K425" s="7"/>
      <c r="L425" s="7"/>
      <c r="M425" s="7"/>
      <c r="N425" s="7"/>
      <c r="O425" s="7"/>
      <c r="P425" s="7"/>
      <c r="Q425" s="7"/>
      <c r="R425" s="7"/>
    </row>
    <row r="426" spans="6:18" ht="14.25" customHeight="1" x14ac:dyDescent="0.25">
      <c r="F426" s="7"/>
      <c r="G426" s="7"/>
      <c r="H426" s="7"/>
      <c r="I426" s="7"/>
      <c r="J426" s="7"/>
      <c r="K426" s="7"/>
      <c r="L426" s="7"/>
      <c r="M426" s="7"/>
      <c r="N426" s="7"/>
      <c r="O426" s="7"/>
      <c r="P426" s="7"/>
      <c r="Q426" s="7"/>
      <c r="R426" s="7"/>
    </row>
    <row r="427" spans="6:18" ht="14.25" customHeight="1" x14ac:dyDescent="0.25">
      <c r="F427" s="7"/>
      <c r="G427" s="7"/>
      <c r="H427" s="7"/>
      <c r="I427" s="7"/>
      <c r="J427" s="7"/>
      <c r="K427" s="7"/>
      <c r="L427" s="7"/>
      <c r="M427" s="7"/>
      <c r="N427" s="7"/>
      <c r="O427" s="7"/>
      <c r="P427" s="7"/>
      <c r="Q427" s="7"/>
      <c r="R427" s="7"/>
    </row>
    <row r="428" spans="6:18" ht="14.25" customHeight="1" x14ac:dyDescent="0.25">
      <c r="F428" s="7"/>
      <c r="G428" s="7"/>
      <c r="H428" s="7"/>
      <c r="I428" s="7"/>
      <c r="J428" s="7"/>
      <c r="K428" s="7"/>
      <c r="L428" s="7"/>
      <c r="M428" s="7"/>
      <c r="N428" s="7"/>
      <c r="O428" s="7"/>
      <c r="P428" s="7"/>
      <c r="Q428" s="7"/>
      <c r="R428" s="7"/>
    </row>
    <row r="429" spans="6:18" ht="14.25" customHeight="1" x14ac:dyDescent="0.25">
      <c r="F429" s="7"/>
      <c r="G429" s="7"/>
      <c r="H429" s="7"/>
      <c r="I429" s="7"/>
      <c r="J429" s="7"/>
      <c r="K429" s="7"/>
      <c r="L429" s="7"/>
      <c r="M429" s="7"/>
      <c r="N429" s="7"/>
      <c r="O429" s="7"/>
      <c r="P429" s="7"/>
      <c r="Q429" s="7"/>
      <c r="R429" s="7"/>
    </row>
    <row r="430" spans="6:18" ht="14.25" customHeight="1" x14ac:dyDescent="0.25">
      <c r="F430" s="7"/>
      <c r="G430" s="7"/>
      <c r="H430" s="7"/>
      <c r="I430" s="7"/>
      <c r="J430" s="7"/>
      <c r="K430" s="7"/>
      <c r="L430" s="7"/>
      <c r="M430" s="7"/>
      <c r="N430" s="7"/>
      <c r="O430" s="7"/>
      <c r="P430" s="7"/>
      <c r="Q430" s="7"/>
      <c r="R430" s="7"/>
    </row>
    <row r="431" spans="6:18" ht="14.25" customHeight="1" x14ac:dyDescent="0.25">
      <c r="F431" s="7"/>
      <c r="G431" s="7"/>
      <c r="H431" s="7"/>
      <c r="I431" s="7"/>
      <c r="J431" s="7"/>
      <c r="K431" s="7"/>
      <c r="L431" s="7"/>
      <c r="M431" s="7"/>
      <c r="N431" s="7"/>
      <c r="O431" s="7"/>
      <c r="P431" s="7"/>
      <c r="Q431" s="7"/>
      <c r="R431" s="7"/>
    </row>
    <row r="432" spans="6:18" ht="14.25" customHeight="1" x14ac:dyDescent="0.25">
      <c r="F432" s="7"/>
      <c r="G432" s="7"/>
      <c r="H432" s="7"/>
      <c r="I432" s="7"/>
      <c r="J432" s="7"/>
      <c r="K432" s="7"/>
      <c r="L432" s="7"/>
      <c r="M432" s="7"/>
      <c r="N432" s="7"/>
      <c r="O432" s="7"/>
      <c r="P432" s="7"/>
      <c r="Q432" s="7"/>
      <c r="R432" s="7"/>
    </row>
    <row r="433" spans="6:18" ht="14.25" customHeight="1" x14ac:dyDescent="0.25">
      <c r="F433" s="7"/>
      <c r="G433" s="7"/>
      <c r="H433" s="7"/>
      <c r="I433" s="7"/>
      <c r="J433" s="7"/>
      <c r="K433" s="7"/>
      <c r="L433" s="7"/>
      <c r="M433" s="7"/>
      <c r="N433" s="7"/>
      <c r="O433" s="7"/>
      <c r="P433" s="7"/>
      <c r="Q433" s="7"/>
      <c r="R433" s="7"/>
    </row>
    <row r="434" spans="6:18" ht="14.25" customHeight="1" x14ac:dyDescent="0.25">
      <c r="F434" s="7"/>
      <c r="G434" s="7"/>
      <c r="H434" s="7"/>
      <c r="I434" s="7"/>
      <c r="J434" s="7"/>
      <c r="K434" s="7"/>
      <c r="L434" s="7"/>
      <c r="M434" s="7"/>
      <c r="N434" s="7"/>
      <c r="O434" s="7"/>
      <c r="P434" s="7"/>
      <c r="Q434" s="7"/>
      <c r="R434" s="7"/>
    </row>
    <row r="435" spans="6:18" ht="14.25" customHeight="1" x14ac:dyDescent="0.25">
      <c r="F435" s="7"/>
      <c r="G435" s="7"/>
      <c r="H435" s="7"/>
      <c r="I435" s="7"/>
      <c r="J435" s="7"/>
      <c r="K435" s="7"/>
      <c r="L435" s="7"/>
      <c r="M435" s="7"/>
      <c r="N435" s="7"/>
      <c r="O435" s="7"/>
      <c r="P435" s="7"/>
      <c r="Q435" s="7"/>
      <c r="R435" s="7"/>
    </row>
    <row r="436" spans="6:18" ht="14.25" customHeight="1" x14ac:dyDescent="0.25">
      <c r="F436" s="7"/>
      <c r="G436" s="7"/>
      <c r="H436" s="7"/>
      <c r="I436" s="7"/>
      <c r="J436" s="7"/>
      <c r="K436" s="7"/>
      <c r="L436" s="7"/>
      <c r="M436" s="7"/>
      <c r="N436" s="7"/>
      <c r="O436" s="7"/>
      <c r="P436" s="7"/>
      <c r="Q436" s="7"/>
      <c r="R436" s="7"/>
    </row>
    <row r="437" spans="6:18" ht="14.25" customHeight="1" x14ac:dyDescent="0.25">
      <c r="F437" s="7"/>
      <c r="G437" s="7"/>
      <c r="H437" s="7"/>
      <c r="I437" s="7"/>
      <c r="J437" s="7"/>
      <c r="K437" s="7"/>
      <c r="L437" s="7"/>
      <c r="M437" s="7"/>
      <c r="N437" s="7"/>
      <c r="O437" s="7"/>
      <c r="P437" s="7"/>
      <c r="Q437" s="7"/>
      <c r="R437" s="7"/>
    </row>
    <row r="438" spans="6:18" ht="14.25" customHeight="1" x14ac:dyDescent="0.25">
      <c r="F438" s="7"/>
      <c r="G438" s="7"/>
      <c r="H438" s="7"/>
      <c r="I438" s="7"/>
      <c r="J438" s="7"/>
      <c r="K438" s="7"/>
      <c r="L438" s="7"/>
      <c r="M438" s="7"/>
      <c r="N438" s="7"/>
      <c r="O438" s="7"/>
      <c r="P438" s="7"/>
      <c r="Q438" s="7"/>
      <c r="R438" s="7"/>
    </row>
    <row r="439" spans="6:18" ht="14.25" customHeight="1" x14ac:dyDescent="0.25">
      <c r="F439" s="7"/>
      <c r="G439" s="7"/>
      <c r="H439" s="7"/>
      <c r="I439" s="7"/>
      <c r="J439" s="7"/>
      <c r="K439" s="7"/>
      <c r="L439" s="7"/>
      <c r="M439" s="7"/>
      <c r="N439" s="7"/>
      <c r="O439" s="7"/>
      <c r="P439" s="7"/>
      <c r="Q439" s="7"/>
      <c r="R439" s="7"/>
    </row>
    <row r="440" spans="6:18" ht="14.25" customHeight="1" x14ac:dyDescent="0.25">
      <c r="F440" s="7"/>
      <c r="G440" s="7"/>
      <c r="H440" s="7"/>
      <c r="I440" s="7"/>
      <c r="J440" s="7"/>
      <c r="K440" s="7"/>
      <c r="L440" s="7"/>
      <c r="M440" s="7"/>
      <c r="N440" s="7"/>
      <c r="O440" s="7"/>
      <c r="P440" s="7"/>
      <c r="Q440" s="7"/>
      <c r="R440" s="7"/>
    </row>
    <row r="441" spans="6:18" ht="14.25" customHeight="1" x14ac:dyDescent="0.25">
      <c r="F441" s="7"/>
      <c r="G441" s="7"/>
      <c r="H441" s="7"/>
      <c r="I441" s="7"/>
      <c r="J441" s="7"/>
      <c r="K441" s="7"/>
      <c r="L441" s="7"/>
      <c r="M441" s="7"/>
      <c r="N441" s="7"/>
      <c r="O441" s="7"/>
      <c r="P441" s="7"/>
      <c r="Q441" s="7"/>
      <c r="R441" s="7"/>
    </row>
    <row r="442" spans="6:18" ht="14.25" customHeight="1" x14ac:dyDescent="0.25">
      <c r="F442" s="7"/>
      <c r="G442" s="7"/>
      <c r="H442" s="7"/>
      <c r="I442" s="7"/>
      <c r="J442" s="7"/>
      <c r="K442" s="7"/>
      <c r="L442" s="7"/>
      <c r="M442" s="7"/>
      <c r="N442" s="7"/>
      <c r="O442" s="7"/>
      <c r="P442" s="7"/>
      <c r="Q442" s="7"/>
      <c r="R442" s="7"/>
    </row>
    <row r="443" spans="6:18" ht="14.25" customHeight="1" x14ac:dyDescent="0.25">
      <c r="F443" s="7"/>
      <c r="G443" s="7"/>
      <c r="H443" s="7"/>
      <c r="I443" s="7"/>
      <c r="J443" s="7"/>
      <c r="K443" s="7"/>
      <c r="L443" s="7"/>
      <c r="M443" s="7"/>
      <c r="N443" s="7"/>
      <c r="O443" s="7"/>
      <c r="P443" s="7"/>
      <c r="Q443" s="7"/>
      <c r="R443" s="7"/>
    </row>
    <row r="444" spans="6:18" ht="14.25" customHeight="1" x14ac:dyDescent="0.25">
      <c r="F444" s="7"/>
      <c r="G444" s="7"/>
      <c r="H444" s="7"/>
      <c r="I444" s="7"/>
      <c r="J444" s="7"/>
      <c r="K444" s="7"/>
      <c r="L444" s="7"/>
      <c r="M444" s="7"/>
      <c r="N444" s="7"/>
      <c r="O444" s="7"/>
      <c r="P444" s="7"/>
      <c r="Q444" s="7"/>
      <c r="R444" s="7"/>
    </row>
    <row r="445" spans="6:18" ht="14.25" customHeight="1" x14ac:dyDescent="0.25">
      <c r="F445" s="7"/>
      <c r="G445" s="7"/>
      <c r="H445" s="7"/>
      <c r="I445" s="7"/>
      <c r="J445" s="7"/>
      <c r="K445" s="7"/>
      <c r="L445" s="7"/>
      <c r="M445" s="7"/>
      <c r="N445" s="7"/>
      <c r="O445" s="7"/>
      <c r="P445" s="7"/>
      <c r="Q445" s="7"/>
      <c r="R445" s="7"/>
    </row>
    <row r="446" spans="6:18" ht="14.25" customHeight="1" x14ac:dyDescent="0.25">
      <c r="F446" s="7"/>
      <c r="G446" s="7"/>
      <c r="H446" s="7"/>
      <c r="I446" s="7"/>
      <c r="J446" s="7"/>
      <c r="K446" s="7"/>
      <c r="L446" s="7"/>
      <c r="M446" s="7"/>
      <c r="N446" s="7"/>
      <c r="O446" s="7"/>
      <c r="P446" s="7"/>
      <c r="Q446" s="7"/>
      <c r="R446" s="7"/>
    </row>
    <row r="447" spans="6:18" ht="14.25" customHeight="1" x14ac:dyDescent="0.25">
      <c r="F447" s="7"/>
      <c r="G447" s="7"/>
      <c r="H447" s="7"/>
      <c r="I447" s="7"/>
      <c r="J447" s="7"/>
      <c r="K447" s="7"/>
      <c r="L447" s="7"/>
      <c r="M447" s="7"/>
      <c r="N447" s="7"/>
      <c r="O447" s="7"/>
      <c r="P447" s="7"/>
      <c r="Q447" s="7"/>
      <c r="R447" s="7"/>
    </row>
    <row r="448" spans="6:18" ht="14.25" customHeight="1" x14ac:dyDescent="0.25">
      <c r="F448" s="7"/>
      <c r="G448" s="7"/>
      <c r="H448" s="7"/>
      <c r="I448" s="7"/>
      <c r="J448" s="7"/>
      <c r="K448" s="7"/>
      <c r="L448" s="7"/>
      <c r="M448" s="7"/>
      <c r="N448" s="7"/>
      <c r="O448" s="7"/>
      <c r="P448" s="7"/>
      <c r="Q448" s="7"/>
      <c r="R448" s="7"/>
    </row>
    <row r="449" spans="6:18" ht="14.25" customHeight="1" x14ac:dyDescent="0.25">
      <c r="F449" s="7"/>
      <c r="G449" s="7"/>
      <c r="H449" s="7"/>
      <c r="I449" s="7"/>
      <c r="J449" s="7"/>
      <c r="K449" s="7"/>
      <c r="L449" s="7"/>
      <c r="M449" s="7"/>
      <c r="N449" s="7"/>
      <c r="O449" s="7"/>
      <c r="P449" s="7"/>
      <c r="Q449" s="7"/>
      <c r="R449" s="7"/>
    </row>
    <row r="450" spans="6:18" ht="14.25" customHeight="1" x14ac:dyDescent="0.25">
      <c r="F450" s="7"/>
      <c r="G450" s="7"/>
      <c r="H450" s="7"/>
      <c r="I450" s="7"/>
      <c r="J450" s="7"/>
      <c r="K450" s="7"/>
      <c r="L450" s="7"/>
      <c r="M450" s="7"/>
      <c r="N450" s="7"/>
      <c r="O450" s="7"/>
      <c r="P450" s="7"/>
      <c r="Q450" s="7"/>
      <c r="R450" s="7"/>
    </row>
    <row r="451" spans="6:18" ht="14.25" customHeight="1" x14ac:dyDescent="0.25">
      <c r="F451" s="7"/>
      <c r="G451" s="7"/>
      <c r="H451" s="7"/>
      <c r="I451" s="7"/>
      <c r="J451" s="7"/>
      <c r="K451" s="7"/>
      <c r="L451" s="7"/>
      <c r="M451" s="7"/>
      <c r="N451" s="7"/>
      <c r="O451" s="7"/>
      <c r="P451" s="7"/>
      <c r="Q451" s="7"/>
      <c r="R451" s="7"/>
    </row>
    <row r="452" spans="6:18" ht="14.25" customHeight="1" x14ac:dyDescent="0.25">
      <c r="F452" s="7"/>
      <c r="G452" s="7"/>
      <c r="H452" s="7"/>
      <c r="I452" s="7"/>
      <c r="J452" s="7"/>
      <c r="K452" s="7"/>
      <c r="L452" s="7"/>
      <c r="M452" s="7"/>
      <c r="N452" s="7"/>
      <c r="O452" s="7"/>
      <c r="P452" s="7"/>
      <c r="Q452" s="7"/>
      <c r="R452" s="7"/>
    </row>
    <row r="453" spans="6:18" ht="14.25" customHeight="1" x14ac:dyDescent="0.25">
      <c r="F453" s="7"/>
      <c r="G453" s="7"/>
      <c r="H453" s="7"/>
      <c r="I453" s="7"/>
      <c r="J453" s="7"/>
      <c r="K453" s="7"/>
      <c r="L453" s="7"/>
      <c r="M453" s="7"/>
      <c r="N453" s="7"/>
      <c r="O453" s="7"/>
      <c r="P453" s="7"/>
      <c r="Q453" s="7"/>
      <c r="R453" s="7"/>
    </row>
    <row r="454" spans="6:18" ht="14.25" customHeight="1" x14ac:dyDescent="0.25">
      <c r="F454" s="7"/>
      <c r="G454" s="7"/>
      <c r="H454" s="7"/>
      <c r="I454" s="7"/>
      <c r="J454" s="7"/>
      <c r="K454" s="7"/>
      <c r="L454" s="7"/>
      <c r="M454" s="7"/>
      <c r="N454" s="7"/>
      <c r="O454" s="7"/>
      <c r="P454" s="7"/>
      <c r="Q454" s="7"/>
      <c r="R454" s="7"/>
    </row>
    <row r="455" spans="6:18" ht="14.25" customHeight="1" x14ac:dyDescent="0.25">
      <c r="F455" s="7"/>
      <c r="G455" s="7"/>
      <c r="H455" s="7"/>
      <c r="I455" s="7"/>
      <c r="J455" s="7"/>
      <c r="K455" s="7"/>
      <c r="L455" s="7"/>
      <c r="M455" s="7"/>
      <c r="N455" s="7"/>
      <c r="O455" s="7"/>
      <c r="P455" s="7"/>
      <c r="Q455" s="7"/>
      <c r="R455" s="7"/>
    </row>
    <row r="456" spans="6:18" ht="14.25" customHeight="1" x14ac:dyDescent="0.25">
      <c r="F456" s="7"/>
      <c r="G456" s="7"/>
      <c r="H456" s="7"/>
      <c r="I456" s="7"/>
      <c r="J456" s="7"/>
      <c r="K456" s="7"/>
      <c r="L456" s="7"/>
      <c r="M456" s="7"/>
      <c r="N456" s="7"/>
      <c r="O456" s="7"/>
      <c r="P456" s="7"/>
      <c r="Q456" s="7"/>
      <c r="R456" s="7"/>
    </row>
    <row r="457" spans="6:18" ht="14.25" customHeight="1" x14ac:dyDescent="0.25">
      <c r="F457" s="7"/>
      <c r="G457" s="7"/>
      <c r="H457" s="7"/>
      <c r="I457" s="7"/>
      <c r="J457" s="7"/>
      <c r="K457" s="7"/>
      <c r="L457" s="7"/>
      <c r="M457" s="7"/>
      <c r="N457" s="7"/>
      <c r="O457" s="7"/>
      <c r="P457" s="7"/>
      <c r="Q457" s="7"/>
      <c r="R457" s="7"/>
    </row>
    <row r="458" spans="6:18" ht="14.25" customHeight="1" x14ac:dyDescent="0.25">
      <c r="F458" s="7"/>
      <c r="G458" s="7"/>
      <c r="H458" s="7"/>
      <c r="I458" s="7"/>
      <c r="J458" s="7"/>
      <c r="K458" s="7"/>
      <c r="L458" s="7"/>
      <c r="M458" s="7"/>
      <c r="N458" s="7"/>
      <c r="O458" s="7"/>
      <c r="P458" s="7"/>
      <c r="Q458" s="7"/>
      <c r="R458" s="7"/>
    </row>
    <row r="459" spans="6:18" ht="14.25" customHeight="1" x14ac:dyDescent="0.25">
      <c r="F459" s="7"/>
      <c r="G459" s="7"/>
      <c r="H459" s="7"/>
      <c r="I459" s="7"/>
      <c r="J459" s="7"/>
      <c r="K459" s="7"/>
      <c r="L459" s="7"/>
      <c r="M459" s="7"/>
      <c r="N459" s="7"/>
      <c r="O459" s="7"/>
      <c r="P459" s="7"/>
      <c r="Q459" s="7"/>
      <c r="R459" s="7"/>
    </row>
    <row r="460" spans="6:18" ht="14.25" customHeight="1" x14ac:dyDescent="0.25">
      <c r="F460" s="7"/>
      <c r="G460" s="7"/>
      <c r="H460" s="7"/>
      <c r="I460" s="7"/>
      <c r="J460" s="7"/>
      <c r="K460" s="7"/>
      <c r="L460" s="7"/>
      <c r="M460" s="7"/>
      <c r="N460" s="7"/>
      <c r="O460" s="7"/>
      <c r="P460" s="7"/>
      <c r="Q460" s="7"/>
      <c r="R460" s="7"/>
    </row>
    <row r="461" spans="6:18" ht="14.25" customHeight="1" x14ac:dyDescent="0.25">
      <c r="F461" s="7"/>
      <c r="G461" s="7"/>
      <c r="H461" s="7"/>
      <c r="I461" s="7"/>
      <c r="J461" s="7"/>
      <c r="K461" s="7"/>
      <c r="L461" s="7"/>
      <c r="M461" s="7"/>
      <c r="N461" s="7"/>
      <c r="O461" s="7"/>
      <c r="P461" s="7"/>
      <c r="Q461" s="7"/>
      <c r="R461" s="7"/>
    </row>
    <row r="462" spans="6:18" ht="14.25" customHeight="1" x14ac:dyDescent="0.25">
      <c r="F462" s="7"/>
      <c r="G462" s="7"/>
      <c r="H462" s="7"/>
      <c r="I462" s="7"/>
      <c r="J462" s="7"/>
      <c r="K462" s="7"/>
      <c r="L462" s="7"/>
      <c r="M462" s="7"/>
      <c r="N462" s="7"/>
      <c r="O462" s="7"/>
      <c r="P462" s="7"/>
      <c r="Q462" s="7"/>
      <c r="R462" s="7"/>
    </row>
    <row r="463" spans="6:18" ht="14.25" customHeight="1" x14ac:dyDescent="0.25">
      <c r="F463" s="7"/>
      <c r="G463" s="7"/>
      <c r="H463" s="7"/>
      <c r="I463" s="7"/>
      <c r="J463" s="7"/>
      <c r="K463" s="7"/>
      <c r="L463" s="7"/>
      <c r="M463" s="7"/>
      <c r="N463" s="7"/>
      <c r="O463" s="7"/>
      <c r="P463" s="7"/>
      <c r="Q463" s="7"/>
      <c r="R463" s="7"/>
    </row>
    <row r="464" spans="6:18" ht="14.25" customHeight="1" x14ac:dyDescent="0.25">
      <c r="F464" s="7"/>
      <c r="G464" s="7"/>
      <c r="H464" s="7"/>
      <c r="I464" s="7"/>
      <c r="J464" s="7"/>
      <c r="K464" s="7"/>
      <c r="L464" s="7"/>
      <c r="M464" s="7"/>
      <c r="N464" s="7"/>
      <c r="O464" s="7"/>
      <c r="P464" s="7"/>
      <c r="Q464" s="7"/>
      <c r="R464" s="7"/>
    </row>
    <row r="465" spans="6:18" ht="14.25" customHeight="1" x14ac:dyDescent="0.25">
      <c r="F465" s="7"/>
      <c r="G465" s="7"/>
      <c r="H465" s="7"/>
      <c r="I465" s="7"/>
      <c r="J465" s="7"/>
      <c r="K465" s="7"/>
      <c r="L465" s="7"/>
      <c r="M465" s="7"/>
      <c r="N465" s="7"/>
      <c r="O465" s="7"/>
      <c r="P465" s="7"/>
      <c r="Q465" s="7"/>
      <c r="R465" s="7"/>
    </row>
    <row r="466" spans="6:18" ht="14.25" customHeight="1" x14ac:dyDescent="0.25">
      <c r="F466" s="7"/>
      <c r="G466" s="7"/>
      <c r="H466" s="7"/>
      <c r="I466" s="7"/>
      <c r="J466" s="7"/>
      <c r="K466" s="7"/>
      <c r="L466" s="7"/>
      <c r="M466" s="7"/>
      <c r="N466" s="7"/>
      <c r="O466" s="7"/>
      <c r="P466" s="7"/>
      <c r="Q466" s="7"/>
      <c r="R466" s="7"/>
    </row>
    <row r="467" spans="6:18" ht="14.25" customHeight="1" x14ac:dyDescent="0.25">
      <c r="F467" s="7"/>
      <c r="G467" s="7"/>
      <c r="H467" s="7"/>
      <c r="I467" s="7"/>
      <c r="J467" s="7"/>
      <c r="K467" s="7"/>
      <c r="L467" s="7"/>
      <c r="M467" s="7"/>
      <c r="N467" s="7"/>
      <c r="O467" s="7"/>
      <c r="P467" s="7"/>
      <c r="Q467" s="7"/>
      <c r="R467" s="7"/>
    </row>
    <row r="468" spans="6:18" ht="14.25" customHeight="1" x14ac:dyDescent="0.25">
      <c r="F468" s="7"/>
      <c r="G468" s="7"/>
      <c r="H468" s="7"/>
      <c r="I468" s="7"/>
      <c r="J468" s="7"/>
      <c r="K468" s="7"/>
      <c r="L468" s="7"/>
      <c r="M468" s="7"/>
      <c r="N468" s="7"/>
      <c r="O468" s="7"/>
      <c r="P468" s="7"/>
      <c r="Q468" s="7"/>
      <c r="R468" s="7"/>
    </row>
    <row r="469" spans="6:18" ht="14.25" customHeight="1" x14ac:dyDescent="0.25">
      <c r="F469" s="7"/>
      <c r="G469" s="7"/>
      <c r="H469" s="7"/>
      <c r="I469" s="7"/>
      <c r="J469" s="7"/>
      <c r="K469" s="7"/>
      <c r="L469" s="7"/>
      <c r="M469" s="7"/>
      <c r="N469" s="7"/>
      <c r="O469" s="7"/>
      <c r="P469" s="7"/>
      <c r="Q469" s="7"/>
      <c r="R469" s="7"/>
    </row>
    <row r="470" spans="6:18" ht="14.25" customHeight="1" x14ac:dyDescent="0.25">
      <c r="F470" s="7"/>
      <c r="G470" s="7"/>
      <c r="H470" s="7"/>
      <c r="I470" s="7"/>
      <c r="J470" s="7"/>
      <c r="K470" s="7"/>
      <c r="L470" s="7"/>
      <c r="M470" s="7"/>
      <c r="N470" s="7"/>
      <c r="O470" s="7"/>
      <c r="P470" s="7"/>
      <c r="Q470" s="7"/>
      <c r="R470" s="7"/>
    </row>
    <row r="471" spans="6:18" ht="14.25" customHeight="1" x14ac:dyDescent="0.25">
      <c r="F471" s="7"/>
      <c r="G471" s="7"/>
      <c r="H471" s="7"/>
      <c r="I471" s="7"/>
      <c r="J471" s="7"/>
      <c r="K471" s="7"/>
      <c r="L471" s="7"/>
      <c r="M471" s="7"/>
      <c r="N471" s="7"/>
      <c r="O471" s="7"/>
      <c r="P471" s="7"/>
      <c r="Q471" s="7"/>
      <c r="R471" s="7"/>
    </row>
    <row r="472" spans="6:18" ht="14.25" customHeight="1" x14ac:dyDescent="0.25">
      <c r="F472" s="7"/>
      <c r="G472" s="7"/>
      <c r="H472" s="7"/>
      <c r="I472" s="7"/>
      <c r="J472" s="7"/>
      <c r="K472" s="7"/>
      <c r="L472" s="7"/>
      <c r="M472" s="7"/>
      <c r="N472" s="7"/>
      <c r="O472" s="7"/>
      <c r="P472" s="7"/>
      <c r="Q472" s="7"/>
      <c r="R472" s="7"/>
    </row>
    <row r="473" spans="6:18" ht="14.25" customHeight="1" x14ac:dyDescent="0.25">
      <c r="F473" s="7"/>
      <c r="G473" s="7"/>
      <c r="H473" s="7"/>
      <c r="I473" s="7"/>
      <c r="J473" s="7"/>
      <c r="K473" s="7"/>
      <c r="L473" s="7"/>
      <c r="M473" s="7"/>
      <c r="N473" s="7"/>
      <c r="O473" s="7"/>
      <c r="P473" s="7"/>
      <c r="Q473" s="7"/>
      <c r="R473" s="7"/>
    </row>
    <row r="474" spans="6:18" ht="14.25" customHeight="1" x14ac:dyDescent="0.25">
      <c r="F474" s="7"/>
      <c r="G474" s="7"/>
      <c r="H474" s="7"/>
      <c r="I474" s="7"/>
      <c r="J474" s="7"/>
      <c r="K474" s="7"/>
      <c r="L474" s="7"/>
      <c r="M474" s="7"/>
      <c r="N474" s="7"/>
      <c r="O474" s="7"/>
      <c r="P474" s="7"/>
      <c r="Q474" s="7"/>
      <c r="R474" s="7"/>
    </row>
    <row r="475" spans="6:18" ht="14.25" customHeight="1" x14ac:dyDescent="0.25">
      <c r="F475" s="7"/>
      <c r="G475" s="7"/>
      <c r="H475" s="7"/>
      <c r="I475" s="7"/>
      <c r="J475" s="7"/>
      <c r="K475" s="7"/>
      <c r="L475" s="7"/>
      <c r="M475" s="7"/>
      <c r="N475" s="7"/>
      <c r="O475" s="7"/>
      <c r="P475" s="7"/>
      <c r="Q475" s="7"/>
      <c r="R475" s="7"/>
    </row>
    <row r="476" spans="6:18" ht="14.25" customHeight="1" x14ac:dyDescent="0.25">
      <c r="F476" s="7"/>
      <c r="G476" s="7"/>
      <c r="H476" s="7"/>
      <c r="I476" s="7"/>
      <c r="J476" s="7"/>
      <c r="K476" s="7"/>
      <c r="L476" s="7"/>
      <c r="M476" s="7"/>
      <c r="N476" s="7"/>
      <c r="O476" s="7"/>
      <c r="P476" s="7"/>
      <c r="Q476" s="7"/>
      <c r="R476" s="7"/>
    </row>
    <row r="477" spans="6:18" ht="14.25" customHeight="1" x14ac:dyDescent="0.25">
      <c r="F477" s="7"/>
      <c r="G477" s="7"/>
      <c r="H477" s="7"/>
      <c r="I477" s="7"/>
      <c r="J477" s="7"/>
      <c r="K477" s="7"/>
      <c r="L477" s="7"/>
      <c r="M477" s="7"/>
      <c r="N477" s="7"/>
      <c r="O477" s="7"/>
      <c r="P477" s="7"/>
      <c r="Q477" s="7"/>
      <c r="R477" s="7"/>
    </row>
    <row r="478" spans="6:18" ht="14.25" customHeight="1" x14ac:dyDescent="0.25">
      <c r="F478" s="7"/>
      <c r="G478" s="7"/>
      <c r="H478" s="7"/>
      <c r="I478" s="7"/>
      <c r="J478" s="7"/>
      <c r="K478" s="7"/>
      <c r="L478" s="7"/>
      <c r="M478" s="7"/>
      <c r="N478" s="7"/>
      <c r="O478" s="7"/>
      <c r="P478" s="7"/>
      <c r="Q478" s="7"/>
      <c r="R478" s="7"/>
    </row>
    <row r="479" spans="6:18" ht="14.25" customHeight="1" x14ac:dyDescent="0.25">
      <c r="F479" s="7"/>
      <c r="G479" s="7"/>
      <c r="H479" s="7"/>
      <c r="I479" s="7"/>
      <c r="J479" s="7"/>
      <c r="K479" s="7"/>
      <c r="L479" s="7"/>
      <c r="M479" s="7"/>
      <c r="N479" s="7"/>
      <c r="O479" s="7"/>
      <c r="P479" s="7"/>
      <c r="Q479" s="7"/>
      <c r="R479" s="7"/>
    </row>
    <row r="480" spans="6:18" ht="14.25" customHeight="1" x14ac:dyDescent="0.25">
      <c r="F480" s="7"/>
      <c r="G480" s="7"/>
      <c r="H480" s="7"/>
      <c r="I480" s="7"/>
      <c r="J480" s="7"/>
      <c r="K480" s="7"/>
      <c r="L480" s="7"/>
      <c r="M480" s="7"/>
      <c r="N480" s="7"/>
      <c r="O480" s="7"/>
      <c r="P480" s="7"/>
      <c r="Q480" s="7"/>
      <c r="R480" s="7"/>
    </row>
    <row r="481" spans="6:18" ht="14.25" customHeight="1" x14ac:dyDescent="0.25">
      <c r="F481" s="7"/>
      <c r="G481" s="7"/>
      <c r="H481" s="7"/>
      <c r="I481" s="7"/>
      <c r="J481" s="7"/>
      <c r="K481" s="7"/>
      <c r="L481" s="7"/>
      <c r="M481" s="7"/>
      <c r="N481" s="7"/>
      <c r="O481" s="7"/>
      <c r="P481" s="7"/>
      <c r="Q481" s="7"/>
      <c r="R481" s="7"/>
    </row>
    <row r="482" spans="6:18" ht="14.25" customHeight="1" x14ac:dyDescent="0.25">
      <c r="F482" s="7"/>
      <c r="G482" s="7"/>
      <c r="H482" s="7"/>
      <c r="I482" s="7"/>
      <c r="J482" s="7"/>
      <c r="K482" s="7"/>
      <c r="L482" s="7"/>
      <c r="M482" s="7"/>
      <c r="N482" s="7"/>
      <c r="O482" s="7"/>
      <c r="P482" s="7"/>
      <c r="Q482" s="7"/>
      <c r="R482" s="7"/>
    </row>
    <row r="483" spans="6:18" ht="14.25" customHeight="1" x14ac:dyDescent="0.25">
      <c r="F483" s="7"/>
      <c r="G483" s="7"/>
      <c r="H483" s="7"/>
      <c r="I483" s="7"/>
      <c r="J483" s="7"/>
      <c r="K483" s="7"/>
      <c r="L483" s="7"/>
      <c r="M483" s="7"/>
      <c r="N483" s="7"/>
      <c r="O483" s="7"/>
      <c r="P483" s="7"/>
      <c r="Q483" s="7"/>
      <c r="R483" s="7"/>
    </row>
    <row r="484" spans="6:18" ht="14.25" customHeight="1" x14ac:dyDescent="0.25">
      <c r="F484" s="7"/>
      <c r="G484" s="7"/>
      <c r="H484" s="7"/>
      <c r="I484" s="7"/>
      <c r="J484" s="7"/>
      <c r="K484" s="7"/>
      <c r="L484" s="7"/>
      <c r="M484" s="7"/>
      <c r="N484" s="7"/>
      <c r="O484" s="7"/>
      <c r="P484" s="7"/>
      <c r="Q484" s="7"/>
      <c r="R484" s="7"/>
    </row>
    <row r="485" spans="6:18" ht="14.25" customHeight="1" x14ac:dyDescent="0.25">
      <c r="F485" s="7"/>
      <c r="G485" s="7"/>
      <c r="H485" s="7"/>
      <c r="I485" s="7"/>
      <c r="J485" s="7"/>
      <c r="K485" s="7"/>
      <c r="L485" s="7"/>
      <c r="M485" s="7"/>
      <c r="N485" s="7"/>
      <c r="O485" s="7"/>
      <c r="P485" s="7"/>
      <c r="Q485" s="7"/>
      <c r="R485" s="7"/>
    </row>
    <row r="486" spans="6:18" ht="14.25" customHeight="1" x14ac:dyDescent="0.25">
      <c r="F486" s="7"/>
      <c r="G486" s="7"/>
      <c r="H486" s="7"/>
      <c r="I486" s="7"/>
      <c r="J486" s="7"/>
      <c r="K486" s="7"/>
      <c r="L486" s="7"/>
      <c r="M486" s="7"/>
      <c r="N486" s="7"/>
      <c r="O486" s="7"/>
      <c r="P486" s="7"/>
      <c r="Q486" s="7"/>
      <c r="R486" s="7"/>
    </row>
    <row r="487" spans="6:18" ht="14.25" customHeight="1" x14ac:dyDescent="0.25">
      <c r="F487" s="7"/>
      <c r="G487" s="7"/>
      <c r="H487" s="7"/>
      <c r="I487" s="7"/>
      <c r="J487" s="7"/>
      <c r="K487" s="7"/>
      <c r="L487" s="7"/>
      <c r="M487" s="7"/>
      <c r="N487" s="7"/>
      <c r="O487" s="7"/>
      <c r="P487" s="7"/>
      <c r="Q487" s="7"/>
      <c r="R487" s="7"/>
    </row>
    <row r="488" spans="6:18" ht="14.25" customHeight="1" x14ac:dyDescent="0.25">
      <c r="F488" s="7"/>
      <c r="G488" s="7"/>
      <c r="H488" s="7"/>
      <c r="I488" s="7"/>
      <c r="J488" s="7"/>
      <c r="K488" s="7"/>
      <c r="L488" s="7"/>
      <c r="M488" s="7"/>
      <c r="N488" s="7"/>
      <c r="O488" s="7"/>
      <c r="P488" s="7"/>
      <c r="Q488" s="7"/>
      <c r="R488" s="7"/>
    </row>
    <row r="489" spans="6:18" ht="14.25" customHeight="1" x14ac:dyDescent="0.25">
      <c r="F489" s="7"/>
      <c r="G489" s="7"/>
      <c r="H489" s="7"/>
      <c r="I489" s="7"/>
      <c r="J489" s="7"/>
      <c r="K489" s="7"/>
      <c r="L489" s="7"/>
      <c r="M489" s="7"/>
      <c r="N489" s="7"/>
      <c r="O489" s="7"/>
      <c r="P489" s="7"/>
      <c r="Q489" s="7"/>
      <c r="R489" s="7"/>
    </row>
    <row r="490" spans="6:18" ht="14.25" customHeight="1" x14ac:dyDescent="0.25">
      <c r="F490" s="7"/>
      <c r="G490" s="7"/>
      <c r="H490" s="7"/>
      <c r="I490" s="7"/>
      <c r="J490" s="7"/>
      <c r="K490" s="7"/>
      <c r="L490" s="7"/>
      <c r="M490" s="7"/>
      <c r="N490" s="7"/>
      <c r="O490" s="7"/>
      <c r="P490" s="7"/>
      <c r="Q490" s="7"/>
      <c r="R490" s="7"/>
    </row>
    <row r="491" spans="6:18" ht="14.25" customHeight="1" x14ac:dyDescent="0.25">
      <c r="F491" s="7"/>
      <c r="G491" s="7"/>
      <c r="H491" s="7"/>
      <c r="I491" s="7"/>
      <c r="J491" s="7"/>
      <c r="K491" s="7"/>
      <c r="L491" s="7"/>
      <c r="M491" s="7"/>
      <c r="N491" s="7"/>
      <c r="O491" s="7"/>
      <c r="P491" s="7"/>
      <c r="Q491" s="7"/>
      <c r="R491" s="7"/>
    </row>
    <row r="492" spans="6:18" ht="14.25" customHeight="1" x14ac:dyDescent="0.25">
      <c r="F492" s="7"/>
      <c r="G492" s="7"/>
      <c r="H492" s="7"/>
      <c r="I492" s="7"/>
      <c r="J492" s="7"/>
      <c r="K492" s="7"/>
      <c r="L492" s="7"/>
      <c r="M492" s="7"/>
      <c r="N492" s="7"/>
      <c r="O492" s="7"/>
      <c r="P492" s="7"/>
      <c r="Q492" s="7"/>
      <c r="R492" s="7"/>
    </row>
    <row r="493" spans="6:18" ht="14.25" customHeight="1" x14ac:dyDescent="0.25">
      <c r="F493" s="7"/>
      <c r="G493" s="7"/>
      <c r="H493" s="7"/>
      <c r="I493" s="7"/>
      <c r="J493" s="7"/>
      <c r="K493" s="7"/>
      <c r="L493" s="7"/>
      <c r="M493" s="7"/>
      <c r="N493" s="7"/>
      <c r="O493" s="7"/>
      <c r="P493" s="7"/>
      <c r="Q493" s="7"/>
      <c r="R493" s="7"/>
    </row>
    <row r="494" spans="6:18" ht="14.25" customHeight="1" x14ac:dyDescent="0.25">
      <c r="F494" s="7"/>
      <c r="G494" s="7"/>
      <c r="H494" s="7"/>
      <c r="I494" s="7"/>
      <c r="J494" s="7"/>
      <c r="K494" s="7"/>
      <c r="L494" s="7"/>
      <c r="M494" s="7"/>
      <c r="N494" s="7"/>
      <c r="O494" s="7"/>
      <c r="P494" s="7"/>
      <c r="Q494" s="7"/>
      <c r="R494" s="7"/>
    </row>
    <row r="495" spans="6:18" ht="14.25" customHeight="1" x14ac:dyDescent="0.25">
      <c r="F495" s="7"/>
      <c r="G495" s="7"/>
      <c r="H495" s="7"/>
      <c r="I495" s="7"/>
      <c r="J495" s="7"/>
      <c r="K495" s="7"/>
      <c r="L495" s="7"/>
      <c r="M495" s="7"/>
      <c r="N495" s="7"/>
      <c r="O495" s="7"/>
      <c r="P495" s="7"/>
      <c r="Q495" s="7"/>
      <c r="R495" s="7"/>
    </row>
    <row r="496" spans="6:18" ht="14.25" customHeight="1" x14ac:dyDescent="0.25">
      <c r="F496" s="7"/>
      <c r="G496" s="7"/>
      <c r="H496" s="7"/>
      <c r="I496" s="7"/>
      <c r="J496" s="7"/>
      <c r="K496" s="7"/>
      <c r="L496" s="7"/>
      <c r="M496" s="7"/>
      <c r="N496" s="7"/>
      <c r="O496" s="7"/>
      <c r="P496" s="7"/>
      <c r="Q496" s="7"/>
      <c r="R496" s="7"/>
    </row>
    <row r="497" spans="6:18" ht="14.25" customHeight="1" x14ac:dyDescent="0.25">
      <c r="F497" s="7"/>
      <c r="G497" s="7"/>
      <c r="H497" s="7"/>
      <c r="I497" s="7"/>
      <c r="J497" s="7"/>
      <c r="K497" s="7"/>
      <c r="L497" s="7"/>
      <c r="M497" s="7"/>
      <c r="N497" s="7"/>
      <c r="O497" s="7"/>
      <c r="P497" s="7"/>
      <c r="Q497" s="7"/>
      <c r="R497" s="7"/>
    </row>
    <row r="498" spans="6:18" ht="14.25" customHeight="1" x14ac:dyDescent="0.25">
      <c r="F498" s="7"/>
      <c r="G498" s="7"/>
      <c r="H498" s="7"/>
      <c r="I498" s="7"/>
      <c r="J498" s="7"/>
      <c r="K498" s="7"/>
      <c r="L498" s="7"/>
      <c r="M498" s="7"/>
      <c r="N498" s="7"/>
      <c r="O498" s="7"/>
      <c r="P498" s="7"/>
      <c r="Q498" s="7"/>
      <c r="R498" s="7"/>
    </row>
    <row r="499" spans="6:18" ht="14.25" customHeight="1" x14ac:dyDescent="0.25">
      <c r="F499" s="7"/>
      <c r="G499" s="7"/>
      <c r="H499" s="7"/>
      <c r="I499" s="7"/>
      <c r="J499" s="7"/>
      <c r="K499" s="7"/>
      <c r="L499" s="7"/>
      <c r="M499" s="7"/>
      <c r="N499" s="7"/>
      <c r="O499" s="7"/>
      <c r="P499" s="7"/>
      <c r="Q499" s="7"/>
      <c r="R499" s="7"/>
    </row>
    <row r="500" spans="6:18" ht="14.25" customHeight="1" x14ac:dyDescent="0.25">
      <c r="F500" s="7"/>
      <c r="G500" s="7"/>
      <c r="H500" s="7"/>
      <c r="I500" s="7"/>
      <c r="J500" s="7"/>
      <c r="K500" s="7"/>
      <c r="L500" s="7"/>
      <c r="M500" s="7"/>
      <c r="N500" s="7"/>
      <c r="O500" s="7"/>
      <c r="P500" s="7"/>
      <c r="Q500" s="7"/>
      <c r="R500" s="7"/>
    </row>
    <row r="501" spans="6:18" ht="14.25" customHeight="1" x14ac:dyDescent="0.25">
      <c r="F501" s="7"/>
      <c r="G501" s="7"/>
      <c r="H501" s="7"/>
      <c r="I501" s="7"/>
      <c r="J501" s="7"/>
      <c r="K501" s="7"/>
      <c r="L501" s="7"/>
      <c r="M501" s="7"/>
      <c r="N501" s="7"/>
      <c r="O501" s="7"/>
      <c r="P501" s="7"/>
      <c r="Q501" s="7"/>
      <c r="R501" s="7"/>
    </row>
    <row r="502" spans="6:18" ht="14.25" customHeight="1" x14ac:dyDescent="0.25">
      <c r="F502" s="7"/>
      <c r="G502" s="7"/>
      <c r="H502" s="7"/>
      <c r="I502" s="7"/>
      <c r="J502" s="7"/>
      <c r="K502" s="7"/>
      <c r="L502" s="7"/>
      <c r="M502" s="7"/>
      <c r="N502" s="7"/>
      <c r="O502" s="7"/>
      <c r="P502" s="7"/>
      <c r="Q502" s="7"/>
      <c r="R502" s="7"/>
    </row>
    <row r="503" spans="6:18" ht="14.25" customHeight="1" x14ac:dyDescent="0.25">
      <c r="F503" s="7"/>
      <c r="G503" s="7"/>
      <c r="H503" s="7"/>
      <c r="I503" s="7"/>
      <c r="J503" s="7"/>
      <c r="K503" s="7"/>
      <c r="L503" s="7"/>
      <c r="M503" s="7"/>
      <c r="N503" s="7"/>
      <c r="O503" s="7"/>
      <c r="P503" s="7"/>
      <c r="Q503" s="7"/>
      <c r="R503" s="7"/>
    </row>
    <row r="504" spans="6:18" ht="14.25" customHeight="1" x14ac:dyDescent="0.25">
      <c r="F504" s="7"/>
      <c r="G504" s="7"/>
      <c r="H504" s="7"/>
      <c r="I504" s="7"/>
      <c r="J504" s="7"/>
      <c r="K504" s="7"/>
      <c r="L504" s="7"/>
      <c r="M504" s="7"/>
      <c r="N504" s="7"/>
      <c r="O504" s="7"/>
      <c r="P504" s="7"/>
      <c r="Q504" s="7"/>
      <c r="R504" s="7"/>
    </row>
    <row r="505" spans="6:18" ht="14.25" customHeight="1" x14ac:dyDescent="0.25">
      <c r="F505" s="7"/>
      <c r="G505" s="7"/>
      <c r="H505" s="7"/>
      <c r="I505" s="7"/>
      <c r="J505" s="7"/>
      <c r="K505" s="7"/>
      <c r="L505" s="7"/>
      <c r="M505" s="7"/>
      <c r="N505" s="7"/>
      <c r="O505" s="7"/>
      <c r="P505" s="7"/>
      <c r="Q505" s="7"/>
      <c r="R505" s="7"/>
    </row>
    <row r="506" spans="6:18" ht="14.25" customHeight="1" x14ac:dyDescent="0.25">
      <c r="F506" s="7"/>
      <c r="G506" s="7"/>
      <c r="H506" s="7"/>
      <c r="I506" s="7"/>
      <c r="J506" s="7"/>
      <c r="K506" s="7"/>
      <c r="L506" s="7"/>
      <c r="M506" s="7"/>
      <c r="N506" s="7"/>
      <c r="O506" s="7"/>
      <c r="P506" s="7"/>
      <c r="Q506" s="7"/>
      <c r="R506" s="7"/>
    </row>
    <row r="507" spans="6:18" ht="14.25" customHeight="1" x14ac:dyDescent="0.25">
      <c r="F507" s="7"/>
      <c r="G507" s="7"/>
      <c r="H507" s="7"/>
      <c r="I507" s="7"/>
      <c r="J507" s="7"/>
      <c r="K507" s="7"/>
      <c r="L507" s="7"/>
      <c r="M507" s="7"/>
      <c r="N507" s="7"/>
      <c r="O507" s="7"/>
      <c r="P507" s="7"/>
      <c r="Q507" s="7"/>
      <c r="R507" s="7"/>
    </row>
    <row r="508" spans="6:18" ht="14.25" customHeight="1" x14ac:dyDescent="0.25">
      <c r="F508" s="7"/>
      <c r="G508" s="7"/>
      <c r="H508" s="7"/>
      <c r="I508" s="7"/>
      <c r="J508" s="7"/>
      <c r="K508" s="7"/>
      <c r="L508" s="7"/>
      <c r="M508" s="7"/>
      <c r="N508" s="7"/>
      <c r="O508" s="7"/>
      <c r="P508" s="7"/>
      <c r="Q508" s="7"/>
      <c r="R508" s="7"/>
    </row>
    <row r="509" spans="6:18" ht="14.25" customHeight="1" x14ac:dyDescent="0.25">
      <c r="F509" s="7"/>
      <c r="G509" s="7"/>
      <c r="H509" s="7"/>
      <c r="I509" s="7"/>
      <c r="J509" s="7"/>
      <c r="K509" s="7"/>
      <c r="L509" s="7"/>
      <c r="M509" s="7"/>
      <c r="N509" s="7"/>
      <c r="O509" s="7"/>
      <c r="P509" s="7"/>
      <c r="Q509" s="7"/>
      <c r="R509" s="7"/>
    </row>
    <row r="510" spans="6:18" ht="14.25" customHeight="1" x14ac:dyDescent="0.25">
      <c r="F510" s="7"/>
      <c r="G510" s="7"/>
      <c r="H510" s="7"/>
      <c r="I510" s="7"/>
      <c r="J510" s="7"/>
      <c r="K510" s="7"/>
      <c r="L510" s="7"/>
      <c r="M510" s="7"/>
      <c r="N510" s="7"/>
      <c r="O510" s="7"/>
      <c r="P510" s="7"/>
      <c r="Q510" s="7"/>
      <c r="R510" s="7"/>
    </row>
    <row r="511" spans="6:18" ht="14.25" customHeight="1" x14ac:dyDescent="0.25">
      <c r="F511" s="7"/>
      <c r="G511" s="7"/>
      <c r="H511" s="7"/>
      <c r="I511" s="7"/>
      <c r="J511" s="7"/>
      <c r="K511" s="7"/>
      <c r="L511" s="7"/>
      <c r="M511" s="7"/>
      <c r="N511" s="7"/>
      <c r="O511" s="7"/>
      <c r="P511" s="7"/>
      <c r="Q511" s="7"/>
      <c r="R511" s="7"/>
    </row>
    <row r="512" spans="6:18" ht="14.25" customHeight="1" x14ac:dyDescent="0.25">
      <c r="F512" s="7"/>
      <c r="G512" s="7"/>
      <c r="H512" s="7"/>
      <c r="I512" s="7"/>
      <c r="J512" s="7"/>
      <c r="K512" s="7"/>
      <c r="L512" s="7"/>
      <c r="M512" s="7"/>
      <c r="N512" s="7"/>
      <c r="O512" s="7"/>
      <c r="P512" s="7"/>
      <c r="Q512" s="7"/>
      <c r="R512" s="7"/>
    </row>
    <row r="513" spans="6:18" ht="14.25" customHeight="1" x14ac:dyDescent="0.25">
      <c r="F513" s="7"/>
      <c r="G513" s="7"/>
      <c r="H513" s="7"/>
      <c r="I513" s="7"/>
      <c r="J513" s="7"/>
      <c r="K513" s="7"/>
      <c r="L513" s="7"/>
      <c r="M513" s="7"/>
      <c r="N513" s="7"/>
      <c r="O513" s="7"/>
      <c r="P513" s="7"/>
      <c r="Q513" s="7"/>
      <c r="R513" s="7"/>
    </row>
    <row r="514" spans="6:18" ht="14.25" customHeight="1" x14ac:dyDescent="0.25">
      <c r="F514" s="7"/>
      <c r="G514" s="7"/>
      <c r="H514" s="7"/>
      <c r="I514" s="7"/>
      <c r="J514" s="7"/>
      <c r="K514" s="7"/>
      <c r="L514" s="7"/>
      <c r="M514" s="7"/>
      <c r="N514" s="7"/>
      <c r="O514" s="7"/>
      <c r="P514" s="7"/>
      <c r="Q514" s="7"/>
      <c r="R514" s="7"/>
    </row>
    <row r="515" spans="6:18" ht="14.25" customHeight="1" x14ac:dyDescent="0.25">
      <c r="F515" s="7"/>
      <c r="G515" s="7"/>
      <c r="H515" s="7"/>
      <c r="I515" s="7"/>
      <c r="J515" s="7"/>
      <c r="K515" s="7"/>
      <c r="L515" s="7"/>
      <c r="M515" s="7"/>
      <c r="N515" s="7"/>
      <c r="O515" s="7"/>
      <c r="P515" s="7"/>
      <c r="Q515" s="7"/>
      <c r="R515" s="7"/>
    </row>
    <row r="516" spans="6:18" ht="14.25" customHeight="1" x14ac:dyDescent="0.25">
      <c r="F516" s="7"/>
      <c r="G516" s="7"/>
      <c r="H516" s="7"/>
      <c r="I516" s="7"/>
      <c r="J516" s="7"/>
      <c r="K516" s="7"/>
      <c r="L516" s="7"/>
      <c r="M516" s="7"/>
      <c r="N516" s="7"/>
      <c r="O516" s="7"/>
      <c r="P516" s="7"/>
      <c r="Q516" s="7"/>
      <c r="R516" s="7"/>
    </row>
    <row r="517" spans="6:18" ht="14.25" customHeight="1" x14ac:dyDescent="0.25">
      <c r="F517" s="7"/>
      <c r="G517" s="7"/>
      <c r="H517" s="7"/>
      <c r="I517" s="7"/>
      <c r="J517" s="7"/>
      <c r="K517" s="7"/>
      <c r="L517" s="7"/>
      <c r="M517" s="7"/>
      <c r="N517" s="7"/>
      <c r="O517" s="7"/>
      <c r="P517" s="7"/>
      <c r="Q517" s="7"/>
      <c r="R517" s="7"/>
    </row>
    <row r="518" spans="6:18" ht="14.25" customHeight="1" x14ac:dyDescent="0.25">
      <c r="F518" s="7"/>
      <c r="G518" s="7"/>
      <c r="H518" s="7"/>
      <c r="I518" s="7"/>
      <c r="J518" s="7"/>
      <c r="K518" s="7"/>
      <c r="L518" s="7"/>
      <c r="M518" s="7"/>
      <c r="N518" s="7"/>
      <c r="O518" s="7"/>
      <c r="P518" s="7"/>
      <c r="Q518" s="7"/>
      <c r="R518" s="7"/>
    </row>
    <row r="519" spans="6:18" ht="14.25" customHeight="1" x14ac:dyDescent="0.25">
      <c r="F519" s="7"/>
      <c r="G519" s="7"/>
      <c r="H519" s="7"/>
      <c r="I519" s="7"/>
      <c r="J519" s="7"/>
      <c r="K519" s="7"/>
      <c r="L519" s="7"/>
      <c r="M519" s="7"/>
      <c r="N519" s="7"/>
      <c r="O519" s="7"/>
      <c r="P519" s="7"/>
      <c r="Q519" s="7"/>
      <c r="R519" s="7"/>
    </row>
    <row r="520" spans="6:18" ht="14.25" customHeight="1" x14ac:dyDescent="0.25">
      <c r="F520" s="7"/>
      <c r="G520" s="7"/>
      <c r="H520" s="7"/>
      <c r="I520" s="7"/>
      <c r="J520" s="7"/>
      <c r="K520" s="7"/>
      <c r="L520" s="7"/>
      <c r="M520" s="7"/>
      <c r="N520" s="7"/>
      <c r="O520" s="7"/>
      <c r="P520" s="7"/>
      <c r="Q520" s="7"/>
      <c r="R520" s="7"/>
    </row>
    <row r="521" spans="6:18" ht="14.25" customHeight="1" x14ac:dyDescent="0.25">
      <c r="F521" s="7"/>
      <c r="G521" s="7"/>
      <c r="H521" s="7"/>
      <c r="I521" s="7"/>
      <c r="J521" s="7"/>
      <c r="K521" s="7"/>
      <c r="L521" s="7"/>
      <c r="M521" s="7"/>
      <c r="N521" s="7"/>
      <c r="O521" s="7"/>
      <c r="P521" s="7"/>
      <c r="Q521" s="7"/>
      <c r="R521" s="7"/>
    </row>
    <row r="522" spans="6:18" ht="14.25" customHeight="1" x14ac:dyDescent="0.25">
      <c r="F522" s="7"/>
      <c r="G522" s="7"/>
      <c r="H522" s="7"/>
      <c r="I522" s="7"/>
      <c r="J522" s="7"/>
      <c r="K522" s="7"/>
      <c r="L522" s="7"/>
      <c r="M522" s="7"/>
      <c r="N522" s="7"/>
      <c r="O522" s="7"/>
      <c r="P522" s="7"/>
      <c r="Q522" s="7"/>
      <c r="R522" s="7"/>
    </row>
    <row r="523" spans="6:18" ht="14.25" customHeight="1" x14ac:dyDescent="0.25">
      <c r="F523" s="7"/>
      <c r="G523" s="7"/>
      <c r="H523" s="7"/>
      <c r="I523" s="7"/>
      <c r="J523" s="7"/>
      <c r="K523" s="7"/>
      <c r="L523" s="7"/>
      <c r="M523" s="7"/>
      <c r="N523" s="7"/>
      <c r="O523" s="7"/>
      <c r="P523" s="7"/>
      <c r="Q523" s="7"/>
      <c r="R523" s="7"/>
    </row>
    <row r="524" spans="6:18" ht="14.25" customHeight="1" x14ac:dyDescent="0.25">
      <c r="F524" s="7"/>
      <c r="G524" s="7"/>
      <c r="H524" s="7"/>
      <c r="I524" s="7"/>
      <c r="J524" s="7"/>
      <c r="K524" s="7"/>
      <c r="L524" s="7"/>
      <c r="M524" s="7"/>
      <c r="N524" s="7"/>
      <c r="O524" s="7"/>
      <c r="P524" s="7"/>
      <c r="Q524" s="7"/>
      <c r="R524" s="7"/>
    </row>
    <row r="525" spans="6:18" ht="14.25" customHeight="1" x14ac:dyDescent="0.25">
      <c r="F525" s="7"/>
      <c r="G525" s="7"/>
      <c r="H525" s="7"/>
      <c r="I525" s="7"/>
      <c r="J525" s="7"/>
      <c r="K525" s="7"/>
      <c r="L525" s="7"/>
      <c r="M525" s="7"/>
      <c r="N525" s="7"/>
      <c r="O525" s="7"/>
      <c r="P525" s="7"/>
      <c r="Q525" s="7"/>
      <c r="R525" s="7"/>
    </row>
    <row r="526" spans="6:18" ht="14.25" customHeight="1" x14ac:dyDescent="0.25">
      <c r="F526" s="7"/>
      <c r="G526" s="7"/>
      <c r="H526" s="7"/>
      <c r="I526" s="7"/>
      <c r="J526" s="7"/>
      <c r="K526" s="7"/>
      <c r="L526" s="7"/>
      <c r="M526" s="7"/>
      <c r="N526" s="7"/>
      <c r="O526" s="7"/>
      <c r="P526" s="7"/>
      <c r="Q526" s="7"/>
      <c r="R526" s="7"/>
    </row>
    <row r="527" spans="6:18" ht="14.25" customHeight="1" x14ac:dyDescent="0.25">
      <c r="F527" s="7"/>
      <c r="G527" s="7"/>
      <c r="H527" s="7"/>
      <c r="I527" s="7"/>
      <c r="J527" s="7"/>
      <c r="K527" s="7"/>
      <c r="L527" s="7"/>
      <c r="M527" s="7"/>
      <c r="N527" s="7"/>
      <c r="O527" s="7"/>
      <c r="P527" s="7"/>
      <c r="Q527" s="7"/>
      <c r="R527" s="7"/>
    </row>
    <row r="528" spans="6:18" ht="14.25" customHeight="1" x14ac:dyDescent="0.25">
      <c r="F528" s="7"/>
      <c r="G528" s="7"/>
      <c r="H528" s="7"/>
      <c r="I528" s="7"/>
      <c r="J528" s="7"/>
      <c r="K528" s="7"/>
      <c r="L528" s="7"/>
      <c r="M528" s="7"/>
      <c r="N528" s="7"/>
      <c r="O528" s="7"/>
      <c r="P528" s="7"/>
      <c r="Q528" s="7"/>
      <c r="R528" s="7"/>
    </row>
    <row r="529" spans="6:18" ht="14.25" customHeight="1" x14ac:dyDescent="0.25">
      <c r="F529" s="7"/>
      <c r="G529" s="7"/>
      <c r="H529" s="7"/>
      <c r="I529" s="7"/>
      <c r="J529" s="7"/>
      <c r="K529" s="7"/>
      <c r="L529" s="7"/>
      <c r="M529" s="7"/>
      <c r="N529" s="7"/>
      <c r="O529" s="7"/>
      <c r="P529" s="7"/>
      <c r="Q529" s="7"/>
      <c r="R529" s="7"/>
    </row>
    <row r="530" spans="6:18" ht="14.25" customHeight="1" x14ac:dyDescent="0.25">
      <c r="F530" s="7"/>
      <c r="G530" s="7"/>
      <c r="H530" s="7"/>
      <c r="I530" s="7"/>
      <c r="J530" s="7"/>
      <c r="K530" s="7"/>
      <c r="L530" s="7"/>
      <c r="M530" s="7"/>
      <c r="N530" s="7"/>
      <c r="O530" s="7"/>
      <c r="P530" s="7"/>
      <c r="Q530" s="7"/>
      <c r="R530" s="7"/>
    </row>
    <row r="531" spans="6:18" ht="14.25" customHeight="1" x14ac:dyDescent="0.25">
      <c r="F531" s="7"/>
      <c r="G531" s="7"/>
      <c r="H531" s="7"/>
      <c r="I531" s="7"/>
      <c r="J531" s="7"/>
      <c r="K531" s="7"/>
      <c r="L531" s="7"/>
      <c r="M531" s="7"/>
      <c r="N531" s="7"/>
      <c r="O531" s="7"/>
      <c r="P531" s="7"/>
      <c r="Q531" s="7"/>
      <c r="R531" s="7"/>
    </row>
    <row r="532" spans="6:18" ht="14.25" customHeight="1" x14ac:dyDescent="0.25">
      <c r="F532" s="7"/>
      <c r="G532" s="7"/>
      <c r="H532" s="7"/>
      <c r="I532" s="7"/>
      <c r="J532" s="7"/>
      <c r="K532" s="7"/>
      <c r="L532" s="7"/>
      <c r="M532" s="7"/>
      <c r="N532" s="7"/>
      <c r="O532" s="7"/>
      <c r="P532" s="7"/>
      <c r="Q532" s="7"/>
      <c r="R532" s="7"/>
    </row>
    <row r="533" spans="6:18" ht="14.25" customHeight="1" x14ac:dyDescent="0.25">
      <c r="F533" s="7"/>
      <c r="G533" s="7"/>
      <c r="H533" s="7"/>
      <c r="I533" s="7"/>
      <c r="J533" s="7"/>
      <c r="K533" s="7"/>
      <c r="L533" s="7"/>
      <c r="M533" s="7"/>
      <c r="N533" s="7"/>
      <c r="O533" s="7"/>
      <c r="P533" s="7"/>
      <c r="Q533" s="7"/>
      <c r="R533" s="7"/>
    </row>
    <row r="534" spans="6:18" ht="14.25" customHeight="1" x14ac:dyDescent="0.25">
      <c r="F534" s="7"/>
      <c r="G534" s="7"/>
      <c r="H534" s="7"/>
      <c r="I534" s="7"/>
      <c r="J534" s="7"/>
      <c r="K534" s="7"/>
      <c r="L534" s="7"/>
      <c r="M534" s="7"/>
      <c r="N534" s="7"/>
      <c r="O534" s="7"/>
      <c r="P534" s="7"/>
      <c r="Q534" s="7"/>
      <c r="R534" s="7"/>
    </row>
    <row r="535" spans="6:18" ht="14.25" customHeight="1" x14ac:dyDescent="0.25">
      <c r="F535" s="7"/>
      <c r="G535" s="7"/>
      <c r="H535" s="7"/>
      <c r="I535" s="7"/>
      <c r="J535" s="7"/>
      <c r="K535" s="7"/>
      <c r="L535" s="7"/>
      <c r="M535" s="7"/>
      <c r="N535" s="7"/>
      <c r="O535" s="7"/>
      <c r="P535" s="7"/>
      <c r="Q535" s="7"/>
      <c r="R535" s="7"/>
    </row>
    <row r="536" spans="6:18" ht="14.25" customHeight="1" x14ac:dyDescent="0.25">
      <c r="F536" s="7"/>
      <c r="G536" s="7"/>
      <c r="H536" s="7"/>
      <c r="I536" s="7"/>
      <c r="J536" s="7"/>
      <c r="K536" s="7"/>
      <c r="L536" s="7"/>
      <c r="M536" s="7"/>
      <c r="N536" s="7"/>
      <c r="O536" s="7"/>
      <c r="P536" s="7"/>
      <c r="Q536" s="7"/>
      <c r="R536" s="7"/>
    </row>
    <row r="537" spans="6:18" ht="14.25" customHeight="1" x14ac:dyDescent="0.25">
      <c r="F537" s="7"/>
      <c r="G537" s="7"/>
      <c r="H537" s="7"/>
      <c r="I537" s="7"/>
      <c r="J537" s="7"/>
      <c r="K537" s="7"/>
      <c r="L537" s="7"/>
      <c r="M537" s="7"/>
      <c r="N537" s="7"/>
      <c r="O537" s="7"/>
      <c r="P537" s="7"/>
      <c r="Q537" s="7"/>
      <c r="R537" s="7"/>
    </row>
    <row r="538" spans="6:18" ht="14.25" customHeight="1" x14ac:dyDescent="0.25">
      <c r="F538" s="7"/>
      <c r="G538" s="7"/>
      <c r="H538" s="7"/>
      <c r="I538" s="7"/>
      <c r="J538" s="7"/>
      <c r="K538" s="7"/>
      <c r="L538" s="7"/>
      <c r="M538" s="7"/>
      <c r="N538" s="7"/>
      <c r="O538" s="7"/>
      <c r="P538" s="7"/>
      <c r="Q538" s="7"/>
      <c r="R538" s="7"/>
    </row>
    <row r="539" spans="6:18" ht="14.25" customHeight="1" x14ac:dyDescent="0.25">
      <c r="F539" s="7"/>
      <c r="G539" s="7"/>
      <c r="H539" s="7"/>
      <c r="I539" s="7"/>
      <c r="J539" s="7"/>
      <c r="K539" s="7"/>
      <c r="L539" s="7"/>
      <c r="M539" s="7"/>
      <c r="N539" s="7"/>
      <c r="O539" s="7"/>
      <c r="P539" s="7"/>
      <c r="Q539" s="7"/>
      <c r="R539" s="7"/>
    </row>
    <row r="540" spans="6:18" ht="14.25" customHeight="1" x14ac:dyDescent="0.25">
      <c r="F540" s="7"/>
      <c r="G540" s="7"/>
      <c r="H540" s="7"/>
      <c r="I540" s="7"/>
      <c r="J540" s="7"/>
      <c r="K540" s="7"/>
      <c r="L540" s="7"/>
      <c r="M540" s="7"/>
      <c r="N540" s="7"/>
      <c r="O540" s="7"/>
      <c r="P540" s="7"/>
      <c r="Q540" s="7"/>
      <c r="R540" s="7"/>
    </row>
    <row r="541" spans="6:18" ht="14.25" customHeight="1" x14ac:dyDescent="0.25">
      <c r="F541" s="7"/>
      <c r="G541" s="7"/>
      <c r="H541" s="7"/>
      <c r="I541" s="7"/>
      <c r="J541" s="7"/>
      <c r="K541" s="7"/>
      <c r="L541" s="7"/>
      <c r="M541" s="7"/>
      <c r="N541" s="7"/>
      <c r="O541" s="7"/>
      <c r="P541" s="7"/>
      <c r="Q541" s="7"/>
      <c r="R541" s="7"/>
    </row>
    <row r="542" spans="6:18" ht="14.25" customHeight="1" x14ac:dyDescent="0.25">
      <c r="F542" s="7"/>
      <c r="G542" s="7"/>
      <c r="H542" s="7"/>
      <c r="I542" s="7"/>
      <c r="J542" s="7"/>
      <c r="K542" s="7"/>
      <c r="L542" s="7"/>
      <c r="M542" s="7"/>
      <c r="N542" s="7"/>
      <c r="O542" s="7"/>
      <c r="P542" s="7"/>
      <c r="Q542" s="7"/>
      <c r="R542" s="7"/>
    </row>
    <row r="543" spans="6:18" ht="14.25" customHeight="1" x14ac:dyDescent="0.25">
      <c r="F543" s="7"/>
      <c r="G543" s="7"/>
      <c r="H543" s="7"/>
      <c r="I543" s="7"/>
      <c r="J543" s="7"/>
      <c r="K543" s="7"/>
      <c r="L543" s="7"/>
      <c r="M543" s="7"/>
      <c r="N543" s="7"/>
      <c r="O543" s="7"/>
      <c r="P543" s="7"/>
      <c r="Q543" s="7"/>
      <c r="R543" s="7"/>
    </row>
    <row r="544" spans="6:18" ht="14.25" customHeight="1" x14ac:dyDescent="0.25">
      <c r="F544" s="7"/>
      <c r="G544" s="7"/>
      <c r="H544" s="7"/>
      <c r="I544" s="7"/>
      <c r="J544" s="7"/>
      <c r="K544" s="7"/>
      <c r="L544" s="7"/>
      <c r="M544" s="7"/>
      <c r="N544" s="7"/>
      <c r="O544" s="7"/>
      <c r="P544" s="7"/>
      <c r="Q544" s="7"/>
      <c r="R544" s="7"/>
    </row>
    <row r="545" spans="6:18" ht="14.25" customHeight="1" x14ac:dyDescent="0.25">
      <c r="F545" s="7"/>
      <c r="G545" s="7"/>
      <c r="H545" s="7"/>
      <c r="I545" s="7"/>
      <c r="J545" s="7"/>
      <c r="K545" s="7"/>
      <c r="L545" s="7"/>
      <c r="M545" s="7"/>
      <c r="N545" s="7"/>
      <c r="O545" s="7"/>
      <c r="P545" s="7"/>
      <c r="Q545" s="7"/>
      <c r="R545" s="7"/>
    </row>
    <row r="546" spans="6:18" ht="14.25" customHeight="1" x14ac:dyDescent="0.25">
      <c r="F546" s="7"/>
      <c r="G546" s="7"/>
      <c r="H546" s="7"/>
      <c r="I546" s="7"/>
      <c r="J546" s="7"/>
      <c r="K546" s="7"/>
      <c r="L546" s="7"/>
      <c r="M546" s="7"/>
      <c r="N546" s="7"/>
      <c r="O546" s="7"/>
      <c r="P546" s="7"/>
      <c r="Q546" s="7"/>
      <c r="R546" s="7"/>
    </row>
    <row r="547" spans="6:18" ht="14.25" customHeight="1" x14ac:dyDescent="0.25">
      <c r="F547" s="7"/>
      <c r="G547" s="7"/>
      <c r="H547" s="7"/>
      <c r="I547" s="7"/>
      <c r="J547" s="7"/>
      <c r="K547" s="7"/>
      <c r="L547" s="7"/>
      <c r="M547" s="7"/>
      <c r="N547" s="7"/>
      <c r="O547" s="7"/>
      <c r="P547" s="7"/>
      <c r="Q547" s="7"/>
      <c r="R547" s="7"/>
    </row>
    <row r="548" spans="6:18" ht="14.25" customHeight="1" x14ac:dyDescent="0.25">
      <c r="F548" s="7"/>
      <c r="G548" s="7"/>
      <c r="H548" s="7"/>
      <c r="I548" s="7"/>
      <c r="J548" s="7"/>
      <c r="K548" s="7"/>
      <c r="L548" s="7"/>
      <c r="M548" s="7"/>
      <c r="N548" s="7"/>
      <c r="O548" s="7"/>
      <c r="P548" s="7"/>
      <c r="Q548" s="7"/>
      <c r="R548" s="7"/>
    </row>
    <row r="549" spans="6:18" ht="14.25" customHeight="1" x14ac:dyDescent="0.25">
      <c r="F549" s="7"/>
      <c r="G549" s="7"/>
      <c r="H549" s="7"/>
      <c r="I549" s="7"/>
      <c r="J549" s="7"/>
      <c r="K549" s="7"/>
      <c r="L549" s="7"/>
      <c r="M549" s="7"/>
      <c r="N549" s="7"/>
      <c r="O549" s="7"/>
      <c r="P549" s="7"/>
      <c r="Q549" s="7"/>
      <c r="R549" s="7"/>
    </row>
    <row r="550" spans="6:18" ht="14.25" customHeight="1" x14ac:dyDescent="0.25">
      <c r="F550" s="7"/>
      <c r="G550" s="7"/>
      <c r="H550" s="7"/>
      <c r="I550" s="7"/>
      <c r="J550" s="7"/>
      <c r="K550" s="7"/>
      <c r="L550" s="7"/>
      <c r="M550" s="7"/>
      <c r="N550" s="7"/>
      <c r="O550" s="7"/>
      <c r="P550" s="7"/>
      <c r="Q550" s="7"/>
      <c r="R550" s="7"/>
    </row>
    <row r="551" spans="6:18" ht="14.25" customHeight="1" x14ac:dyDescent="0.25">
      <c r="F551" s="7"/>
      <c r="G551" s="7"/>
      <c r="H551" s="7"/>
      <c r="I551" s="7"/>
      <c r="J551" s="7"/>
      <c r="K551" s="7"/>
      <c r="L551" s="7"/>
      <c r="M551" s="7"/>
      <c r="N551" s="7"/>
      <c r="O551" s="7"/>
      <c r="P551" s="7"/>
      <c r="Q551" s="7"/>
      <c r="R551" s="7"/>
    </row>
    <row r="552" spans="6:18" ht="14.25" customHeight="1" x14ac:dyDescent="0.25">
      <c r="F552" s="7"/>
      <c r="G552" s="7"/>
      <c r="H552" s="7"/>
      <c r="I552" s="7"/>
      <c r="J552" s="7"/>
      <c r="K552" s="7"/>
      <c r="L552" s="7"/>
      <c r="M552" s="7"/>
      <c r="N552" s="7"/>
      <c r="O552" s="7"/>
      <c r="P552" s="7"/>
      <c r="Q552" s="7"/>
      <c r="R552" s="7"/>
    </row>
    <row r="553" spans="6:18" ht="14.25" customHeight="1" x14ac:dyDescent="0.25">
      <c r="F553" s="7"/>
      <c r="G553" s="7"/>
      <c r="H553" s="7"/>
      <c r="I553" s="7"/>
      <c r="J553" s="7"/>
      <c r="K553" s="7"/>
      <c r="L553" s="7"/>
      <c r="M553" s="7"/>
      <c r="N553" s="7"/>
      <c r="O553" s="7"/>
      <c r="P553" s="7"/>
      <c r="Q553" s="7"/>
      <c r="R553" s="7"/>
    </row>
    <row r="554" spans="6:18" ht="14.25" customHeight="1" x14ac:dyDescent="0.25">
      <c r="F554" s="7"/>
      <c r="G554" s="7"/>
      <c r="H554" s="7"/>
      <c r="I554" s="7"/>
      <c r="J554" s="7"/>
      <c r="K554" s="7"/>
      <c r="L554" s="7"/>
      <c r="M554" s="7"/>
      <c r="N554" s="7"/>
      <c r="O554" s="7"/>
      <c r="P554" s="7"/>
      <c r="Q554" s="7"/>
      <c r="R554" s="7"/>
    </row>
    <row r="555" spans="6:18" ht="14.25" customHeight="1" x14ac:dyDescent="0.25">
      <c r="F555" s="7"/>
      <c r="G555" s="7"/>
      <c r="H555" s="7"/>
      <c r="I555" s="7"/>
      <c r="J555" s="7"/>
      <c r="K555" s="7"/>
      <c r="L555" s="7"/>
      <c r="M555" s="7"/>
      <c r="N555" s="7"/>
      <c r="O555" s="7"/>
      <c r="P555" s="7"/>
      <c r="Q555" s="7"/>
      <c r="R555" s="7"/>
    </row>
    <row r="556" spans="6:18" ht="14.25" customHeight="1" x14ac:dyDescent="0.25">
      <c r="F556" s="7"/>
      <c r="G556" s="7"/>
      <c r="H556" s="7"/>
      <c r="I556" s="7"/>
      <c r="J556" s="7"/>
      <c r="K556" s="7"/>
      <c r="L556" s="7"/>
      <c r="M556" s="7"/>
      <c r="N556" s="7"/>
      <c r="O556" s="7"/>
      <c r="P556" s="7"/>
      <c r="Q556" s="7"/>
      <c r="R556" s="7"/>
    </row>
    <row r="557" spans="6:18" ht="14.25" customHeight="1" x14ac:dyDescent="0.25">
      <c r="F557" s="7"/>
      <c r="G557" s="7"/>
      <c r="H557" s="7"/>
      <c r="I557" s="7"/>
      <c r="J557" s="7"/>
      <c r="K557" s="7"/>
      <c r="L557" s="7"/>
      <c r="M557" s="7"/>
      <c r="N557" s="7"/>
      <c r="O557" s="7"/>
      <c r="P557" s="7"/>
      <c r="Q557" s="7"/>
      <c r="R557" s="7"/>
    </row>
    <row r="558" spans="6:18" ht="14.25" customHeight="1" x14ac:dyDescent="0.25">
      <c r="F558" s="7"/>
      <c r="G558" s="7"/>
      <c r="H558" s="7"/>
      <c r="I558" s="7"/>
      <c r="J558" s="7"/>
      <c r="K558" s="7"/>
      <c r="L558" s="7"/>
      <c r="M558" s="7"/>
      <c r="N558" s="7"/>
      <c r="O558" s="7"/>
      <c r="P558" s="7"/>
      <c r="Q558" s="7"/>
      <c r="R558" s="7"/>
    </row>
    <row r="559" spans="6:18" ht="14.25" customHeight="1" x14ac:dyDescent="0.25">
      <c r="F559" s="7"/>
      <c r="G559" s="7"/>
      <c r="H559" s="7"/>
      <c r="I559" s="7"/>
      <c r="J559" s="7"/>
      <c r="K559" s="7"/>
      <c r="L559" s="7"/>
      <c r="M559" s="7"/>
      <c r="N559" s="7"/>
      <c r="O559" s="7"/>
      <c r="P559" s="7"/>
      <c r="Q559" s="7"/>
      <c r="R559" s="7"/>
    </row>
    <row r="560" spans="6:18" ht="14.25" customHeight="1" x14ac:dyDescent="0.25">
      <c r="F560" s="7"/>
      <c r="G560" s="7"/>
      <c r="H560" s="7"/>
      <c r="I560" s="7"/>
      <c r="J560" s="7"/>
      <c r="K560" s="7"/>
      <c r="L560" s="7"/>
      <c r="M560" s="7"/>
      <c r="N560" s="7"/>
      <c r="O560" s="7"/>
      <c r="P560" s="7"/>
      <c r="Q560" s="7"/>
      <c r="R560" s="7"/>
    </row>
    <row r="561" spans="6:18" ht="14.25" customHeight="1" x14ac:dyDescent="0.25">
      <c r="F561" s="7"/>
      <c r="G561" s="7"/>
      <c r="H561" s="7"/>
      <c r="I561" s="7"/>
      <c r="J561" s="7"/>
      <c r="K561" s="7"/>
      <c r="L561" s="7"/>
      <c r="M561" s="7"/>
      <c r="N561" s="7"/>
      <c r="O561" s="7"/>
      <c r="P561" s="7"/>
      <c r="Q561" s="7"/>
      <c r="R561" s="7"/>
    </row>
    <row r="562" spans="6:18" ht="14.25" customHeight="1" x14ac:dyDescent="0.25">
      <c r="F562" s="7"/>
      <c r="G562" s="7"/>
      <c r="H562" s="7"/>
      <c r="I562" s="7"/>
      <c r="J562" s="7"/>
      <c r="K562" s="7"/>
      <c r="L562" s="7"/>
      <c r="M562" s="7"/>
      <c r="N562" s="7"/>
      <c r="O562" s="7"/>
      <c r="P562" s="7"/>
      <c r="Q562" s="7"/>
      <c r="R562" s="7"/>
    </row>
    <row r="563" spans="6:18" ht="14.25" customHeight="1" x14ac:dyDescent="0.25">
      <c r="F563" s="7"/>
      <c r="G563" s="7"/>
      <c r="H563" s="7"/>
      <c r="I563" s="7"/>
      <c r="J563" s="7"/>
      <c r="K563" s="7"/>
      <c r="L563" s="7"/>
      <c r="M563" s="7"/>
      <c r="N563" s="7"/>
      <c r="O563" s="7"/>
      <c r="P563" s="7"/>
      <c r="Q563" s="7"/>
      <c r="R563" s="7"/>
    </row>
    <row r="564" spans="6:18" ht="14.25" customHeight="1" x14ac:dyDescent="0.25">
      <c r="F564" s="7"/>
      <c r="G564" s="7"/>
      <c r="H564" s="7"/>
      <c r="I564" s="7"/>
      <c r="J564" s="7"/>
      <c r="K564" s="7"/>
      <c r="L564" s="7"/>
      <c r="M564" s="7"/>
      <c r="N564" s="7"/>
      <c r="O564" s="7"/>
      <c r="P564" s="7"/>
      <c r="Q564" s="7"/>
      <c r="R564" s="7"/>
    </row>
    <row r="565" spans="6:18" ht="14.25" customHeight="1" x14ac:dyDescent="0.25">
      <c r="F565" s="7"/>
      <c r="G565" s="7"/>
      <c r="H565" s="7"/>
      <c r="I565" s="7"/>
      <c r="J565" s="7"/>
      <c r="K565" s="7"/>
      <c r="L565" s="7"/>
      <c r="M565" s="7"/>
      <c r="N565" s="7"/>
      <c r="O565" s="7"/>
      <c r="P565" s="7"/>
      <c r="Q565" s="7"/>
      <c r="R565" s="7"/>
    </row>
    <row r="566" spans="6:18" ht="14.25" customHeight="1" x14ac:dyDescent="0.25">
      <c r="F566" s="7"/>
      <c r="G566" s="7"/>
      <c r="H566" s="7"/>
      <c r="I566" s="7"/>
      <c r="J566" s="7"/>
      <c r="K566" s="7"/>
      <c r="L566" s="7"/>
      <c r="M566" s="7"/>
      <c r="N566" s="7"/>
      <c r="O566" s="7"/>
      <c r="P566" s="7"/>
      <c r="Q566" s="7"/>
      <c r="R566" s="7"/>
    </row>
    <row r="567" spans="6:18" ht="14.25" customHeight="1" x14ac:dyDescent="0.25">
      <c r="F567" s="7"/>
      <c r="G567" s="7"/>
      <c r="H567" s="7"/>
      <c r="I567" s="7"/>
      <c r="J567" s="7"/>
      <c r="K567" s="7"/>
      <c r="L567" s="7"/>
      <c r="M567" s="7"/>
      <c r="N567" s="7"/>
      <c r="O567" s="7"/>
      <c r="P567" s="7"/>
      <c r="Q567" s="7"/>
      <c r="R567" s="7"/>
    </row>
    <row r="568" spans="6:18" ht="14.25" customHeight="1" x14ac:dyDescent="0.25">
      <c r="F568" s="7"/>
      <c r="G568" s="7"/>
      <c r="H568" s="7"/>
      <c r="I568" s="7"/>
      <c r="J568" s="7"/>
      <c r="K568" s="7"/>
      <c r="L568" s="7"/>
      <c r="M568" s="7"/>
      <c r="N568" s="7"/>
      <c r="O568" s="7"/>
      <c r="P568" s="7"/>
      <c r="Q568" s="7"/>
      <c r="R568" s="7"/>
    </row>
    <row r="569" spans="6:18" ht="14.25" customHeight="1" x14ac:dyDescent="0.25">
      <c r="F569" s="7"/>
      <c r="G569" s="7"/>
      <c r="H569" s="7"/>
      <c r="I569" s="7"/>
      <c r="J569" s="7"/>
      <c r="K569" s="7"/>
      <c r="L569" s="7"/>
      <c r="M569" s="7"/>
      <c r="N569" s="7"/>
      <c r="O569" s="7"/>
      <c r="P569" s="7"/>
      <c r="Q569" s="7"/>
      <c r="R569" s="7"/>
    </row>
    <row r="570" spans="6:18" ht="14.25" customHeight="1" x14ac:dyDescent="0.25">
      <c r="F570" s="7"/>
      <c r="G570" s="7"/>
      <c r="H570" s="7"/>
      <c r="I570" s="7"/>
      <c r="J570" s="7"/>
      <c r="K570" s="7"/>
      <c r="L570" s="7"/>
      <c r="M570" s="7"/>
      <c r="N570" s="7"/>
      <c r="O570" s="7"/>
      <c r="P570" s="7"/>
      <c r="Q570" s="7"/>
      <c r="R570" s="7"/>
    </row>
    <row r="571" spans="6:18" ht="14.25" customHeight="1" x14ac:dyDescent="0.25">
      <c r="F571" s="7"/>
      <c r="G571" s="7"/>
      <c r="H571" s="7"/>
      <c r="I571" s="7"/>
      <c r="J571" s="7"/>
      <c r="K571" s="7"/>
      <c r="L571" s="7"/>
      <c r="M571" s="7"/>
      <c r="N571" s="7"/>
      <c r="O571" s="7"/>
      <c r="P571" s="7"/>
      <c r="Q571" s="7"/>
      <c r="R571" s="7"/>
    </row>
    <row r="572" spans="6:18" ht="14.25" customHeight="1" x14ac:dyDescent="0.25">
      <c r="F572" s="7"/>
      <c r="G572" s="7"/>
      <c r="H572" s="7"/>
      <c r="I572" s="7"/>
      <c r="J572" s="7"/>
      <c r="K572" s="7"/>
      <c r="L572" s="7"/>
      <c r="M572" s="7"/>
      <c r="N572" s="7"/>
      <c r="O572" s="7"/>
      <c r="P572" s="7"/>
      <c r="Q572" s="7"/>
      <c r="R572" s="7"/>
    </row>
    <row r="573" spans="6:18" ht="14.25" customHeight="1" x14ac:dyDescent="0.25">
      <c r="F573" s="7"/>
      <c r="G573" s="7"/>
      <c r="H573" s="7"/>
      <c r="I573" s="7"/>
      <c r="J573" s="7"/>
      <c r="K573" s="7"/>
      <c r="L573" s="7"/>
      <c r="M573" s="7"/>
      <c r="N573" s="7"/>
      <c r="O573" s="7"/>
      <c r="P573" s="7"/>
      <c r="Q573" s="7"/>
      <c r="R573" s="7"/>
    </row>
    <row r="574" spans="6:18" ht="14.25" customHeight="1" x14ac:dyDescent="0.25">
      <c r="F574" s="7"/>
      <c r="G574" s="7"/>
      <c r="H574" s="7"/>
      <c r="I574" s="7"/>
      <c r="J574" s="7"/>
      <c r="K574" s="7"/>
      <c r="L574" s="7"/>
      <c r="M574" s="7"/>
      <c r="N574" s="7"/>
      <c r="O574" s="7"/>
      <c r="P574" s="7"/>
      <c r="Q574" s="7"/>
      <c r="R574" s="7"/>
    </row>
    <row r="575" spans="6:18" ht="14.25" customHeight="1" x14ac:dyDescent="0.25">
      <c r="F575" s="7"/>
      <c r="G575" s="7"/>
      <c r="H575" s="7"/>
      <c r="I575" s="7"/>
      <c r="J575" s="7"/>
      <c r="K575" s="7"/>
      <c r="L575" s="7"/>
      <c r="M575" s="7"/>
      <c r="N575" s="7"/>
      <c r="O575" s="7"/>
      <c r="P575" s="7"/>
      <c r="Q575" s="7"/>
      <c r="R575" s="7"/>
    </row>
    <row r="576" spans="6:18" ht="14.25" customHeight="1" x14ac:dyDescent="0.25">
      <c r="F576" s="7"/>
      <c r="G576" s="7"/>
      <c r="H576" s="7"/>
      <c r="I576" s="7"/>
      <c r="J576" s="7"/>
      <c r="K576" s="7"/>
      <c r="L576" s="7"/>
      <c r="M576" s="7"/>
      <c r="N576" s="7"/>
      <c r="O576" s="7"/>
      <c r="P576" s="7"/>
      <c r="Q576" s="7"/>
      <c r="R576" s="7"/>
    </row>
    <row r="577" spans="6:18" ht="14.25" customHeight="1" x14ac:dyDescent="0.25">
      <c r="F577" s="7"/>
      <c r="G577" s="7"/>
      <c r="H577" s="7"/>
      <c r="I577" s="7"/>
      <c r="J577" s="7"/>
      <c r="K577" s="7"/>
      <c r="L577" s="7"/>
      <c r="M577" s="7"/>
      <c r="N577" s="7"/>
      <c r="O577" s="7"/>
      <c r="P577" s="7"/>
      <c r="Q577" s="7"/>
      <c r="R577" s="7"/>
    </row>
    <row r="578" spans="6:18" ht="14.25" customHeight="1" x14ac:dyDescent="0.25">
      <c r="F578" s="7"/>
      <c r="G578" s="7"/>
      <c r="H578" s="7"/>
      <c r="I578" s="7"/>
      <c r="J578" s="7"/>
      <c r="K578" s="7"/>
      <c r="L578" s="7"/>
      <c r="M578" s="7"/>
      <c r="N578" s="7"/>
      <c r="O578" s="7"/>
      <c r="P578" s="7"/>
      <c r="Q578" s="7"/>
      <c r="R578" s="7"/>
    </row>
    <row r="579" spans="6:18" ht="14.25" customHeight="1" x14ac:dyDescent="0.25">
      <c r="F579" s="7"/>
      <c r="G579" s="7"/>
      <c r="H579" s="7"/>
      <c r="I579" s="7"/>
      <c r="J579" s="7"/>
      <c r="K579" s="7"/>
      <c r="L579" s="7"/>
      <c r="M579" s="7"/>
      <c r="N579" s="7"/>
      <c r="O579" s="7"/>
      <c r="P579" s="7"/>
      <c r="Q579" s="7"/>
      <c r="R579" s="7"/>
    </row>
    <row r="580" spans="6:18" ht="14.25" customHeight="1" x14ac:dyDescent="0.25">
      <c r="F580" s="7"/>
      <c r="G580" s="7"/>
      <c r="H580" s="7"/>
      <c r="I580" s="7"/>
      <c r="J580" s="7"/>
      <c r="K580" s="7"/>
      <c r="L580" s="7"/>
      <c r="M580" s="7"/>
      <c r="N580" s="7"/>
      <c r="O580" s="7"/>
      <c r="P580" s="7"/>
      <c r="Q580" s="7"/>
      <c r="R580" s="7"/>
    </row>
    <row r="581" spans="6:18" ht="14.25" customHeight="1" x14ac:dyDescent="0.25">
      <c r="F581" s="7"/>
      <c r="G581" s="7"/>
      <c r="H581" s="7"/>
      <c r="I581" s="7"/>
      <c r="J581" s="7"/>
      <c r="K581" s="7"/>
      <c r="L581" s="7"/>
      <c r="M581" s="7"/>
      <c r="N581" s="7"/>
      <c r="O581" s="7"/>
      <c r="P581" s="7"/>
      <c r="Q581" s="7"/>
      <c r="R581" s="7"/>
    </row>
    <row r="582" spans="6:18" ht="14.25" customHeight="1" x14ac:dyDescent="0.25">
      <c r="F582" s="7"/>
      <c r="G582" s="7"/>
      <c r="H582" s="7"/>
      <c r="I582" s="7"/>
      <c r="J582" s="7"/>
      <c r="K582" s="7"/>
      <c r="L582" s="7"/>
      <c r="M582" s="7"/>
      <c r="N582" s="7"/>
      <c r="O582" s="7"/>
      <c r="P582" s="7"/>
      <c r="Q582" s="7"/>
      <c r="R582" s="7"/>
    </row>
    <row r="583" spans="6:18" ht="14.25" customHeight="1" x14ac:dyDescent="0.25">
      <c r="F583" s="7"/>
      <c r="G583" s="7"/>
      <c r="H583" s="7"/>
      <c r="I583" s="7"/>
      <c r="J583" s="7"/>
      <c r="K583" s="7"/>
      <c r="L583" s="7"/>
      <c r="M583" s="7"/>
      <c r="N583" s="7"/>
      <c r="O583" s="7"/>
      <c r="P583" s="7"/>
      <c r="Q583" s="7"/>
      <c r="R583" s="7"/>
    </row>
    <row r="584" spans="6:18" ht="14.25" customHeight="1" x14ac:dyDescent="0.25">
      <c r="F584" s="7"/>
      <c r="G584" s="7"/>
      <c r="H584" s="7"/>
      <c r="I584" s="7"/>
      <c r="J584" s="7"/>
      <c r="K584" s="7"/>
      <c r="L584" s="7"/>
      <c r="M584" s="7"/>
      <c r="N584" s="7"/>
      <c r="O584" s="7"/>
      <c r="P584" s="7"/>
      <c r="Q584" s="7"/>
      <c r="R584" s="7"/>
    </row>
    <row r="585" spans="6:18" ht="14.25" customHeight="1" x14ac:dyDescent="0.25">
      <c r="F585" s="7"/>
      <c r="G585" s="7"/>
      <c r="H585" s="7"/>
      <c r="I585" s="7"/>
      <c r="J585" s="7"/>
      <c r="K585" s="7"/>
      <c r="L585" s="7"/>
      <c r="M585" s="7"/>
      <c r="N585" s="7"/>
      <c r="O585" s="7"/>
      <c r="P585" s="7"/>
      <c r="Q585" s="7"/>
      <c r="R585" s="7"/>
    </row>
    <row r="586" spans="6:18" ht="14.25" customHeight="1" x14ac:dyDescent="0.25">
      <c r="F586" s="7"/>
      <c r="G586" s="7"/>
      <c r="H586" s="7"/>
      <c r="I586" s="7"/>
      <c r="J586" s="7"/>
      <c r="K586" s="7"/>
      <c r="L586" s="7"/>
      <c r="M586" s="7"/>
      <c r="N586" s="7"/>
      <c r="O586" s="7"/>
      <c r="P586" s="7"/>
      <c r="Q586" s="7"/>
      <c r="R586" s="7"/>
    </row>
    <row r="587" spans="6:18" ht="14.25" customHeight="1" x14ac:dyDescent="0.25">
      <c r="F587" s="7"/>
      <c r="G587" s="7"/>
      <c r="H587" s="7"/>
      <c r="I587" s="7"/>
      <c r="J587" s="7"/>
      <c r="K587" s="7"/>
      <c r="L587" s="7"/>
      <c r="M587" s="7"/>
      <c r="N587" s="7"/>
      <c r="O587" s="7"/>
      <c r="P587" s="7"/>
      <c r="Q587" s="7"/>
      <c r="R587" s="7"/>
    </row>
    <row r="588" spans="6:18" ht="14.25" customHeight="1" x14ac:dyDescent="0.25">
      <c r="F588" s="7"/>
      <c r="G588" s="7"/>
      <c r="H588" s="7"/>
      <c r="I588" s="7"/>
      <c r="J588" s="7"/>
      <c r="K588" s="7"/>
      <c r="L588" s="7"/>
      <c r="M588" s="7"/>
      <c r="N588" s="7"/>
      <c r="O588" s="7"/>
      <c r="P588" s="7"/>
      <c r="Q588" s="7"/>
      <c r="R588" s="7"/>
    </row>
    <row r="589" spans="6:18" ht="14.25" customHeight="1" x14ac:dyDescent="0.25">
      <c r="F589" s="7"/>
      <c r="G589" s="7"/>
      <c r="H589" s="7"/>
      <c r="I589" s="7"/>
      <c r="J589" s="7"/>
      <c r="K589" s="7"/>
      <c r="L589" s="7"/>
      <c r="M589" s="7"/>
      <c r="N589" s="7"/>
      <c r="O589" s="7"/>
      <c r="P589" s="7"/>
      <c r="Q589" s="7"/>
      <c r="R589" s="7"/>
    </row>
    <row r="590" spans="6:18" ht="14.25" customHeight="1" x14ac:dyDescent="0.25">
      <c r="F590" s="7"/>
      <c r="G590" s="7"/>
      <c r="H590" s="7"/>
      <c r="I590" s="7"/>
      <c r="J590" s="7"/>
      <c r="K590" s="7"/>
      <c r="L590" s="7"/>
      <c r="M590" s="7"/>
      <c r="N590" s="7"/>
      <c r="O590" s="7"/>
      <c r="P590" s="7"/>
      <c r="Q590" s="7"/>
      <c r="R590" s="7"/>
    </row>
    <row r="591" spans="6:18" ht="14.25" customHeight="1" x14ac:dyDescent="0.25">
      <c r="F591" s="7"/>
      <c r="G591" s="7"/>
      <c r="H591" s="7"/>
      <c r="I591" s="7"/>
      <c r="J591" s="7"/>
      <c r="K591" s="7"/>
      <c r="L591" s="7"/>
      <c r="M591" s="7"/>
      <c r="N591" s="7"/>
      <c r="O591" s="7"/>
      <c r="P591" s="7"/>
      <c r="Q591" s="7"/>
      <c r="R591" s="7"/>
    </row>
    <row r="592" spans="6:18" ht="14.25" customHeight="1" x14ac:dyDescent="0.25">
      <c r="F592" s="7"/>
      <c r="G592" s="7"/>
      <c r="H592" s="7"/>
      <c r="I592" s="7"/>
      <c r="J592" s="7"/>
      <c r="K592" s="7"/>
      <c r="L592" s="7"/>
      <c r="M592" s="7"/>
      <c r="N592" s="7"/>
      <c r="O592" s="7"/>
      <c r="P592" s="7"/>
      <c r="Q592" s="7"/>
      <c r="R592" s="7"/>
    </row>
    <row r="593" spans="6:18" ht="14.25" customHeight="1" x14ac:dyDescent="0.25">
      <c r="F593" s="7"/>
      <c r="G593" s="7"/>
      <c r="H593" s="7"/>
      <c r="I593" s="7"/>
      <c r="J593" s="7"/>
      <c r="K593" s="7"/>
      <c r="L593" s="7"/>
      <c r="M593" s="7"/>
      <c r="N593" s="7"/>
      <c r="O593" s="7"/>
      <c r="P593" s="7"/>
      <c r="Q593" s="7"/>
      <c r="R593" s="7"/>
    </row>
    <row r="594" spans="6:18" ht="14.25" customHeight="1" x14ac:dyDescent="0.25">
      <c r="F594" s="7"/>
      <c r="G594" s="7"/>
      <c r="H594" s="7"/>
      <c r="I594" s="7"/>
      <c r="J594" s="7"/>
      <c r="K594" s="7"/>
      <c r="L594" s="7"/>
      <c r="M594" s="7"/>
      <c r="N594" s="7"/>
      <c r="O594" s="7"/>
      <c r="P594" s="7"/>
      <c r="Q594" s="7"/>
      <c r="R594" s="7"/>
    </row>
    <row r="595" spans="6:18" ht="14.25" customHeight="1" x14ac:dyDescent="0.25">
      <c r="F595" s="7"/>
      <c r="G595" s="7"/>
      <c r="H595" s="7"/>
      <c r="I595" s="7"/>
      <c r="J595" s="7"/>
      <c r="K595" s="7"/>
      <c r="L595" s="7"/>
      <c r="M595" s="7"/>
      <c r="N595" s="7"/>
      <c r="O595" s="7"/>
      <c r="P595" s="7"/>
      <c r="Q595" s="7"/>
      <c r="R595" s="7"/>
    </row>
    <row r="596" spans="6:18" ht="14.25" customHeight="1" x14ac:dyDescent="0.25">
      <c r="F596" s="7"/>
      <c r="G596" s="7"/>
      <c r="H596" s="7"/>
      <c r="I596" s="7"/>
      <c r="J596" s="7"/>
      <c r="K596" s="7"/>
      <c r="L596" s="7"/>
      <c r="M596" s="7"/>
      <c r="N596" s="7"/>
      <c r="O596" s="7"/>
      <c r="P596" s="7"/>
      <c r="Q596" s="7"/>
      <c r="R596" s="7"/>
    </row>
    <row r="597" spans="6:18" ht="14.25" customHeight="1" x14ac:dyDescent="0.25">
      <c r="F597" s="7"/>
      <c r="G597" s="7"/>
      <c r="H597" s="7"/>
      <c r="I597" s="7"/>
      <c r="J597" s="7"/>
      <c r="K597" s="7"/>
      <c r="L597" s="7"/>
      <c r="M597" s="7"/>
      <c r="N597" s="7"/>
      <c r="O597" s="7"/>
      <c r="P597" s="7"/>
      <c r="Q597" s="7"/>
      <c r="R597" s="7"/>
    </row>
    <row r="598" spans="6:18" ht="14.25" customHeight="1" x14ac:dyDescent="0.25">
      <c r="F598" s="7"/>
      <c r="G598" s="7"/>
      <c r="H598" s="7"/>
      <c r="I598" s="7"/>
      <c r="J598" s="7"/>
      <c r="K598" s="7"/>
      <c r="L598" s="7"/>
      <c r="M598" s="7"/>
      <c r="N598" s="7"/>
      <c r="O598" s="7"/>
      <c r="P598" s="7"/>
      <c r="Q598" s="7"/>
      <c r="R598" s="7"/>
    </row>
    <row r="599" spans="6:18" ht="14.25" customHeight="1" x14ac:dyDescent="0.25">
      <c r="F599" s="7"/>
      <c r="G599" s="7"/>
      <c r="H599" s="7"/>
      <c r="I599" s="7"/>
      <c r="J599" s="7"/>
      <c r="K599" s="7"/>
      <c r="L599" s="7"/>
      <c r="M599" s="7"/>
      <c r="N599" s="7"/>
      <c r="O599" s="7"/>
      <c r="P599" s="7"/>
      <c r="Q599" s="7"/>
      <c r="R599" s="7"/>
    </row>
    <row r="600" spans="6:18" ht="14.25" customHeight="1" x14ac:dyDescent="0.25">
      <c r="F600" s="7"/>
      <c r="G600" s="7"/>
      <c r="H600" s="7"/>
      <c r="I600" s="7"/>
      <c r="J600" s="7"/>
      <c r="K600" s="7"/>
      <c r="L600" s="7"/>
      <c r="M600" s="7"/>
      <c r="N600" s="7"/>
      <c r="O600" s="7"/>
      <c r="P600" s="7"/>
      <c r="Q600" s="7"/>
      <c r="R600" s="7"/>
    </row>
    <row r="601" spans="6:18" ht="14.25" customHeight="1" x14ac:dyDescent="0.25">
      <c r="F601" s="7"/>
      <c r="G601" s="7"/>
      <c r="H601" s="7"/>
      <c r="I601" s="7"/>
      <c r="J601" s="7"/>
      <c r="K601" s="7"/>
      <c r="L601" s="7"/>
      <c r="M601" s="7"/>
      <c r="N601" s="7"/>
      <c r="O601" s="7"/>
      <c r="P601" s="7"/>
      <c r="Q601" s="7"/>
      <c r="R601" s="7"/>
    </row>
    <row r="602" spans="6:18" ht="14.25" customHeight="1" x14ac:dyDescent="0.25">
      <c r="F602" s="7"/>
      <c r="G602" s="7"/>
      <c r="H602" s="7"/>
      <c r="I602" s="7"/>
      <c r="J602" s="7"/>
      <c r="K602" s="7"/>
      <c r="L602" s="7"/>
      <c r="M602" s="7"/>
      <c r="N602" s="7"/>
      <c r="O602" s="7"/>
      <c r="P602" s="7"/>
      <c r="Q602" s="7"/>
      <c r="R602" s="7"/>
    </row>
    <row r="603" spans="6:18" ht="14.25" customHeight="1" x14ac:dyDescent="0.25">
      <c r="F603" s="7"/>
      <c r="G603" s="7"/>
      <c r="H603" s="7"/>
      <c r="I603" s="7"/>
      <c r="J603" s="7"/>
      <c r="K603" s="7"/>
      <c r="L603" s="7"/>
      <c r="M603" s="7"/>
      <c r="N603" s="7"/>
      <c r="O603" s="7"/>
      <c r="P603" s="7"/>
      <c r="Q603" s="7"/>
      <c r="R603" s="7"/>
    </row>
    <row r="604" spans="6:18" ht="14.25" customHeight="1" x14ac:dyDescent="0.25">
      <c r="F604" s="7"/>
      <c r="G604" s="7"/>
      <c r="H604" s="7"/>
      <c r="I604" s="7"/>
      <c r="J604" s="7"/>
      <c r="K604" s="7"/>
      <c r="L604" s="7"/>
      <c r="M604" s="7"/>
      <c r="N604" s="7"/>
      <c r="O604" s="7"/>
      <c r="P604" s="7"/>
      <c r="Q604" s="7"/>
      <c r="R604" s="7"/>
    </row>
    <row r="605" spans="6:18" ht="14.25" customHeight="1" x14ac:dyDescent="0.25">
      <c r="F605" s="7"/>
      <c r="G605" s="7"/>
      <c r="H605" s="7"/>
      <c r="I605" s="7"/>
      <c r="J605" s="7"/>
      <c r="K605" s="7"/>
      <c r="L605" s="7"/>
      <c r="M605" s="7"/>
      <c r="N605" s="7"/>
      <c r="O605" s="7"/>
      <c r="P605" s="7"/>
      <c r="Q605" s="7"/>
      <c r="R605" s="7"/>
    </row>
    <row r="606" spans="6:18" ht="14.25" customHeight="1" x14ac:dyDescent="0.25">
      <c r="F606" s="7"/>
      <c r="G606" s="7"/>
      <c r="H606" s="7"/>
      <c r="I606" s="7"/>
      <c r="J606" s="7"/>
      <c r="K606" s="7"/>
      <c r="L606" s="7"/>
      <c r="M606" s="7"/>
      <c r="N606" s="7"/>
      <c r="O606" s="7"/>
      <c r="P606" s="7"/>
      <c r="Q606" s="7"/>
      <c r="R606" s="7"/>
    </row>
    <row r="607" spans="6:18" ht="14.25" customHeight="1" x14ac:dyDescent="0.25">
      <c r="F607" s="7"/>
      <c r="G607" s="7"/>
      <c r="H607" s="7"/>
      <c r="I607" s="7"/>
      <c r="J607" s="7"/>
      <c r="K607" s="7"/>
      <c r="L607" s="7"/>
      <c r="M607" s="7"/>
      <c r="N607" s="7"/>
      <c r="O607" s="7"/>
      <c r="P607" s="7"/>
      <c r="Q607" s="7"/>
      <c r="R607" s="7"/>
    </row>
    <row r="608" spans="6:18" ht="14.25" customHeight="1" x14ac:dyDescent="0.25">
      <c r="F608" s="7"/>
      <c r="G608" s="7"/>
      <c r="H608" s="7"/>
      <c r="I608" s="7"/>
      <c r="J608" s="7"/>
      <c r="K608" s="7"/>
      <c r="L608" s="7"/>
      <c r="M608" s="7"/>
      <c r="N608" s="7"/>
      <c r="O608" s="7"/>
      <c r="P608" s="7"/>
      <c r="Q608" s="7"/>
      <c r="R608" s="7"/>
    </row>
    <row r="609" spans="6:18" ht="14.25" customHeight="1" x14ac:dyDescent="0.25">
      <c r="F609" s="7"/>
      <c r="G609" s="7"/>
      <c r="H609" s="7"/>
      <c r="I609" s="7"/>
      <c r="J609" s="7"/>
      <c r="K609" s="7"/>
      <c r="L609" s="7"/>
      <c r="M609" s="7"/>
      <c r="N609" s="7"/>
      <c r="O609" s="7"/>
      <c r="P609" s="7"/>
      <c r="Q609" s="7"/>
      <c r="R609" s="7"/>
    </row>
    <row r="610" spans="6:18" ht="14.25" customHeight="1" x14ac:dyDescent="0.25">
      <c r="F610" s="7"/>
      <c r="G610" s="7"/>
      <c r="H610" s="7"/>
      <c r="I610" s="7"/>
      <c r="J610" s="7"/>
      <c r="K610" s="7"/>
      <c r="L610" s="7"/>
      <c r="M610" s="7"/>
      <c r="N610" s="7"/>
      <c r="O610" s="7"/>
      <c r="P610" s="7"/>
      <c r="Q610" s="7"/>
      <c r="R610" s="7"/>
    </row>
    <row r="611" spans="6:18" ht="14.25" customHeight="1" x14ac:dyDescent="0.25">
      <c r="F611" s="7"/>
      <c r="G611" s="7"/>
      <c r="H611" s="7"/>
      <c r="I611" s="7"/>
      <c r="J611" s="7"/>
      <c r="K611" s="7"/>
      <c r="L611" s="7"/>
      <c r="M611" s="7"/>
      <c r="N611" s="7"/>
      <c r="O611" s="7"/>
      <c r="P611" s="7"/>
      <c r="Q611" s="7"/>
      <c r="R611" s="7"/>
    </row>
    <row r="612" spans="6:18" ht="14.25" customHeight="1" x14ac:dyDescent="0.25">
      <c r="F612" s="7"/>
      <c r="G612" s="7"/>
      <c r="H612" s="7"/>
      <c r="I612" s="7"/>
      <c r="J612" s="7"/>
      <c r="K612" s="7"/>
      <c r="L612" s="7"/>
      <c r="M612" s="7"/>
      <c r="N612" s="7"/>
      <c r="O612" s="7"/>
      <c r="P612" s="7"/>
      <c r="Q612" s="7"/>
      <c r="R612" s="7"/>
    </row>
    <row r="613" spans="6:18" ht="14.25" customHeight="1" x14ac:dyDescent="0.25">
      <c r="F613" s="7"/>
      <c r="G613" s="7"/>
      <c r="H613" s="7"/>
      <c r="I613" s="7"/>
      <c r="J613" s="7"/>
      <c r="K613" s="7"/>
      <c r="L613" s="7"/>
      <c r="M613" s="7"/>
      <c r="N613" s="7"/>
      <c r="O613" s="7"/>
      <c r="P613" s="7"/>
      <c r="Q613" s="7"/>
      <c r="R613" s="7"/>
    </row>
    <row r="614" spans="6:18" ht="14.25" customHeight="1" x14ac:dyDescent="0.25">
      <c r="F614" s="7"/>
      <c r="G614" s="7"/>
      <c r="H614" s="7"/>
      <c r="I614" s="7"/>
      <c r="J614" s="7"/>
      <c r="K614" s="7"/>
      <c r="L614" s="7"/>
      <c r="M614" s="7"/>
      <c r="N614" s="7"/>
      <c r="O614" s="7"/>
      <c r="P614" s="7"/>
      <c r="Q614" s="7"/>
      <c r="R614" s="7"/>
    </row>
    <row r="615" spans="6:18" ht="14.25" customHeight="1" x14ac:dyDescent="0.25">
      <c r="F615" s="7"/>
      <c r="G615" s="7"/>
      <c r="H615" s="7"/>
      <c r="I615" s="7"/>
      <c r="J615" s="7"/>
      <c r="K615" s="7"/>
      <c r="L615" s="7"/>
      <c r="M615" s="7"/>
      <c r="N615" s="7"/>
      <c r="O615" s="7"/>
      <c r="P615" s="7"/>
      <c r="Q615" s="7"/>
      <c r="R615" s="7"/>
    </row>
    <row r="616" spans="6:18" ht="14.25" customHeight="1" x14ac:dyDescent="0.25">
      <c r="F616" s="7"/>
      <c r="G616" s="7"/>
      <c r="H616" s="7"/>
      <c r="I616" s="7"/>
      <c r="J616" s="7"/>
      <c r="K616" s="7"/>
      <c r="L616" s="7"/>
      <c r="M616" s="7"/>
      <c r="N616" s="7"/>
      <c r="O616" s="7"/>
      <c r="P616" s="7"/>
      <c r="Q616" s="7"/>
      <c r="R616" s="7"/>
    </row>
    <row r="617" spans="6:18" ht="14.25" customHeight="1" x14ac:dyDescent="0.25">
      <c r="F617" s="7"/>
      <c r="G617" s="7"/>
      <c r="H617" s="7"/>
      <c r="I617" s="7"/>
      <c r="J617" s="7"/>
      <c r="K617" s="7"/>
      <c r="L617" s="7"/>
      <c r="M617" s="7"/>
      <c r="N617" s="7"/>
      <c r="O617" s="7"/>
      <c r="P617" s="7"/>
      <c r="Q617" s="7"/>
      <c r="R617" s="7"/>
    </row>
    <row r="618" spans="6:18" ht="14.25" customHeight="1" x14ac:dyDescent="0.25">
      <c r="F618" s="7"/>
      <c r="G618" s="7"/>
      <c r="H618" s="7"/>
      <c r="I618" s="7"/>
      <c r="J618" s="7"/>
      <c r="K618" s="7"/>
      <c r="L618" s="7"/>
      <c r="M618" s="7"/>
      <c r="N618" s="7"/>
      <c r="O618" s="7"/>
      <c r="P618" s="7"/>
      <c r="Q618" s="7"/>
      <c r="R618" s="7"/>
    </row>
    <row r="619" spans="6:18" ht="14.25" customHeight="1" x14ac:dyDescent="0.25">
      <c r="F619" s="7"/>
      <c r="G619" s="7"/>
      <c r="H619" s="7"/>
      <c r="I619" s="7"/>
      <c r="J619" s="7"/>
      <c r="K619" s="7"/>
      <c r="L619" s="7"/>
      <c r="M619" s="7"/>
      <c r="N619" s="7"/>
      <c r="O619" s="7"/>
      <c r="P619" s="7"/>
      <c r="Q619" s="7"/>
      <c r="R619" s="7"/>
    </row>
    <row r="620" spans="6:18" ht="14.25" customHeight="1" x14ac:dyDescent="0.25">
      <c r="F620" s="7"/>
      <c r="G620" s="7"/>
      <c r="H620" s="7"/>
      <c r="I620" s="7"/>
      <c r="J620" s="7"/>
      <c r="K620" s="7"/>
      <c r="L620" s="7"/>
      <c r="M620" s="7"/>
      <c r="N620" s="7"/>
      <c r="O620" s="7"/>
      <c r="P620" s="7"/>
      <c r="Q620" s="7"/>
      <c r="R620" s="7"/>
    </row>
    <row r="621" spans="6:18" ht="14.25" customHeight="1" x14ac:dyDescent="0.25">
      <c r="F621" s="7"/>
      <c r="G621" s="7"/>
      <c r="H621" s="7"/>
      <c r="I621" s="7"/>
      <c r="J621" s="7"/>
      <c r="K621" s="7"/>
      <c r="L621" s="7"/>
      <c r="M621" s="7"/>
      <c r="N621" s="7"/>
      <c r="O621" s="7"/>
      <c r="P621" s="7"/>
      <c r="Q621" s="7"/>
      <c r="R621" s="7"/>
    </row>
    <row r="622" spans="6:18" ht="14.25" customHeight="1" x14ac:dyDescent="0.25">
      <c r="F622" s="7"/>
      <c r="G622" s="7"/>
      <c r="H622" s="7"/>
      <c r="I622" s="7"/>
      <c r="J622" s="7"/>
      <c r="K622" s="7"/>
      <c r="L622" s="7"/>
      <c r="M622" s="7"/>
      <c r="N622" s="7"/>
      <c r="O622" s="7"/>
      <c r="P622" s="7"/>
      <c r="Q622" s="7"/>
      <c r="R622" s="7"/>
    </row>
    <row r="623" spans="6:18" ht="14.25" customHeight="1" x14ac:dyDescent="0.25">
      <c r="F623" s="7"/>
      <c r="G623" s="7"/>
      <c r="H623" s="7"/>
      <c r="I623" s="7"/>
      <c r="J623" s="7"/>
      <c r="K623" s="7"/>
      <c r="L623" s="7"/>
      <c r="M623" s="7"/>
      <c r="N623" s="7"/>
      <c r="O623" s="7"/>
      <c r="P623" s="7"/>
      <c r="Q623" s="7"/>
      <c r="R623" s="7"/>
    </row>
    <row r="624" spans="6:18" ht="14.25" customHeight="1" x14ac:dyDescent="0.25">
      <c r="F624" s="7"/>
      <c r="G624" s="7"/>
      <c r="H624" s="7"/>
      <c r="I624" s="7"/>
      <c r="J624" s="7"/>
      <c r="K624" s="7"/>
      <c r="L624" s="7"/>
      <c r="M624" s="7"/>
      <c r="N624" s="7"/>
      <c r="O624" s="7"/>
      <c r="P624" s="7"/>
      <c r="Q624" s="7"/>
      <c r="R624" s="7"/>
    </row>
    <row r="625" spans="6:18" ht="14.25" customHeight="1" x14ac:dyDescent="0.25">
      <c r="F625" s="7"/>
      <c r="G625" s="7"/>
      <c r="H625" s="7"/>
      <c r="I625" s="7"/>
      <c r="J625" s="7"/>
      <c r="K625" s="7"/>
      <c r="L625" s="7"/>
      <c r="M625" s="7"/>
      <c r="N625" s="7"/>
      <c r="O625" s="7"/>
      <c r="P625" s="7"/>
      <c r="Q625" s="7"/>
      <c r="R625" s="7"/>
    </row>
    <row r="626" spans="6:18" ht="14.25" customHeight="1" x14ac:dyDescent="0.25">
      <c r="F626" s="7"/>
      <c r="G626" s="7"/>
      <c r="H626" s="7"/>
      <c r="I626" s="7"/>
      <c r="J626" s="7"/>
      <c r="K626" s="7"/>
      <c r="L626" s="7"/>
      <c r="M626" s="7"/>
      <c r="N626" s="7"/>
      <c r="O626" s="7"/>
      <c r="P626" s="7"/>
      <c r="Q626" s="7"/>
      <c r="R626" s="7"/>
    </row>
    <row r="627" spans="6:18" ht="14.25" customHeight="1" x14ac:dyDescent="0.25">
      <c r="F627" s="7"/>
      <c r="G627" s="7"/>
      <c r="H627" s="7"/>
      <c r="I627" s="7"/>
      <c r="J627" s="7"/>
      <c r="K627" s="7"/>
      <c r="L627" s="7"/>
      <c r="M627" s="7"/>
      <c r="N627" s="7"/>
      <c r="O627" s="7"/>
      <c r="P627" s="7"/>
      <c r="Q627" s="7"/>
      <c r="R627" s="7"/>
    </row>
    <row r="628" spans="6:18" ht="14.25" customHeight="1" x14ac:dyDescent="0.25">
      <c r="F628" s="7"/>
      <c r="G628" s="7"/>
      <c r="H628" s="7"/>
      <c r="I628" s="7"/>
      <c r="J628" s="7"/>
      <c r="K628" s="7"/>
      <c r="L628" s="7"/>
      <c r="M628" s="7"/>
      <c r="N628" s="7"/>
      <c r="O628" s="7"/>
      <c r="P628" s="7"/>
      <c r="Q628" s="7"/>
      <c r="R628" s="7"/>
    </row>
    <row r="629" spans="6:18" ht="14.25" customHeight="1" x14ac:dyDescent="0.25">
      <c r="F629" s="7"/>
      <c r="G629" s="7"/>
      <c r="H629" s="7"/>
      <c r="I629" s="7"/>
      <c r="J629" s="7"/>
      <c r="K629" s="7"/>
      <c r="L629" s="7"/>
      <c r="M629" s="7"/>
      <c r="N629" s="7"/>
      <c r="O629" s="7"/>
      <c r="P629" s="7"/>
      <c r="Q629" s="7"/>
      <c r="R629" s="7"/>
    </row>
    <row r="630" spans="6:18" ht="14.25" customHeight="1" x14ac:dyDescent="0.25">
      <c r="F630" s="7"/>
      <c r="G630" s="7"/>
      <c r="H630" s="7"/>
      <c r="I630" s="7"/>
      <c r="J630" s="7"/>
      <c r="K630" s="7"/>
      <c r="L630" s="7"/>
      <c r="M630" s="7"/>
      <c r="N630" s="7"/>
      <c r="O630" s="7"/>
      <c r="P630" s="7"/>
      <c r="Q630" s="7"/>
      <c r="R630" s="7"/>
    </row>
    <row r="631" spans="6:18" ht="14.25" customHeight="1" x14ac:dyDescent="0.25">
      <c r="F631" s="7"/>
      <c r="G631" s="7"/>
      <c r="H631" s="7"/>
      <c r="I631" s="7"/>
      <c r="J631" s="7"/>
      <c r="K631" s="7"/>
      <c r="L631" s="7"/>
      <c r="M631" s="7"/>
      <c r="N631" s="7"/>
      <c r="O631" s="7"/>
      <c r="P631" s="7"/>
      <c r="Q631" s="7"/>
      <c r="R631" s="7"/>
    </row>
    <row r="632" spans="6:18" ht="14.25" customHeight="1" x14ac:dyDescent="0.25">
      <c r="F632" s="7"/>
      <c r="G632" s="7"/>
      <c r="H632" s="7"/>
      <c r="I632" s="7"/>
      <c r="J632" s="7"/>
      <c r="K632" s="7"/>
      <c r="L632" s="7"/>
      <c r="M632" s="7"/>
      <c r="N632" s="7"/>
      <c r="O632" s="7"/>
      <c r="P632" s="7"/>
      <c r="Q632" s="7"/>
      <c r="R632" s="7"/>
    </row>
    <row r="633" spans="6:18" ht="14.25" customHeight="1" x14ac:dyDescent="0.25">
      <c r="F633" s="7"/>
      <c r="G633" s="7"/>
      <c r="H633" s="7"/>
      <c r="I633" s="7"/>
      <c r="J633" s="7"/>
      <c r="K633" s="7"/>
      <c r="L633" s="7"/>
      <c r="M633" s="7"/>
      <c r="N633" s="7"/>
      <c r="O633" s="7"/>
      <c r="P633" s="7"/>
      <c r="Q633" s="7"/>
      <c r="R633" s="7"/>
    </row>
    <row r="634" spans="6:18" ht="14.25" customHeight="1" x14ac:dyDescent="0.25">
      <c r="F634" s="7"/>
      <c r="G634" s="7"/>
      <c r="H634" s="7"/>
      <c r="I634" s="7"/>
      <c r="J634" s="7"/>
      <c r="K634" s="7"/>
      <c r="L634" s="7"/>
      <c r="M634" s="7"/>
      <c r="N634" s="7"/>
      <c r="O634" s="7"/>
      <c r="P634" s="7"/>
      <c r="Q634" s="7"/>
      <c r="R634" s="7"/>
    </row>
    <row r="635" spans="6:18" ht="14.25" customHeight="1" x14ac:dyDescent="0.25">
      <c r="F635" s="7"/>
      <c r="G635" s="7"/>
      <c r="H635" s="7"/>
      <c r="I635" s="7"/>
      <c r="J635" s="7"/>
      <c r="K635" s="7"/>
      <c r="L635" s="7"/>
      <c r="M635" s="7"/>
      <c r="N635" s="7"/>
      <c r="O635" s="7"/>
      <c r="P635" s="7"/>
      <c r="Q635" s="7"/>
      <c r="R635" s="7"/>
    </row>
    <row r="636" spans="6:18" ht="14.25" customHeight="1" x14ac:dyDescent="0.25">
      <c r="F636" s="7"/>
      <c r="G636" s="7"/>
      <c r="H636" s="7"/>
      <c r="I636" s="7"/>
      <c r="J636" s="7"/>
      <c r="K636" s="7"/>
      <c r="L636" s="7"/>
      <c r="M636" s="7"/>
      <c r="N636" s="7"/>
      <c r="O636" s="7"/>
      <c r="P636" s="7"/>
      <c r="Q636" s="7"/>
      <c r="R636" s="7"/>
    </row>
    <row r="637" spans="6:18" ht="14.25" customHeight="1" x14ac:dyDescent="0.25">
      <c r="F637" s="7"/>
      <c r="G637" s="7"/>
      <c r="H637" s="7"/>
      <c r="I637" s="7"/>
      <c r="J637" s="7"/>
      <c r="K637" s="7"/>
      <c r="L637" s="7"/>
      <c r="M637" s="7"/>
      <c r="N637" s="7"/>
      <c r="O637" s="7"/>
      <c r="P637" s="7"/>
      <c r="Q637" s="7"/>
      <c r="R637" s="7"/>
    </row>
    <row r="638" spans="6:18" ht="14.25" customHeight="1" x14ac:dyDescent="0.25">
      <c r="F638" s="7"/>
      <c r="G638" s="7"/>
      <c r="H638" s="7"/>
      <c r="I638" s="7"/>
      <c r="J638" s="7"/>
      <c r="K638" s="7"/>
      <c r="L638" s="7"/>
      <c r="M638" s="7"/>
      <c r="N638" s="7"/>
      <c r="O638" s="7"/>
      <c r="P638" s="7"/>
      <c r="Q638" s="7"/>
      <c r="R638" s="7"/>
    </row>
    <row r="639" spans="6:18" ht="14.25" customHeight="1" x14ac:dyDescent="0.25">
      <c r="F639" s="7"/>
      <c r="G639" s="7"/>
      <c r="H639" s="7"/>
      <c r="I639" s="7"/>
      <c r="J639" s="7"/>
      <c r="K639" s="7"/>
      <c r="L639" s="7"/>
      <c r="M639" s="7"/>
      <c r="N639" s="7"/>
      <c r="O639" s="7"/>
      <c r="P639" s="7"/>
      <c r="Q639" s="7"/>
      <c r="R639" s="7"/>
    </row>
    <row r="640" spans="6:18" ht="14.25" customHeight="1" x14ac:dyDescent="0.25">
      <c r="F640" s="7"/>
      <c r="G640" s="7"/>
      <c r="H640" s="7"/>
      <c r="I640" s="7"/>
      <c r="J640" s="7"/>
      <c r="K640" s="7"/>
      <c r="L640" s="7"/>
      <c r="M640" s="7"/>
      <c r="N640" s="7"/>
      <c r="O640" s="7"/>
      <c r="P640" s="7"/>
      <c r="Q640" s="7"/>
      <c r="R640" s="7"/>
    </row>
    <row r="641" spans="6:18" ht="14.25" customHeight="1" x14ac:dyDescent="0.25">
      <c r="F641" s="7"/>
      <c r="G641" s="7"/>
      <c r="H641" s="7"/>
      <c r="I641" s="7"/>
      <c r="J641" s="7"/>
      <c r="K641" s="7"/>
      <c r="L641" s="7"/>
      <c r="M641" s="7"/>
      <c r="N641" s="7"/>
      <c r="O641" s="7"/>
      <c r="P641" s="7"/>
      <c r="Q641" s="7"/>
      <c r="R641" s="7"/>
    </row>
    <row r="642" spans="6:18" ht="14.25" customHeight="1" x14ac:dyDescent="0.25">
      <c r="F642" s="7"/>
      <c r="G642" s="7"/>
      <c r="H642" s="7"/>
      <c r="I642" s="7"/>
      <c r="J642" s="7"/>
      <c r="K642" s="7"/>
      <c r="L642" s="7"/>
      <c r="M642" s="7"/>
      <c r="N642" s="7"/>
      <c r="O642" s="7"/>
      <c r="P642" s="7"/>
      <c r="Q642" s="7"/>
      <c r="R642" s="7"/>
    </row>
    <row r="643" spans="6:18" ht="14.25" customHeight="1" x14ac:dyDescent="0.25">
      <c r="F643" s="7"/>
      <c r="G643" s="7"/>
      <c r="H643" s="7"/>
      <c r="I643" s="7"/>
      <c r="J643" s="7"/>
      <c r="K643" s="7"/>
      <c r="L643" s="7"/>
      <c r="M643" s="7"/>
      <c r="N643" s="7"/>
      <c r="O643" s="7"/>
      <c r="P643" s="7"/>
      <c r="Q643" s="7"/>
      <c r="R643" s="7"/>
    </row>
    <row r="644" spans="6:18" ht="14.25" customHeight="1" x14ac:dyDescent="0.25">
      <c r="F644" s="7"/>
      <c r="G644" s="7"/>
      <c r="H644" s="7"/>
      <c r="I644" s="7"/>
      <c r="J644" s="7"/>
      <c r="K644" s="7"/>
      <c r="L644" s="7"/>
      <c r="M644" s="7"/>
      <c r="N644" s="7"/>
      <c r="O644" s="7"/>
      <c r="P644" s="7"/>
      <c r="Q644" s="7"/>
      <c r="R644" s="7"/>
    </row>
    <row r="645" spans="6:18" ht="14.25" customHeight="1" x14ac:dyDescent="0.25">
      <c r="F645" s="7"/>
      <c r="G645" s="7"/>
      <c r="H645" s="7"/>
      <c r="I645" s="7"/>
      <c r="J645" s="7"/>
      <c r="K645" s="7"/>
      <c r="L645" s="7"/>
      <c r="M645" s="7"/>
      <c r="N645" s="7"/>
      <c r="O645" s="7"/>
      <c r="P645" s="7"/>
      <c r="Q645" s="7"/>
      <c r="R645" s="7"/>
    </row>
    <row r="646" spans="6:18" ht="14.25" customHeight="1" x14ac:dyDescent="0.25">
      <c r="F646" s="7"/>
      <c r="G646" s="7"/>
      <c r="H646" s="7"/>
      <c r="I646" s="7"/>
      <c r="J646" s="7"/>
      <c r="K646" s="7"/>
      <c r="L646" s="7"/>
      <c r="M646" s="7"/>
      <c r="N646" s="7"/>
      <c r="O646" s="7"/>
      <c r="P646" s="7"/>
      <c r="Q646" s="7"/>
      <c r="R646" s="7"/>
    </row>
    <row r="647" spans="6:18" ht="14.25" customHeight="1" x14ac:dyDescent="0.25">
      <c r="F647" s="7"/>
      <c r="G647" s="7"/>
      <c r="H647" s="7"/>
      <c r="I647" s="7"/>
      <c r="J647" s="7"/>
      <c r="K647" s="7"/>
      <c r="L647" s="7"/>
      <c r="M647" s="7"/>
      <c r="N647" s="7"/>
      <c r="O647" s="7"/>
      <c r="P647" s="7"/>
      <c r="Q647" s="7"/>
      <c r="R647" s="7"/>
    </row>
    <row r="648" spans="6:18" ht="14.25" customHeight="1" x14ac:dyDescent="0.25">
      <c r="F648" s="7"/>
      <c r="G648" s="7"/>
      <c r="H648" s="7"/>
      <c r="I648" s="7"/>
      <c r="J648" s="7"/>
      <c r="K648" s="7"/>
      <c r="L648" s="7"/>
      <c r="M648" s="7"/>
      <c r="N648" s="7"/>
      <c r="O648" s="7"/>
      <c r="P648" s="7"/>
      <c r="Q648" s="7"/>
      <c r="R648" s="7"/>
    </row>
    <row r="649" spans="6:18" ht="14.25" customHeight="1" x14ac:dyDescent="0.25">
      <c r="F649" s="7"/>
      <c r="G649" s="7"/>
      <c r="H649" s="7"/>
      <c r="I649" s="7"/>
      <c r="J649" s="7"/>
      <c r="K649" s="7"/>
      <c r="L649" s="7"/>
      <c r="M649" s="7"/>
      <c r="N649" s="7"/>
      <c r="O649" s="7"/>
      <c r="P649" s="7"/>
      <c r="Q649" s="7"/>
      <c r="R649" s="7"/>
    </row>
    <row r="650" spans="6:18" ht="14.25" customHeight="1" x14ac:dyDescent="0.25">
      <c r="F650" s="7"/>
      <c r="G650" s="7"/>
      <c r="H650" s="7"/>
      <c r="I650" s="7"/>
      <c r="J650" s="7"/>
      <c r="K650" s="7"/>
      <c r="L650" s="7"/>
      <c r="M650" s="7"/>
      <c r="N650" s="7"/>
      <c r="O650" s="7"/>
      <c r="P650" s="7"/>
      <c r="Q650" s="7"/>
      <c r="R650" s="7"/>
    </row>
    <row r="651" spans="6:18" ht="14.25" customHeight="1" x14ac:dyDescent="0.25">
      <c r="F651" s="7"/>
      <c r="G651" s="7"/>
      <c r="H651" s="7"/>
      <c r="I651" s="7"/>
      <c r="J651" s="7"/>
      <c r="K651" s="7"/>
      <c r="L651" s="7"/>
      <c r="M651" s="7"/>
      <c r="N651" s="7"/>
      <c r="O651" s="7"/>
      <c r="P651" s="7"/>
      <c r="Q651" s="7"/>
      <c r="R651" s="7"/>
    </row>
    <row r="652" spans="6:18" ht="14.25" customHeight="1" x14ac:dyDescent="0.25">
      <c r="F652" s="7"/>
      <c r="G652" s="7"/>
      <c r="H652" s="7"/>
      <c r="I652" s="7"/>
      <c r="J652" s="7"/>
      <c r="K652" s="7"/>
      <c r="L652" s="7"/>
      <c r="M652" s="7"/>
      <c r="N652" s="7"/>
      <c r="O652" s="7"/>
      <c r="P652" s="7"/>
      <c r="Q652" s="7"/>
      <c r="R652" s="7"/>
    </row>
    <row r="653" spans="6:18" ht="14.25" customHeight="1" x14ac:dyDescent="0.25">
      <c r="F653" s="7"/>
      <c r="G653" s="7"/>
      <c r="H653" s="7"/>
      <c r="I653" s="7"/>
      <c r="J653" s="7"/>
      <c r="K653" s="7"/>
      <c r="L653" s="7"/>
      <c r="M653" s="7"/>
      <c r="N653" s="7"/>
      <c r="O653" s="7"/>
      <c r="P653" s="7"/>
      <c r="Q653" s="7"/>
      <c r="R653" s="7"/>
    </row>
    <row r="654" spans="6:18" ht="14.25" customHeight="1" x14ac:dyDescent="0.25">
      <c r="F654" s="7"/>
      <c r="G654" s="7"/>
      <c r="H654" s="7"/>
      <c r="I654" s="7"/>
      <c r="J654" s="7"/>
      <c r="K654" s="7"/>
      <c r="L654" s="7"/>
      <c r="M654" s="7"/>
      <c r="N654" s="7"/>
      <c r="O654" s="7"/>
      <c r="P654" s="7"/>
      <c r="Q654" s="7"/>
      <c r="R654" s="7"/>
    </row>
    <row r="655" spans="6:18" ht="14.25" customHeight="1" x14ac:dyDescent="0.25">
      <c r="F655" s="7"/>
      <c r="G655" s="7"/>
      <c r="H655" s="7"/>
      <c r="I655" s="7"/>
      <c r="J655" s="7"/>
      <c r="K655" s="7"/>
      <c r="L655" s="7"/>
      <c r="M655" s="7"/>
      <c r="N655" s="7"/>
      <c r="O655" s="7"/>
      <c r="P655" s="7"/>
      <c r="Q655" s="7"/>
      <c r="R655" s="7"/>
    </row>
    <row r="656" spans="6:18" ht="14.25" customHeight="1" x14ac:dyDescent="0.25">
      <c r="F656" s="7"/>
      <c r="G656" s="7"/>
      <c r="H656" s="7"/>
      <c r="I656" s="7"/>
      <c r="J656" s="7"/>
      <c r="K656" s="7"/>
      <c r="L656" s="7"/>
      <c r="M656" s="7"/>
      <c r="N656" s="7"/>
      <c r="O656" s="7"/>
      <c r="P656" s="7"/>
      <c r="Q656" s="7"/>
      <c r="R656" s="7"/>
    </row>
    <row r="657" spans="6:18" ht="14.25" customHeight="1" x14ac:dyDescent="0.25">
      <c r="F657" s="7"/>
      <c r="G657" s="7"/>
      <c r="H657" s="7"/>
      <c r="I657" s="7"/>
      <c r="J657" s="7"/>
      <c r="K657" s="7"/>
      <c r="L657" s="7"/>
      <c r="M657" s="7"/>
      <c r="N657" s="7"/>
      <c r="O657" s="7"/>
      <c r="P657" s="7"/>
      <c r="Q657" s="7"/>
      <c r="R657" s="7"/>
    </row>
    <row r="658" spans="6:18" ht="14.25" customHeight="1" x14ac:dyDescent="0.25">
      <c r="F658" s="7"/>
      <c r="G658" s="7"/>
      <c r="H658" s="7"/>
      <c r="I658" s="7"/>
      <c r="J658" s="7"/>
      <c r="K658" s="7"/>
      <c r="L658" s="7"/>
      <c r="M658" s="7"/>
      <c r="N658" s="7"/>
      <c r="O658" s="7"/>
      <c r="P658" s="7"/>
      <c r="Q658" s="7"/>
      <c r="R658" s="7"/>
    </row>
    <row r="659" spans="6:18" ht="14.25" customHeight="1" x14ac:dyDescent="0.25">
      <c r="F659" s="7"/>
      <c r="G659" s="7"/>
      <c r="H659" s="7"/>
      <c r="I659" s="7"/>
      <c r="J659" s="7"/>
      <c r="K659" s="7"/>
      <c r="L659" s="7"/>
      <c r="M659" s="7"/>
      <c r="N659" s="7"/>
      <c r="O659" s="7"/>
      <c r="P659" s="7"/>
      <c r="Q659" s="7"/>
      <c r="R659" s="7"/>
    </row>
    <row r="660" spans="6:18" ht="14.25" customHeight="1" x14ac:dyDescent="0.25">
      <c r="F660" s="7"/>
      <c r="G660" s="7"/>
      <c r="H660" s="7"/>
      <c r="I660" s="7"/>
      <c r="J660" s="7"/>
      <c r="K660" s="7"/>
      <c r="L660" s="7"/>
      <c r="M660" s="7"/>
      <c r="N660" s="7"/>
      <c r="O660" s="7"/>
      <c r="P660" s="7"/>
      <c r="Q660" s="7"/>
      <c r="R660" s="7"/>
    </row>
    <row r="661" spans="6:18" ht="14.25" customHeight="1" x14ac:dyDescent="0.25">
      <c r="F661" s="7"/>
      <c r="G661" s="7"/>
      <c r="H661" s="7"/>
      <c r="I661" s="7"/>
      <c r="J661" s="7"/>
      <c r="K661" s="7"/>
      <c r="L661" s="7"/>
      <c r="M661" s="7"/>
      <c r="N661" s="7"/>
      <c r="O661" s="7"/>
      <c r="P661" s="7"/>
      <c r="Q661" s="7"/>
      <c r="R661" s="7"/>
    </row>
    <row r="662" spans="6:18" ht="14.25" customHeight="1" x14ac:dyDescent="0.25">
      <c r="F662" s="7"/>
      <c r="G662" s="7"/>
      <c r="H662" s="7"/>
      <c r="I662" s="7"/>
      <c r="J662" s="7"/>
      <c r="K662" s="7"/>
      <c r="L662" s="7"/>
      <c r="M662" s="7"/>
      <c r="N662" s="7"/>
      <c r="O662" s="7"/>
      <c r="P662" s="7"/>
      <c r="Q662" s="7"/>
      <c r="R662" s="7"/>
    </row>
    <row r="663" spans="6:18" ht="14.25" customHeight="1" x14ac:dyDescent="0.25">
      <c r="F663" s="7"/>
      <c r="G663" s="7"/>
      <c r="H663" s="7"/>
      <c r="I663" s="7"/>
      <c r="J663" s="7"/>
      <c r="K663" s="7"/>
      <c r="L663" s="7"/>
      <c r="M663" s="7"/>
      <c r="N663" s="7"/>
      <c r="O663" s="7"/>
      <c r="P663" s="7"/>
      <c r="Q663" s="7"/>
      <c r="R663" s="7"/>
    </row>
    <row r="664" spans="6:18" ht="14.25" customHeight="1" x14ac:dyDescent="0.25">
      <c r="F664" s="7"/>
      <c r="G664" s="7"/>
      <c r="H664" s="7"/>
      <c r="I664" s="7"/>
      <c r="J664" s="7"/>
      <c r="K664" s="7"/>
      <c r="L664" s="7"/>
      <c r="M664" s="7"/>
      <c r="N664" s="7"/>
      <c r="O664" s="7"/>
      <c r="P664" s="7"/>
      <c r="Q664" s="7"/>
      <c r="R664" s="7"/>
    </row>
    <row r="665" spans="6:18" ht="14.25" customHeight="1" x14ac:dyDescent="0.25">
      <c r="F665" s="7"/>
      <c r="G665" s="7"/>
      <c r="H665" s="7"/>
      <c r="I665" s="7"/>
      <c r="J665" s="7"/>
      <c r="K665" s="7"/>
      <c r="L665" s="7"/>
      <c r="M665" s="7"/>
      <c r="N665" s="7"/>
      <c r="O665" s="7"/>
      <c r="P665" s="7"/>
      <c r="Q665" s="7"/>
      <c r="R665" s="7"/>
    </row>
    <row r="666" spans="6:18" ht="14.25" customHeight="1" x14ac:dyDescent="0.25">
      <c r="F666" s="7"/>
      <c r="G666" s="7"/>
      <c r="H666" s="7"/>
      <c r="I666" s="7"/>
      <c r="J666" s="7"/>
      <c r="K666" s="7"/>
      <c r="L666" s="7"/>
      <c r="M666" s="7"/>
      <c r="N666" s="7"/>
      <c r="O666" s="7"/>
      <c r="P666" s="7"/>
      <c r="Q666" s="7"/>
      <c r="R666" s="7"/>
    </row>
    <row r="667" spans="6:18" ht="14.25" customHeight="1" x14ac:dyDescent="0.25">
      <c r="F667" s="7"/>
      <c r="G667" s="7"/>
      <c r="H667" s="7"/>
      <c r="I667" s="7"/>
      <c r="J667" s="7"/>
      <c r="K667" s="7"/>
      <c r="L667" s="7"/>
      <c r="M667" s="7"/>
      <c r="N667" s="7"/>
      <c r="O667" s="7"/>
      <c r="P667" s="7"/>
      <c r="Q667" s="7"/>
      <c r="R667" s="7"/>
    </row>
    <row r="668" spans="6:18" ht="14.25" customHeight="1" x14ac:dyDescent="0.25">
      <c r="F668" s="7"/>
      <c r="G668" s="7"/>
      <c r="H668" s="7"/>
      <c r="I668" s="7"/>
      <c r="J668" s="7"/>
      <c r="K668" s="7"/>
      <c r="L668" s="7"/>
      <c r="M668" s="7"/>
      <c r="N668" s="7"/>
      <c r="O668" s="7"/>
      <c r="P668" s="7"/>
      <c r="Q668" s="7"/>
      <c r="R668" s="7"/>
    </row>
    <row r="669" spans="6:18" ht="14.25" customHeight="1" x14ac:dyDescent="0.25">
      <c r="F669" s="7"/>
      <c r="G669" s="7"/>
      <c r="H669" s="7"/>
      <c r="I669" s="7"/>
      <c r="J669" s="7"/>
      <c r="K669" s="7"/>
      <c r="L669" s="7"/>
      <c r="M669" s="7"/>
      <c r="N669" s="7"/>
      <c r="O669" s="7"/>
      <c r="P669" s="7"/>
      <c r="Q669" s="7"/>
      <c r="R669" s="7"/>
    </row>
    <row r="670" spans="6:18" ht="14.25" customHeight="1" x14ac:dyDescent="0.25">
      <c r="F670" s="7"/>
      <c r="G670" s="7"/>
      <c r="H670" s="7"/>
      <c r="I670" s="7"/>
      <c r="J670" s="7"/>
      <c r="K670" s="7"/>
      <c r="L670" s="7"/>
      <c r="M670" s="7"/>
      <c r="N670" s="7"/>
      <c r="O670" s="7"/>
      <c r="P670" s="7"/>
      <c r="Q670" s="7"/>
      <c r="R670" s="7"/>
    </row>
    <row r="671" spans="6:18" ht="14.25" customHeight="1" x14ac:dyDescent="0.25">
      <c r="F671" s="7"/>
      <c r="G671" s="7"/>
      <c r="H671" s="7"/>
      <c r="I671" s="7"/>
      <c r="J671" s="7"/>
      <c r="K671" s="7"/>
      <c r="L671" s="7"/>
      <c r="M671" s="7"/>
      <c r="N671" s="7"/>
      <c r="O671" s="7"/>
      <c r="P671" s="7"/>
      <c r="Q671" s="7"/>
      <c r="R671" s="7"/>
    </row>
    <row r="672" spans="6:18" ht="14.25" customHeight="1" x14ac:dyDescent="0.25">
      <c r="F672" s="7"/>
      <c r="G672" s="7"/>
      <c r="H672" s="7"/>
      <c r="I672" s="7"/>
      <c r="J672" s="7"/>
      <c r="K672" s="7"/>
      <c r="L672" s="7"/>
      <c r="M672" s="7"/>
      <c r="N672" s="7"/>
      <c r="O672" s="7"/>
      <c r="P672" s="7"/>
      <c r="Q672" s="7"/>
      <c r="R672" s="7"/>
    </row>
    <row r="673" spans="6:18" ht="14.25" customHeight="1" x14ac:dyDescent="0.25">
      <c r="F673" s="7"/>
      <c r="G673" s="7"/>
      <c r="H673" s="7"/>
      <c r="I673" s="7"/>
      <c r="J673" s="7"/>
      <c r="K673" s="7"/>
      <c r="L673" s="7"/>
      <c r="M673" s="7"/>
      <c r="N673" s="7"/>
      <c r="O673" s="7"/>
      <c r="P673" s="7"/>
      <c r="Q673" s="7"/>
      <c r="R673" s="7"/>
    </row>
    <row r="674" spans="6:18" ht="14.25" customHeight="1" x14ac:dyDescent="0.25">
      <c r="F674" s="7"/>
      <c r="G674" s="7"/>
      <c r="H674" s="7"/>
      <c r="I674" s="7"/>
      <c r="J674" s="7"/>
      <c r="K674" s="7"/>
      <c r="L674" s="7"/>
      <c r="M674" s="7"/>
      <c r="N674" s="7"/>
      <c r="O674" s="7"/>
      <c r="P674" s="7"/>
      <c r="Q674" s="7"/>
      <c r="R674" s="7"/>
    </row>
    <row r="675" spans="6:18" ht="14.25" customHeight="1" x14ac:dyDescent="0.25">
      <c r="F675" s="7"/>
      <c r="G675" s="7"/>
      <c r="H675" s="7"/>
      <c r="I675" s="7"/>
      <c r="J675" s="7"/>
      <c r="K675" s="7"/>
      <c r="L675" s="7"/>
      <c r="M675" s="7"/>
      <c r="N675" s="7"/>
      <c r="O675" s="7"/>
      <c r="P675" s="7"/>
      <c r="Q675" s="7"/>
      <c r="R675" s="7"/>
    </row>
    <row r="676" spans="6:18" ht="14.25" customHeight="1" x14ac:dyDescent="0.25">
      <c r="F676" s="7"/>
      <c r="G676" s="7"/>
      <c r="H676" s="7"/>
      <c r="I676" s="7"/>
      <c r="J676" s="7"/>
      <c r="K676" s="7"/>
      <c r="L676" s="7"/>
      <c r="M676" s="7"/>
      <c r="N676" s="7"/>
      <c r="O676" s="7"/>
      <c r="P676" s="7"/>
      <c r="Q676" s="7"/>
      <c r="R676" s="7"/>
    </row>
    <row r="677" spans="6:18" ht="14.25" customHeight="1" x14ac:dyDescent="0.25">
      <c r="F677" s="7"/>
      <c r="G677" s="7"/>
      <c r="H677" s="7"/>
      <c r="I677" s="7"/>
      <c r="J677" s="7"/>
      <c r="K677" s="7"/>
      <c r="L677" s="7"/>
      <c r="M677" s="7"/>
      <c r="N677" s="7"/>
      <c r="O677" s="7"/>
      <c r="P677" s="7"/>
      <c r="Q677" s="7"/>
      <c r="R677" s="7"/>
    </row>
    <row r="678" spans="6:18" ht="14.25" customHeight="1" x14ac:dyDescent="0.25">
      <c r="F678" s="7"/>
      <c r="G678" s="7"/>
      <c r="H678" s="7"/>
      <c r="I678" s="7"/>
      <c r="J678" s="7"/>
      <c r="K678" s="7"/>
      <c r="L678" s="7"/>
      <c r="M678" s="7"/>
      <c r="N678" s="7"/>
      <c r="O678" s="7"/>
      <c r="P678" s="7"/>
      <c r="Q678" s="7"/>
      <c r="R678" s="7"/>
    </row>
    <row r="679" spans="6:18" ht="14.25" customHeight="1" x14ac:dyDescent="0.25">
      <c r="F679" s="7"/>
      <c r="G679" s="7"/>
      <c r="H679" s="7"/>
      <c r="I679" s="7"/>
      <c r="J679" s="7"/>
      <c r="K679" s="7"/>
      <c r="L679" s="7"/>
      <c r="M679" s="7"/>
      <c r="N679" s="7"/>
      <c r="O679" s="7"/>
      <c r="P679" s="7"/>
      <c r="Q679" s="7"/>
      <c r="R679" s="7"/>
    </row>
    <row r="680" spans="6:18" ht="14.25" customHeight="1" x14ac:dyDescent="0.25">
      <c r="F680" s="7"/>
      <c r="G680" s="7"/>
      <c r="H680" s="7"/>
      <c r="I680" s="7"/>
      <c r="J680" s="7"/>
      <c r="K680" s="7"/>
      <c r="L680" s="7"/>
      <c r="M680" s="7"/>
      <c r="N680" s="7"/>
      <c r="O680" s="7"/>
      <c r="P680" s="7"/>
      <c r="Q680" s="7"/>
      <c r="R680" s="7"/>
    </row>
    <row r="681" spans="6:18" ht="14.25" customHeight="1" x14ac:dyDescent="0.25">
      <c r="F681" s="7"/>
      <c r="G681" s="7"/>
      <c r="H681" s="7"/>
      <c r="I681" s="7"/>
      <c r="J681" s="7"/>
      <c r="K681" s="7"/>
      <c r="L681" s="7"/>
      <c r="M681" s="7"/>
      <c r="N681" s="7"/>
      <c r="O681" s="7"/>
      <c r="P681" s="7"/>
      <c r="Q681" s="7"/>
      <c r="R681" s="7"/>
    </row>
    <row r="682" spans="6:18" ht="14.25" customHeight="1" x14ac:dyDescent="0.25">
      <c r="F682" s="7"/>
      <c r="G682" s="7"/>
      <c r="H682" s="7"/>
      <c r="I682" s="7"/>
      <c r="J682" s="7"/>
      <c r="K682" s="7"/>
      <c r="L682" s="7"/>
      <c r="M682" s="7"/>
      <c r="N682" s="7"/>
      <c r="O682" s="7"/>
      <c r="P682" s="7"/>
      <c r="Q682" s="7"/>
      <c r="R682" s="7"/>
    </row>
    <row r="683" spans="6:18" ht="14.25" customHeight="1" x14ac:dyDescent="0.25">
      <c r="F683" s="7"/>
      <c r="G683" s="7"/>
      <c r="H683" s="7"/>
      <c r="I683" s="7"/>
      <c r="J683" s="7"/>
      <c r="K683" s="7"/>
      <c r="L683" s="7"/>
      <c r="M683" s="7"/>
      <c r="N683" s="7"/>
      <c r="O683" s="7"/>
      <c r="P683" s="7"/>
      <c r="Q683" s="7"/>
      <c r="R683" s="7"/>
    </row>
    <row r="684" spans="6:18" ht="14.25" customHeight="1" x14ac:dyDescent="0.25">
      <c r="F684" s="7"/>
      <c r="G684" s="7"/>
      <c r="H684" s="7"/>
      <c r="I684" s="7"/>
      <c r="J684" s="7"/>
      <c r="K684" s="7"/>
      <c r="L684" s="7"/>
      <c r="M684" s="7"/>
      <c r="N684" s="7"/>
      <c r="O684" s="7"/>
      <c r="P684" s="7"/>
      <c r="Q684" s="7"/>
      <c r="R684" s="7"/>
    </row>
    <row r="685" spans="6:18" ht="14.25" customHeight="1" x14ac:dyDescent="0.25">
      <c r="F685" s="7"/>
      <c r="G685" s="7"/>
      <c r="H685" s="7"/>
      <c r="I685" s="7"/>
      <c r="J685" s="7"/>
      <c r="K685" s="7"/>
      <c r="L685" s="7"/>
      <c r="M685" s="7"/>
      <c r="N685" s="7"/>
      <c r="O685" s="7"/>
      <c r="P685" s="7"/>
      <c r="Q685" s="7"/>
      <c r="R685" s="7"/>
    </row>
    <row r="686" spans="6:18" ht="14.25" customHeight="1" x14ac:dyDescent="0.25">
      <c r="F686" s="7"/>
      <c r="G686" s="7"/>
      <c r="H686" s="7"/>
      <c r="I686" s="7"/>
      <c r="J686" s="7"/>
      <c r="K686" s="7"/>
      <c r="L686" s="7"/>
      <c r="M686" s="7"/>
      <c r="N686" s="7"/>
      <c r="O686" s="7"/>
      <c r="P686" s="7"/>
      <c r="Q686" s="7"/>
      <c r="R686" s="7"/>
    </row>
    <row r="687" spans="6:18" ht="14.25" customHeight="1" x14ac:dyDescent="0.25">
      <c r="F687" s="7"/>
      <c r="G687" s="7"/>
      <c r="H687" s="7"/>
      <c r="I687" s="7"/>
      <c r="J687" s="7"/>
      <c r="K687" s="7"/>
      <c r="L687" s="7"/>
      <c r="M687" s="7"/>
      <c r="N687" s="7"/>
      <c r="O687" s="7"/>
      <c r="P687" s="7"/>
      <c r="Q687" s="7"/>
      <c r="R687" s="7"/>
    </row>
    <row r="688" spans="6:18" ht="14.25" customHeight="1" x14ac:dyDescent="0.25">
      <c r="F688" s="7"/>
      <c r="G688" s="7"/>
      <c r="H688" s="7"/>
      <c r="I688" s="7"/>
      <c r="J688" s="7"/>
      <c r="K688" s="7"/>
      <c r="L688" s="7"/>
      <c r="M688" s="7"/>
      <c r="N688" s="7"/>
      <c r="O688" s="7"/>
      <c r="P688" s="7"/>
      <c r="Q688" s="7"/>
      <c r="R688" s="7"/>
    </row>
    <row r="689" spans="6:18" ht="14.25" customHeight="1" x14ac:dyDescent="0.25">
      <c r="F689" s="7"/>
      <c r="G689" s="7"/>
      <c r="H689" s="7"/>
      <c r="I689" s="7"/>
      <c r="J689" s="7"/>
      <c r="K689" s="7"/>
      <c r="L689" s="7"/>
      <c r="M689" s="7"/>
      <c r="N689" s="7"/>
      <c r="O689" s="7"/>
      <c r="P689" s="7"/>
      <c r="Q689" s="7"/>
      <c r="R689" s="7"/>
    </row>
    <row r="690" spans="6:18" ht="14.25" customHeight="1" x14ac:dyDescent="0.25">
      <c r="F690" s="7"/>
      <c r="G690" s="7"/>
      <c r="H690" s="7"/>
      <c r="I690" s="7"/>
      <c r="J690" s="7"/>
      <c r="K690" s="7"/>
      <c r="L690" s="7"/>
      <c r="M690" s="7"/>
      <c r="N690" s="7"/>
      <c r="O690" s="7"/>
      <c r="P690" s="7"/>
      <c r="Q690" s="7"/>
      <c r="R690" s="7"/>
    </row>
    <row r="691" spans="6:18" ht="14.25" customHeight="1" x14ac:dyDescent="0.25">
      <c r="F691" s="7"/>
      <c r="G691" s="7"/>
      <c r="H691" s="7"/>
      <c r="I691" s="7"/>
      <c r="J691" s="7"/>
      <c r="K691" s="7"/>
      <c r="L691" s="7"/>
      <c r="M691" s="7"/>
      <c r="N691" s="7"/>
      <c r="O691" s="7"/>
      <c r="P691" s="7"/>
      <c r="Q691" s="7"/>
      <c r="R691" s="7"/>
    </row>
    <row r="692" spans="6:18" ht="14.25" customHeight="1" x14ac:dyDescent="0.25">
      <c r="F692" s="7"/>
      <c r="G692" s="7"/>
      <c r="H692" s="7"/>
      <c r="I692" s="7"/>
      <c r="J692" s="7"/>
      <c r="K692" s="7"/>
      <c r="L692" s="7"/>
      <c r="M692" s="7"/>
      <c r="N692" s="7"/>
      <c r="O692" s="7"/>
      <c r="P692" s="7"/>
      <c r="Q692" s="7"/>
      <c r="R692" s="7"/>
    </row>
    <row r="693" spans="6:18" ht="14.25" customHeight="1" x14ac:dyDescent="0.25">
      <c r="F693" s="7"/>
      <c r="G693" s="7"/>
      <c r="H693" s="7"/>
      <c r="I693" s="7"/>
      <c r="J693" s="7"/>
      <c r="K693" s="7"/>
      <c r="L693" s="7"/>
      <c r="M693" s="7"/>
      <c r="N693" s="7"/>
      <c r="O693" s="7"/>
      <c r="P693" s="7"/>
      <c r="Q693" s="7"/>
      <c r="R693" s="7"/>
    </row>
    <row r="694" spans="6:18" ht="14.25" customHeight="1" x14ac:dyDescent="0.25">
      <c r="F694" s="7"/>
      <c r="G694" s="7"/>
      <c r="H694" s="7"/>
      <c r="I694" s="7"/>
      <c r="J694" s="7"/>
      <c r="K694" s="7"/>
      <c r="L694" s="7"/>
      <c r="M694" s="7"/>
      <c r="N694" s="7"/>
      <c r="O694" s="7"/>
      <c r="P694" s="7"/>
      <c r="Q694" s="7"/>
      <c r="R694" s="7"/>
    </row>
    <row r="695" spans="6:18" ht="14.25" customHeight="1" x14ac:dyDescent="0.25">
      <c r="F695" s="7"/>
      <c r="G695" s="7"/>
      <c r="H695" s="7"/>
      <c r="I695" s="7"/>
      <c r="J695" s="7"/>
      <c r="K695" s="7"/>
      <c r="L695" s="7"/>
      <c r="M695" s="7"/>
      <c r="N695" s="7"/>
      <c r="O695" s="7"/>
      <c r="P695" s="7"/>
      <c r="Q695" s="7"/>
      <c r="R695" s="7"/>
    </row>
    <row r="696" spans="6:18" ht="14.25" customHeight="1" x14ac:dyDescent="0.25">
      <c r="F696" s="7"/>
      <c r="G696" s="7"/>
      <c r="H696" s="7"/>
      <c r="I696" s="7"/>
      <c r="J696" s="7"/>
      <c r="K696" s="7"/>
      <c r="L696" s="7"/>
      <c r="M696" s="7"/>
      <c r="N696" s="7"/>
      <c r="O696" s="7"/>
      <c r="P696" s="7"/>
      <c r="Q696" s="7"/>
      <c r="R696" s="7"/>
    </row>
    <row r="697" spans="6:18" ht="14.25" customHeight="1" x14ac:dyDescent="0.25">
      <c r="F697" s="7"/>
      <c r="G697" s="7"/>
      <c r="H697" s="7"/>
      <c r="I697" s="7"/>
      <c r="J697" s="7"/>
      <c r="K697" s="7"/>
      <c r="L697" s="7"/>
      <c r="M697" s="7"/>
      <c r="N697" s="7"/>
      <c r="O697" s="7"/>
      <c r="P697" s="7"/>
      <c r="Q697" s="7"/>
      <c r="R697" s="7"/>
    </row>
    <row r="698" spans="6:18" ht="14.25" customHeight="1" x14ac:dyDescent="0.25">
      <c r="F698" s="7"/>
      <c r="G698" s="7"/>
      <c r="H698" s="7"/>
      <c r="I698" s="7"/>
      <c r="J698" s="7"/>
      <c r="K698" s="7"/>
      <c r="L698" s="7"/>
      <c r="M698" s="7"/>
      <c r="N698" s="7"/>
      <c r="O698" s="7"/>
      <c r="P698" s="7"/>
      <c r="Q698" s="7"/>
      <c r="R698" s="7"/>
    </row>
    <row r="699" spans="6:18" ht="14.25" customHeight="1" x14ac:dyDescent="0.25">
      <c r="F699" s="7"/>
      <c r="G699" s="7"/>
      <c r="H699" s="7"/>
      <c r="I699" s="7"/>
      <c r="J699" s="7"/>
      <c r="K699" s="7"/>
      <c r="L699" s="7"/>
      <c r="M699" s="7"/>
      <c r="N699" s="7"/>
      <c r="O699" s="7"/>
      <c r="P699" s="7"/>
      <c r="Q699" s="7"/>
      <c r="R699" s="7"/>
    </row>
    <row r="700" spans="6:18" ht="14.25" customHeight="1" x14ac:dyDescent="0.25">
      <c r="F700" s="7"/>
      <c r="G700" s="7"/>
      <c r="H700" s="7"/>
      <c r="I700" s="7"/>
      <c r="J700" s="7"/>
      <c r="K700" s="7"/>
      <c r="L700" s="7"/>
      <c r="M700" s="7"/>
      <c r="N700" s="7"/>
      <c r="O700" s="7"/>
      <c r="P700" s="7"/>
      <c r="Q700" s="7"/>
      <c r="R700" s="7"/>
    </row>
    <row r="701" spans="6:18" ht="14.25" customHeight="1" x14ac:dyDescent="0.25">
      <c r="F701" s="7"/>
      <c r="G701" s="7"/>
      <c r="H701" s="7"/>
      <c r="I701" s="7"/>
      <c r="J701" s="7"/>
      <c r="K701" s="7"/>
      <c r="L701" s="7"/>
      <c r="M701" s="7"/>
      <c r="N701" s="7"/>
      <c r="O701" s="7"/>
      <c r="P701" s="7"/>
      <c r="Q701" s="7"/>
      <c r="R701" s="7"/>
    </row>
    <row r="702" spans="6:18" ht="14.25" customHeight="1" x14ac:dyDescent="0.25">
      <c r="F702" s="7"/>
      <c r="G702" s="7"/>
      <c r="H702" s="7"/>
      <c r="I702" s="7"/>
      <c r="J702" s="7"/>
      <c r="K702" s="7"/>
      <c r="L702" s="7"/>
      <c r="M702" s="7"/>
      <c r="N702" s="7"/>
      <c r="O702" s="7"/>
      <c r="P702" s="7"/>
      <c r="Q702" s="7"/>
      <c r="R702" s="7"/>
    </row>
    <row r="703" spans="6:18" ht="14.25" customHeight="1" x14ac:dyDescent="0.25">
      <c r="F703" s="7"/>
      <c r="G703" s="7"/>
      <c r="H703" s="7"/>
      <c r="I703" s="7"/>
      <c r="J703" s="7"/>
      <c r="K703" s="7"/>
      <c r="L703" s="7"/>
      <c r="M703" s="7"/>
      <c r="N703" s="7"/>
      <c r="O703" s="7"/>
      <c r="P703" s="7"/>
      <c r="Q703" s="7"/>
      <c r="R703" s="7"/>
    </row>
    <row r="704" spans="6:18" ht="14.25" customHeight="1" x14ac:dyDescent="0.25">
      <c r="F704" s="7"/>
      <c r="G704" s="7"/>
      <c r="H704" s="7"/>
      <c r="I704" s="7"/>
      <c r="J704" s="7"/>
      <c r="K704" s="7"/>
      <c r="L704" s="7"/>
      <c r="M704" s="7"/>
      <c r="N704" s="7"/>
      <c r="O704" s="7"/>
      <c r="P704" s="7"/>
      <c r="Q704" s="7"/>
      <c r="R704" s="7"/>
    </row>
    <row r="705" spans="6:18" ht="14.25" customHeight="1" x14ac:dyDescent="0.25">
      <c r="F705" s="7"/>
      <c r="G705" s="7"/>
      <c r="H705" s="7"/>
      <c r="I705" s="7"/>
      <c r="J705" s="7"/>
      <c r="K705" s="7"/>
      <c r="L705" s="7"/>
      <c r="M705" s="7"/>
      <c r="N705" s="7"/>
      <c r="O705" s="7"/>
      <c r="P705" s="7"/>
      <c r="Q705" s="7"/>
      <c r="R705" s="7"/>
    </row>
    <row r="706" spans="6:18" ht="14.25" customHeight="1" x14ac:dyDescent="0.25">
      <c r="F706" s="7"/>
      <c r="G706" s="7"/>
      <c r="H706" s="7"/>
      <c r="I706" s="7"/>
      <c r="J706" s="7"/>
      <c r="K706" s="7"/>
      <c r="L706" s="7"/>
      <c r="M706" s="7"/>
      <c r="N706" s="7"/>
      <c r="O706" s="7"/>
      <c r="P706" s="7"/>
      <c r="Q706" s="7"/>
      <c r="R706" s="7"/>
    </row>
    <row r="707" spans="6:18" ht="14.25" customHeight="1" x14ac:dyDescent="0.25">
      <c r="F707" s="7"/>
      <c r="G707" s="7"/>
      <c r="H707" s="7"/>
      <c r="I707" s="7"/>
      <c r="J707" s="7"/>
      <c r="K707" s="7"/>
      <c r="L707" s="7"/>
      <c r="M707" s="7"/>
      <c r="N707" s="7"/>
      <c r="O707" s="7"/>
      <c r="P707" s="7"/>
      <c r="Q707" s="7"/>
      <c r="R707" s="7"/>
    </row>
    <row r="708" spans="6:18" ht="14.25" customHeight="1" x14ac:dyDescent="0.25">
      <c r="F708" s="7"/>
      <c r="G708" s="7"/>
      <c r="H708" s="7"/>
      <c r="I708" s="7"/>
      <c r="J708" s="7"/>
      <c r="K708" s="7"/>
      <c r="L708" s="7"/>
      <c r="M708" s="7"/>
      <c r="N708" s="7"/>
      <c r="O708" s="7"/>
      <c r="P708" s="7"/>
      <c r="Q708" s="7"/>
      <c r="R708" s="7"/>
    </row>
    <row r="709" spans="6:18" ht="14.25" customHeight="1" x14ac:dyDescent="0.25">
      <c r="F709" s="7"/>
      <c r="G709" s="7"/>
      <c r="H709" s="7"/>
      <c r="I709" s="7"/>
      <c r="J709" s="7"/>
      <c r="K709" s="7"/>
      <c r="L709" s="7"/>
      <c r="M709" s="7"/>
      <c r="N709" s="7"/>
      <c r="O709" s="7"/>
      <c r="P709" s="7"/>
      <c r="Q709" s="7"/>
      <c r="R709" s="7"/>
    </row>
    <row r="710" spans="6:18" ht="14.25" customHeight="1" x14ac:dyDescent="0.25">
      <c r="F710" s="7"/>
      <c r="G710" s="7"/>
      <c r="H710" s="7"/>
      <c r="I710" s="7"/>
      <c r="J710" s="7"/>
      <c r="K710" s="7"/>
      <c r="L710" s="7"/>
      <c r="M710" s="7"/>
      <c r="N710" s="7"/>
      <c r="O710" s="7"/>
      <c r="P710" s="7"/>
      <c r="Q710" s="7"/>
      <c r="R710" s="7"/>
    </row>
    <row r="711" spans="6:18" ht="14.25" customHeight="1" x14ac:dyDescent="0.25">
      <c r="F711" s="7"/>
      <c r="G711" s="7"/>
      <c r="H711" s="7"/>
      <c r="I711" s="7"/>
      <c r="J711" s="7"/>
      <c r="K711" s="7"/>
      <c r="L711" s="7"/>
      <c r="M711" s="7"/>
      <c r="N711" s="7"/>
      <c r="O711" s="7"/>
      <c r="P711" s="7"/>
      <c r="Q711" s="7"/>
      <c r="R711" s="7"/>
    </row>
    <row r="712" spans="6:18" ht="14.25" customHeight="1" x14ac:dyDescent="0.25">
      <c r="F712" s="7"/>
      <c r="G712" s="7"/>
      <c r="H712" s="7"/>
      <c r="I712" s="7"/>
      <c r="J712" s="7"/>
      <c r="K712" s="7"/>
      <c r="L712" s="7"/>
      <c r="M712" s="7"/>
      <c r="N712" s="7"/>
      <c r="O712" s="7"/>
      <c r="P712" s="7"/>
      <c r="Q712" s="7"/>
      <c r="R712" s="7"/>
    </row>
    <row r="713" spans="6:18" ht="14.25" customHeight="1" x14ac:dyDescent="0.25">
      <c r="F713" s="7"/>
      <c r="G713" s="7"/>
      <c r="H713" s="7"/>
      <c r="I713" s="7"/>
      <c r="J713" s="7"/>
      <c r="K713" s="7"/>
      <c r="L713" s="7"/>
      <c r="M713" s="7"/>
      <c r="N713" s="7"/>
      <c r="O713" s="7"/>
      <c r="P713" s="7"/>
      <c r="Q713" s="7"/>
      <c r="R713" s="7"/>
    </row>
    <row r="714" spans="6:18" ht="14.25" customHeight="1" x14ac:dyDescent="0.25">
      <c r="F714" s="7"/>
      <c r="G714" s="7"/>
      <c r="H714" s="7"/>
      <c r="I714" s="7"/>
      <c r="J714" s="7"/>
      <c r="K714" s="7"/>
      <c r="L714" s="7"/>
      <c r="M714" s="7"/>
      <c r="N714" s="7"/>
      <c r="O714" s="7"/>
      <c r="P714" s="7"/>
      <c r="Q714" s="7"/>
      <c r="R714" s="7"/>
    </row>
    <row r="715" spans="6:18" ht="14.25" customHeight="1" x14ac:dyDescent="0.25">
      <c r="F715" s="7"/>
      <c r="G715" s="7"/>
      <c r="H715" s="7"/>
      <c r="I715" s="7"/>
      <c r="J715" s="7"/>
      <c r="K715" s="7"/>
      <c r="L715" s="7"/>
      <c r="M715" s="7"/>
      <c r="N715" s="7"/>
      <c r="O715" s="7"/>
      <c r="P715" s="7"/>
      <c r="Q715" s="7"/>
      <c r="R715" s="7"/>
    </row>
    <row r="716" spans="6:18" ht="14.25" customHeight="1" x14ac:dyDescent="0.25">
      <c r="F716" s="7"/>
      <c r="G716" s="7"/>
      <c r="H716" s="7"/>
      <c r="I716" s="7"/>
      <c r="J716" s="7"/>
      <c r="K716" s="7"/>
      <c r="L716" s="7"/>
      <c r="M716" s="7"/>
      <c r="N716" s="7"/>
      <c r="O716" s="7"/>
      <c r="P716" s="7"/>
      <c r="Q716" s="7"/>
      <c r="R716" s="7"/>
    </row>
    <row r="717" spans="6:18" ht="14.25" customHeight="1" x14ac:dyDescent="0.25">
      <c r="F717" s="7"/>
      <c r="G717" s="7"/>
      <c r="H717" s="7"/>
      <c r="I717" s="7"/>
      <c r="J717" s="7"/>
      <c r="K717" s="7"/>
      <c r="L717" s="7"/>
      <c r="M717" s="7"/>
      <c r="N717" s="7"/>
      <c r="O717" s="7"/>
      <c r="P717" s="7"/>
      <c r="Q717" s="7"/>
      <c r="R717" s="7"/>
    </row>
    <row r="718" spans="6:18" ht="14.25" customHeight="1" x14ac:dyDescent="0.25">
      <c r="F718" s="7"/>
      <c r="G718" s="7"/>
      <c r="H718" s="7"/>
      <c r="I718" s="7"/>
      <c r="J718" s="7"/>
      <c r="K718" s="7"/>
      <c r="L718" s="7"/>
      <c r="M718" s="7"/>
      <c r="N718" s="7"/>
      <c r="O718" s="7"/>
      <c r="P718" s="7"/>
      <c r="Q718" s="7"/>
      <c r="R718" s="7"/>
    </row>
    <row r="719" spans="6:18" ht="14.25" customHeight="1" x14ac:dyDescent="0.25">
      <c r="F719" s="7"/>
      <c r="G719" s="7"/>
      <c r="H719" s="7"/>
      <c r="I719" s="7"/>
      <c r="J719" s="7"/>
      <c r="K719" s="7"/>
      <c r="L719" s="7"/>
      <c r="M719" s="7"/>
      <c r="N719" s="7"/>
      <c r="O719" s="7"/>
      <c r="P719" s="7"/>
      <c r="Q719" s="7"/>
      <c r="R719" s="7"/>
    </row>
    <row r="720" spans="6:18" ht="14.25" customHeight="1" x14ac:dyDescent="0.25">
      <c r="F720" s="7"/>
      <c r="G720" s="7"/>
      <c r="H720" s="7"/>
      <c r="I720" s="7"/>
      <c r="J720" s="7"/>
      <c r="K720" s="7"/>
      <c r="L720" s="7"/>
      <c r="M720" s="7"/>
      <c r="N720" s="7"/>
      <c r="O720" s="7"/>
      <c r="P720" s="7"/>
      <c r="Q720" s="7"/>
      <c r="R720" s="7"/>
    </row>
    <row r="721" spans="6:18" ht="14.25" customHeight="1" x14ac:dyDescent="0.25">
      <c r="F721" s="7"/>
      <c r="G721" s="7"/>
      <c r="H721" s="7"/>
      <c r="I721" s="7"/>
      <c r="J721" s="7"/>
      <c r="K721" s="7"/>
      <c r="L721" s="7"/>
      <c r="M721" s="7"/>
      <c r="N721" s="7"/>
      <c r="O721" s="7"/>
      <c r="P721" s="7"/>
      <c r="Q721" s="7"/>
      <c r="R721" s="7"/>
    </row>
    <row r="722" spans="6:18" ht="14.25" customHeight="1" x14ac:dyDescent="0.25">
      <c r="F722" s="7"/>
      <c r="G722" s="7"/>
      <c r="H722" s="7"/>
      <c r="I722" s="7"/>
      <c r="J722" s="7"/>
      <c r="K722" s="7"/>
      <c r="L722" s="7"/>
      <c r="M722" s="7"/>
      <c r="N722" s="7"/>
      <c r="O722" s="7"/>
      <c r="P722" s="7"/>
      <c r="Q722" s="7"/>
      <c r="R722" s="7"/>
    </row>
    <row r="723" spans="6:18" ht="14.25" customHeight="1" x14ac:dyDescent="0.25">
      <c r="F723" s="7"/>
      <c r="G723" s="7"/>
      <c r="H723" s="7"/>
      <c r="I723" s="7"/>
      <c r="J723" s="7"/>
      <c r="K723" s="7"/>
      <c r="L723" s="7"/>
      <c r="M723" s="7"/>
      <c r="N723" s="7"/>
      <c r="O723" s="7"/>
      <c r="P723" s="7"/>
      <c r="Q723" s="7"/>
      <c r="R723" s="7"/>
    </row>
    <row r="724" spans="6:18" ht="14.25" customHeight="1" x14ac:dyDescent="0.25">
      <c r="F724" s="7"/>
      <c r="G724" s="7"/>
      <c r="H724" s="7"/>
      <c r="I724" s="7"/>
      <c r="J724" s="7"/>
      <c r="K724" s="7"/>
      <c r="L724" s="7"/>
      <c r="M724" s="7"/>
      <c r="N724" s="7"/>
      <c r="O724" s="7"/>
      <c r="P724" s="7"/>
      <c r="Q724" s="7"/>
      <c r="R724" s="7"/>
    </row>
    <row r="725" spans="6:18" ht="14.25" customHeight="1" x14ac:dyDescent="0.25">
      <c r="F725" s="7"/>
      <c r="G725" s="7"/>
      <c r="H725" s="7"/>
      <c r="I725" s="7"/>
      <c r="J725" s="7"/>
      <c r="K725" s="7"/>
      <c r="L725" s="7"/>
      <c r="M725" s="7"/>
      <c r="N725" s="7"/>
      <c r="O725" s="7"/>
      <c r="P725" s="7"/>
      <c r="Q725" s="7"/>
      <c r="R725" s="7"/>
    </row>
    <row r="726" spans="6:18" ht="14.25" customHeight="1" x14ac:dyDescent="0.25">
      <c r="F726" s="7"/>
      <c r="G726" s="7"/>
      <c r="H726" s="7"/>
      <c r="I726" s="7"/>
      <c r="J726" s="7"/>
      <c r="K726" s="7"/>
      <c r="L726" s="7"/>
      <c r="M726" s="7"/>
      <c r="N726" s="7"/>
      <c r="O726" s="7"/>
      <c r="P726" s="7"/>
      <c r="Q726" s="7"/>
      <c r="R726" s="7"/>
    </row>
    <row r="727" spans="6:18" ht="14.25" customHeight="1" x14ac:dyDescent="0.25">
      <c r="F727" s="7"/>
      <c r="G727" s="7"/>
      <c r="H727" s="7"/>
      <c r="I727" s="7"/>
      <c r="J727" s="7"/>
      <c r="K727" s="7"/>
      <c r="L727" s="7"/>
      <c r="M727" s="7"/>
      <c r="N727" s="7"/>
      <c r="O727" s="7"/>
      <c r="P727" s="7"/>
      <c r="Q727" s="7"/>
      <c r="R727" s="7"/>
    </row>
    <row r="728" spans="6:18" ht="14.25" customHeight="1" x14ac:dyDescent="0.25">
      <c r="F728" s="7"/>
      <c r="G728" s="7"/>
      <c r="H728" s="7"/>
      <c r="I728" s="7"/>
      <c r="J728" s="7"/>
      <c r="K728" s="7"/>
      <c r="L728" s="7"/>
      <c r="M728" s="7"/>
      <c r="N728" s="7"/>
      <c r="O728" s="7"/>
      <c r="P728" s="7"/>
      <c r="Q728" s="7"/>
      <c r="R728" s="7"/>
    </row>
    <row r="729" spans="6:18" ht="14.25" customHeight="1" x14ac:dyDescent="0.25">
      <c r="F729" s="7"/>
      <c r="G729" s="7"/>
      <c r="H729" s="7"/>
      <c r="I729" s="7"/>
      <c r="J729" s="7"/>
      <c r="K729" s="7"/>
      <c r="L729" s="7"/>
      <c r="M729" s="7"/>
      <c r="N729" s="7"/>
      <c r="O729" s="7"/>
      <c r="P729" s="7"/>
      <c r="Q729" s="7"/>
      <c r="R729" s="7"/>
    </row>
    <row r="730" spans="6:18" ht="14.25" customHeight="1" x14ac:dyDescent="0.25">
      <c r="F730" s="7"/>
      <c r="G730" s="7"/>
      <c r="H730" s="7"/>
      <c r="I730" s="7"/>
      <c r="J730" s="7"/>
      <c r="K730" s="7"/>
      <c r="L730" s="7"/>
      <c r="M730" s="7"/>
      <c r="N730" s="7"/>
      <c r="O730" s="7"/>
      <c r="P730" s="7"/>
      <c r="Q730" s="7"/>
      <c r="R730" s="7"/>
    </row>
    <row r="731" spans="6:18" ht="14.25" customHeight="1" x14ac:dyDescent="0.25">
      <c r="F731" s="7"/>
      <c r="G731" s="7"/>
      <c r="H731" s="7"/>
      <c r="I731" s="7"/>
      <c r="J731" s="7"/>
      <c r="K731" s="7"/>
      <c r="L731" s="7"/>
      <c r="M731" s="7"/>
      <c r="N731" s="7"/>
      <c r="O731" s="7"/>
      <c r="P731" s="7"/>
      <c r="Q731" s="7"/>
      <c r="R731" s="7"/>
    </row>
    <row r="732" spans="6:18" ht="14.25" customHeight="1" x14ac:dyDescent="0.25">
      <c r="F732" s="7"/>
      <c r="G732" s="7"/>
      <c r="H732" s="7"/>
      <c r="I732" s="7"/>
      <c r="J732" s="7"/>
      <c r="K732" s="7"/>
      <c r="L732" s="7"/>
      <c r="M732" s="7"/>
      <c r="N732" s="7"/>
      <c r="O732" s="7"/>
      <c r="P732" s="7"/>
      <c r="Q732" s="7"/>
      <c r="R732" s="7"/>
    </row>
    <row r="733" spans="6:18" ht="14.25" customHeight="1" x14ac:dyDescent="0.25">
      <c r="F733" s="7"/>
      <c r="G733" s="7"/>
      <c r="H733" s="7"/>
      <c r="I733" s="7"/>
      <c r="J733" s="7"/>
      <c r="K733" s="7"/>
      <c r="L733" s="7"/>
      <c r="M733" s="7"/>
      <c r="N733" s="7"/>
      <c r="O733" s="7"/>
      <c r="P733" s="7"/>
      <c r="Q733" s="7"/>
      <c r="R733" s="7"/>
    </row>
    <row r="734" spans="6:18" ht="14.25" customHeight="1" x14ac:dyDescent="0.25">
      <c r="F734" s="7"/>
      <c r="G734" s="7"/>
      <c r="H734" s="7"/>
      <c r="I734" s="7"/>
      <c r="J734" s="7"/>
      <c r="K734" s="7"/>
      <c r="L734" s="7"/>
      <c r="M734" s="7"/>
      <c r="N734" s="7"/>
      <c r="O734" s="7"/>
      <c r="P734" s="7"/>
      <c r="Q734" s="7"/>
      <c r="R734" s="7"/>
    </row>
    <row r="735" spans="6:18" ht="14.25" customHeight="1" x14ac:dyDescent="0.25">
      <c r="F735" s="7"/>
      <c r="G735" s="7"/>
      <c r="H735" s="7"/>
      <c r="I735" s="7"/>
      <c r="J735" s="7"/>
      <c r="K735" s="7"/>
      <c r="L735" s="7"/>
      <c r="M735" s="7"/>
      <c r="N735" s="7"/>
      <c r="O735" s="7"/>
      <c r="P735" s="7"/>
      <c r="Q735" s="7"/>
      <c r="R735" s="7"/>
    </row>
    <row r="736" spans="6:18" ht="14.25" customHeight="1" x14ac:dyDescent="0.25">
      <c r="F736" s="7"/>
      <c r="G736" s="7"/>
      <c r="H736" s="7"/>
      <c r="I736" s="7"/>
      <c r="J736" s="7"/>
      <c r="K736" s="7"/>
      <c r="L736" s="7"/>
      <c r="M736" s="7"/>
      <c r="N736" s="7"/>
      <c r="O736" s="7"/>
      <c r="P736" s="7"/>
      <c r="Q736" s="7"/>
      <c r="R736" s="7"/>
    </row>
    <row r="737" spans="6:18" ht="14.25" customHeight="1" x14ac:dyDescent="0.25">
      <c r="F737" s="7"/>
      <c r="G737" s="7"/>
      <c r="H737" s="7"/>
      <c r="I737" s="7"/>
      <c r="J737" s="7"/>
      <c r="K737" s="7"/>
      <c r="L737" s="7"/>
      <c r="M737" s="7"/>
      <c r="N737" s="7"/>
      <c r="O737" s="7"/>
      <c r="P737" s="7"/>
      <c r="Q737" s="7"/>
      <c r="R737" s="7"/>
    </row>
    <row r="738" spans="6:18" ht="14.25" customHeight="1" x14ac:dyDescent="0.25">
      <c r="F738" s="7"/>
      <c r="G738" s="7"/>
      <c r="H738" s="7"/>
      <c r="I738" s="7"/>
      <c r="J738" s="7"/>
      <c r="K738" s="7"/>
      <c r="L738" s="7"/>
      <c r="M738" s="7"/>
      <c r="N738" s="7"/>
      <c r="O738" s="7"/>
      <c r="P738" s="7"/>
      <c r="Q738" s="7"/>
      <c r="R738" s="7"/>
    </row>
    <row r="739" spans="6:18" ht="14.25" customHeight="1" x14ac:dyDescent="0.25">
      <c r="F739" s="7"/>
      <c r="G739" s="7"/>
      <c r="H739" s="7"/>
      <c r="I739" s="7"/>
      <c r="J739" s="7"/>
      <c r="K739" s="7"/>
      <c r="L739" s="7"/>
      <c r="M739" s="7"/>
      <c r="N739" s="7"/>
      <c r="O739" s="7"/>
      <c r="P739" s="7"/>
      <c r="Q739" s="7"/>
      <c r="R739" s="7"/>
    </row>
    <row r="740" spans="6:18" ht="14.25" customHeight="1" x14ac:dyDescent="0.25">
      <c r="F740" s="7"/>
      <c r="G740" s="7"/>
      <c r="H740" s="7"/>
      <c r="I740" s="7"/>
      <c r="J740" s="7"/>
      <c r="K740" s="7"/>
      <c r="L740" s="7"/>
      <c r="M740" s="7"/>
      <c r="N740" s="7"/>
      <c r="O740" s="7"/>
      <c r="P740" s="7"/>
      <c r="Q740" s="7"/>
      <c r="R740" s="7"/>
    </row>
    <row r="741" spans="6:18" ht="14.25" customHeight="1" x14ac:dyDescent="0.25">
      <c r="F741" s="7"/>
      <c r="G741" s="7"/>
      <c r="H741" s="7"/>
      <c r="I741" s="7"/>
      <c r="J741" s="7"/>
      <c r="K741" s="7"/>
      <c r="L741" s="7"/>
      <c r="M741" s="7"/>
      <c r="N741" s="7"/>
      <c r="O741" s="7"/>
      <c r="P741" s="7"/>
      <c r="Q741" s="7"/>
      <c r="R741" s="7"/>
    </row>
    <row r="742" spans="6:18" ht="14.25" customHeight="1" x14ac:dyDescent="0.25">
      <c r="F742" s="7"/>
      <c r="G742" s="7"/>
      <c r="H742" s="7"/>
      <c r="I742" s="7"/>
      <c r="J742" s="7"/>
      <c r="K742" s="7"/>
      <c r="L742" s="7"/>
      <c r="M742" s="7"/>
      <c r="N742" s="7"/>
      <c r="O742" s="7"/>
      <c r="P742" s="7"/>
      <c r="Q742" s="7"/>
      <c r="R742" s="7"/>
    </row>
    <row r="743" spans="6:18" ht="14.25" customHeight="1" x14ac:dyDescent="0.25">
      <c r="F743" s="7"/>
      <c r="G743" s="7"/>
      <c r="H743" s="7"/>
      <c r="I743" s="7"/>
      <c r="J743" s="7"/>
      <c r="K743" s="7"/>
      <c r="L743" s="7"/>
      <c r="M743" s="7"/>
      <c r="N743" s="7"/>
      <c r="O743" s="7"/>
      <c r="P743" s="7"/>
      <c r="Q743" s="7"/>
      <c r="R743" s="7"/>
    </row>
    <row r="744" spans="6:18" ht="14.25" customHeight="1" x14ac:dyDescent="0.25">
      <c r="F744" s="7"/>
      <c r="G744" s="7"/>
      <c r="H744" s="7"/>
      <c r="I744" s="7"/>
      <c r="J744" s="7"/>
      <c r="K744" s="7"/>
      <c r="L744" s="7"/>
      <c r="M744" s="7"/>
      <c r="N744" s="7"/>
      <c r="O744" s="7"/>
      <c r="P744" s="7"/>
      <c r="Q744" s="7"/>
      <c r="R744" s="7"/>
    </row>
    <row r="745" spans="6:18" ht="14.25" customHeight="1" x14ac:dyDescent="0.25">
      <c r="F745" s="7"/>
      <c r="G745" s="7"/>
      <c r="H745" s="7"/>
      <c r="I745" s="7"/>
      <c r="J745" s="7"/>
      <c r="K745" s="7"/>
      <c r="L745" s="7"/>
      <c r="M745" s="7"/>
      <c r="N745" s="7"/>
      <c r="O745" s="7"/>
      <c r="P745" s="7"/>
      <c r="Q745" s="7"/>
      <c r="R745" s="7"/>
    </row>
    <row r="746" spans="6:18" ht="14.25" customHeight="1" x14ac:dyDescent="0.25">
      <c r="F746" s="7"/>
      <c r="G746" s="7"/>
      <c r="H746" s="7"/>
      <c r="I746" s="7"/>
      <c r="J746" s="7"/>
      <c r="K746" s="7"/>
      <c r="L746" s="7"/>
      <c r="M746" s="7"/>
      <c r="N746" s="7"/>
      <c r="O746" s="7"/>
      <c r="P746" s="7"/>
      <c r="Q746" s="7"/>
      <c r="R746" s="7"/>
    </row>
    <row r="747" spans="6:18" ht="14.25" customHeight="1" x14ac:dyDescent="0.25">
      <c r="F747" s="7"/>
      <c r="G747" s="7"/>
      <c r="H747" s="7"/>
      <c r="I747" s="7"/>
      <c r="J747" s="7"/>
      <c r="K747" s="7"/>
      <c r="L747" s="7"/>
      <c r="M747" s="7"/>
      <c r="N747" s="7"/>
      <c r="O747" s="7"/>
      <c r="P747" s="7"/>
      <c r="Q747" s="7"/>
      <c r="R747" s="7"/>
    </row>
    <row r="748" spans="6:18" ht="14.25" customHeight="1" x14ac:dyDescent="0.25">
      <c r="F748" s="7"/>
      <c r="G748" s="7"/>
      <c r="H748" s="7"/>
      <c r="I748" s="7"/>
      <c r="J748" s="7"/>
      <c r="K748" s="7"/>
      <c r="L748" s="7"/>
      <c r="M748" s="7"/>
      <c r="N748" s="7"/>
      <c r="O748" s="7"/>
      <c r="P748" s="7"/>
      <c r="Q748" s="7"/>
      <c r="R748" s="7"/>
    </row>
    <row r="749" spans="6:18" ht="14.25" customHeight="1" x14ac:dyDescent="0.25">
      <c r="F749" s="7"/>
      <c r="G749" s="7"/>
      <c r="H749" s="7"/>
      <c r="I749" s="7"/>
      <c r="J749" s="7"/>
      <c r="K749" s="7"/>
      <c r="L749" s="7"/>
      <c r="M749" s="7"/>
      <c r="N749" s="7"/>
      <c r="O749" s="7"/>
      <c r="P749" s="7"/>
      <c r="Q749" s="7"/>
      <c r="R749" s="7"/>
    </row>
    <row r="750" spans="6:18" ht="14.25" customHeight="1" x14ac:dyDescent="0.25">
      <c r="F750" s="7"/>
      <c r="G750" s="7"/>
      <c r="H750" s="7"/>
      <c r="I750" s="7"/>
      <c r="J750" s="7"/>
      <c r="K750" s="7"/>
      <c r="L750" s="7"/>
      <c r="M750" s="7"/>
      <c r="N750" s="7"/>
      <c r="O750" s="7"/>
      <c r="P750" s="7"/>
      <c r="Q750" s="7"/>
      <c r="R750" s="7"/>
    </row>
    <row r="751" spans="6:18" ht="14.25" customHeight="1" x14ac:dyDescent="0.25">
      <c r="F751" s="7"/>
      <c r="G751" s="7"/>
      <c r="H751" s="7"/>
      <c r="I751" s="7"/>
      <c r="J751" s="7"/>
      <c r="K751" s="7"/>
      <c r="L751" s="7"/>
      <c r="M751" s="7"/>
      <c r="N751" s="7"/>
      <c r="O751" s="7"/>
      <c r="P751" s="7"/>
      <c r="Q751" s="7"/>
      <c r="R751" s="7"/>
    </row>
    <row r="752" spans="6:18" ht="14.25" customHeight="1" x14ac:dyDescent="0.25">
      <c r="F752" s="7"/>
      <c r="G752" s="7"/>
      <c r="H752" s="7"/>
      <c r="I752" s="7"/>
      <c r="J752" s="7"/>
      <c r="K752" s="7"/>
      <c r="L752" s="7"/>
      <c r="M752" s="7"/>
      <c r="N752" s="7"/>
      <c r="O752" s="7"/>
      <c r="P752" s="7"/>
      <c r="Q752" s="7"/>
      <c r="R752" s="7"/>
    </row>
    <row r="753" spans="6:18" ht="14.25" customHeight="1" x14ac:dyDescent="0.25">
      <c r="F753" s="7"/>
      <c r="G753" s="7"/>
      <c r="H753" s="7"/>
      <c r="I753" s="7"/>
      <c r="J753" s="7"/>
      <c r="K753" s="7"/>
      <c r="L753" s="7"/>
      <c r="M753" s="7"/>
      <c r="N753" s="7"/>
      <c r="O753" s="7"/>
      <c r="P753" s="7"/>
      <c r="Q753" s="7"/>
      <c r="R753" s="7"/>
    </row>
    <row r="754" spans="6:18" ht="14.25" customHeight="1" x14ac:dyDescent="0.25">
      <c r="F754" s="7"/>
      <c r="G754" s="7"/>
      <c r="H754" s="7"/>
      <c r="I754" s="7"/>
      <c r="J754" s="7"/>
      <c r="K754" s="7"/>
      <c r="L754" s="7"/>
      <c r="M754" s="7"/>
      <c r="N754" s="7"/>
      <c r="O754" s="7"/>
      <c r="P754" s="7"/>
      <c r="Q754" s="7"/>
      <c r="R754" s="7"/>
    </row>
    <row r="755" spans="6:18" ht="14.25" customHeight="1" x14ac:dyDescent="0.25">
      <c r="F755" s="7"/>
      <c r="G755" s="7"/>
      <c r="H755" s="7"/>
      <c r="I755" s="7"/>
      <c r="J755" s="7"/>
      <c r="K755" s="7"/>
      <c r="L755" s="7"/>
      <c r="M755" s="7"/>
      <c r="N755" s="7"/>
      <c r="O755" s="7"/>
      <c r="P755" s="7"/>
      <c r="Q755" s="7"/>
      <c r="R755" s="7"/>
    </row>
    <row r="756" spans="6:18" ht="14.25" customHeight="1" x14ac:dyDescent="0.25">
      <c r="F756" s="7"/>
      <c r="G756" s="7"/>
      <c r="H756" s="7"/>
      <c r="I756" s="7"/>
      <c r="J756" s="7"/>
      <c r="K756" s="7"/>
      <c r="L756" s="7"/>
      <c r="M756" s="7"/>
      <c r="N756" s="7"/>
      <c r="O756" s="7"/>
      <c r="P756" s="7"/>
      <c r="Q756" s="7"/>
      <c r="R756" s="7"/>
    </row>
    <row r="757" spans="6:18" ht="14.25" customHeight="1" x14ac:dyDescent="0.25">
      <c r="F757" s="7"/>
      <c r="G757" s="7"/>
      <c r="H757" s="7"/>
      <c r="I757" s="7"/>
      <c r="J757" s="7"/>
      <c r="K757" s="7"/>
      <c r="L757" s="7"/>
      <c r="M757" s="7"/>
      <c r="N757" s="7"/>
      <c r="O757" s="7"/>
      <c r="P757" s="7"/>
      <c r="Q757" s="7"/>
      <c r="R757" s="7"/>
    </row>
    <row r="758" spans="6:18" ht="14.25" customHeight="1" x14ac:dyDescent="0.25">
      <c r="F758" s="7"/>
      <c r="G758" s="7"/>
      <c r="H758" s="7"/>
      <c r="I758" s="7"/>
      <c r="J758" s="7"/>
      <c r="K758" s="7"/>
      <c r="L758" s="7"/>
      <c r="M758" s="7"/>
      <c r="N758" s="7"/>
      <c r="O758" s="7"/>
      <c r="P758" s="7"/>
      <c r="Q758" s="7"/>
      <c r="R758" s="7"/>
    </row>
    <row r="759" spans="6:18" ht="14.25" customHeight="1" x14ac:dyDescent="0.25">
      <c r="F759" s="7"/>
      <c r="G759" s="7"/>
      <c r="H759" s="7"/>
      <c r="I759" s="7"/>
      <c r="J759" s="7"/>
      <c r="K759" s="7"/>
      <c r="L759" s="7"/>
      <c r="M759" s="7"/>
      <c r="N759" s="7"/>
      <c r="O759" s="7"/>
      <c r="P759" s="7"/>
      <c r="Q759" s="7"/>
      <c r="R759" s="7"/>
    </row>
    <row r="760" spans="6:18" ht="14.25" customHeight="1" x14ac:dyDescent="0.25">
      <c r="F760" s="7"/>
      <c r="G760" s="7"/>
      <c r="H760" s="7"/>
      <c r="I760" s="7"/>
      <c r="J760" s="7"/>
      <c r="K760" s="7"/>
      <c r="L760" s="7"/>
      <c r="M760" s="7"/>
      <c r="N760" s="7"/>
      <c r="O760" s="7"/>
      <c r="P760" s="7"/>
      <c r="Q760" s="7"/>
      <c r="R760" s="7"/>
    </row>
    <row r="761" spans="6:18" ht="14.25" customHeight="1" x14ac:dyDescent="0.25">
      <c r="F761" s="7"/>
      <c r="G761" s="7"/>
      <c r="H761" s="7"/>
      <c r="I761" s="7"/>
      <c r="J761" s="7"/>
      <c r="K761" s="7"/>
      <c r="L761" s="7"/>
      <c r="M761" s="7"/>
      <c r="N761" s="7"/>
      <c r="O761" s="7"/>
      <c r="P761" s="7"/>
      <c r="Q761" s="7"/>
      <c r="R761" s="7"/>
    </row>
    <row r="762" spans="6:18" ht="14.25" customHeight="1" x14ac:dyDescent="0.25">
      <c r="F762" s="7"/>
      <c r="G762" s="7"/>
      <c r="H762" s="7"/>
      <c r="I762" s="7"/>
      <c r="J762" s="7"/>
      <c r="K762" s="7"/>
      <c r="L762" s="7"/>
      <c r="M762" s="7"/>
      <c r="N762" s="7"/>
      <c r="O762" s="7"/>
      <c r="P762" s="7"/>
      <c r="Q762" s="7"/>
      <c r="R762" s="7"/>
    </row>
    <row r="763" spans="6:18" ht="14.25" customHeight="1" x14ac:dyDescent="0.25">
      <c r="F763" s="7"/>
      <c r="G763" s="7"/>
      <c r="H763" s="7"/>
      <c r="I763" s="7"/>
      <c r="J763" s="7"/>
      <c r="K763" s="7"/>
      <c r="L763" s="7"/>
      <c r="M763" s="7"/>
      <c r="N763" s="7"/>
      <c r="O763" s="7"/>
      <c r="P763" s="7"/>
      <c r="Q763" s="7"/>
      <c r="R763" s="7"/>
    </row>
    <row r="764" spans="6:18" ht="14.25" customHeight="1" x14ac:dyDescent="0.25">
      <c r="F764" s="7"/>
      <c r="G764" s="7"/>
      <c r="H764" s="7"/>
      <c r="I764" s="7"/>
      <c r="J764" s="7"/>
      <c r="K764" s="7"/>
      <c r="L764" s="7"/>
      <c r="M764" s="7"/>
      <c r="N764" s="7"/>
      <c r="O764" s="7"/>
      <c r="P764" s="7"/>
      <c r="Q764" s="7"/>
      <c r="R764" s="7"/>
    </row>
    <row r="765" spans="6:18" ht="14.25" customHeight="1" x14ac:dyDescent="0.25">
      <c r="F765" s="7"/>
      <c r="G765" s="7"/>
      <c r="H765" s="7"/>
      <c r="I765" s="7"/>
      <c r="J765" s="7"/>
      <c r="K765" s="7"/>
      <c r="L765" s="7"/>
      <c r="M765" s="7"/>
      <c r="N765" s="7"/>
      <c r="O765" s="7"/>
      <c r="P765" s="7"/>
      <c r="Q765" s="7"/>
      <c r="R765" s="7"/>
    </row>
    <row r="766" spans="6:18" ht="14.25" customHeight="1" x14ac:dyDescent="0.25">
      <c r="F766" s="7"/>
      <c r="G766" s="7"/>
      <c r="H766" s="7"/>
      <c r="I766" s="7"/>
      <c r="J766" s="7"/>
      <c r="K766" s="7"/>
      <c r="L766" s="7"/>
      <c r="M766" s="7"/>
      <c r="N766" s="7"/>
      <c r="O766" s="7"/>
      <c r="P766" s="7"/>
      <c r="Q766" s="7"/>
      <c r="R766" s="7"/>
    </row>
    <row r="767" spans="6:18" ht="14.25" customHeight="1" x14ac:dyDescent="0.25">
      <c r="F767" s="7"/>
      <c r="G767" s="7"/>
      <c r="H767" s="7"/>
      <c r="I767" s="7"/>
      <c r="J767" s="7"/>
      <c r="K767" s="7"/>
      <c r="L767" s="7"/>
      <c r="M767" s="7"/>
      <c r="N767" s="7"/>
      <c r="O767" s="7"/>
      <c r="P767" s="7"/>
      <c r="Q767" s="7"/>
      <c r="R767" s="7"/>
    </row>
    <row r="768" spans="6:18" ht="14.25" customHeight="1" x14ac:dyDescent="0.25">
      <c r="F768" s="7"/>
      <c r="G768" s="7"/>
      <c r="H768" s="7"/>
      <c r="I768" s="7"/>
      <c r="J768" s="7"/>
      <c r="K768" s="7"/>
      <c r="L768" s="7"/>
      <c r="M768" s="7"/>
      <c r="N768" s="7"/>
      <c r="O768" s="7"/>
      <c r="P768" s="7"/>
      <c r="Q768" s="7"/>
      <c r="R768" s="7"/>
    </row>
    <row r="769" spans="6:18" ht="14.25" customHeight="1" x14ac:dyDescent="0.25">
      <c r="F769" s="7"/>
      <c r="G769" s="7"/>
      <c r="H769" s="7"/>
      <c r="I769" s="7"/>
      <c r="J769" s="7"/>
      <c r="K769" s="7"/>
      <c r="L769" s="7"/>
      <c r="M769" s="7"/>
      <c r="N769" s="7"/>
      <c r="O769" s="7"/>
      <c r="P769" s="7"/>
      <c r="Q769" s="7"/>
      <c r="R769" s="7"/>
    </row>
    <row r="770" spans="6:18" ht="14.25" customHeight="1" x14ac:dyDescent="0.25">
      <c r="F770" s="7"/>
      <c r="G770" s="7"/>
      <c r="H770" s="7"/>
      <c r="I770" s="7"/>
      <c r="J770" s="7"/>
      <c r="K770" s="7"/>
      <c r="L770" s="7"/>
      <c r="M770" s="7"/>
      <c r="N770" s="7"/>
      <c r="O770" s="7"/>
      <c r="P770" s="7"/>
      <c r="Q770" s="7"/>
      <c r="R770" s="7"/>
    </row>
    <row r="771" spans="6:18" ht="14.25" customHeight="1" x14ac:dyDescent="0.25">
      <c r="F771" s="7"/>
      <c r="G771" s="7"/>
      <c r="H771" s="7"/>
      <c r="I771" s="7"/>
      <c r="J771" s="7"/>
      <c r="K771" s="7"/>
      <c r="L771" s="7"/>
      <c r="M771" s="7"/>
      <c r="N771" s="7"/>
      <c r="O771" s="7"/>
      <c r="P771" s="7"/>
      <c r="Q771" s="7"/>
      <c r="R771" s="7"/>
    </row>
    <row r="772" spans="6:18" ht="14.25" customHeight="1" x14ac:dyDescent="0.25">
      <c r="F772" s="7"/>
      <c r="G772" s="7"/>
      <c r="H772" s="7"/>
      <c r="I772" s="7"/>
      <c r="J772" s="7"/>
      <c r="K772" s="7"/>
      <c r="L772" s="7"/>
      <c r="M772" s="7"/>
      <c r="N772" s="7"/>
      <c r="O772" s="7"/>
      <c r="P772" s="7"/>
      <c r="Q772" s="7"/>
      <c r="R772" s="7"/>
    </row>
    <row r="773" spans="6:18" ht="14.25" customHeight="1" x14ac:dyDescent="0.25">
      <c r="F773" s="7"/>
      <c r="G773" s="7"/>
      <c r="H773" s="7"/>
      <c r="I773" s="7"/>
      <c r="J773" s="7"/>
      <c r="K773" s="7"/>
      <c r="L773" s="7"/>
      <c r="M773" s="7"/>
      <c r="N773" s="7"/>
      <c r="O773" s="7"/>
      <c r="P773" s="7"/>
      <c r="Q773" s="7"/>
      <c r="R773" s="7"/>
    </row>
    <row r="774" spans="6:18" ht="14.25" customHeight="1" x14ac:dyDescent="0.25">
      <c r="F774" s="7"/>
      <c r="G774" s="7"/>
      <c r="H774" s="7"/>
      <c r="I774" s="7"/>
      <c r="J774" s="7"/>
      <c r="K774" s="7"/>
      <c r="L774" s="7"/>
      <c r="M774" s="7"/>
      <c r="N774" s="7"/>
      <c r="O774" s="7"/>
      <c r="P774" s="7"/>
      <c r="Q774" s="7"/>
      <c r="R774" s="7"/>
    </row>
    <row r="775" spans="6:18" ht="14.25" customHeight="1" x14ac:dyDescent="0.25">
      <c r="F775" s="7"/>
      <c r="G775" s="7"/>
      <c r="H775" s="7"/>
      <c r="I775" s="7"/>
      <c r="J775" s="7"/>
      <c r="K775" s="7"/>
      <c r="L775" s="7"/>
      <c r="M775" s="7"/>
      <c r="N775" s="7"/>
      <c r="O775" s="7"/>
      <c r="P775" s="7"/>
      <c r="Q775" s="7"/>
      <c r="R775" s="7"/>
    </row>
    <row r="776" spans="6:18" ht="14.25" customHeight="1" x14ac:dyDescent="0.25">
      <c r="F776" s="7"/>
      <c r="G776" s="7"/>
      <c r="H776" s="7"/>
      <c r="I776" s="7"/>
      <c r="J776" s="7"/>
      <c r="K776" s="7"/>
      <c r="L776" s="7"/>
      <c r="M776" s="7"/>
      <c r="N776" s="7"/>
      <c r="O776" s="7"/>
      <c r="P776" s="7"/>
      <c r="Q776" s="7"/>
      <c r="R776" s="7"/>
    </row>
    <row r="777" spans="6:18" ht="14.25" customHeight="1" x14ac:dyDescent="0.25">
      <c r="F777" s="7"/>
      <c r="G777" s="7"/>
      <c r="H777" s="7"/>
      <c r="I777" s="7"/>
      <c r="J777" s="7"/>
      <c r="K777" s="7"/>
      <c r="L777" s="7"/>
      <c r="M777" s="7"/>
      <c r="N777" s="7"/>
      <c r="O777" s="7"/>
      <c r="P777" s="7"/>
      <c r="Q777" s="7"/>
      <c r="R777" s="7"/>
    </row>
    <row r="778" spans="6:18" ht="14.25" customHeight="1" x14ac:dyDescent="0.25">
      <c r="F778" s="7"/>
      <c r="G778" s="7"/>
      <c r="H778" s="7"/>
      <c r="I778" s="7"/>
      <c r="J778" s="7"/>
      <c r="K778" s="7"/>
      <c r="L778" s="7"/>
      <c r="M778" s="7"/>
      <c r="N778" s="7"/>
      <c r="O778" s="7"/>
      <c r="P778" s="7"/>
      <c r="Q778" s="7"/>
      <c r="R778" s="7"/>
    </row>
    <row r="779" spans="6:18" ht="14.25" customHeight="1" x14ac:dyDescent="0.25">
      <c r="F779" s="7"/>
      <c r="G779" s="7"/>
      <c r="H779" s="7"/>
      <c r="I779" s="7"/>
      <c r="J779" s="7"/>
      <c r="K779" s="7"/>
      <c r="L779" s="7"/>
      <c r="M779" s="7"/>
      <c r="N779" s="7"/>
      <c r="O779" s="7"/>
      <c r="P779" s="7"/>
      <c r="Q779" s="7"/>
      <c r="R779" s="7"/>
    </row>
    <row r="780" spans="6:18" ht="14.25" customHeight="1" x14ac:dyDescent="0.25">
      <c r="F780" s="7"/>
      <c r="G780" s="7"/>
      <c r="H780" s="7"/>
      <c r="I780" s="7"/>
      <c r="J780" s="7"/>
      <c r="K780" s="7"/>
      <c r="L780" s="7"/>
      <c r="M780" s="7"/>
      <c r="N780" s="7"/>
      <c r="O780" s="7"/>
      <c r="P780" s="7"/>
      <c r="Q780" s="7"/>
      <c r="R780" s="7"/>
    </row>
    <row r="781" spans="6:18" ht="14.25" customHeight="1" x14ac:dyDescent="0.25">
      <c r="F781" s="7"/>
      <c r="G781" s="7"/>
      <c r="H781" s="7"/>
      <c r="I781" s="7"/>
      <c r="J781" s="7"/>
      <c r="K781" s="7"/>
      <c r="L781" s="7"/>
      <c r="M781" s="7"/>
      <c r="N781" s="7"/>
      <c r="O781" s="7"/>
      <c r="P781" s="7"/>
      <c r="Q781" s="7"/>
      <c r="R781" s="7"/>
    </row>
    <row r="782" spans="6:18" ht="14.25" customHeight="1" x14ac:dyDescent="0.25">
      <c r="F782" s="7"/>
      <c r="G782" s="7"/>
      <c r="H782" s="7"/>
      <c r="I782" s="7"/>
      <c r="J782" s="7"/>
      <c r="K782" s="7"/>
      <c r="L782" s="7"/>
      <c r="M782" s="7"/>
      <c r="N782" s="7"/>
      <c r="O782" s="7"/>
      <c r="P782" s="7"/>
      <c r="Q782" s="7"/>
      <c r="R782" s="7"/>
    </row>
    <row r="783" spans="6:18" ht="14.25" customHeight="1" x14ac:dyDescent="0.25">
      <c r="F783" s="7"/>
      <c r="G783" s="7"/>
      <c r="H783" s="7"/>
      <c r="I783" s="7"/>
      <c r="J783" s="7"/>
      <c r="K783" s="7"/>
      <c r="L783" s="7"/>
      <c r="M783" s="7"/>
      <c r="N783" s="7"/>
      <c r="O783" s="7"/>
      <c r="P783" s="7"/>
      <c r="Q783" s="7"/>
      <c r="R783" s="7"/>
    </row>
    <row r="784" spans="6:18" ht="14.25" customHeight="1" x14ac:dyDescent="0.25">
      <c r="F784" s="7"/>
      <c r="G784" s="7"/>
      <c r="H784" s="7"/>
      <c r="I784" s="7"/>
      <c r="J784" s="7"/>
      <c r="K784" s="7"/>
      <c r="L784" s="7"/>
      <c r="M784" s="7"/>
      <c r="N784" s="7"/>
      <c r="O784" s="7"/>
      <c r="P784" s="7"/>
      <c r="Q784" s="7"/>
      <c r="R784" s="7"/>
    </row>
    <row r="785" spans="6:18" ht="14.25" customHeight="1" x14ac:dyDescent="0.25">
      <c r="F785" s="7"/>
      <c r="G785" s="7"/>
      <c r="H785" s="7"/>
      <c r="I785" s="7"/>
      <c r="J785" s="7"/>
      <c r="K785" s="7"/>
      <c r="L785" s="7"/>
      <c r="M785" s="7"/>
      <c r="N785" s="7"/>
      <c r="O785" s="7"/>
      <c r="P785" s="7"/>
      <c r="Q785" s="7"/>
      <c r="R785" s="7"/>
    </row>
    <row r="786" spans="6:18" ht="14.25" customHeight="1" x14ac:dyDescent="0.25">
      <c r="F786" s="7"/>
      <c r="G786" s="7"/>
      <c r="H786" s="7"/>
      <c r="I786" s="7"/>
      <c r="J786" s="7"/>
      <c r="K786" s="7"/>
      <c r="L786" s="7"/>
      <c r="M786" s="7"/>
      <c r="N786" s="7"/>
      <c r="O786" s="7"/>
      <c r="P786" s="7"/>
      <c r="Q786" s="7"/>
      <c r="R786" s="7"/>
    </row>
    <row r="787" spans="6:18" ht="14.25" customHeight="1" x14ac:dyDescent="0.25">
      <c r="F787" s="7"/>
      <c r="G787" s="7"/>
      <c r="H787" s="7"/>
      <c r="I787" s="7"/>
      <c r="J787" s="7"/>
      <c r="K787" s="7"/>
      <c r="L787" s="7"/>
      <c r="M787" s="7"/>
      <c r="N787" s="7"/>
      <c r="O787" s="7"/>
      <c r="P787" s="7"/>
      <c r="Q787" s="7"/>
      <c r="R787" s="7"/>
    </row>
    <row r="788" spans="6:18" ht="14.25" customHeight="1" x14ac:dyDescent="0.25">
      <c r="F788" s="7"/>
      <c r="G788" s="7"/>
      <c r="H788" s="7"/>
      <c r="I788" s="7"/>
      <c r="J788" s="7"/>
      <c r="K788" s="7"/>
      <c r="L788" s="7"/>
      <c r="M788" s="7"/>
      <c r="N788" s="7"/>
      <c r="O788" s="7"/>
      <c r="P788" s="7"/>
      <c r="Q788" s="7"/>
      <c r="R788" s="7"/>
    </row>
    <row r="789" spans="6:18" ht="14.25" customHeight="1" x14ac:dyDescent="0.25">
      <c r="F789" s="7"/>
      <c r="G789" s="7"/>
      <c r="H789" s="7"/>
      <c r="I789" s="7"/>
      <c r="J789" s="7"/>
      <c r="K789" s="7"/>
      <c r="L789" s="7"/>
      <c r="M789" s="7"/>
      <c r="N789" s="7"/>
      <c r="O789" s="7"/>
      <c r="P789" s="7"/>
      <c r="Q789" s="7"/>
      <c r="R789" s="7"/>
    </row>
    <row r="790" spans="6:18" ht="14.25" customHeight="1" x14ac:dyDescent="0.25">
      <c r="F790" s="7"/>
      <c r="G790" s="7"/>
      <c r="H790" s="7"/>
      <c r="I790" s="7"/>
      <c r="J790" s="7"/>
      <c r="K790" s="7"/>
      <c r="L790" s="7"/>
      <c r="M790" s="7"/>
      <c r="N790" s="7"/>
      <c r="O790" s="7"/>
      <c r="P790" s="7"/>
      <c r="Q790" s="7"/>
      <c r="R790" s="7"/>
    </row>
    <row r="791" spans="6:18" ht="14.25" customHeight="1" x14ac:dyDescent="0.25">
      <c r="F791" s="7"/>
      <c r="G791" s="7"/>
      <c r="H791" s="7"/>
      <c r="I791" s="7"/>
      <c r="J791" s="7"/>
      <c r="K791" s="7"/>
      <c r="L791" s="7"/>
      <c r="M791" s="7"/>
      <c r="N791" s="7"/>
      <c r="O791" s="7"/>
      <c r="P791" s="7"/>
      <c r="Q791" s="7"/>
      <c r="R791" s="7"/>
    </row>
    <row r="792" spans="6:18" ht="14.25" customHeight="1" x14ac:dyDescent="0.25">
      <c r="F792" s="7"/>
      <c r="G792" s="7"/>
      <c r="H792" s="7"/>
      <c r="I792" s="7"/>
      <c r="J792" s="7"/>
      <c r="K792" s="7"/>
      <c r="L792" s="7"/>
      <c r="M792" s="7"/>
      <c r="N792" s="7"/>
      <c r="O792" s="7"/>
      <c r="P792" s="7"/>
      <c r="Q792" s="7"/>
      <c r="R792" s="7"/>
    </row>
    <row r="793" spans="6:18" ht="14.25" customHeight="1" x14ac:dyDescent="0.25">
      <c r="F793" s="7"/>
      <c r="G793" s="7"/>
      <c r="H793" s="7"/>
      <c r="I793" s="7"/>
      <c r="J793" s="7"/>
      <c r="K793" s="7"/>
      <c r="L793" s="7"/>
      <c r="M793" s="7"/>
      <c r="N793" s="7"/>
      <c r="O793" s="7"/>
      <c r="P793" s="7"/>
      <c r="Q793" s="7"/>
      <c r="R793" s="7"/>
    </row>
    <row r="794" spans="6:18" ht="14.25" customHeight="1" x14ac:dyDescent="0.25">
      <c r="F794" s="7"/>
      <c r="G794" s="7"/>
      <c r="H794" s="7"/>
      <c r="I794" s="7"/>
      <c r="J794" s="7"/>
      <c r="K794" s="7"/>
      <c r="L794" s="7"/>
      <c r="M794" s="7"/>
      <c r="N794" s="7"/>
      <c r="O794" s="7"/>
      <c r="P794" s="7"/>
      <c r="Q794" s="7"/>
      <c r="R794" s="7"/>
    </row>
    <row r="795" spans="6:18" ht="14.25" customHeight="1" x14ac:dyDescent="0.25">
      <c r="F795" s="7"/>
      <c r="G795" s="7"/>
      <c r="H795" s="7"/>
      <c r="I795" s="7"/>
      <c r="J795" s="7"/>
      <c r="K795" s="7"/>
      <c r="L795" s="7"/>
      <c r="M795" s="7"/>
      <c r="N795" s="7"/>
      <c r="O795" s="7"/>
      <c r="P795" s="7"/>
      <c r="Q795" s="7"/>
      <c r="R795" s="7"/>
    </row>
    <row r="796" spans="6:18" ht="14.25" customHeight="1" x14ac:dyDescent="0.25">
      <c r="F796" s="7"/>
      <c r="G796" s="7"/>
      <c r="H796" s="7"/>
      <c r="I796" s="7"/>
      <c r="J796" s="7"/>
      <c r="K796" s="7"/>
      <c r="L796" s="7"/>
      <c r="M796" s="7"/>
      <c r="N796" s="7"/>
      <c r="O796" s="7"/>
      <c r="P796" s="7"/>
      <c r="Q796" s="7"/>
      <c r="R796" s="7"/>
    </row>
    <row r="797" spans="6:18" ht="14.25" customHeight="1" x14ac:dyDescent="0.25">
      <c r="F797" s="7"/>
      <c r="G797" s="7"/>
      <c r="H797" s="7"/>
      <c r="I797" s="7"/>
      <c r="J797" s="7"/>
      <c r="K797" s="7"/>
      <c r="L797" s="7"/>
      <c r="M797" s="7"/>
      <c r="N797" s="7"/>
      <c r="O797" s="7"/>
      <c r="P797" s="7"/>
      <c r="Q797" s="7"/>
      <c r="R797" s="7"/>
    </row>
    <row r="798" spans="6:18" ht="14.25" customHeight="1" x14ac:dyDescent="0.25">
      <c r="F798" s="7"/>
      <c r="G798" s="7"/>
      <c r="H798" s="7"/>
      <c r="I798" s="7"/>
      <c r="J798" s="7"/>
      <c r="K798" s="7"/>
      <c r="L798" s="7"/>
      <c r="M798" s="7"/>
      <c r="N798" s="7"/>
      <c r="O798" s="7"/>
      <c r="P798" s="7"/>
      <c r="Q798" s="7"/>
      <c r="R798" s="7"/>
    </row>
    <row r="799" spans="6:18" ht="14.25" customHeight="1" x14ac:dyDescent="0.25">
      <c r="F799" s="7"/>
      <c r="G799" s="7"/>
      <c r="H799" s="7"/>
      <c r="I799" s="7"/>
      <c r="J799" s="7"/>
      <c r="K799" s="7"/>
      <c r="L799" s="7"/>
      <c r="M799" s="7"/>
      <c r="N799" s="7"/>
      <c r="O799" s="7"/>
      <c r="P799" s="7"/>
      <c r="Q799" s="7"/>
      <c r="R799" s="7"/>
    </row>
    <row r="800" spans="6:18" ht="14.25" customHeight="1" x14ac:dyDescent="0.25">
      <c r="F800" s="7"/>
      <c r="G800" s="7"/>
      <c r="H800" s="7"/>
      <c r="I800" s="7"/>
      <c r="J800" s="7"/>
      <c r="K800" s="7"/>
      <c r="L800" s="7"/>
      <c r="M800" s="7"/>
      <c r="N800" s="7"/>
      <c r="O800" s="7"/>
      <c r="P800" s="7"/>
      <c r="Q800" s="7"/>
      <c r="R800" s="7"/>
    </row>
    <row r="801" spans="6:18" ht="14.25" customHeight="1" x14ac:dyDescent="0.25">
      <c r="F801" s="7"/>
      <c r="G801" s="7"/>
      <c r="H801" s="7"/>
      <c r="I801" s="7"/>
      <c r="J801" s="7"/>
      <c r="K801" s="7"/>
      <c r="L801" s="7"/>
      <c r="M801" s="7"/>
      <c r="N801" s="7"/>
      <c r="O801" s="7"/>
      <c r="P801" s="7"/>
      <c r="Q801" s="7"/>
      <c r="R801" s="7"/>
    </row>
    <row r="802" spans="6:18" ht="14.25" customHeight="1" x14ac:dyDescent="0.25">
      <c r="F802" s="7"/>
      <c r="G802" s="7"/>
      <c r="H802" s="7"/>
      <c r="I802" s="7"/>
      <c r="J802" s="7"/>
      <c r="K802" s="7"/>
      <c r="L802" s="7"/>
      <c r="M802" s="7"/>
      <c r="N802" s="7"/>
      <c r="O802" s="7"/>
      <c r="P802" s="7"/>
      <c r="Q802" s="7"/>
      <c r="R802" s="7"/>
    </row>
    <row r="803" spans="6:18" ht="14.25" customHeight="1" x14ac:dyDescent="0.25">
      <c r="F803" s="7"/>
      <c r="G803" s="7"/>
      <c r="H803" s="7"/>
      <c r="I803" s="7"/>
      <c r="J803" s="7"/>
      <c r="K803" s="7"/>
      <c r="L803" s="7"/>
      <c r="M803" s="7"/>
      <c r="N803" s="7"/>
      <c r="O803" s="7"/>
      <c r="P803" s="7"/>
      <c r="Q803" s="7"/>
      <c r="R803" s="7"/>
    </row>
    <row r="804" spans="6:18" ht="14.25" customHeight="1" x14ac:dyDescent="0.25">
      <c r="F804" s="7"/>
      <c r="G804" s="7"/>
      <c r="H804" s="7"/>
      <c r="I804" s="7"/>
      <c r="J804" s="7"/>
      <c r="K804" s="7"/>
      <c r="L804" s="7"/>
      <c r="M804" s="7"/>
      <c r="N804" s="7"/>
      <c r="O804" s="7"/>
      <c r="P804" s="7"/>
      <c r="Q804" s="7"/>
      <c r="R804" s="7"/>
    </row>
    <row r="805" spans="6:18" ht="14.25" customHeight="1" x14ac:dyDescent="0.25">
      <c r="F805" s="7"/>
      <c r="G805" s="7"/>
      <c r="H805" s="7"/>
      <c r="I805" s="7"/>
      <c r="J805" s="7"/>
      <c r="K805" s="7"/>
      <c r="L805" s="7"/>
      <c r="M805" s="7"/>
      <c r="N805" s="7"/>
      <c r="O805" s="7"/>
      <c r="P805" s="7"/>
      <c r="Q805" s="7"/>
      <c r="R805" s="7"/>
    </row>
    <row r="806" spans="6:18" ht="14.25" customHeight="1" x14ac:dyDescent="0.25">
      <c r="F806" s="7"/>
      <c r="G806" s="7"/>
      <c r="H806" s="7"/>
      <c r="I806" s="7"/>
      <c r="J806" s="7"/>
      <c r="K806" s="7"/>
      <c r="L806" s="7"/>
      <c r="M806" s="7"/>
      <c r="N806" s="7"/>
      <c r="O806" s="7"/>
      <c r="P806" s="7"/>
      <c r="Q806" s="7"/>
      <c r="R806" s="7"/>
    </row>
    <row r="807" spans="6:18" ht="14.25" customHeight="1" x14ac:dyDescent="0.25">
      <c r="F807" s="7"/>
      <c r="G807" s="7"/>
      <c r="H807" s="7"/>
      <c r="I807" s="7"/>
      <c r="J807" s="7"/>
      <c r="K807" s="7"/>
      <c r="L807" s="7"/>
      <c r="M807" s="7"/>
      <c r="N807" s="7"/>
      <c r="O807" s="7"/>
      <c r="P807" s="7"/>
      <c r="Q807" s="7"/>
      <c r="R807" s="7"/>
    </row>
    <row r="808" spans="6:18" ht="14.25" customHeight="1" x14ac:dyDescent="0.25">
      <c r="F808" s="7"/>
      <c r="G808" s="7"/>
      <c r="H808" s="7"/>
      <c r="I808" s="7"/>
      <c r="J808" s="7"/>
      <c r="K808" s="7"/>
      <c r="L808" s="7"/>
      <c r="M808" s="7"/>
      <c r="N808" s="7"/>
      <c r="O808" s="7"/>
      <c r="P808" s="7"/>
      <c r="Q808" s="7"/>
      <c r="R808" s="7"/>
    </row>
    <row r="809" spans="6:18" ht="14.25" customHeight="1" x14ac:dyDescent="0.25">
      <c r="F809" s="7"/>
      <c r="G809" s="7"/>
      <c r="H809" s="7"/>
      <c r="I809" s="7"/>
      <c r="J809" s="7"/>
      <c r="K809" s="7"/>
      <c r="L809" s="7"/>
      <c r="M809" s="7"/>
      <c r="N809" s="7"/>
      <c r="O809" s="7"/>
      <c r="P809" s="7"/>
      <c r="Q809" s="7"/>
      <c r="R809" s="7"/>
    </row>
    <row r="810" spans="6:18" ht="14.25" customHeight="1" x14ac:dyDescent="0.25">
      <c r="F810" s="7"/>
      <c r="G810" s="7"/>
      <c r="H810" s="7"/>
      <c r="I810" s="7"/>
      <c r="J810" s="7"/>
      <c r="K810" s="7"/>
      <c r="L810" s="7"/>
      <c r="M810" s="7"/>
      <c r="N810" s="7"/>
      <c r="O810" s="7"/>
      <c r="P810" s="7"/>
      <c r="Q810" s="7"/>
      <c r="R810" s="7"/>
    </row>
    <row r="811" spans="6:18" ht="14.25" customHeight="1" x14ac:dyDescent="0.25">
      <c r="F811" s="7"/>
      <c r="G811" s="7"/>
      <c r="H811" s="7"/>
      <c r="I811" s="7"/>
      <c r="J811" s="7"/>
      <c r="K811" s="7"/>
      <c r="L811" s="7"/>
      <c r="M811" s="7"/>
      <c r="N811" s="7"/>
      <c r="O811" s="7"/>
      <c r="P811" s="7"/>
      <c r="Q811" s="7"/>
      <c r="R811" s="7"/>
    </row>
    <row r="812" spans="6:18" ht="14.25" customHeight="1" x14ac:dyDescent="0.25">
      <c r="F812" s="7"/>
      <c r="G812" s="7"/>
      <c r="H812" s="7"/>
      <c r="I812" s="7"/>
      <c r="J812" s="7"/>
      <c r="K812" s="7"/>
      <c r="L812" s="7"/>
      <c r="M812" s="7"/>
      <c r="N812" s="7"/>
      <c r="O812" s="7"/>
      <c r="P812" s="7"/>
      <c r="Q812" s="7"/>
      <c r="R812" s="7"/>
    </row>
    <row r="813" spans="6:18" ht="14.25" customHeight="1" x14ac:dyDescent="0.25">
      <c r="F813" s="7"/>
      <c r="G813" s="7"/>
      <c r="H813" s="7"/>
      <c r="I813" s="7"/>
      <c r="J813" s="7"/>
      <c r="K813" s="7"/>
      <c r="L813" s="7"/>
      <c r="M813" s="7"/>
      <c r="N813" s="7"/>
      <c r="O813" s="7"/>
      <c r="P813" s="7"/>
      <c r="Q813" s="7"/>
      <c r="R813" s="7"/>
    </row>
    <row r="814" spans="6:18" ht="14.25" customHeight="1" x14ac:dyDescent="0.25">
      <c r="F814" s="7"/>
      <c r="G814" s="7"/>
      <c r="H814" s="7"/>
      <c r="I814" s="7"/>
      <c r="J814" s="7"/>
      <c r="K814" s="7"/>
      <c r="L814" s="7"/>
      <c r="M814" s="7"/>
      <c r="N814" s="7"/>
      <c r="O814" s="7"/>
      <c r="P814" s="7"/>
      <c r="Q814" s="7"/>
      <c r="R814" s="7"/>
    </row>
    <row r="815" spans="6:18" ht="14.25" customHeight="1" x14ac:dyDescent="0.25">
      <c r="F815" s="7"/>
      <c r="G815" s="7"/>
      <c r="H815" s="7"/>
      <c r="I815" s="7"/>
      <c r="J815" s="7"/>
      <c r="K815" s="7"/>
      <c r="L815" s="7"/>
      <c r="M815" s="7"/>
      <c r="N815" s="7"/>
      <c r="O815" s="7"/>
      <c r="P815" s="7"/>
      <c r="Q815" s="7"/>
      <c r="R815" s="7"/>
    </row>
    <row r="816" spans="6:18" ht="14.25" customHeight="1" x14ac:dyDescent="0.25">
      <c r="F816" s="7"/>
      <c r="G816" s="7"/>
      <c r="H816" s="7"/>
      <c r="I816" s="7"/>
      <c r="J816" s="7"/>
      <c r="K816" s="7"/>
      <c r="L816" s="7"/>
      <c r="M816" s="7"/>
      <c r="N816" s="7"/>
      <c r="O816" s="7"/>
      <c r="P816" s="7"/>
      <c r="Q816" s="7"/>
      <c r="R816" s="7"/>
    </row>
    <row r="817" spans="6:18" ht="14.25" customHeight="1" x14ac:dyDescent="0.25">
      <c r="F817" s="7"/>
      <c r="G817" s="7"/>
      <c r="H817" s="7"/>
      <c r="I817" s="7"/>
      <c r="J817" s="7"/>
      <c r="K817" s="7"/>
      <c r="L817" s="7"/>
      <c r="M817" s="7"/>
      <c r="N817" s="7"/>
      <c r="O817" s="7"/>
      <c r="P817" s="7"/>
      <c r="Q817" s="7"/>
      <c r="R817" s="7"/>
    </row>
    <row r="818" spans="6:18" ht="14.25" customHeight="1" x14ac:dyDescent="0.25">
      <c r="F818" s="7"/>
      <c r="G818" s="7"/>
      <c r="H818" s="7"/>
      <c r="I818" s="7"/>
      <c r="J818" s="7"/>
      <c r="K818" s="7"/>
      <c r="L818" s="7"/>
      <c r="M818" s="7"/>
      <c r="N818" s="7"/>
      <c r="O818" s="7"/>
      <c r="P818" s="7"/>
      <c r="Q818" s="7"/>
      <c r="R818" s="7"/>
    </row>
    <row r="819" spans="6:18" ht="14.25" customHeight="1" x14ac:dyDescent="0.25">
      <c r="F819" s="7"/>
      <c r="G819" s="7"/>
      <c r="H819" s="7"/>
      <c r="I819" s="7"/>
      <c r="J819" s="7"/>
      <c r="K819" s="7"/>
      <c r="L819" s="7"/>
      <c r="M819" s="7"/>
      <c r="N819" s="7"/>
      <c r="O819" s="7"/>
      <c r="P819" s="7"/>
      <c r="Q819" s="7"/>
      <c r="R819" s="7"/>
    </row>
    <row r="820" spans="6:18" ht="14.25" customHeight="1" x14ac:dyDescent="0.25">
      <c r="F820" s="7"/>
      <c r="G820" s="7"/>
      <c r="H820" s="7"/>
      <c r="I820" s="7"/>
      <c r="J820" s="7"/>
      <c r="K820" s="7"/>
      <c r="L820" s="7"/>
      <c r="M820" s="7"/>
      <c r="N820" s="7"/>
      <c r="O820" s="7"/>
      <c r="P820" s="7"/>
      <c r="Q820" s="7"/>
      <c r="R820" s="7"/>
    </row>
    <row r="821" spans="6:18" ht="14.25" customHeight="1" x14ac:dyDescent="0.25">
      <c r="F821" s="7"/>
      <c r="G821" s="7"/>
      <c r="H821" s="7"/>
      <c r="I821" s="7"/>
      <c r="J821" s="7"/>
      <c r="K821" s="7"/>
      <c r="L821" s="7"/>
      <c r="M821" s="7"/>
      <c r="N821" s="7"/>
      <c r="O821" s="7"/>
      <c r="P821" s="7"/>
      <c r="Q821" s="7"/>
      <c r="R821" s="7"/>
    </row>
    <row r="822" spans="6:18" ht="14.25" customHeight="1" x14ac:dyDescent="0.25">
      <c r="F822" s="7"/>
      <c r="G822" s="7"/>
      <c r="H822" s="7"/>
      <c r="I822" s="7"/>
      <c r="J822" s="7"/>
      <c r="K822" s="7"/>
      <c r="L822" s="7"/>
      <c r="M822" s="7"/>
      <c r="N822" s="7"/>
      <c r="O822" s="7"/>
      <c r="P822" s="7"/>
      <c r="Q822" s="7"/>
      <c r="R822" s="7"/>
    </row>
    <row r="823" spans="6:18" ht="14.25" customHeight="1" x14ac:dyDescent="0.25">
      <c r="F823" s="7"/>
      <c r="G823" s="7"/>
      <c r="H823" s="7"/>
      <c r="I823" s="7"/>
      <c r="J823" s="7"/>
      <c r="K823" s="7"/>
      <c r="L823" s="7"/>
      <c r="M823" s="7"/>
      <c r="N823" s="7"/>
      <c r="O823" s="7"/>
      <c r="P823" s="7"/>
      <c r="Q823" s="7"/>
      <c r="R823" s="7"/>
    </row>
    <row r="824" spans="6:18" ht="14.25" customHeight="1" x14ac:dyDescent="0.25">
      <c r="F824" s="7"/>
      <c r="G824" s="7"/>
      <c r="H824" s="7"/>
      <c r="I824" s="7"/>
      <c r="J824" s="7"/>
      <c r="K824" s="7"/>
      <c r="L824" s="7"/>
      <c r="M824" s="7"/>
      <c r="N824" s="7"/>
      <c r="O824" s="7"/>
      <c r="P824" s="7"/>
      <c r="Q824" s="7"/>
      <c r="R824" s="7"/>
    </row>
    <row r="825" spans="6:18" ht="14.25" customHeight="1" x14ac:dyDescent="0.25">
      <c r="F825" s="7"/>
      <c r="G825" s="7"/>
      <c r="H825" s="7"/>
      <c r="I825" s="7"/>
      <c r="J825" s="7"/>
      <c r="K825" s="7"/>
      <c r="L825" s="7"/>
      <c r="M825" s="7"/>
      <c r="N825" s="7"/>
      <c r="O825" s="7"/>
      <c r="P825" s="7"/>
      <c r="Q825" s="7"/>
      <c r="R825" s="7"/>
    </row>
    <row r="826" spans="6:18" ht="14.25" customHeight="1" x14ac:dyDescent="0.25">
      <c r="F826" s="7"/>
      <c r="G826" s="7"/>
      <c r="H826" s="7"/>
      <c r="I826" s="7"/>
      <c r="J826" s="7"/>
      <c r="K826" s="7"/>
      <c r="L826" s="7"/>
      <c r="M826" s="7"/>
      <c r="N826" s="7"/>
      <c r="O826" s="7"/>
      <c r="P826" s="7"/>
      <c r="Q826" s="7"/>
      <c r="R826" s="7"/>
    </row>
    <row r="827" spans="6:18" ht="14.25" customHeight="1" x14ac:dyDescent="0.25">
      <c r="F827" s="7"/>
      <c r="G827" s="7"/>
      <c r="H827" s="7"/>
      <c r="I827" s="7"/>
      <c r="J827" s="7"/>
      <c r="K827" s="7"/>
      <c r="L827" s="7"/>
      <c r="M827" s="7"/>
      <c r="N827" s="7"/>
      <c r="O827" s="7"/>
      <c r="P827" s="7"/>
      <c r="Q827" s="7"/>
      <c r="R827" s="7"/>
    </row>
    <row r="828" spans="6:18" ht="14.25" customHeight="1" x14ac:dyDescent="0.25">
      <c r="F828" s="7"/>
      <c r="G828" s="7"/>
      <c r="H828" s="7"/>
      <c r="I828" s="7"/>
      <c r="J828" s="7"/>
      <c r="K828" s="7"/>
      <c r="L828" s="7"/>
      <c r="M828" s="7"/>
      <c r="N828" s="7"/>
      <c r="O828" s="7"/>
      <c r="P828" s="7"/>
      <c r="Q828" s="7"/>
      <c r="R828" s="7"/>
    </row>
    <row r="829" spans="6:18" ht="14.25" customHeight="1" x14ac:dyDescent="0.25">
      <c r="F829" s="7"/>
      <c r="G829" s="7"/>
      <c r="H829" s="7"/>
      <c r="I829" s="7"/>
      <c r="J829" s="7"/>
      <c r="K829" s="7"/>
      <c r="L829" s="7"/>
      <c r="M829" s="7"/>
      <c r="N829" s="7"/>
      <c r="O829" s="7"/>
      <c r="P829" s="7"/>
      <c r="Q829" s="7"/>
      <c r="R829" s="7"/>
    </row>
    <row r="830" spans="6:18" ht="14.25" customHeight="1" x14ac:dyDescent="0.25">
      <c r="F830" s="7"/>
      <c r="G830" s="7"/>
      <c r="H830" s="7"/>
      <c r="I830" s="7"/>
      <c r="J830" s="7"/>
      <c r="K830" s="7"/>
      <c r="L830" s="7"/>
      <c r="M830" s="7"/>
      <c r="N830" s="7"/>
      <c r="O830" s="7"/>
      <c r="P830" s="7"/>
      <c r="Q830" s="7"/>
      <c r="R830" s="7"/>
    </row>
    <row r="831" spans="6:18" ht="14.25" customHeight="1" x14ac:dyDescent="0.25">
      <c r="F831" s="7"/>
      <c r="G831" s="7"/>
      <c r="H831" s="7"/>
      <c r="I831" s="7"/>
      <c r="J831" s="7"/>
      <c r="K831" s="7"/>
      <c r="L831" s="7"/>
      <c r="M831" s="7"/>
      <c r="N831" s="7"/>
      <c r="O831" s="7"/>
      <c r="P831" s="7"/>
      <c r="Q831" s="7"/>
      <c r="R831" s="7"/>
    </row>
    <row r="832" spans="6:18" ht="14.25" customHeight="1" x14ac:dyDescent="0.25">
      <c r="F832" s="7"/>
      <c r="G832" s="7"/>
      <c r="H832" s="7"/>
      <c r="I832" s="7"/>
      <c r="J832" s="7"/>
      <c r="K832" s="7"/>
      <c r="L832" s="7"/>
      <c r="M832" s="7"/>
      <c r="N832" s="7"/>
      <c r="O832" s="7"/>
      <c r="P832" s="7"/>
      <c r="Q832" s="7"/>
      <c r="R832" s="7"/>
    </row>
    <row r="833" spans="6:18" ht="14.25" customHeight="1" x14ac:dyDescent="0.25">
      <c r="F833" s="7"/>
      <c r="G833" s="7"/>
      <c r="H833" s="7"/>
      <c r="I833" s="7"/>
      <c r="J833" s="7"/>
      <c r="K833" s="7"/>
      <c r="L833" s="7"/>
      <c r="M833" s="7"/>
      <c r="N833" s="7"/>
      <c r="O833" s="7"/>
      <c r="P833" s="7"/>
      <c r="Q833" s="7"/>
      <c r="R833" s="7"/>
    </row>
    <row r="834" spans="6:18" ht="14.25" customHeight="1" x14ac:dyDescent="0.25">
      <c r="F834" s="7"/>
      <c r="G834" s="7"/>
      <c r="H834" s="7"/>
      <c r="I834" s="7"/>
      <c r="J834" s="7"/>
      <c r="K834" s="7"/>
      <c r="L834" s="7"/>
      <c r="M834" s="7"/>
      <c r="N834" s="7"/>
      <c r="O834" s="7"/>
      <c r="P834" s="7"/>
      <c r="Q834" s="7"/>
      <c r="R834" s="7"/>
    </row>
    <row r="835" spans="6:18" ht="14.25" customHeight="1" x14ac:dyDescent="0.25">
      <c r="F835" s="7"/>
      <c r="G835" s="7"/>
      <c r="H835" s="7"/>
      <c r="I835" s="7"/>
      <c r="J835" s="7"/>
      <c r="K835" s="7"/>
      <c r="L835" s="7"/>
      <c r="M835" s="7"/>
      <c r="N835" s="7"/>
      <c r="O835" s="7"/>
      <c r="P835" s="7"/>
      <c r="Q835" s="7"/>
      <c r="R835" s="7"/>
    </row>
    <row r="836" spans="6:18" ht="14.25" customHeight="1" x14ac:dyDescent="0.25">
      <c r="F836" s="7"/>
      <c r="G836" s="7"/>
      <c r="H836" s="7"/>
      <c r="I836" s="7"/>
      <c r="J836" s="7"/>
      <c r="K836" s="7"/>
      <c r="L836" s="7"/>
      <c r="M836" s="7"/>
      <c r="N836" s="7"/>
      <c r="O836" s="7"/>
      <c r="P836" s="7"/>
      <c r="Q836" s="7"/>
      <c r="R836" s="7"/>
    </row>
    <row r="837" spans="6:18" ht="14.25" customHeight="1" x14ac:dyDescent="0.25">
      <c r="F837" s="7"/>
      <c r="G837" s="7"/>
      <c r="H837" s="7"/>
      <c r="I837" s="7"/>
      <c r="J837" s="7"/>
      <c r="K837" s="7"/>
      <c r="L837" s="7"/>
      <c r="M837" s="7"/>
      <c r="N837" s="7"/>
      <c r="O837" s="7"/>
      <c r="P837" s="7"/>
      <c r="Q837" s="7"/>
      <c r="R837" s="7"/>
    </row>
    <row r="838" spans="6:18" ht="14.25" customHeight="1" x14ac:dyDescent="0.25">
      <c r="F838" s="7"/>
      <c r="G838" s="7"/>
      <c r="H838" s="7"/>
      <c r="I838" s="7"/>
      <c r="J838" s="7"/>
      <c r="K838" s="7"/>
      <c r="L838" s="7"/>
      <c r="M838" s="7"/>
      <c r="N838" s="7"/>
      <c r="O838" s="7"/>
      <c r="P838" s="7"/>
      <c r="Q838" s="7"/>
      <c r="R838" s="7"/>
    </row>
    <row r="839" spans="6:18" ht="14.25" customHeight="1" x14ac:dyDescent="0.25">
      <c r="F839" s="7"/>
      <c r="G839" s="7"/>
      <c r="H839" s="7"/>
      <c r="I839" s="7"/>
      <c r="J839" s="7"/>
      <c r="K839" s="7"/>
      <c r="L839" s="7"/>
      <c r="M839" s="7"/>
      <c r="N839" s="7"/>
      <c r="O839" s="7"/>
      <c r="P839" s="7"/>
      <c r="Q839" s="7"/>
      <c r="R839" s="7"/>
    </row>
    <row r="840" spans="6:18" ht="14.25" customHeight="1" x14ac:dyDescent="0.25">
      <c r="F840" s="7"/>
      <c r="G840" s="7"/>
      <c r="H840" s="7"/>
      <c r="I840" s="7"/>
      <c r="J840" s="7"/>
      <c r="K840" s="7"/>
      <c r="L840" s="7"/>
      <c r="M840" s="7"/>
      <c r="N840" s="7"/>
      <c r="O840" s="7"/>
      <c r="P840" s="7"/>
      <c r="Q840" s="7"/>
      <c r="R840" s="7"/>
    </row>
    <row r="841" spans="6:18" ht="14.25" customHeight="1" x14ac:dyDescent="0.25">
      <c r="F841" s="7"/>
      <c r="G841" s="7"/>
      <c r="H841" s="7"/>
      <c r="I841" s="7"/>
      <c r="J841" s="7"/>
      <c r="K841" s="7"/>
      <c r="L841" s="7"/>
      <c r="M841" s="7"/>
      <c r="N841" s="7"/>
      <c r="O841" s="7"/>
      <c r="P841" s="7"/>
      <c r="Q841" s="7"/>
      <c r="R841" s="7"/>
    </row>
    <row r="842" spans="6:18" ht="14.25" customHeight="1" x14ac:dyDescent="0.25">
      <c r="F842" s="7"/>
      <c r="G842" s="7"/>
      <c r="H842" s="7"/>
      <c r="I842" s="7"/>
      <c r="J842" s="7"/>
      <c r="K842" s="7"/>
      <c r="L842" s="7"/>
      <c r="M842" s="7"/>
      <c r="N842" s="7"/>
      <c r="O842" s="7"/>
      <c r="P842" s="7"/>
      <c r="Q842" s="7"/>
      <c r="R842" s="7"/>
    </row>
    <row r="843" spans="6:18" ht="14.25" customHeight="1" x14ac:dyDescent="0.25">
      <c r="F843" s="7"/>
      <c r="G843" s="7"/>
      <c r="H843" s="7"/>
      <c r="I843" s="7"/>
      <c r="J843" s="7"/>
      <c r="K843" s="7"/>
      <c r="L843" s="7"/>
      <c r="M843" s="7"/>
      <c r="N843" s="7"/>
      <c r="O843" s="7"/>
      <c r="P843" s="7"/>
      <c r="Q843" s="7"/>
      <c r="R843" s="7"/>
    </row>
    <row r="844" spans="6:18" ht="14.25" customHeight="1" x14ac:dyDescent="0.25">
      <c r="F844" s="7"/>
      <c r="G844" s="7"/>
      <c r="H844" s="7"/>
      <c r="I844" s="7"/>
      <c r="J844" s="7"/>
      <c r="K844" s="7"/>
      <c r="L844" s="7"/>
      <c r="M844" s="7"/>
      <c r="N844" s="7"/>
      <c r="O844" s="7"/>
      <c r="P844" s="7"/>
      <c r="Q844" s="7"/>
      <c r="R844" s="7"/>
    </row>
    <row r="845" spans="6:18" ht="14.25" customHeight="1" x14ac:dyDescent="0.25">
      <c r="F845" s="7"/>
      <c r="G845" s="7"/>
      <c r="H845" s="7"/>
      <c r="I845" s="7"/>
      <c r="J845" s="7"/>
      <c r="K845" s="7"/>
      <c r="L845" s="7"/>
      <c r="M845" s="7"/>
      <c r="N845" s="7"/>
      <c r="O845" s="7"/>
      <c r="P845" s="7"/>
      <c r="Q845" s="7"/>
      <c r="R845" s="7"/>
    </row>
    <row r="846" spans="6:18" ht="14.25" customHeight="1" x14ac:dyDescent="0.25">
      <c r="F846" s="7"/>
      <c r="G846" s="7"/>
      <c r="H846" s="7"/>
      <c r="I846" s="7"/>
      <c r="J846" s="7"/>
      <c r="K846" s="7"/>
      <c r="L846" s="7"/>
      <c r="M846" s="7"/>
      <c r="N846" s="7"/>
      <c r="O846" s="7"/>
      <c r="P846" s="7"/>
      <c r="Q846" s="7"/>
      <c r="R846" s="7"/>
    </row>
    <row r="847" spans="6:18" ht="14.25" customHeight="1" x14ac:dyDescent="0.25">
      <c r="F847" s="7"/>
      <c r="G847" s="7"/>
      <c r="H847" s="7"/>
      <c r="I847" s="7"/>
      <c r="J847" s="7"/>
      <c r="K847" s="7"/>
      <c r="L847" s="7"/>
      <c r="M847" s="7"/>
      <c r="N847" s="7"/>
      <c r="O847" s="7"/>
      <c r="P847" s="7"/>
      <c r="Q847" s="7"/>
      <c r="R847" s="7"/>
    </row>
    <row r="848" spans="6:18" ht="14.25" customHeight="1" x14ac:dyDescent="0.25">
      <c r="F848" s="7"/>
      <c r="G848" s="7"/>
      <c r="H848" s="7"/>
      <c r="I848" s="7"/>
      <c r="J848" s="7"/>
      <c r="K848" s="7"/>
      <c r="L848" s="7"/>
      <c r="M848" s="7"/>
      <c r="N848" s="7"/>
      <c r="O848" s="7"/>
      <c r="P848" s="7"/>
      <c r="Q848" s="7"/>
      <c r="R848" s="7"/>
    </row>
    <row r="849" spans="6:18" ht="14.25" customHeight="1" x14ac:dyDescent="0.25">
      <c r="F849" s="7"/>
      <c r="G849" s="7"/>
      <c r="H849" s="7"/>
      <c r="I849" s="7"/>
      <c r="J849" s="7"/>
      <c r="K849" s="7"/>
      <c r="L849" s="7"/>
      <c r="M849" s="7"/>
      <c r="N849" s="7"/>
      <c r="O849" s="7"/>
      <c r="P849" s="7"/>
      <c r="Q849" s="7"/>
      <c r="R849" s="7"/>
    </row>
    <row r="850" spans="6:18" ht="14.25" customHeight="1" x14ac:dyDescent="0.25">
      <c r="F850" s="7"/>
      <c r="G850" s="7"/>
      <c r="H850" s="7"/>
      <c r="I850" s="7"/>
      <c r="J850" s="7"/>
      <c r="K850" s="7"/>
      <c r="L850" s="7"/>
      <c r="M850" s="7"/>
      <c r="N850" s="7"/>
      <c r="O850" s="7"/>
      <c r="P850" s="7"/>
      <c r="Q850" s="7"/>
      <c r="R850" s="7"/>
    </row>
    <row r="851" spans="6:18" ht="14.25" customHeight="1" x14ac:dyDescent="0.25">
      <c r="F851" s="7"/>
      <c r="G851" s="7"/>
      <c r="H851" s="7"/>
      <c r="I851" s="7"/>
      <c r="J851" s="7"/>
      <c r="K851" s="7"/>
      <c r="L851" s="7"/>
      <c r="M851" s="7"/>
      <c r="N851" s="7"/>
      <c r="O851" s="7"/>
      <c r="P851" s="7"/>
      <c r="Q851" s="7"/>
      <c r="R851" s="7"/>
    </row>
    <row r="852" spans="6:18" ht="14.25" customHeight="1" x14ac:dyDescent="0.25">
      <c r="F852" s="7"/>
      <c r="G852" s="7"/>
      <c r="H852" s="7"/>
      <c r="I852" s="7"/>
      <c r="J852" s="7"/>
      <c r="K852" s="7"/>
      <c r="L852" s="7"/>
      <c r="M852" s="7"/>
      <c r="N852" s="7"/>
      <c r="O852" s="7"/>
      <c r="P852" s="7"/>
      <c r="Q852" s="7"/>
      <c r="R852" s="7"/>
    </row>
    <row r="853" spans="6:18" ht="14.25" customHeight="1" x14ac:dyDescent="0.25">
      <c r="F853" s="7"/>
      <c r="G853" s="7"/>
      <c r="H853" s="7"/>
      <c r="I853" s="7"/>
      <c r="J853" s="7"/>
      <c r="K853" s="7"/>
      <c r="L853" s="7"/>
      <c r="M853" s="7"/>
      <c r="N853" s="7"/>
      <c r="O853" s="7"/>
      <c r="P853" s="7"/>
      <c r="Q853" s="7"/>
      <c r="R853" s="7"/>
    </row>
    <row r="854" spans="6:18" ht="14.25" customHeight="1" x14ac:dyDescent="0.25">
      <c r="F854" s="7"/>
      <c r="G854" s="7"/>
      <c r="H854" s="7"/>
      <c r="I854" s="7"/>
      <c r="J854" s="7"/>
      <c r="K854" s="7"/>
      <c r="L854" s="7"/>
      <c r="M854" s="7"/>
      <c r="N854" s="7"/>
      <c r="O854" s="7"/>
      <c r="P854" s="7"/>
      <c r="Q854" s="7"/>
      <c r="R854" s="7"/>
    </row>
    <row r="855" spans="6:18" ht="14.25" customHeight="1" x14ac:dyDescent="0.25">
      <c r="F855" s="7"/>
      <c r="G855" s="7"/>
      <c r="H855" s="7"/>
      <c r="I855" s="7"/>
      <c r="J855" s="7"/>
      <c r="K855" s="7"/>
      <c r="L855" s="7"/>
      <c r="M855" s="7"/>
      <c r="N855" s="7"/>
      <c r="O855" s="7"/>
      <c r="P855" s="7"/>
      <c r="Q855" s="7"/>
      <c r="R855" s="7"/>
    </row>
    <row r="856" spans="6:18" ht="14.25" customHeight="1" x14ac:dyDescent="0.25">
      <c r="F856" s="7"/>
      <c r="G856" s="7"/>
      <c r="H856" s="7"/>
      <c r="I856" s="7"/>
      <c r="J856" s="7"/>
      <c r="K856" s="7"/>
      <c r="L856" s="7"/>
      <c r="M856" s="7"/>
      <c r="N856" s="7"/>
      <c r="O856" s="7"/>
      <c r="P856" s="7"/>
      <c r="Q856" s="7"/>
      <c r="R856" s="7"/>
    </row>
    <row r="857" spans="6:18" ht="14.25" customHeight="1" x14ac:dyDescent="0.25">
      <c r="F857" s="7"/>
      <c r="G857" s="7"/>
      <c r="H857" s="7"/>
      <c r="I857" s="7"/>
      <c r="J857" s="7"/>
      <c r="K857" s="7"/>
      <c r="L857" s="7"/>
      <c r="M857" s="7"/>
      <c r="N857" s="7"/>
      <c r="O857" s="7"/>
      <c r="P857" s="7"/>
      <c r="Q857" s="7"/>
      <c r="R857" s="7"/>
    </row>
    <row r="858" spans="6:18" ht="14.25" customHeight="1" x14ac:dyDescent="0.25">
      <c r="F858" s="7"/>
      <c r="G858" s="7"/>
      <c r="H858" s="7"/>
      <c r="I858" s="7"/>
      <c r="J858" s="7"/>
      <c r="K858" s="7"/>
      <c r="L858" s="7"/>
      <c r="M858" s="7"/>
      <c r="N858" s="7"/>
      <c r="O858" s="7"/>
      <c r="P858" s="7"/>
      <c r="Q858" s="7"/>
      <c r="R858" s="7"/>
    </row>
    <row r="859" spans="6:18" ht="14.25" customHeight="1" x14ac:dyDescent="0.25">
      <c r="F859" s="7"/>
      <c r="G859" s="7"/>
      <c r="H859" s="7"/>
      <c r="I859" s="7"/>
      <c r="J859" s="7"/>
      <c r="K859" s="7"/>
      <c r="L859" s="7"/>
      <c r="M859" s="7"/>
      <c r="N859" s="7"/>
      <c r="O859" s="7"/>
      <c r="P859" s="7"/>
      <c r="Q859" s="7"/>
      <c r="R859" s="7"/>
    </row>
    <row r="860" spans="6:18" ht="14.25" customHeight="1" x14ac:dyDescent="0.25">
      <c r="F860" s="7"/>
      <c r="G860" s="7"/>
      <c r="H860" s="7"/>
      <c r="I860" s="7"/>
      <c r="J860" s="7"/>
      <c r="K860" s="7"/>
      <c r="L860" s="7"/>
      <c r="M860" s="7"/>
      <c r="N860" s="7"/>
      <c r="O860" s="7"/>
      <c r="P860" s="7"/>
      <c r="Q860" s="7"/>
      <c r="R860" s="7"/>
    </row>
    <row r="861" spans="6:18" ht="14.25" customHeight="1" x14ac:dyDescent="0.25">
      <c r="F861" s="7"/>
      <c r="G861" s="7"/>
      <c r="H861" s="7"/>
      <c r="I861" s="7"/>
      <c r="J861" s="7"/>
      <c r="K861" s="7"/>
      <c r="L861" s="7"/>
      <c r="M861" s="7"/>
      <c r="N861" s="7"/>
      <c r="O861" s="7"/>
      <c r="P861" s="7"/>
      <c r="Q861" s="7"/>
      <c r="R861" s="7"/>
    </row>
    <row r="862" spans="6:18" ht="14.25" customHeight="1" x14ac:dyDescent="0.25">
      <c r="F862" s="7"/>
      <c r="G862" s="7"/>
      <c r="H862" s="7"/>
      <c r="I862" s="7"/>
      <c r="J862" s="7"/>
      <c r="K862" s="7"/>
      <c r="L862" s="7"/>
      <c r="M862" s="7"/>
      <c r="N862" s="7"/>
      <c r="O862" s="7"/>
      <c r="P862" s="7"/>
      <c r="Q862" s="7"/>
      <c r="R862" s="7"/>
    </row>
    <row r="863" spans="6:18" ht="14.25" customHeight="1" x14ac:dyDescent="0.25">
      <c r="F863" s="7"/>
      <c r="G863" s="7"/>
      <c r="H863" s="7"/>
      <c r="I863" s="7"/>
      <c r="J863" s="7"/>
      <c r="K863" s="7"/>
      <c r="L863" s="7"/>
      <c r="M863" s="7"/>
      <c r="N863" s="7"/>
      <c r="O863" s="7"/>
      <c r="P863" s="7"/>
      <c r="Q863" s="7"/>
      <c r="R863" s="7"/>
    </row>
    <row r="864" spans="6:18" ht="14.25" customHeight="1" x14ac:dyDescent="0.25">
      <c r="F864" s="7"/>
      <c r="G864" s="7"/>
      <c r="H864" s="7"/>
      <c r="I864" s="7"/>
      <c r="J864" s="7"/>
      <c r="K864" s="7"/>
      <c r="L864" s="7"/>
      <c r="M864" s="7"/>
      <c r="N864" s="7"/>
      <c r="O864" s="7"/>
      <c r="P864" s="7"/>
      <c r="Q864" s="7"/>
      <c r="R864" s="7"/>
    </row>
    <row r="865" spans="6:18" ht="14.25" customHeight="1" x14ac:dyDescent="0.25">
      <c r="F865" s="7"/>
      <c r="G865" s="7"/>
      <c r="H865" s="7"/>
      <c r="I865" s="7"/>
      <c r="J865" s="7"/>
      <c r="K865" s="7"/>
      <c r="L865" s="7"/>
      <c r="M865" s="7"/>
      <c r="N865" s="7"/>
      <c r="O865" s="7"/>
      <c r="P865" s="7"/>
      <c r="Q865" s="7"/>
      <c r="R865" s="7"/>
    </row>
    <row r="866" spans="6:18" ht="14.25" customHeight="1" x14ac:dyDescent="0.25">
      <c r="F866" s="7"/>
      <c r="G866" s="7"/>
      <c r="H866" s="7"/>
      <c r="I866" s="7"/>
      <c r="J866" s="7"/>
      <c r="K866" s="7"/>
      <c r="L866" s="7"/>
      <c r="M866" s="7"/>
      <c r="N866" s="7"/>
      <c r="O866" s="7"/>
      <c r="P866" s="7"/>
      <c r="Q866" s="7"/>
      <c r="R866" s="7"/>
    </row>
    <row r="867" spans="6:18" ht="14.25" customHeight="1" x14ac:dyDescent="0.25">
      <c r="F867" s="7"/>
      <c r="G867" s="7"/>
      <c r="H867" s="7"/>
      <c r="I867" s="7"/>
      <c r="J867" s="7"/>
      <c r="K867" s="7"/>
      <c r="L867" s="7"/>
      <c r="M867" s="7"/>
      <c r="N867" s="7"/>
      <c r="O867" s="7"/>
      <c r="P867" s="7"/>
      <c r="Q867" s="7"/>
      <c r="R867" s="7"/>
    </row>
    <row r="868" spans="6:18" ht="14.25" customHeight="1" x14ac:dyDescent="0.25">
      <c r="F868" s="7"/>
      <c r="G868" s="7"/>
      <c r="H868" s="7"/>
      <c r="I868" s="7"/>
      <c r="J868" s="7"/>
      <c r="K868" s="7"/>
      <c r="L868" s="7"/>
      <c r="M868" s="7"/>
      <c r="N868" s="7"/>
      <c r="O868" s="7"/>
      <c r="P868" s="7"/>
      <c r="Q868" s="7"/>
      <c r="R868" s="7"/>
    </row>
    <row r="869" spans="6:18" ht="14.25" customHeight="1" x14ac:dyDescent="0.25">
      <c r="F869" s="7"/>
      <c r="G869" s="7"/>
      <c r="H869" s="7"/>
      <c r="I869" s="7"/>
      <c r="J869" s="7"/>
      <c r="K869" s="7"/>
      <c r="L869" s="7"/>
      <c r="M869" s="7"/>
      <c r="N869" s="7"/>
      <c r="O869" s="7"/>
      <c r="P869" s="7"/>
      <c r="Q869" s="7"/>
      <c r="R869" s="7"/>
    </row>
    <row r="870" spans="6:18" ht="14.25" customHeight="1" x14ac:dyDescent="0.25">
      <c r="F870" s="7"/>
      <c r="G870" s="7"/>
      <c r="H870" s="7"/>
      <c r="I870" s="7"/>
      <c r="J870" s="7"/>
      <c r="K870" s="7"/>
      <c r="L870" s="7"/>
      <c r="M870" s="7"/>
      <c r="N870" s="7"/>
      <c r="O870" s="7"/>
      <c r="P870" s="7"/>
      <c r="Q870" s="7"/>
      <c r="R870" s="7"/>
    </row>
    <row r="871" spans="6:18" ht="14.25" customHeight="1" x14ac:dyDescent="0.25">
      <c r="F871" s="7"/>
      <c r="G871" s="7"/>
      <c r="H871" s="7"/>
      <c r="I871" s="7"/>
      <c r="J871" s="7"/>
      <c r="K871" s="7"/>
      <c r="L871" s="7"/>
      <c r="M871" s="7"/>
      <c r="N871" s="7"/>
      <c r="O871" s="7"/>
      <c r="P871" s="7"/>
      <c r="Q871" s="7"/>
      <c r="R871" s="7"/>
    </row>
    <row r="872" spans="6:18" ht="14.25" customHeight="1" x14ac:dyDescent="0.25">
      <c r="F872" s="7"/>
      <c r="G872" s="7"/>
      <c r="H872" s="7"/>
      <c r="I872" s="7"/>
      <c r="J872" s="7"/>
      <c r="K872" s="7"/>
      <c r="L872" s="7"/>
      <c r="M872" s="7"/>
      <c r="N872" s="7"/>
      <c r="O872" s="7"/>
      <c r="P872" s="7"/>
      <c r="Q872" s="7"/>
      <c r="R872" s="7"/>
    </row>
    <row r="873" spans="6:18" ht="14.25" customHeight="1" x14ac:dyDescent="0.25">
      <c r="F873" s="7"/>
      <c r="G873" s="7"/>
      <c r="H873" s="7"/>
      <c r="I873" s="7"/>
      <c r="J873" s="7"/>
      <c r="K873" s="7"/>
      <c r="L873" s="7"/>
      <c r="M873" s="7"/>
      <c r="N873" s="7"/>
      <c r="O873" s="7"/>
      <c r="P873" s="7"/>
      <c r="Q873" s="7"/>
      <c r="R873" s="7"/>
    </row>
    <row r="874" spans="6:18" ht="14.25" customHeight="1" x14ac:dyDescent="0.25">
      <c r="F874" s="7"/>
      <c r="G874" s="7"/>
      <c r="H874" s="7"/>
      <c r="I874" s="7"/>
      <c r="J874" s="7"/>
      <c r="K874" s="7"/>
      <c r="L874" s="7"/>
      <c r="M874" s="7"/>
      <c r="N874" s="7"/>
      <c r="O874" s="7"/>
      <c r="P874" s="7"/>
      <c r="Q874" s="7"/>
      <c r="R874" s="7"/>
    </row>
    <row r="875" spans="6:18" ht="14.25" customHeight="1" x14ac:dyDescent="0.25">
      <c r="F875" s="7"/>
      <c r="G875" s="7"/>
      <c r="H875" s="7"/>
      <c r="I875" s="7"/>
      <c r="J875" s="7"/>
      <c r="K875" s="7"/>
      <c r="L875" s="7"/>
      <c r="M875" s="7"/>
      <c r="N875" s="7"/>
      <c r="O875" s="7"/>
      <c r="P875" s="7"/>
      <c r="Q875" s="7"/>
      <c r="R875" s="7"/>
    </row>
    <row r="876" spans="6:18" ht="14.25" customHeight="1" x14ac:dyDescent="0.25">
      <c r="F876" s="7"/>
      <c r="G876" s="7"/>
      <c r="H876" s="7"/>
      <c r="I876" s="7"/>
      <c r="J876" s="7"/>
      <c r="K876" s="7"/>
      <c r="L876" s="7"/>
      <c r="M876" s="7"/>
      <c r="N876" s="7"/>
      <c r="O876" s="7"/>
      <c r="P876" s="7"/>
      <c r="Q876" s="7"/>
      <c r="R876" s="7"/>
    </row>
    <row r="877" spans="6:18" ht="14.25" customHeight="1" x14ac:dyDescent="0.25">
      <c r="F877" s="7"/>
      <c r="G877" s="7"/>
      <c r="H877" s="7"/>
      <c r="I877" s="7"/>
      <c r="J877" s="7"/>
      <c r="K877" s="7"/>
      <c r="L877" s="7"/>
      <c r="M877" s="7"/>
      <c r="N877" s="7"/>
      <c r="O877" s="7"/>
      <c r="P877" s="7"/>
      <c r="Q877" s="7"/>
      <c r="R877" s="7"/>
    </row>
    <row r="878" spans="6:18" ht="14.25" customHeight="1" x14ac:dyDescent="0.25">
      <c r="F878" s="7"/>
      <c r="G878" s="7"/>
      <c r="H878" s="7"/>
      <c r="I878" s="7"/>
      <c r="J878" s="7"/>
      <c r="K878" s="7"/>
      <c r="L878" s="7"/>
      <c r="M878" s="7"/>
      <c r="N878" s="7"/>
      <c r="O878" s="7"/>
      <c r="P878" s="7"/>
      <c r="Q878" s="7"/>
      <c r="R878" s="7"/>
    </row>
    <row r="879" spans="6:18" ht="14.25" customHeight="1" x14ac:dyDescent="0.25">
      <c r="F879" s="7"/>
      <c r="G879" s="7"/>
      <c r="H879" s="7"/>
      <c r="I879" s="7"/>
      <c r="J879" s="7"/>
      <c r="K879" s="7"/>
      <c r="L879" s="7"/>
      <c r="M879" s="7"/>
      <c r="N879" s="7"/>
      <c r="O879" s="7"/>
      <c r="P879" s="7"/>
      <c r="Q879" s="7"/>
      <c r="R879" s="7"/>
    </row>
    <row r="880" spans="6:18" ht="14.25" customHeight="1" x14ac:dyDescent="0.25">
      <c r="F880" s="7"/>
      <c r="G880" s="7"/>
      <c r="H880" s="7"/>
      <c r="I880" s="7"/>
      <c r="J880" s="7"/>
      <c r="K880" s="7"/>
      <c r="L880" s="7"/>
      <c r="M880" s="7"/>
      <c r="N880" s="7"/>
      <c r="O880" s="7"/>
      <c r="P880" s="7"/>
      <c r="Q880" s="7"/>
      <c r="R880" s="7"/>
    </row>
    <row r="881" spans="6:18" ht="14.25" customHeight="1" x14ac:dyDescent="0.25">
      <c r="F881" s="7"/>
      <c r="G881" s="7"/>
      <c r="H881" s="7"/>
      <c r="I881" s="7"/>
      <c r="J881" s="7"/>
      <c r="K881" s="7"/>
      <c r="L881" s="7"/>
      <c r="M881" s="7"/>
      <c r="N881" s="7"/>
      <c r="O881" s="7"/>
      <c r="P881" s="7"/>
      <c r="Q881" s="7"/>
      <c r="R881" s="7"/>
    </row>
    <row r="882" spans="6:18" ht="14.25" customHeight="1" x14ac:dyDescent="0.25">
      <c r="F882" s="7"/>
      <c r="G882" s="7"/>
      <c r="H882" s="7"/>
      <c r="I882" s="7"/>
      <c r="J882" s="7"/>
      <c r="K882" s="7"/>
      <c r="L882" s="7"/>
      <c r="M882" s="7"/>
      <c r="N882" s="7"/>
      <c r="O882" s="7"/>
      <c r="P882" s="7"/>
      <c r="Q882" s="7"/>
      <c r="R882" s="7"/>
    </row>
    <row r="883" spans="6:18" ht="14.25" customHeight="1" x14ac:dyDescent="0.25">
      <c r="F883" s="7"/>
      <c r="G883" s="7"/>
      <c r="H883" s="7"/>
      <c r="I883" s="7"/>
      <c r="J883" s="7"/>
      <c r="K883" s="7"/>
      <c r="L883" s="7"/>
      <c r="M883" s="7"/>
      <c r="N883" s="7"/>
      <c r="O883" s="7"/>
      <c r="P883" s="7"/>
      <c r="Q883" s="7"/>
      <c r="R883" s="7"/>
    </row>
    <row r="884" spans="6:18" ht="14.25" customHeight="1" x14ac:dyDescent="0.25">
      <c r="F884" s="7"/>
      <c r="G884" s="7"/>
      <c r="H884" s="7"/>
      <c r="I884" s="7"/>
      <c r="J884" s="7"/>
      <c r="K884" s="7"/>
      <c r="L884" s="7"/>
      <c r="M884" s="7"/>
      <c r="N884" s="7"/>
      <c r="O884" s="7"/>
      <c r="P884" s="7"/>
      <c r="Q884" s="7"/>
      <c r="R884" s="7"/>
    </row>
    <row r="885" spans="6:18" ht="14.25" customHeight="1" x14ac:dyDescent="0.25">
      <c r="F885" s="7"/>
      <c r="G885" s="7"/>
      <c r="H885" s="7"/>
      <c r="I885" s="7"/>
      <c r="J885" s="7"/>
      <c r="K885" s="7"/>
      <c r="L885" s="7"/>
      <c r="M885" s="7"/>
      <c r="N885" s="7"/>
      <c r="O885" s="7"/>
      <c r="P885" s="7"/>
      <c r="Q885" s="7"/>
      <c r="R885" s="7"/>
    </row>
    <row r="886" spans="6:18" ht="14.25" customHeight="1" x14ac:dyDescent="0.25">
      <c r="F886" s="7"/>
      <c r="G886" s="7"/>
      <c r="H886" s="7"/>
      <c r="I886" s="7"/>
      <c r="J886" s="7"/>
      <c r="K886" s="7"/>
      <c r="L886" s="7"/>
      <c r="M886" s="7"/>
      <c r="N886" s="7"/>
      <c r="O886" s="7"/>
      <c r="P886" s="7"/>
      <c r="Q886" s="7"/>
      <c r="R886" s="7"/>
    </row>
    <row r="887" spans="6:18" ht="14.25" customHeight="1" x14ac:dyDescent="0.25">
      <c r="F887" s="7"/>
      <c r="G887" s="7"/>
      <c r="H887" s="7"/>
      <c r="I887" s="7"/>
      <c r="J887" s="7"/>
      <c r="K887" s="7"/>
      <c r="L887" s="7"/>
      <c r="M887" s="7"/>
      <c r="N887" s="7"/>
      <c r="O887" s="7"/>
      <c r="P887" s="7"/>
      <c r="Q887" s="7"/>
      <c r="R887" s="7"/>
    </row>
    <row r="888" spans="6:18" ht="14.25" customHeight="1" x14ac:dyDescent="0.25">
      <c r="F888" s="7"/>
      <c r="G888" s="7"/>
      <c r="H888" s="7"/>
      <c r="I888" s="7"/>
      <c r="J888" s="7"/>
      <c r="K888" s="7"/>
      <c r="L888" s="7"/>
      <c r="M888" s="7"/>
      <c r="N888" s="7"/>
      <c r="O888" s="7"/>
      <c r="P888" s="7"/>
      <c r="Q888" s="7"/>
      <c r="R888" s="7"/>
    </row>
    <row r="889" spans="6:18" ht="14.25" customHeight="1" x14ac:dyDescent="0.25">
      <c r="F889" s="7"/>
      <c r="G889" s="7"/>
      <c r="H889" s="7"/>
      <c r="I889" s="7"/>
      <c r="J889" s="7"/>
      <c r="K889" s="7"/>
      <c r="L889" s="7"/>
      <c r="M889" s="7"/>
      <c r="N889" s="7"/>
      <c r="O889" s="7"/>
      <c r="P889" s="7"/>
      <c r="Q889" s="7"/>
      <c r="R889" s="7"/>
    </row>
    <row r="890" spans="6:18" ht="14.25" customHeight="1" x14ac:dyDescent="0.25">
      <c r="F890" s="7"/>
      <c r="G890" s="7"/>
      <c r="H890" s="7"/>
      <c r="I890" s="7"/>
      <c r="J890" s="7"/>
      <c r="K890" s="7"/>
      <c r="L890" s="7"/>
      <c r="M890" s="7"/>
      <c r="N890" s="7"/>
      <c r="O890" s="7"/>
      <c r="P890" s="7"/>
      <c r="Q890" s="7"/>
      <c r="R890" s="7"/>
    </row>
    <row r="891" spans="6:18" ht="14.25" customHeight="1" x14ac:dyDescent="0.25">
      <c r="F891" s="7"/>
      <c r="G891" s="7"/>
      <c r="H891" s="7"/>
      <c r="I891" s="7"/>
      <c r="J891" s="7"/>
      <c r="K891" s="7"/>
      <c r="L891" s="7"/>
      <c r="M891" s="7"/>
      <c r="N891" s="7"/>
      <c r="O891" s="7"/>
      <c r="P891" s="7"/>
      <c r="Q891" s="7"/>
      <c r="R891" s="7"/>
    </row>
    <row r="892" spans="6:18" ht="14.25" customHeight="1" x14ac:dyDescent="0.25">
      <c r="F892" s="7"/>
      <c r="G892" s="7"/>
      <c r="H892" s="7"/>
      <c r="I892" s="7"/>
      <c r="J892" s="7"/>
      <c r="K892" s="7"/>
      <c r="L892" s="7"/>
      <c r="M892" s="7"/>
      <c r="N892" s="7"/>
      <c r="O892" s="7"/>
      <c r="P892" s="7"/>
      <c r="Q892" s="7"/>
      <c r="R892" s="7"/>
    </row>
    <row r="893" spans="6:18" ht="14.25" customHeight="1" x14ac:dyDescent="0.25">
      <c r="F893" s="7"/>
      <c r="G893" s="7"/>
      <c r="H893" s="7"/>
      <c r="I893" s="7"/>
      <c r="J893" s="7"/>
      <c r="K893" s="7"/>
      <c r="L893" s="7"/>
      <c r="M893" s="7"/>
      <c r="N893" s="7"/>
      <c r="O893" s="7"/>
      <c r="P893" s="7"/>
      <c r="Q893" s="7"/>
      <c r="R893" s="7"/>
    </row>
    <row r="894" spans="6:18" ht="14.25" customHeight="1" x14ac:dyDescent="0.25">
      <c r="F894" s="7"/>
      <c r="G894" s="7"/>
      <c r="H894" s="7"/>
      <c r="I894" s="7"/>
      <c r="J894" s="7"/>
      <c r="K894" s="7"/>
      <c r="L894" s="7"/>
      <c r="M894" s="7"/>
      <c r="N894" s="7"/>
      <c r="O894" s="7"/>
      <c r="P894" s="7"/>
      <c r="Q894" s="7"/>
      <c r="R894" s="7"/>
    </row>
    <row r="895" spans="6:18" ht="14.25" customHeight="1" x14ac:dyDescent="0.25">
      <c r="F895" s="7"/>
      <c r="G895" s="7"/>
      <c r="H895" s="7"/>
      <c r="I895" s="7"/>
      <c r="J895" s="7"/>
      <c r="K895" s="7"/>
      <c r="L895" s="7"/>
      <c r="M895" s="7"/>
      <c r="N895" s="7"/>
      <c r="O895" s="7"/>
      <c r="P895" s="7"/>
      <c r="Q895" s="7"/>
      <c r="R895" s="7"/>
    </row>
    <row r="896" spans="6:18" ht="14.25" customHeight="1" x14ac:dyDescent="0.25">
      <c r="F896" s="7"/>
      <c r="G896" s="7"/>
      <c r="H896" s="7"/>
      <c r="I896" s="7"/>
      <c r="J896" s="7"/>
      <c r="K896" s="7"/>
      <c r="L896" s="7"/>
      <c r="M896" s="7"/>
      <c r="N896" s="7"/>
      <c r="O896" s="7"/>
      <c r="P896" s="7"/>
      <c r="Q896" s="7"/>
      <c r="R896" s="7"/>
    </row>
    <row r="897" spans="6:18" ht="14.25" customHeight="1" x14ac:dyDescent="0.25">
      <c r="F897" s="7"/>
      <c r="G897" s="7"/>
      <c r="H897" s="7"/>
      <c r="I897" s="7"/>
      <c r="J897" s="7"/>
      <c r="K897" s="7"/>
      <c r="L897" s="7"/>
      <c r="M897" s="7"/>
      <c r="N897" s="7"/>
      <c r="O897" s="7"/>
      <c r="P897" s="7"/>
      <c r="Q897" s="7"/>
      <c r="R897" s="7"/>
    </row>
    <row r="898" spans="6:18" ht="14.25" customHeight="1" x14ac:dyDescent="0.25">
      <c r="F898" s="7"/>
      <c r="G898" s="7"/>
      <c r="H898" s="7"/>
      <c r="I898" s="7"/>
      <c r="J898" s="7"/>
      <c r="K898" s="7"/>
      <c r="L898" s="7"/>
      <c r="M898" s="7"/>
      <c r="N898" s="7"/>
      <c r="O898" s="7"/>
      <c r="P898" s="7"/>
      <c r="Q898" s="7"/>
      <c r="R898" s="7"/>
    </row>
    <row r="899" spans="6:18" ht="14.25" customHeight="1" x14ac:dyDescent="0.25">
      <c r="F899" s="7"/>
      <c r="G899" s="7"/>
      <c r="H899" s="7"/>
      <c r="I899" s="7"/>
      <c r="J899" s="7"/>
      <c r="K899" s="7"/>
      <c r="L899" s="7"/>
      <c r="M899" s="7"/>
      <c r="N899" s="7"/>
      <c r="O899" s="7"/>
      <c r="P899" s="7"/>
      <c r="Q899" s="7"/>
      <c r="R899" s="7"/>
    </row>
    <row r="900" spans="6:18" ht="14.25" customHeight="1" x14ac:dyDescent="0.25">
      <c r="F900" s="7"/>
      <c r="G900" s="7"/>
      <c r="H900" s="7"/>
      <c r="I900" s="7"/>
      <c r="J900" s="7"/>
      <c r="K900" s="7"/>
      <c r="L900" s="7"/>
      <c r="M900" s="7"/>
      <c r="N900" s="7"/>
      <c r="O900" s="7"/>
      <c r="P900" s="7"/>
      <c r="Q900" s="7"/>
      <c r="R900" s="7"/>
    </row>
    <row r="901" spans="6:18" ht="14.25" customHeight="1" x14ac:dyDescent="0.25">
      <c r="F901" s="7"/>
      <c r="G901" s="7"/>
      <c r="H901" s="7"/>
      <c r="I901" s="7"/>
      <c r="J901" s="7"/>
      <c r="K901" s="7"/>
      <c r="L901" s="7"/>
      <c r="M901" s="7"/>
      <c r="N901" s="7"/>
      <c r="O901" s="7"/>
      <c r="P901" s="7"/>
      <c r="Q901" s="7"/>
      <c r="R901" s="7"/>
    </row>
    <row r="902" spans="6:18" ht="14.25" customHeight="1" x14ac:dyDescent="0.25">
      <c r="F902" s="7"/>
      <c r="G902" s="7"/>
      <c r="H902" s="7"/>
      <c r="I902" s="7"/>
      <c r="J902" s="7"/>
      <c r="K902" s="7"/>
      <c r="L902" s="7"/>
      <c r="M902" s="7"/>
      <c r="N902" s="7"/>
      <c r="O902" s="7"/>
      <c r="P902" s="7"/>
      <c r="Q902" s="7"/>
      <c r="R902" s="7"/>
    </row>
    <row r="903" spans="6:18" ht="14.25" customHeight="1" x14ac:dyDescent="0.25">
      <c r="F903" s="7"/>
      <c r="G903" s="7"/>
      <c r="H903" s="7"/>
      <c r="I903" s="7"/>
      <c r="J903" s="7"/>
      <c r="K903" s="7"/>
      <c r="L903" s="7"/>
      <c r="M903" s="7"/>
      <c r="N903" s="7"/>
      <c r="O903" s="7"/>
      <c r="P903" s="7"/>
      <c r="Q903" s="7"/>
      <c r="R903" s="7"/>
    </row>
    <row r="904" spans="6:18" ht="14.25" customHeight="1" x14ac:dyDescent="0.25">
      <c r="F904" s="7"/>
      <c r="G904" s="7"/>
      <c r="H904" s="7"/>
      <c r="I904" s="7"/>
      <c r="J904" s="7"/>
      <c r="K904" s="7"/>
      <c r="L904" s="7"/>
      <c r="M904" s="7"/>
      <c r="N904" s="7"/>
      <c r="O904" s="7"/>
      <c r="P904" s="7"/>
      <c r="Q904" s="7"/>
      <c r="R904" s="7"/>
    </row>
    <row r="905" spans="6:18" ht="14.25" customHeight="1" x14ac:dyDescent="0.25">
      <c r="F905" s="7"/>
      <c r="G905" s="7"/>
      <c r="H905" s="7"/>
      <c r="I905" s="7"/>
      <c r="J905" s="7"/>
      <c r="K905" s="7"/>
      <c r="L905" s="7"/>
      <c r="M905" s="7"/>
      <c r="N905" s="7"/>
      <c r="O905" s="7"/>
      <c r="P905" s="7"/>
      <c r="Q905" s="7"/>
      <c r="R905" s="7"/>
    </row>
    <row r="906" spans="6:18" ht="14.25" customHeight="1" x14ac:dyDescent="0.25">
      <c r="F906" s="7"/>
      <c r="G906" s="7"/>
      <c r="H906" s="7"/>
      <c r="I906" s="7"/>
      <c r="J906" s="7"/>
      <c r="K906" s="7"/>
      <c r="L906" s="7"/>
      <c r="M906" s="7"/>
      <c r="N906" s="7"/>
      <c r="O906" s="7"/>
      <c r="P906" s="7"/>
      <c r="Q906" s="7"/>
      <c r="R906" s="7"/>
    </row>
    <row r="907" spans="6:18" ht="14.25" customHeight="1" x14ac:dyDescent="0.25">
      <c r="F907" s="7"/>
      <c r="G907" s="7"/>
      <c r="H907" s="7"/>
      <c r="I907" s="7"/>
      <c r="J907" s="7"/>
      <c r="K907" s="7"/>
      <c r="L907" s="7"/>
      <c r="M907" s="7"/>
      <c r="N907" s="7"/>
      <c r="O907" s="7"/>
      <c r="P907" s="7"/>
      <c r="Q907" s="7"/>
      <c r="R907" s="7"/>
    </row>
    <row r="908" spans="6:18" ht="14.25" customHeight="1" x14ac:dyDescent="0.25">
      <c r="F908" s="7"/>
      <c r="G908" s="7"/>
      <c r="H908" s="7"/>
      <c r="I908" s="7"/>
      <c r="J908" s="7"/>
      <c r="K908" s="7"/>
      <c r="L908" s="7"/>
      <c r="M908" s="7"/>
      <c r="N908" s="7"/>
      <c r="O908" s="7"/>
      <c r="P908" s="7"/>
      <c r="Q908" s="7"/>
      <c r="R908" s="7"/>
    </row>
    <row r="909" spans="6:18" ht="14.25" customHeight="1" x14ac:dyDescent="0.25">
      <c r="F909" s="7"/>
      <c r="G909" s="7"/>
      <c r="H909" s="7"/>
      <c r="I909" s="7"/>
      <c r="J909" s="7"/>
      <c r="K909" s="7"/>
      <c r="L909" s="7"/>
      <c r="M909" s="7"/>
      <c r="N909" s="7"/>
      <c r="O909" s="7"/>
      <c r="P909" s="7"/>
      <c r="Q909" s="7"/>
      <c r="R909" s="7"/>
    </row>
    <row r="910" spans="6:18" ht="14.25" customHeight="1" x14ac:dyDescent="0.25">
      <c r="F910" s="7"/>
      <c r="G910" s="7"/>
      <c r="H910" s="7"/>
      <c r="I910" s="7"/>
      <c r="J910" s="7"/>
      <c r="K910" s="7"/>
      <c r="L910" s="7"/>
      <c r="M910" s="7"/>
      <c r="N910" s="7"/>
      <c r="O910" s="7"/>
      <c r="P910" s="7"/>
      <c r="Q910" s="7"/>
      <c r="R910" s="7"/>
    </row>
    <row r="911" spans="6:18" ht="14.25" customHeight="1" x14ac:dyDescent="0.25">
      <c r="F911" s="7"/>
      <c r="G911" s="7"/>
      <c r="H911" s="7"/>
      <c r="I911" s="7"/>
      <c r="J911" s="7"/>
      <c r="K911" s="7"/>
      <c r="L911" s="7"/>
      <c r="M911" s="7"/>
      <c r="N911" s="7"/>
      <c r="O911" s="7"/>
      <c r="P911" s="7"/>
      <c r="Q911" s="7"/>
      <c r="R911" s="7"/>
    </row>
    <row r="912" spans="6:18" ht="14.25" customHeight="1" x14ac:dyDescent="0.25">
      <c r="F912" s="7"/>
      <c r="G912" s="7"/>
      <c r="H912" s="7"/>
      <c r="I912" s="7"/>
      <c r="J912" s="7"/>
      <c r="K912" s="7"/>
      <c r="L912" s="7"/>
      <c r="M912" s="7"/>
      <c r="N912" s="7"/>
      <c r="O912" s="7"/>
      <c r="P912" s="7"/>
      <c r="Q912" s="7"/>
      <c r="R912" s="7"/>
    </row>
    <row r="913" spans="6:18" ht="14.25" customHeight="1" x14ac:dyDescent="0.25">
      <c r="F913" s="7"/>
      <c r="G913" s="7"/>
      <c r="H913" s="7"/>
      <c r="I913" s="7"/>
      <c r="J913" s="7"/>
      <c r="K913" s="7"/>
      <c r="L913" s="7"/>
      <c r="M913" s="7"/>
      <c r="N913" s="7"/>
      <c r="O913" s="7"/>
      <c r="P913" s="7"/>
      <c r="Q913" s="7"/>
      <c r="R913" s="7"/>
    </row>
    <row r="914" spans="6:18" ht="14.25" customHeight="1" x14ac:dyDescent="0.25">
      <c r="F914" s="7"/>
      <c r="G914" s="7"/>
      <c r="H914" s="7"/>
      <c r="I914" s="7"/>
      <c r="J914" s="7"/>
      <c r="K914" s="7"/>
      <c r="L914" s="7"/>
      <c r="M914" s="7"/>
      <c r="N914" s="7"/>
      <c r="O914" s="7"/>
      <c r="P914" s="7"/>
      <c r="Q914" s="7"/>
      <c r="R914" s="7"/>
    </row>
    <row r="915" spans="6:18" ht="14.25" customHeight="1" x14ac:dyDescent="0.25">
      <c r="F915" s="7"/>
      <c r="G915" s="7"/>
      <c r="H915" s="7"/>
      <c r="I915" s="7"/>
      <c r="J915" s="7"/>
      <c r="K915" s="7"/>
      <c r="L915" s="7"/>
      <c r="M915" s="7"/>
      <c r="N915" s="7"/>
      <c r="O915" s="7"/>
      <c r="P915" s="7"/>
      <c r="Q915" s="7"/>
      <c r="R915" s="7"/>
    </row>
    <row r="916" spans="6:18" ht="14.25" customHeight="1" x14ac:dyDescent="0.25">
      <c r="F916" s="7"/>
      <c r="G916" s="7"/>
      <c r="H916" s="7"/>
      <c r="I916" s="7"/>
      <c r="J916" s="7"/>
      <c r="K916" s="7"/>
      <c r="L916" s="7"/>
      <c r="M916" s="7"/>
      <c r="N916" s="7"/>
      <c r="O916" s="7"/>
      <c r="P916" s="7"/>
      <c r="Q916" s="7"/>
      <c r="R916" s="7"/>
    </row>
    <row r="917" spans="6:18" ht="14.25" customHeight="1" x14ac:dyDescent="0.25">
      <c r="F917" s="7"/>
      <c r="G917" s="7"/>
      <c r="H917" s="7"/>
      <c r="I917" s="7"/>
      <c r="J917" s="7"/>
      <c r="K917" s="7"/>
      <c r="L917" s="7"/>
      <c r="M917" s="7"/>
      <c r="N917" s="7"/>
      <c r="O917" s="7"/>
      <c r="P917" s="7"/>
      <c r="Q917" s="7"/>
      <c r="R917" s="7"/>
    </row>
    <row r="918" spans="6:18" ht="14.25" customHeight="1" x14ac:dyDescent="0.25">
      <c r="F918" s="7"/>
      <c r="G918" s="7"/>
      <c r="H918" s="7"/>
      <c r="I918" s="7"/>
      <c r="J918" s="7"/>
      <c r="K918" s="7"/>
      <c r="L918" s="7"/>
      <c r="M918" s="7"/>
      <c r="N918" s="7"/>
      <c r="O918" s="7"/>
      <c r="P918" s="7"/>
      <c r="Q918" s="7"/>
      <c r="R918" s="7"/>
    </row>
    <row r="919" spans="6:18" ht="14.25" customHeight="1" x14ac:dyDescent="0.25">
      <c r="F919" s="7"/>
      <c r="G919" s="7"/>
      <c r="H919" s="7"/>
      <c r="I919" s="7"/>
      <c r="J919" s="7"/>
      <c r="K919" s="7"/>
      <c r="L919" s="7"/>
      <c r="M919" s="7"/>
      <c r="N919" s="7"/>
      <c r="O919" s="7"/>
      <c r="P919" s="7"/>
      <c r="Q919" s="7"/>
      <c r="R919" s="7"/>
    </row>
    <row r="920" spans="6:18" ht="14.25" customHeight="1" x14ac:dyDescent="0.25">
      <c r="F920" s="7"/>
      <c r="G920" s="7"/>
      <c r="H920" s="7"/>
      <c r="I920" s="7"/>
      <c r="J920" s="7"/>
      <c r="K920" s="7"/>
      <c r="L920" s="7"/>
      <c r="M920" s="7"/>
      <c r="N920" s="7"/>
      <c r="O920" s="7"/>
      <c r="P920" s="7"/>
      <c r="Q920" s="7"/>
      <c r="R920" s="7"/>
    </row>
    <row r="921" spans="6:18" ht="14.25" customHeight="1" x14ac:dyDescent="0.25">
      <c r="F921" s="7"/>
      <c r="G921" s="7"/>
      <c r="H921" s="7"/>
      <c r="I921" s="7"/>
      <c r="J921" s="7"/>
      <c r="K921" s="7"/>
      <c r="L921" s="7"/>
      <c r="M921" s="7"/>
      <c r="N921" s="7"/>
      <c r="O921" s="7"/>
      <c r="P921" s="7"/>
      <c r="Q921" s="7"/>
      <c r="R921" s="7"/>
    </row>
    <row r="922" spans="6:18" ht="14.25" customHeight="1" x14ac:dyDescent="0.25">
      <c r="F922" s="7"/>
      <c r="G922" s="7"/>
      <c r="H922" s="7"/>
      <c r="I922" s="7"/>
      <c r="J922" s="7"/>
      <c r="K922" s="7"/>
      <c r="L922" s="7"/>
      <c r="M922" s="7"/>
      <c r="N922" s="7"/>
      <c r="O922" s="7"/>
      <c r="P922" s="7"/>
      <c r="Q922" s="7"/>
      <c r="R922" s="7"/>
    </row>
    <row r="923" spans="6:18" ht="14.25" customHeight="1" x14ac:dyDescent="0.25">
      <c r="F923" s="7"/>
      <c r="G923" s="7"/>
      <c r="H923" s="7"/>
      <c r="I923" s="7"/>
      <c r="J923" s="7"/>
      <c r="K923" s="7"/>
      <c r="L923" s="7"/>
      <c r="M923" s="7"/>
      <c r="N923" s="7"/>
      <c r="O923" s="7"/>
      <c r="P923" s="7"/>
      <c r="Q923" s="7"/>
      <c r="R923" s="7"/>
    </row>
    <row r="924" spans="6:18" ht="14.25" customHeight="1" x14ac:dyDescent="0.25">
      <c r="F924" s="7"/>
      <c r="G924" s="7"/>
      <c r="H924" s="7"/>
      <c r="I924" s="7"/>
      <c r="J924" s="7"/>
      <c r="K924" s="7"/>
      <c r="L924" s="7"/>
      <c r="M924" s="7"/>
      <c r="N924" s="7"/>
      <c r="O924" s="7"/>
      <c r="P924" s="7"/>
      <c r="Q924" s="7"/>
      <c r="R924" s="7"/>
    </row>
    <row r="925" spans="6:18" ht="14.25" customHeight="1" x14ac:dyDescent="0.25">
      <c r="F925" s="7"/>
      <c r="G925" s="7"/>
      <c r="H925" s="7"/>
      <c r="I925" s="7"/>
      <c r="J925" s="7"/>
      <c r="K925" s="7"/>
      <c r="L925" s="7"/>
      <c r="M925" s="7"/>
      <c r="N925" s="7"/>
      <c r="O925" s="7"/>
      <c r="P925" s="7"/>
      <c r="Q925" s="7"/>
      <c r="R925" s="7"/>
    </row>
    <row r="926" spans="6:18" ht="14.25" customHeight="1" x14ac:dyDescent="0.25">
      <c r="F926" s="7"/>
      <c r="G926" s="7"/>
      <c r="H926" s="7"/>
      <c r="I926" s="7"/>
      <c r="J926" s="7"/>
      <c r="K926" s="7"/>
      <c r="L926" s="7"/>
      <c r="M926" s="7"/>
      <c r="N926" s="7"/>
      <c r="O926" s="7"/>
      <c r="P926" s="7"/>
      <c r="Q926" s="7"/>
      <c r="R926" s="7"/>
    </row>
    <row r="927" spans="6:18" ht="14.25" customHeight="1" x14ac:dyDescent="0.25">
      <c r="F927" s="7"/>
      <c r="G927" s="7"/>
      <c r="H927" s="7"/>
      <c r="I927" s="7"/>
      <c r="J927" s="7"/>
      <c r="K927" s="7"/>
      <c r="L927" s="7"/>
      <c r="M927" s="7"/>
      <c r="N927" s="7"/>
      <c r="O927" s="7"/>
      <c r="P927" s="7"/>
      <c r="Q927" s="7"/>
      <c r="R927" s="7"/>
    </row>
    <row r="928" spans="6:18" ht="14.25" customHeight="1" x14ac:dyDescent="0.25">
      <c r="F928" s="7"/>
      <c r="G928" s="7"/>
      <c r="H928" s="7"/>
      <c r="I928" s="7"/>
      <c r="J928" s="7"/>
      <c r="K928" s="7"/>
      <c r="L928" s="7"/>
      <c r="M928" s="7"/>
      <c r="N928" s="7"/>
      <c r="O928" s="7"/>
      <c r="P928" s="7"/>
      <c r="Q928" s="7"/>
      <c r="R928" s="7"/>
    </row>
    <row r="929" spans="6:18" ht="14.25" customHeight="1" x14ac:dyDescent="0.25">
      <c r="F929" s="7"/>
      <c r="G929" s="7"/>
      <c r="H929" s="7"/>
      <c r="I929" s="7"/>
      <c r="J929" s="7"/>
      <c r="K929" s="7"/>
      <c r="L929" s="7"/>
      <c r="M929" s="7"/>
      <c r="N929" s="7"/>
      <c r="O929" s="7"/>
      <c r="P929" s="7"/>
      <c r="Q929" s="7"/>
      <c r="R929" s="7"/>
    </row>
    <row r="930" spans="6:18" ht="14.25" customHeight="1" x14ac:dyDescent="0.25">
      <c r="F930" s="7"/>
      <c r="G930" s="7"/>
      <c r="H930" s="7"/>
      <c r="I930" s="7"/>
      <c r="J930" s="7"/>
      <c r="K930" s="7"/>
      <c r="L930" s="7"/>
      <c r="M930" s="7"/>
      <c r="N930" s="7"/>
      <c r="O930" s="7"/>
      <c r="P930" s="7"/>
      <c r="Q930" s="7"/>
      <c r="R930" s="7"/>
    </row>
    <row r="931" spans="6:18" ht="14.25" customHeight="1" x14ac:dyDescent="0.25">
      <c r="F931" s="7"/>
      <c r="G931" s="7"/>
      <c r="H931" s="7"/>
      <c r="I931" s="7"/>
      <c r="J931" s="7"/>
      <c r="K931" s="7"/>
      <c r="L931" s="7"/>
      <c r="M931" s="7"/>
      <c r="N931" s="7"/>
      <c r="O931" s="7"/>
      <c r="P931" s="7"/>
      <c r="Q931" s="7"/>
      <c r="R931" s="7"/>
    </row>
    <row r="932" spans="6:18" ht="14.25" customHeight="1" x14ac:dyDescent="0.25">
      <c r="F932" s="7"/>
      <c r="G932" s="7"/>
      <c r="H932" s="7"/>
      <c r="I932" s="7"/>
      <c r="J932" s="7"/>
      <c r="K932" s="7"/>
      <c r="L932" s="7"/>
      <c r="M932" s="7"/>
      <c r="N932" s="7"/>
      <c r="O932" s="7"/>
      <c r="P932" s="7"/>
      <c r="Q932" s="7"/>
      <c r="R932" s="7"/>
    </row>
    <row r="933" spans="6:18" ht="14.25" customHeight="1" x14ac:dyDescent="0.25">
      <c r="F933" s="7"/>
      <c r="G933" s="7"/>
      <c r="H933" s="7"/>
      <c r="I933" s="7"/>
      <c r="J933" s="7"/>
      <c r="K933" s="7"/>
      <c r="L933" s="7"/>
      <c r="M933" s="7"/>
      <c r="N933" s="7"/>
      <c r="O933" s="7"/>
      <c r="P933" s="7"/>
      <c r="Q933" s="7"/>
      <c r="R933" s="7"/>
    </row>
    <row r="934" spans="6:18" ht="14.25" customHeight="1" x14ac:dyDescent="0.25">
      <c r="F934" s="7"/>
      <c r="G934" s="7"/>
      <c r="H934" s="7"/>
      <c r="I934" s="7"/>
      <c r="J934" s="7"/>
      <c r="K934" s="7"/>
      <c r="L934" s="7"/>
      <c r="M934" s="7"/>
      <c r="N934" s="7"/>
      <c r="O934" s="7"/>
      <c r="P934" s="7"/>
      <c r="Q934" s="7"/>
      <c r="R934" s="7"/>
    </row>
    <row r="935" spans="6:18" ht="14.25" customHeight="1" x14ac:dyDescent="0.25">
      <c r="F935" s="7"/>
      <c r="G935" s="7"/>
      <c r="H935" s="7"/>
      <c r="I935" s="7"/>
      <c r="J935" s="7"/>
      <c r="K935" s="7"/>
      <c r="L935" s="7"/>
      <c r="M935" s="7"/>
      <c r="N935" s="7"/>
      <c r="O935" s="7"/>
      <c r="P935" s="7"/>
      <c r="Q935" s="7"/>
      <c r="R935" s="7"/>
    </row>
    <row r="936" spans="6:18" ht="14.25" customHeight="1" x14ac:dyDescent="0.25">
      <c r="F936" s="7"/>
      <c r="G936" s="7"/>
      <c r="H936" s="7"/>
      <c r="I936" s="7"/>
      <c r="J936" s="7"/>
      <c r="K936" s="7"/>
      <c r="L936" s="7"/>
      <c r="M936" s="7"/>
      <c r="N936" s="7"/>
      <c r="O936" s="7"/>
      <c r="P936" s="7"/>
      <c r="Q936" s="7"/>
      <c r="R936" s="7"/>
    </row>
    <row r="937" spans="6:18" ht="14.25" customHeight="1" x14ac:dyDescent="0.25">
      <c r="F937" s="7"/>
      <c r="G937" s="7"/>
      <c r="H937" s="7"/>
      <c r="I937" s="7"/>
      <c r="J937" s="7"/>
      <c r="K937" s="7"/>
      <c r="L937" s="7"/>
      <c r="M937" s="7"/>
      <c r="N937" s="7"/>
      <c r="O937" s="7"/>
      <c r="P937" s="7"/>
      <c r="Q937" s="7"/>
      <c r="R937" s="7"/>
    </row>
    <row r="938" spans="6:18" ht="14.25" customHeight="1" x14ac:dyDescent="0.25">
      <c r="F938" s="7"/>
      <c r="G938" s="7"/>
      <c r="H938" s="7"/>
      <c r="I938" s="7"/>
      <c r="J938" s="7"/>
      <c r="K938" s="7"/>
      <c r="L938" s="7"/>
      <c r="M938" s="7"/>
      <c r="N938" s="7"/>
      <c r="O938" s="7"/>
      <c r="P938" s="7"/>
      <c r="Q938" s="7"/>
      <c r="R938" s="7"/>
    </row>
    <row r="939" spans="6:18" ht="14.25" customHeight="1" x14ac:dyDescent="0.25">
      <c r="F939" s="7"/>
      <c r="G939" s="7"/>
      <c r="H939" s="7"/>
      <c r="I939" s="7"/>
      <c r="J939" s="7"/>
      <c r="K939" s="7"/>
      <c r="L939" s="7"/>
      <c r="M939" s="7"/>
      <c r="N939" s="7"/>
      <c r="O939" s="7"/>
      <c r="P939" s="7"/>
      <c r="Q939" s="7"/>
      <c r="R939" s="7"/>
    </row>
    <row r="940" spans="6:18" ht="14.25" customHeight="1" x14ac:dyDescent="0.25">
      <c r="F940" s="7"/>
      <c r="G940" s="7"/>
      <c r="H940" s="7"/>
      <c r="I940" s="7"/>
      <c r="J940" s="7"/>
      <c r="K940" s="7"/>
      <c r="L940" s="7"/>
      <c r="M940" s="7"/>
      <c r="N940" s="7"/>
      <c r="O940" s="7"/>
      <c r="P940" s="7"/>
      <c r="Q940" s="7"/>
      <c r="R940" s="7"/>
    </row>
    <row r="941" spans="6:18" ht="14.25" customHeight="1" x14ac:dyDescent="0.25">
      <c r="F941" s="7"/>
      <c r="G941" s="7"/>
      <c r="H941" s="7"/>
      <c r="I941" s="7"/>
      <c r="J941" s="7"/>
      <c r="K941" s="7"/>
      <c r="L941" s="7"/>
      <c r="M941" s="7"/>
      <c r="N941" s="7"/>
      <c r="O941" s="7"/>
      <c r="P941" s="7"/>
      <c r="Q941" s="7"/>
      <c r="R941" s="7"/>
    </row>
    <row r="942" spans="6:18" ht="14.25" customHeight="1" x14ac:dyDescent="0.25">
      <c r="F942" s="7"/>
      <c r="G942" s="7"/>
      <c r="H942" s="7"/>
      <c r="I942" s="7"/>
      <c r="J942" s="7"/>
      <c r="K942" s="7"/>
      <c r="L942" s="7"/>
      <c r="M942" s="7"/>
      <c r="N942" s="7"/>
      <c r="O942" s="7"/>
      <c r="P942" s="7"/>
      <c r="Q942" s="7"/>
      <c r="R942" s="7"/>
    </row>
    <row r="943" spans="6:18" ht="14.25" customHeight="1" x14ac:dyDescent="0.25">
      <c r="F943" s="7"/>
      <c r="G943" s="7"/>
      <c r="H943" s="7"/>
      <c r="I943" s="7"/>
      <c r="J943" s="7"/>
      <c r="K943" s="7"/>
      <c r="L943" s="7"/>
      <c r="M943" s="7"/>
      <c r="N943" s="7"/>
      <c r="O943" s="7"/>
      <c r="P943" s="7"/>
      <c r="Q943" s="7"/>
      <c r="R943" s="7"/>
    </row>
    <row r="944" spans="6:18" ht="14.25" customHeight="1" x14ac:dyDescent="0.25">
      <c r="F944" s="7"/>
      <c r="G944" s="7"/>
      <c r="H944" s="7"/>
      <c r="I944" s="7"/>
      <c r="J944" s="7"/>
      <c r="K944" s="7"/>
      <c r="L944" s="7"/>
      <c r="M944" s="7"/>
      <c r="N944" s="7"/>
      <c r="O944" s="7"/>
      <c r="P944" s="7"/>
      <c r="Q944" s="7"/>
      <c r="R944" s="7"/>
    </row>
    <row r="945" spans="6:18" ht="14.25" customHeight="1" x14ac:dyDescent="0.25">
      <c r="F945" s="7"/>
      <c r="G945" s="7"/>
      <c r="H945" s="7"/>
      <c r="I945" s="7"/>
      <c r="J945" s="7"/>
      <c r="K945" s="7"/>
      <c r="L945" s="7"/>
      <c r="M945" s="7"/>
      <c r="N945" s="7"/>
      <c r="O945" s="7"/>
      <c r="P945" s="7"/>
      <c r="Q945" s="7"/>
      <c r="R945" s="7"/>
    </row>
    <row r="946" spans="6:18" ht="14.25" customHeight="1" x14ac:dyDescent="0.25">
      <c r="F946" s="7"/>
      <c r="G946" s="7"/>
      <c r="H946" s="7"/>
      <c r="I946" s="7"/>
      <c r="J946" s="7"/>
      <c r="K946" s="7"/>
      <c r="L946" s="7"/>
      <c r="M946" s="7"/>
      <c r="N946" s="7"/>
      <c r="O946" s="7"/>
      <c r="P946" s="7"/>
      <c r="Q946" s="7"/>
      <c r="R946" s="7"/>
    </row>
    <row r="947" spans="6:18" ht="14.25" customHeight="1" x14ac:dyDescent="0.25">
      <c r="F947" s="7"/>
      <c r="G947" s="7"/>
      <c r="H947" s="7"/>
      <c r="I947" s="7"/>
      <c r="J947" s="7"/>
      <c r="K947" s="7"/>
      <c r="L947" s="7"/>
      <c r="M947" s="7"/>
      <c r="N947" s="7"/>
      <c r="O947" s="7"/>
      <c r="P947" s="7"/>
      <c r="Q947" s="7"/>
      <c r="R947" s="7"/>
    </row>
    <row r="948" spans="6:18" ht="14.25" customHeight="1" x14ac:dyDescent="0.25">
      <c r="F948" s="7"/>
      <c r="G948" s="7"/>
      <c r="H948" s="7"/>
      <c r="I948" s="7"/>
      <c r="J948" s="7"/>
      <c r="K948" s="7"/>
      <c r="L948" s="7"/>
      <c r="M948" s="7"/>
      <c r="N948" s="7"/>
      <c r="O948" s="7"/>
      <c r="P948" s="7"/>
      <c r="Q948" s="7"/>
      <c r="R948" s="7"/>
    </row>
    <row r="949" spans="6:18" ht="14.25" customHeight="1" x14ac:dyDescent="0.25">
      <c r="F949" s="7"/>
      <c r="G949" s="7"/>
      <c r="H949" s="7"/>
      <c r="I949" s="7"/>
      <c r="J949" s="7"/>
      <c r="K949" s="7"/>
      <c r="L949" s="7"/>
      <c r="M949" s="7"/>
      <c r="N949" s="7"/>
      <c r="O949" s="7"/>
      <c r="P949" s="7"/>
      <c r="Q949" s="7"/>
      <c r="R949" s="7"/>
    </row>
    <row r="950" spans="6:18" ht="14.25" customHeight="1" x14ac:dyDescent="0.25">
      <c r="F950" s="7"/>
      <c r="G950" s="7"/>
      <c r="H950" s="7"/>
      <c r="I950" s="7"/>
      <c r="J950" s="7"/>
      <c r="K950" s="7"/>
      <c r="L950" s="7"/>
      <c r="M950" s="7"/>
      <c r="N950" s="7"/>
      <c r="O950" s="7"/>
      <c r="P950" s="7"/>
      <c r="Q950" s="7"/>
      <c r="R950" s="7"/>
    </row>
    <row r="951" spans="6:18" ht="14.25" customHeight="1" x14ac:dyDescent="0.25">
      <c r="F951" s="7"/>
      <c r="G951" s="7"/>
      <c r="H951" s="7"/>
      <c r="I951" s="7"/>
      <c r="J951" s="7"/>
      <c r="K951" s="7"/>
      <c r="L951" s="7"/>
      <c r="M951" s="7"/>
      <c r="N951" s="7"/>
      <c r="O951" s="7"/>
      <c r="P951" s="7"/>
      <c r="Q951" s="7"/>
      <c r="R951" s="7"/>
    </row>
    <row r="952" spans="6:18" ht="14.25" customHeight="1" x14ac:dyDescent="0.25">
      <c r="F952" s="7"/>
      <c r="G952" s="7"/>
      <c r="H952" s="7"/>
      <c r="I952" s="7"/>
      <c r="J952" s="7"/>
      <c r="K952" s="7"/>
      <c r="L952" s="7"/>
      <c r="M952" s="7"/>
      <c r="N952" s="7"/>
      <c r="O952" s="7"/>
      <c r="P952" s="7"/>
      <c r="Q952" s="7"/>
      <c r="R952" s="7"/>
    </row>
    <row r="953" spans="6:18" ht="14.25" customHeight="1" x14ac:dyDescent="0.25">
      <c r="F953" s="7"/>
      <c r="G953" s="7"/>
      <c r="H953" s="7"/>
      <c r="I953" s="7"/>
      <c r="J953" s="7"/>
      <c r="K953" s="7"/>
      <c r="L953" s="7"/>
      <c r="M953" s="7"/>
      <c r="N953" s="7"/>
      <c r="O953" s="7"/>
      <c r="P953" s="7"/>
      <c r="Q953" s="7"/>
      <c r="R953" s="7"/>
    </row>
    <row r="954" spans="6:18" ht="14.25" customHeight="1" x14ac:dyDescent="0.25">
      <c r="F954" s="7"/>
      <c r="G954" s="7"/>
      <c r="H954" s="7"/>
      <c r="I954" s="7"/>
      <c r="J954" s="7"/>
      <c r="K954" s="7"/>
      <c r="L954" s="7"/>
      <c r="M954" s="7"/>
      <c r="N954" s="7"/>
      <c r="O954" s="7"/>
      <c r="P954" s="7"/>
      <c r="Q954" s="7"/>
      <c r="R954" s="7"/>
    </row>
    <row r="955" spans="6:18" ht="14.25" customHeight="1" x14ac:dyDescent="0.25">
      <c r="F955" s="7"/>
      <c r="G955" s="7"/>
      <c r="H955" s="7"/>
      <c r="I955" s="7"/>
      <c r="J955" s="7"/>
      <c r="K955" s="7"/>
      <c r="L955" s="7"/>
      <c r="M955" s="7"/>
      <c r="N955" s="7"/>
      <c r="O955" s="7"/>
      <c r="P955" s="7"/>
      <c r="Q955" s="7"/>
      <c r="R955" s="7"/>
    </row>
    <row r="956" spans="6:18" ht="14.25" customHeight="1" x14ac:dyDescent="0.25">
      <c r="F956" s="7"/>
      <c r="G956" s="7"/>
      <c r="H956" s="7"/>
      <c r="I956" s="7"/>
      <c r="J956" s="7"/>
      <c r="K956" s="7"/>
      <c r="L956" s="7"/>
      <c r="M956" s="7"/>
      <c r="N956" s="7"/>
      <c r="O956" s="7"/>
      <c r="P956" s="7"/>
      <c r="Q956" s="7"/>
      <c r="R956" s="7"/>
    </row>
    <row r="957" spans="6:18" ht="14.25" customHeight="1" x14ac:dyDescent="0.25">
      <c r="F957" s="7"/>
      <c r="G957" s="7"/>
      <c r="H957" s="7"/>
      <c r="I957" s="7"/>
      <c r="J957" s="7"/>
      <c r="K957" s="7"/>
      <c r="L957" s="7"/>
      <c r="M957" s="7"/>
      <c r="N957" s="7"/>
      <c r="O957" s="7"/>
      <c r="P957" s="7"/>
      <c r="Q957" s="7"/>
      <c r="R957" s="7"/>
    </row>
    <row r="958" spans="6:18" ht="14.25" customHeight="1" x14ac:dyDescent="0.25">
      <c r="F958" s="7"/>
      <c r="G958" s="7"/>
      <c r="H958" s="7"/>
      <c r="I958" s="7"/>
      <c r="J958" s="7"/>
      <c r="K958" s="7"/>
      <c r="L958" s="7"/>
      <c r="M958" s="7"/>
      <c r="N958" s="7"/>
      <c r="O958" s="7"/>
      <c r="P958" s="7"/>
      <c r="Q958" s="7"/>
      <c r="R958" s="7"/>
    </row>
    <row r="959" spans="6:18" ht="14.25" customHeight="1" x14ac:dyDescent="0.25">
      <c r="F959" s="7"/>
      <c r="G959" s="7"/>
      <c r="H959" s="7"/>
      <c r="I959" s="7"/>
      <c r="J959" s="7"/>
      <c r="K959" s="7"/>
      <c r="L959" s="7"/>
      <c r="M959" s="7"/>
      <c r="N959" s="7"/>
      <c r="O959" s="7"/>
      <c r="P959" s="7"/>
      <c r="Q959" s="7"/>
      <c r="R959" s="7"/>
    </row>
    <row r="960" spans="6:18" ht="14.25" customHeight="1" x14ac:dyDescent="0.25">
      <c r="F960" s="7"/>
      <c r="G960" s="7"/>
      <c r="H960" s="7"/>
      <c r="I960" s="7"/>
      <c r="J960" s="7"/>
      <c r="K960" s="7"/>
      <c r="L960" s="7"/>
      <c r="M960" s="7"/>
      <c r="N960" s="7"/>
      <c r="O960" s="7"/>
      <c r="P960" s="7"/>
      <c r="Q960" s="7"/>
      <c r="R960" s="7"/>
    </row>
    <row r="961" spans="6:18" ht="14.25" customHeight="1" x14ac:dyDescent="0.25">
      <c r="F961" s="7"/>
      <c r="G961" s="7"/>
      <c r="H961" s="7"/>
      <c r="I961" s="7"/>
      <c r="J961" s="7"/>
      <c r="K961" s="7"/>
      <c r="L961" s="7"/>
      <c r="M961" s="7"/>
      <c r="N961" s="7"/>
      <c r="O961" s="7"/>
      <c r="P961" s="7"/>
      <c r="Q961" s="7"/>
      <c r="R961" s="7"/>
    </row>
    <row r="962" spans="6:18" ht="14.25" customHeight="1" x14ac:dyDescent="0.25">
      <c r="F962" s="7"/>
      <c r="G962" s="7"/>
      <c r="H962" s="7"/>
      <c r="I962" s="7"/>
      <c r="J962" s="7"/>
      <c r="K962" s="7"/>
      <c r="L962" s="7"/>
      <c r="M962" s="7"/>
      <c r="N962" s="7"/>
      <c r="O962" s="7"/>
      <c r="P962" s="7"/>
      <c r="Q962" s="7"/>
      <c r="R962" s="7"/>
    </row>
    <row r="963" spans="6:18" ht="14.25" customHeight="1" x14ac:dyDescent="0.25">
      <c r="F963" s="7"/>
      <c r="G963" s="7"/>
      <c r="H963" s="7"/>
      <c r="I963" s="7"/>
      <c r="J963" s="7"/>
      <c r="K963" s="7"/>
      <c r="L963" s="7"/>
      <c r="M963" s="7"/>
      <c r="N963" s="7"/>
      <c r="O963" s="7"/>
      <c r="P963" s="7"/>
      <c r="Q963" s="7"/>
      <c r="R963" s="7"/>
    </row>
    <row r="964" spans="6:18" ht="14.25" customHeight="1" x14ac:dyDescent="0.25">
      <c r="F964" s="7"/>
      <c r="G964" s="7"/>
      <c r="H964" s="7"/>
      <c r="I964" s="7"/>
      <c r="J964" s="7"/>
      <c r="K964" s="7"/>
      <c r="L964" s="7"/>
      <c r="M964" s="7"/>
      <c r="N964" s="7"/>
      <c r="O964" s="7"/>
      <c r="P964" s="7"/>
      <c r="Q964" s="7"/>
      <c r="R964" s="7"/>
    </row>
    <row r="965" spans="6:18" ht="14.25" customHeight="1" x14ac:dyDescent="0.25">
      <c r="F965" s="7"/>
      <c r="G965" s="7"/>
      <c r="H965" s="7"/>
      <c r="I965" s="7"/>
      <c r="J965" s="7"/>
      <c r="K965" s="7"/>
      <c r="L965" s="7"/>
      <c r="M965" s="7"/>
      <c r="N965" s="7"/>
      <c r="O965" s="7"/>
      <c r="P965" s="7"/>
      <c r="Q965" s="7"/>
      <c r="R965" s="7"/>
    </row>
    <row r="966" spans="6:18" ht="14.25" customHeight="1" x14ac:dyDescent="0.25">
      <c r="F966" s="7"/>
      <c r="G966" s="7"/>
      <c r="H966" s="7"/>
      <c r="I966" s="7"/>
      <c r="J966" s="7"/>
      <c r="K966" s="7"/>
      <c r="L966" s="7"/>
      <c r="M966" s="7"/>
      <c r="N966" s="7"/>
      <c r="O966" s="7"/>
      <c r="P966" s="7"/>
      <c r="Q966" s="7"/>
      <c r="R966" s="7"/>
    </row>
    <row r="967" spans="6:18" ht="14.25" customHeight="1" x14ac:dyDescent="0.25">
      <c r="F967" s="7"/>
      <c r="G967" s="7"/>
      <c r="H967" s="7"/>
      <c r="I967" s="7"/>
      <c r="J967" s="7"/>
      <c r="K967" s="7"/>
      <c r="L967" s="7"/>
      <c r="M967" s="7"/>
      <c r="N967" s="7"/>
      <c r="O967" s="7"/>
      <c r="P967" s="7"/>
      <c r="Q967" s="7"/>
      <c r="R967" s="7"/>
    </row>
    <row r="968" spans="6:18" ht="14.25" customHeight="1" x14ac:dyDescent="0.25">
      <c r="F968" s="7"/>
      <c r="G968" s="7"/>
      <c r="H968" s="7"/>
      <c r="I968" s="7"/>
      <c r="J968" s="7"/>
      <c r="K968" s="7"/>
      <c r="L968" s="7"/>
      <c r="M968" s="7"/>
      <c r="N968" s="7"/>
      <c r="O968" s="7"/>
      <c r="P968" s="7"/>
      <c r="Q968" s="7"/>
      <c r="R968" s="7"/>
    </row>
    <row r="969" spans="6:18" ht="14.25" customHeight="1" x14ac:dyDescent="0.25">
      <c r="F969" s="7"/>
      <c r="G969" s="7"/>
      <c r="H969" s="7"/>
      <c r="I969" s="7"/>
      <c r="J969" s="7"/>
      <c r="K969" s="7"/>
      <c r="L969" s="7"/>
      <c r="M969" s="7"/>
      <c r="N969" s="7"/>
      <c r="O969" s="7"/>
      <c r="P969" s="7"/>
      <c r="Q969" s="7"/>
      <c r="R969" s="7"/>
    </row>
    <row r="970" spans="6:18" ht="14.25" customHeight="1" x14ac:dyDescent="0.25">
      <c r="F970" s="7"/>
      <c r="G970" s="7"/>
      <c r="H970" s="7"/>
      <c r="I970" s="7"/>
      <c r="J970" s="7"/>
      <c r="K970" s="7"/>
      <c r="L970" s="7"/>
      <c r="M970" s="7"/>
      <c r="N970" s="7"/>
      <c r="O970" s="7"/>
      <c r="P970" s="7"/>
      <c r="Q970" s="7"/>
      <c r="R970" s="7"/>
    </row>
    <row r="971" spans="6:18" ht="14.25" customHeight="1" x14ac:dyDescent="0.25">
      <c r="F971" s="7"/>
      <c r="G971" s="7"/>
      <c r="H971" s="7"/>
      <c r="I971" s="7"/>
      <c r="J971" s="7"/>
      <c r="K971" s="7"/>
      <c r="L971" s="7"/>
      <c r="M971" s="7"/>
      <c r="N971" s="7"/>
      <c r="O971" s="7"/>
      <c r="P971" s="7"/>
      <c r="Q971" s="7"/>
      <c r="R971" s="7"/>
    </row>
    <row r="972" spans="6:18" ht="14.25" customHeight="1" x14ac:dyDescent="0.25">
      <c r="F972" s="7"/>
      <c r="G972" s="7"/>
      <c r="H972" s="7"/>
      <c r="I972" s="7"/>
      <c r="J972" s="7"/>
      <c r="K972" s="7"/>
      <c r="L972" s="7"/>
      <c r="M972" s="7"/>
      <c r="N972" s="7"/>
      <c r="O972" s="7"/>
      <c r="P972" s="7"/>
      <c r="Q972" s="7"/>
      <c r="R972" s="7"/>
    </row>
    <row r="973" spans="6:18" ht="14.25" customHeight="1" x14ac:dyDescent="0.25">
      <c r="F973" s="7"/>
      <c r="G973" s="7"/>
      <c r="H973" s="7"/>
      <c r="I973" s="7"/>
      <c r="J973" s="7"/>
      <c r="K973" s="7"/>
      <c r="L973" s="7"/>
      <c r="M973" s="7"/>
      <c r="N973" s="7"/>
      <c r="O973" s="7"/>
      <c r="P973" s="7"/>
      <c r="Q973" s="7"/>
      <c r="R973" s="7"/>
    </row>
    <row r="974" spans="6:18" ht="14.25" customHeight="1" x14ac:dyDescent="0.25">
      <c r="F974" s="7"/>
      <c r="G974" s="7"/>
      <c r="H974" s="7"/>
      <c r="I974" s="7"/>
      <c r="J974" s="7"/>
      <c r="K974" s="7"/>
      <c r="L974" s="7"/>
      <c r="M974" s="7"/>
      <c r="N974" s="7"/>
      <c r="O974" s="7"/>
      <c r="P974" s="7"/>
      <c r="Q974" s="7"/>
      <c r="R974" s="7"/>
    </row>
    <row r="975" spans="6:18" ht="14.25" customHeight="1" x14ac:dyDescent="0.25">
      <c r="F975" s="7"/>
      <c r="G975" s="7"/>
      <c r="H975" s="7"/>
      <c r="I975" s="7"/>
      <c r="J975" s="7"/>
      <c r="K975" s="7"/>
      <c r="L975" s="7"/>
      <c r="M975" s="7"/>
      <c r="N975" s="7"/>
      <c r="O975" s="7"/>
      <c r="P975" s="7"/>
      <c r="Q975" s="7"/>
      <c r="R975" s="7"/>
    </row>
    <row r="976" spans="6:18" ht="14.25" customHeight="1" x14ac:dyDescent="0.25">
      <c r="F976" s="7"/>
      <c r="G976" s="7"/>
      <c r="H976" s="7"/>
      <c r="I976" s="7"/>
      <c r="J976" s="7"/>
      <c r="K976" s="7"/>
      <c r="L976" s="7"/>
      <c r="M976" s="7"/>
      <c r="N976" s="7"/>
      <c r="O976" s="7"/>
      <c r="P976" s="7"/>
      <c r="Q976" s="7"/>
      <c r="R976" s="7"/>
    </row>
    <row r="977" spans="6:18" ht="14.25" customHeight="1" x14ac:dyDescent="0.25">
      <c r="F977" s="7"/>
      <c r="G977" s="7"/>
      <c r="H977" s="7"/>
      <c r="I977" s="7"/>
      <c r="J977" s="7"/>
      <c r="K977" s="7"/>
      <c r="L977" s="7"/>
      <c r="M977" s="7"/>
      <c r="N977" s="7"/>
      <c r="O977" s="7"/>
      <c r="P977" s="7"/>
      <c r="Q977" s="7"/>
      <c r="R977" s="7"/>
    </row>
    <row r="978" spans="6:18" ht="14.25" customHeight="1" x14ac:dyDescent="0.25">
      <c r="F978" s="7"/>
      <c r="G978" s="7"/>
      <c r="H978" s="7"/>
      <c r="I978" s="7"/>
      <c r="J978" s="7"/>
      <c r="K978" s="7"/>
      <c r="L978" s="7"/>
      <c r="M978" s="7"/>
      <c r="N978" s="7"/>
      <c r="O978" s="7"/>
      <c r="P978" s="7"/>
      <c r="Q978" s="7"/>
      <c r="R978" s="7"/>
    </row>
    <row r="979" spans="6:18" ht="14.25" customHeight="1" x14ac:dyDescent="0.25">
      <c r="F979" s="7"/>
      <c r="G979" s="7"/>
      <c r="H979" s="7"/>
      <c r="I979" s="7"/>
      <c r="J979" s="7"/>
      <c r="K979" s="7"/>
      <c r="L979" s="7"/>
      <c r="M979" s="7"/>
      <c r="N979" s="7"/>
      <c r="O979" s="7"/>
      <c r="P979" s="7"/>
      <c r="Q979" s="7"/>
      <c r="R979" s="7"/>
    </row>
    <row r="980" spans="6:18" ht="14.25" customHeight="1" x14ac:dyDescent="0.25">
      <c r="F980" s="7"/>
      <c r="G980" s="7"/>
      <c r="H980" s="7"/>
      <c r="I980" s="7"/>
      <c r="J980" s="7"/>
      <c r="K980" s="7"/>
      <c r="L980" s="7"/>
      <c r="M980" s="7"/>
      <c r="N980" s="7"/>
      <c r="O980" s="7"/>
      <c r="P980" s="7"/>
      <c r="Q980" s="7"/>
      <c r="R980" s="7"/>
    </row>
    <row r="981" spans="6:18" ht="14.25" customHeight="1" x14ac:dyDescent="0.25">
      <c r="F981" s="7"/>
      <c r="G981" s="7"/>
      <c r="H981" s="7"/>
      <c r="I981" s="7"/>
      <c r="J981" s="7"/>
      <c r="K981" s="7"/>
      <c r="L981" s="7"/>
      <c r="M981" s="7"/>
      <c r="N981" s="7"/>
      <c r="O981" s="7"/>
      <c r="P981" s="7"/>
      <c r="Q981" s="7"/>
      <c r="R981" s="7"/>
    </row>
    <row r="982" spans="6:18" ht="14.25" customHeight="1" x14ac:dyDescent="0.25">
      <c r="F982" s="7"/>
      <c r="G982" s="7"/>
      <c r="H982" s="7"/>
      <c r="I982" s="7"/>
      <c r="J982" s="7"/>
      <c r="K982" s="7"/>
      <c r="L982" s="7"/>
      <c r="M982" s="7"/>
      <c r="N982" s="7"/>
      <c r="O982" s="7"/>
      <c r="P982" s="7"/>
      <c r="Q982" s="7"/>
      <c r="R982" s="7"/>
    </row>
    <row r="983" spans="6:18" ht="14.25" customHeight="1" x14ac:dyDescent="0.25">
      <c r="F983" s="7"/>
      <c r="G983" s="7"/>
      <c r="H983" s="7"/>
      <c r="I983" s="7"/>
      <c r="J983" s="7"/>
      <c r="K983" s="7"/>
      <c r="L983" s="7"/>
      <c r="M983" s="7"/>
      <c r="N983" s="7"/>
      <c r="O983" s="7"/>
      <c r="P983" s="7"/>
      <c r="Q983" s="7"/>
      <c r="R983" s="7"/>
    </row>
    <row r="984" spans="6:18" ht="14.25" customHeight="1" x14ac:dyDescent="0.25">
      <c r="F984" s="7"/>
      <c r="G984" s="7"/>
      <c r="H984" s="7"/>
      <c r="I984" s="7"/>
      <c r="J984" s="7"/>
      <c r="K984" s="7"/>
      <c r="L984" s="7"/>
      <c r="M984" s="7"/>
      <c r="N984" s="7"/>
      <c r="O984" s="7"/>
      <c r="P984" s="7"/>
      <c r="Q984" s="7"/>
      <c r="R984" s="7"/>
    </row>
    <row r="985" spans="6:18" ht="14.25" customHeight="1" x14ac:dyDescent="0.25">
      <c r="F985" s="7"/>
      <c r="G985" s="7"/>
      <c r="H985" s="7"/>
      <c r="I985" s="7"/>
      <c r="J985" s="7"/>
      <c r="K985" s="7"/>
      <c r="L985" s="7"/>
      <c r="M985" s="7"/>
      <c r="N985" s="7"/>
      <c r="O985" s="7"/>
      <c r="P985" s="7"/>
      <c r="Q985" s="7"/>
      <c r="R985" s="7"/>
    </row>
    <row r="986" spans="6:18" ht="14.25" customHeight="1" x14ac:dyDescent="0.25">
      <c r="F986" s="7"/>
      <c r="G986" s="7"/>
      <c r="H986" s="7"/>
      <c r="I986" s="7"/>
      <c r="J986" s="7"/>
      <c r="K986" s="7"/>
      <c r="L986" s="7"/>
      <c r="M986" s="7"/>
      <c r="N986" s="7"/>
      <c r="O986" s="7"/>
      <c r="P986" s="7"/>
      <c r="Q986" s="7"/>
      <c r="R986" s="7"/>
    </row>
    <row r="987" spans="6:18" ht="14.25" customHeight="1" x14ac:dyDescent="0.25">
      <c r="F987" s="7"/>
      <c r="G987" s="7"/>
      <c r="H987" s="7"/>
      <c r="I987" s="7"/>
      <c r="J987" s="7"/>
      <c r="K987" s="7"/>
      <c r="L987" s="7"/>
      <c r="M987" s="7"/>
      <c r="N987" s="7"/>
      <c r="O987" s="7"/>
      <c r="P987" s="7"/>
      <c r="Q987" s="7"/>
      <c r="R987" s="7"/>
    </row>
    <row r="988" spans="6:18" ht="14.25" customHeight="1" x14ac:dyDescent="0.25">
      <c r="F988" s="7"/>
      <c r="G988" s="7"/>
      <c r="H988" s="7"/>
      <c r="I988" s="7"/>
      <c r="J988" s="7"/>
      <c r="K988" s="7"/>
      <c r="L988" s="7"/>
      <c r="M988" s="7"/>
      <c r="N988" s="7"/>
      <c r="O988" s="7"/>
      <c r="P988" s="7"/>
      <c r="Q988" s="7"/>
      <c r="R988" s="7"/>
    </row>
    <row r="989" spans="6:18" ht="14.25" customHeight="1" x14ac:dyDescent="0.25">
      <c r="F989" s="7"/>
      <c r="G989" s="7"/>
      <c r="H989" s="7"/>
      <c r="I989" s="7"/>
      <c r="J989" s="7"/>
      <c r="K989" s="7"/>
      <c r="L989" s="7"/>
      <c r="M989" s="7"/>
      <c r="N989" s="7"/>
      <c r="O989" s="7"/>
      <c r="P989" s="7"/>
      <c r="Q989" s="7"/>
      <c r="R989" s="7"/>
    </row>
    <row r="990" spans="6:18" ht="14.25" customHeight="1" x14ac:dyDescent="0.25">
      <c r="F990" s="7"/>
      <c r="G990" s="7"/>
      <c r="H990" s="7"/>
      <c r="I990" s="7"/>
      <c r="J990" s="7"/>
      <c r="K990" s="7"/>
      <c r="L990" s="7"/>
      <c r="M990" s="7"/>
      <c r="N990" s="7"/>
      <c r="O990" s="7"/>
      <c r="P990" s="7"/>
      <c r="Q990" s="7"/>
      <c r="R990" s="7"/>
    </row>
    <row r="991" spans="6:18" ht="14.25" customHeight="1" x14ac:dyDescent="0.25">
      <c r="F991" s="7"/>
      <c r="G991" s="7"/>
      <c r="H991" s="7"/>
      <c r="I991" s="7"/>
      <c r="J991" s="7"/>
      <c r="K991" s="7"/>
      <c r="L991" s="7"/>
      <c r="M991" s="7"/>
      <c r="N991" s="7"/>
      <c r="O991" s="7"/>
      <c r="P991" s="7"/>
      <c r="Q991" s="7"/>
      <c r="R991" s="7"/>
    </row>
    <row r="992" spans="6:18" ht="14.25" customHeight="1" x14ac:dyDescent="0.25">
      <c r="F992" s="7"/>
      <c r="G992" s="7"/>
      <c r="H992" s="7"/>
      <c r="I992" s="7"/>
      <c r="J992" s="7"/>
      <c r="K992" s="7"/>
      <c r="L992" s="7"/>
      <c r="M992" s="7"/>
      <c r="N992" s="7"/>
      <c r="O992" s="7"/>
      <c r="P992" s="7"/>
      <c r="Q992" s="7"/>
      <c r="R992" s="7"/>
    </row>
    <row r="993" spans="6:18" ht="14.25" customHeight="1" x14ac:dyDescent="0.25">
      <c r="F993" s="7"/>
      <c r="G993" s="7"/>
      <c r="H993" s="7"/>
      <c r="I993" s="7"/>
      <c r="J993" s="7"/>
      <c r="K993" s="7"/>
      <c r="L993" s="7"/>
      <c r="M993" s="7"/>
      <c r="N993" s="7"/>
      <c r="O993" s="7"/>
      <c r="P993" s="7"/>
      <c r="Q993" s="7"/>
      <c r="R993" s="7"/>
    </row>
    <row r="994" spans="6:18" ht="14.25" customHeight="1" x14ac:dyDescent="0.25">
      <c r="F994" s="7"/>
      <c r="G994" s="7"/>
      <c r="H994" s="7"/>
      <c r="I994" s="7"/>
      <c r="J994" s="7"/>
      <c r="K994" s="7"/>
      <c r="L994" s="7"/>
      <c r="M994" s="7"/>
      <c r="N994" s="7"/>
      <c r="O994" s="7"/>
      <c r="P994" s="7"/>
      <c r="Q994" s="7"/>
      <c r="R994" s="7"/>
    </row>
    <row r="995" spans="6:18" ht="14.25" customHeight="1" x14ac:dyDescent="0.25">
      <c r="F995" s="7"/>
      <c r="G995" s="7"/>
      <c r="H995" s="7"/>
      <c r="I995" s="7"/>
      <c r="J995" s="7"/>
      <c r="K995" s="7"/>
      <c r="L995" s="7"/>
      <c r="M995" s="7"/>
      <c r="N995" s="7"/>
      <c r="O995" s="7"/>
      <c r="P995" s="7"/>
      <c r="Q995" s="7"/>
      <c r="R995" s="7"/>
    </row>
    <row r="996" spans="6:18" ht="14.25" customHeight="1" x14ac:dyDescent="0.25">
      <c r="F996" s="7"/>
      <c r="G996" s="7"/>
      <c r="H996" s="7"/>
      <c r="I996" s="7"/>
      <c r="J996" s="7"/>
      <c r="K996" s="7"/>
      <c r="L996" s="7"/>
      <c r="M996" s="7"/>
      <c r="N996" s="7"/>
      <c r="O996" s="7"/>
      <c r="P996" s="7"/>
      <c r="Q996" s="7"/>
      <c r="R996" s="7"/>
    </row>
    <row r="997" spans="6:18" ht="14.25" customHeight="1" x14ac:dyDescent="0.25">
      <c r="F997" s="7"/>
      <c r="G997" s="7"/>
      <c r="H997" s="7"/>
      <c r="I997" s="7"/>
      <c r="J997" s="7"/>
      <c r="K997" s="7"/>
      <c r="L997" s="7"/>
      <c r="M997" s="7"/>
      <c r="N997" s="7"/>
      <c r="O997" s="7"/>
      <c r="P997" s="7"/>
      <c r="Q997" s="7"/>
      <c r="R997" s="7"/>
    </row>
    <row r="998" spans="6:18" ht="14.25" customHeight="1" x14ac:dyDescent="0.25">
      <c r="F998" s="7"/>
      <c r="G998" s="7"/>
      <c r="H998" s="7"/>
      <c r="I998" s="7"/>
      <c r="J998" s="7"/>
      <c r="K998" s="7"/>
      <c r="L998" s="7"/>
      <c r="M998" s="7"/>
      <c r="N998" s="7"/>
      <c r="O998" s="7"/>
      <c r="P998" s="7"/>
      <c r="Q998" s="7"/>
      <c r="R998" s="7"/>
    </row>
    <row r="999" spans="6:18" ht="14.25" customHeight="1" x14ac:dyDescent="0.25">
      <c r="F999" s="7"/>
      <c r="G999" s="7"/>
      <c r="H999" s="7"/>
      <c r="I999" s="7"/>
      <c r="J999" s="7"/>
      <c r="K999" s="7"/>
      <c r="L999" s="7"/>
      <c r="M999" s="7"/>
      <c r="N999" s="7"/>
      <c r="O999" s="7"/>
      <c r="P999" s="7"/>
      <c r="Q999" s="7"/>
      <c r="R999" s="7"/>
    </row>
    <row r="1000" spans="6:18" ht="14.25" customHeight="1" x14ac:dyDescent="0.25">
      <c r="F1000" s="7"/>
      <c r="G1000" s="7"/>
      <c r="H1000" s="7"/>
      <c r="I1000" s="7"/>
      <c r="J1000" s="7"/>
      <c r="K1000" s="7"/>
      <c r="L1000" s="7"/>
      <c r="M1000" s="7"/>
      <c r="N1000" s="7"/>
      <c r="O1000" s="7"/>
      <c r="P1000" s="7"/>
      <c r="Q1000" s="7"/>
      <c r="R1000" s="7"/>
    </row>
  </sheetData>
  <mergeCells count="16">
    <mergeCell ref="A52:W52"/>
    <mergeCell ref="A53:M53"/>
    <mergeCell ref="A106:V106"/>
    <mergeCell ref="A107:J107"/>
    <mergeCell ref="A84:V84"/>
    <mergeCell ref="A85:O85"/>
    <mergeCell ref="A102:C103"/>
    <mergeCell ref="E102:H103"/>
    <mergeCell ref="J102:N103"/>
    <mergeCell ref="A105:V105"/>
    <mergeCell ref="W106:AM106"/>
    <mergeCell ref="A4:O4"/>
    <mergeCell ref="A5:P5"/>
    <mergeCell ref="A11:K11"/>
    <mergeCell ref="A12:W12"/>
    <mergeCell ref="A51:V51"/>
  </mergeCells>
  <conditionalFormatting sqref="G16:R23">
    <cfRule type="colorScale" priority="1">
      <colorScale>
        <cfvo type="min"/>
        <cfvo type="percentile" val="50"/>
        <cfvo type="max"/>
        <color rgb="FF5A8AC6"/>
        <color rgb="FFFCFCFF"/>
        <color rgb="FFF8696B"/>
      </colorScale>
    </cfRule>
  </conditionalFormatting>
  <conditionalFormatting sqref="G25:R25">
    <cfRule type="colorScale" priority="2">
      <colorScale>
        <cfvo type="min"/>
        <cfvo type="percentile" val="50"/>
        <cfvo type="max"/>
        <color rgb="FF5A8AC6"/>
        <color rgb="FFFCFCFF"/>
        <color rgb="FFF8696B"/>
      </colorScale>
    </cfRule>
  </conditionalFormatting>
  <conditionalFormatting sqref="G27:R34">
    <cfRule type="colorScale" priority="3">
      <colorScale>
        <cfvo type="min"/>
        <cfvo type="percentile" val="50"/>
        <cfvo type="max"/>
        <color rgb="FF5A8AC6"/>
        <color rgb="FFFCFCFF"/>
        <color rgb="FFF8696B"/>
      </colorScale>
    </cfRule>
  </conditionalFormatting>
  <conditionalFormatting sqref="G36:R36">
    <cfRule type="colorScale" priority="4">
      <colorScale>
        <cfvo type="min"/>
        <cfvo type="percentile" val="50"/>
        <cfvo type="max"/>
        <color rgb="FF5A8AC6"/>
        <color rgb="FFFCFCFF"/>
        <color rgb="FFF8696B"/>
      </colorScale>
    </cfRule>
  </conditionalFormatting>
  <conditionalFormatting sqref="G38:R45 F46">
    <cfRule type="colorScale" priority="5">
      <colorScale>
        <cfvo type="min"/>
        <cfvo type="percentile" val="50"/>
        <cfvo type="max"/>
        <color rgb="FF5A8AC6"/>
        <color rgb="FFFCFCFF"/>
        <color rgb="FFF8696B"/>
      </colorScale>
    </cfRule>
  </conditionalFormatting>
  <conditionalFormatting sqref="G47:R47">
    <cfRule type="colorScale" priority="6">
      <colorScale>
        <cfvo type="min"/>
        <cfvo type="percentile" val="50"/>
        <cfvo type="max"/>
        <color rgb="FF5A8AC6"/>
        <color rgb="FFFCFCFF"/>
        <color rgb="FFF8696B"/>
      </colorScale>
    </cfRule>
  </conditionalFormatting>
  <conditionalFormatting sqref="G56:R63">
    <cfRule type="colorScale" priority="7">
      <colorScale>
        <cfvo type="min"/>
        <cfvo type="percentile" val="50"/>
        <cfvo type="max"/>
        <color rgb="FFF8696B"/>
        <color rgb="FFFCFCFF"/>
        <color rgb="FF5A8AC6"/>
      </colorScale>
    </cfRule>
  </conditionalFormatting>
  <conditionalFormatting sqref="G64:R64">
    <cfRule type="colorScale" priority="8">
      <colorScale>
        <cfvo type="min"/>
        <cfvo type="percentile" val="50"/>
        <cfvo type="max"/>
        <color rgb="FFF8696B"/>
        <color rgb="FFFCFCFF"/>
        <color rgb="FF5A8AC6"/>
      </colorScale>
    </cfRule>
  </conditionalFormatting>
  <conditionalFormatting sqref="G65:R65">
    <cfRule type="colorScale" priority="9">
      <colorScale>
        <cfvo type="min"/>
        <cfvo type="percentile" val="50"/>
        <cfvo type="max"/>
        <color rgb="FF5A8AC6"/>
        <color rgb="FFFCFCFF"/>
        <color rgb="FFF8696B"/>
      </colorScale>
    </cfRule>
  </conditionalFormatting>
  <pageMargins left="0.7" right="0.7" top="0.75" bottom="0.75"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sheetPr>
  <dimension ref="A1:Z1000"/>
  <sheetViews>
    <sheetView showGridLines="0" workbookViewId="0"/>
  </sheetViews>
  <sheetFormatPr defaultColWidth="14.42578125" defaultRowHeight="15" customHeight="1" x14ac:dyDescent="0.25"/>
  <cols>
    <col min="1" max="14" width="26.85546875" customWidth="1"/>
    <col min="15" max="22" width="8.7109375" customWidth="1"/>
  </cols>
  <sheetData>
    <row r="1" spans="1:26" ht="42" customHeight="1" x14ac:dyDescent="0.25">
      <c r="A1" s="222" t="s">
        <v>194</v>
      </c>
      <c r="B1" s="206"/>
      <c r="C1" s="206"/>
      <c r="D1" s="206"/>
      <c r="E1" s="206"/>
      <c r="F1" s="157"/>
      <c r="G1" s="157"/>
      <c r="H1" s="157"/>
      <c r="I1" s="157"/>
      <c r="J1" s="157"/>
      <c r="K1" s="157"/>
      <c r="L1" s="157"/>
      <c r="M1" s="157"/>
      <c r="N1" s="157"/>
      <c r="O1" s="157"/>
      <c r="P1" s="157"/>
      <c r="Q1" s="157"/>
      <c r="R1" s="157"/>
      <c r="S1" s="157"/>
      <c r="T1" s="157"/>
      <c r="U1" s="157"/>
      <c r="V1" s="157"/>
      <c r="W1" s="157"/>
      <c r="X1" s="157"/>
      <c r="Y1" s="157"/>
      <c r="Z1" s="157"/>
    </row>
    <row r="2" spans="1:26" ht="119.25" customHeight="1" x14ac:dyDescent="0.25">
      <c r="A2" s="223" t="s">
        <v>195</v>
      </c>
      <c r="B2" s="206"/>
      <c r="C2" s="206"/>
      <c r="D2" s="206"/>
      <c r="E2" s="206"/>
      <c r="F2" s="206"/>
      <c r="G2" s="206"/>
      <c r="H2" s="206"/>
      <c r="I2" s="206"/>
      <c r="J2" s="206"/>
      <c r="K2" s="206"/>
      <c r="L2" s="7"/>
      <c r="M2" s="7"/>
      <c r="N2" s="7"/>
      <c r="O2" s="7"/>
      <c r="P2" s="7"/>
      <c r="Q2" s="7"/>
      <c r="R2" s="7"/>
      <c r="S2" s="7"/>
      <c r="T2" s="7"/>
      <c r="U2" s="7"/>
      <c r="V2" s="7"/>
      <c r="W2" s="7"/>
      <c r="X2" s="7"/>
      <c r="Y2" s="7"/>
      <c r="Z2" s="7"/>
    </row>
    <row r="3" spans="1:26" ht="12.75" customHeight="1" x14ac:dyDescent="0.25">
      <c r="A3" s="73"/>
      <c r="B3" s="7"/>
      <c r="C3" s="7"/>
      <c r="D3" s="7"/>
      <c r="E3" s="7"/>
      <c r="F3" s="7"/>
      <c r="G3" s="7"/>
      <c r="H3" s="7"/>
      <c r="I3" s="7"/>
      <c r="J3" s="7"/>
      <c r="K3" s="7"/>
      <c r="L3" s="7"/>
      <c r="M3" s="7"/>
      <c r="N3" s="7"/>
      <c r="O3" s="7"/>
      <c r="P3" s="7"/>
      <c r="Q3" s="7"/>
      <c r="R3" s="7"/>
      <c r="S3" s="7"/>
      <c r="T3" s="7"/>
      <c r="U3" s="7"/>
      <c r="V3" s="7"/>
      <c r="W3" s="7"/>
      <c r="X3" s="7"/>
      <c r="Y3" s="7"/>
      <c r="Z3" s="7"/>
    </row>
    <row r="4" spans="1:26" ht="72" customHeight="1" x14ac:dyDescent="0.25">
      <c r="A4" s="224" t="s">
        <v>196</v>
      </c>
      <c r="B4" s="206"/>
      <c r="C4" s="206"/>
      <c r="D4" s="206"/>
      <c r="E4" s="206"/>
      <c r="F4" s="206"/>
      <c r="G4" s="206"/>
      <c r="H4" s="206"/>
      <c r="I4" s="206"/>
      <c r="J4" s="206"/>
      <c r="K4" s="157"/>
      <c r="L4" s="157"/>
      <c r="M4" s="157"/>
      <c r="N4" s="157"/>
      <c r="O4" s="157"/>
      <c r="P4" s="157"/>
      <c r="Q4" s="157"/>
      <c r="R4" s="157"/>
      <c r="S4" s="157"/>
      <c r="T4" s="157"/>
      <c r="U4" s="157"/>
      <c r="V4" s="157"/>
      <c r="W4" s="157"/>
      <c r="X4" s="157"/>
      <c r="Y4" s="157"/>
      <c r="Z4" s="157"/>
    </row>
    <row r="5" spans="1:26" ht="20.25" customHeight="1" x14ac:dyDescent="0.25">
      <c r="A5" s="195"/>
      <c r="B5" s="158"/>
      <c r="C5" s="158"/>
      <c r="D5" s="158"/>
      <c r="E5" s="158"/>
      <c r="F5" s="158"/>
      <c r="G5" s="158"/>
      <c r="H5" s="158"/>
      <c r="I5" s="158"/>
      <c r="J5" s="158"/>
      <c r="K5" s="157"/>
      <c r="L5" s="157"/>
      <c r="M5" s="157"/>
      <c r="N5" s="157"/>
      <c r="O5" s="157"/>
      <c r="P5" s="157"/>
      <c r="Q5" s="157"/>
      <c r="R5" s="157"/>
      <c r="S5" s="157"/>
      <c r="T5" s="157"/>
      <c r="U5" s="157"/>
      <c r="V5" s="157"/>
      <c r="W5" s="157"/>
      <c r="X5" s="157"/>
      <c r="Y5" s="157"/>
      <c r="Z5" s="157"/>
    </row>
    <row r="6" spans="1:26" ht="12.75" customHeight="1" x14ac:dyDescent="0.25">
      <c r="A6" s="224" t="s">
        <v>197</v>
      </c>
      <c r="B6" s="206"/>
      <c r="C6" s="206"/>
      <c r="D6" s="206"/>
      <c r="E6" s="206"/>
      <c r="F6" s="206"/>
      <c r="G6" s="206"/>
      <c r="H6" s="206"/>
      <c r="I6" s="206"/>
      <c r="J6" s="206"/>
      <c r="K6" s="206"/>
      <c r="L6" s="206"/>
      <c r="M6" s="206"/>
      <c r="N6" s="206"/>
      <c r="O6" s="206"/>
      <c r="P6" s="206"/>
      <c r="Q6" s="206"/>
      <c r="R6" s="206"/>
      <c r="S6" s="206"/>
      <c r="T6" s="206"/>
      <c r="U6" s="206"/>
      <c r="V6" s="206"/>
      <c r="W6" s="13"/>
      <c r="X6" s="13"/>
      <c r="Y6" s="13"/>
      <c r="Z6" s="13"/>
    </row>
    <row r="7" spans="1:26" ht="30" customHeight="1" x14ac:dyDescent="0.25">
      <c r="A7" s="159" t="s">
        <v>198</v>
      </c>
      <c r="B7" s="157"/>
      <c r="C7" s="157"/>
      <c r="D7" s="157"/>
      <c r="E7" s="157"/>
      <c r="F7" s="157"/>
      <c r="G7" s="157"/>
      <c r="H7" s="157"/>
      <c r="I7" s="157"/>
      <c r="J7" s="157"/>
      <c r="K7" s="157"/>
      <c r="L7" s="157"/>
      <c r="M7" s="157"/>
      <c r="N7" s="157"/>
      <c r="O7" s="157"/>
      <c r="P7" s="157"/>
      <c r="Q7" s="157"/>
      <c r="R7" s="157"/>
      <c r="S7" s="157"/>
      <c r="T7" s="157"/>
      <c r="U7" s="157"/>
      <c r="V7" s="157"/>
      <c r="W7" s="157"/>
      <c r="X7" s="157"/>
      <c r="Y7" s="157"/>
      <c r="Z7" s="157"/>
    </row>
    <row r="8" spans="1:26" ht="12.75" customHeight="1" x14ac:dyDescent="0.25">
      <c r="A8" s="74" t="s">
        <v>199</v>
      </c>
      <c r="B8" s="160"/>
      <c r="C8" s="75" t="s">
        <v>200</v>
      </c>
      <c r="D8" s="75" t="s">
        <v>201</v>
      </c>
      <c r="E8" s="75" t="s">
        <v>202</v>
      </c>
      <c r="F8" s="75" t="s">
        <v>203</v>
      </c>
      <c r="G8" s="75" t="s">
        <v>204</v>
      </c>
      <c r="H8" s="75" t="s">
        <v>205</v>
      </c>
      <c r="I8" s="75" t="s">
        <v>206</v>
      </c>
      <c r="J8" s="75" t="s">
        <v>207</v>
      </c>
      <c r="K8" s="75" t="s">
        <v>208</v>
      </c>
      <c r="L8" s="75" t="s">
        <v>209</v>
      </c>
      <c r="M8" s="75" t="s">
        <v>210</v>
      </c>
      <c r="N8" s="75" t="s">
        <v>211</v>
      </c>
      <c r="O8" s="157"/>
      <c r="P8" s="157"/>
      <c r="Q8" s="157"/>
      <c r="R8" s="157"/>
      <c r="S8" s="157"/>
      <c r="T8" s="157"/>
      <c r="U8" s="157"/>
      <c r="V8" s="157"/>
      <c r="W8" s="157"/>
      <c r="X8" s="157"/>
      <c r="Y8" s="157"/>
      <c r="Z8" s="157"/>
    </row>
    <row r="9" spans="1:26" ht="12.75" customHeight="1" x14ac:dyDescent="0.25">
      <c r="A9" s="76" t="s">
        <v>212</v>
      </c>
      <c r="B9" s="77" t="s">
        <v>213</v>
      </c>
      <c r="C9" s="78" t="e">
        <f>SUMIFS(#REF!,#REF!,'Variance Analysis'!$B9,#REF!,'Variance Analysis'!$A9)</f>
        <v>#REF!</v>
      </c>
      <c r="D9" s="78" t="e">
        <f>SUMIFS(#REF!,#REF!,'Variance Analysis'!$B9,#REF!,'Variance Analysis'!$A9)</f>
        <v>#REF!</v>
      </c>
      <c r="E9" s="78" t="e">
        <f>SUMIFS(#REF!,#REF!,'Variance Analysis'!$B9,#REF!,'Variance Analysis'!$A9)</f>
        <v>#REF!</v>
      </c>
      <c r="F9" s="78" t="e">
        <f>SUMIFS(#REF!,#REF!,'Variance Analysis'!$B9,#REF!,'Variance Analysis'!$A9)</f>
        <v>#REF!</v>
      </c>
      <c r="G9" s="78" t="e">
        <f>SUMIFS(#REF!,#REF!,'Variance Analysis'!$B9,#REF!,'Variance Analysis'!$A9)</f>
        <v>#REF!</v>
      </c>
      <c r="H9" s="78" t="e">
        <f>SUMIFS(#REF!,#REF!,'Variance Analysis'!$B9,#REF!,'Variance Analysis'!$A9)</f>
        <v>#REF!</v>
      </c>
      <c r="I9" s="78" t="e">
        <f>SUMIFS(#REF!,#REF!,'Variance Analysis'!$B9,#REF!,'Variance Analysis'!$A9)</f>
        <v>#REF!</v>
      </c>
      <c r="J9" s="78" t="e">
        <f>SUMIFS(#REF!,#REF!,'Variance Analysis'!$B9,#REF!,'Variance Analysis'!$A9)</f>
        <v>#REF!</v>
      </c>
      <c r="K9" s="78" t="e">
        <f>SUMIFS(#REF!,#REF!,'Variance Analysis'!$B9,#REF!,'Variance Analysis'!$A9)</f>
        <v>#REF!</v>
      </c>
      <c r="L9" s="78" t="e">
        <f>SUMIFS(#REF!,#REF!,'Variance Analysis'!$B9,#REF!,'Variance Analysis'!$A9)</f>
        <v>#REF!</v>
      </c>
      <c r="M9" s="78" t="e">
        <f>SUMIFS(#REF!,#REF!,'Variance Analysis'!$B9,#REF!,'Variance Analysis'!$A9)</f>
        <v>#REF!</v>
      </c>
      <c r="N9" s="78" t="e">
        <f>SUMIFS(#REF!,#REF!,'Variance Analysis'!$B9,#REF!,'Variance Analysis'!$A9)</f>
        <v>#REF!</v>
      </c>
      <c r="O9" s="79"/>
      <c r="P9" s="79"/>
      <c r="Q9" s="79"/>
      <c r="R9" s="79"/>
      <c r="S9" s="79"/>
      <c r="T9" s="79"/>
      <c r="U9" s="79"/>
      <c r="V9" s="79"/>
      <c r="W9" s="7"/>
      <c r="X9" s="7"/>
      <c r="Y9" s="7"/>
      <c r="Z9" s="7"/>
    </row>
    <row r="10" spans="1:26" ht="12.75" customHeight="1" x14ac:dyDescent="0.25">
      <c r="A10" s="76" t="s">
        <v>212</v>
      </c>
      <c r="B10" s="76" t="s">
        <v>214</v>
      </c>
      <c r="C10" s="78" t="e">
        <f>SUMIFS(#REF!,#REF!,'Variance Analysis'!$B10,#REF!,'Variance Analysis'!$A10)</f>
        <v>#REF!</v>
      </c>
      <c r="D10" s="78" t="e">
        <f>SUMIFS(#REF!,#REF!,'Variance Analysis'!$B10,#REF!,'Variance Analysis'!$A10)</f>
        <v>#REF!</v>
      </c>
      <c r="E10" s="78" t="e">
        <f>SUMIFS(#REF!,#REF!,'Variance Analysis'!$B10,#REF!,'Variance Analysis'!$A10)</f>
        <v>#REF!</v>
      </c>
      <c r="F10" s="78" t="e">
        <f>SUMIFS(#REF!,#REF!,'Variance Analysis'!$B10,#REF!,'Variance Analysis'!$A10)</f>
        <v>#REF!</v>
      </c>
      <c r="G10" s="78" t="e">
        <f>SUMIFS(#REF!,#REF!,'Variance Analysis'!$B10,#REF!,'Variance Analysis'!$A10)</f>
        <v>#REF!</v>
      </c>
      <c r="H10" s="78" t="e">
        <f>SUMIFS(#REF!,#REF!,'Variance Analysis'!$B10,#REF!,'Variance Analysis'!$A10)</f>
        <v>#REF!</v>
      </c>
      <c r="I10" s="78" t="e">
        <f>SUMIFS(#REF!,#REF!,'Variance Analysis'!$B10,#REF!,'Variance Analysis'!$A10)</f>
        <v>#REF!</v>
      </c>
      <c r="J10" s="78" t="e">
        <f>SUMIFS(#REF!,#REF!,'Variance Analysis'!$B10,#REF!,'Variance Analysis'!$A10)</f>
        <v>#REF!</v>
      </c>
      <c r="K10" s="78" t="e">
        <f>SUMIFS(#REF!,#REF!,'Variance Analysis'!$B10,#REF!,'Variance Analysis'!$A10)</f>
        <v>#REF!</v>
      </c>
      <c r="L10" s="78" t="e">
        <f>SUMIFS(#REF!,#REF!,'Variance Analysis'!$B10,#REF!,'Variance Analysis'!$A10)</f>
        <v>#REF!</v>
      </c>
      <c r="M10" s="78" t="e">
        <f>SUMIFS(#REF!,#REF!,'Variance Analysis'!$B10,#REF!,'Variance Analysis'!$A10)</f>
        <v>#REF!</v>
      </c>
      <c r="N10" s="78" t="e">
        <f>SUMIFS(#REF!,#REF!,'Variance Analysis'!$B10,#REF!,'Variance Analysis'!$A10)</f>
        <v>#REF!</v>
      </c>
      <c r="O10" s="79"/>
      <c r="P10" s="79"/>
      <c r="Q10" s="79"/>
      <c r="R10" s="79"/>
      <c r="S10" s="79"/>
      <c r="T10" s="79"/>
      <c r="U10" s="79"/>
      <c r="V10" s="79"/>
      <c r="W10" s="7"/>
      <c r="X10" s="7"/>
      <c r="Y10" s="7"/>
      <c r="Z10" s="7"/>
    </row>
    <row r="11" spans="1:26" ht="12.75" customHeight="1" x14ac:dyDescent="0.25">
      <c r="A11" s="76" t="s">
        <v>212</v>
      </c>
      <c r="B11" s="76" t="s">
        <v>215</v>
      </c>
      <c r="C11" s="78" t="e">
        <f>SUMIFS(#REF!,#REF!,'Variance Analysis'!$B11,#REF!,'Variance Analysis'!$A11)</f>
        <v>#REF!</v>
      </c>
      <c r="D11" s="78" t="e">
        <f>SUMIFS(#REF!,#REF!,'Variance Analysis'!$B11,#REF!,'Variance Analysis'!$A11)</f>
        <v>#REF!</v>
      </c>
      <c r="E11" s="78" t="e">
        <f>SUMIFS(#REF!,#REF!,'Variance Analysis'!$B11,#REF!,'Variance Analysis'!$A11)</f>
        <v>#REF!</v>
      </c>
      <c r="F11" s="78" t="e">
        <f>SUMIFS(#REF!,#REF!,'Variance Analysis'!$B11,#REF!,'Variance Analysis'!$A11)</f>
        <v>#REF!</v>
      </c>
      <c r="G11" s="78" t="e">
        <f>SUMIFS(#REF!,#REF!,'Variance Analysis'!$B11,#REF!,'Variance Analysis'!$A11)</f>
        <v>#REF!</v>
      </c>
      <c r="H11" s="78" t="e">
        <f>SUMIFS(#REF!,#REF!,'Variance Analysis'!$B11,#REF!,'Variance Analysis'!$A11)</f>
        <v>#REF!</v>
      </c>
      <c r="I11" s="78" t="e">
        <f>SUMIFS(#REF!,#REF!,'Variance Analysis'!$B11,#REF!,'Variance Analysis'!$A11)</f>
        <v>#REF!</v>
      </c>
      <c r="J11" s="78" t="e">
        <f>SUMIFS(#REF!,#REF!,'Variance Analysis'!$B11,#REF!,'Variance Analysis'!$A11)</f>
        <v>#REF!</v>
      </c>
      <c r="K11" s="78" t="e">
        <f>SUMIFS(#REF!,#REF!,'Variance Analysis'!$B11,#REF!,'Variance Analysis'!$A11)</f>
        <v>#REF!</v>
      </c>
      <c r="L11" s="78" t="e">
        <f>SUMIFS(#REF!,#REF!,'Variance Analysis'!$B11,#REF!,'Variance Analysis'!$A11)</f>
        <v>#REF!</v>
      </c>
      <c r="M11" s="78" t="e">
        <f>SUMIFS(#REF!,#REF!,'Variance Analysis'!$B11,#REF!,'Variance Analysis'!$A11)</f>
        <v>#REF!</v>
      </c>
      <c r="N11" s="78" t="e">
        <f>SUMIFS(#REF!,#REF!,'Variance Analysis'!$B11,#REF!,'Variance Analysis'!$A11)</f>
        <v>#REF!</v>
      </c>
      <c r="O11" s="79"/>
      <c r="P11" s="79"/>
      <c r="Q11" s="79"/>
      <c r="R11" s="79"/>
      <c r="S11" s="79"/>
      <c r="T11" s="79"/>
      <c r="U11" s="79"/>
      <c r="V11" s="79"/>
      <c r="W11" s="7"/>
      <c r="X11" s="7"/>
      <c r="Y11" s="7"/>
      <c r="Z11" s="7"/>
    </row>
    <row r="12" spans="1:26" ht="12.75" customHeight="1" x14ac:dyDescent="0.25">
      <c r="A12" s="76" t="s">
        <v>212</v>
      </c>
      <c r="B12" s="76" t="s">
        <v>216</v>
      </c>
      <c r="C12" s="78" t="e">
        <f t="shared" ref="C12:N12" si="0">SUMIFS(#REF!,#REF!,$A$12)</f>
        <v>#REF!</v>
      </c>
      <c r="D12" s="78" t="e">
        <f t="shared" si="0"/>
        <v>#REF!</v>
      </c>
      <c r="E12" s="78" t="e">
        <f t="shared" si="0"/>
        <v>#REF!</v>
      </c>
      <c r="F12" s="78" t="e">
        <f t="shared" si="0"/>
        <v>#REF!</v>
      </c>
      <c r="G12" s="78" t="e">
        <f t="shared" si="0"/>
        <v>#REF!</v>
      </c>
      <c r="H12" s="78" t="e">
        <f t="shared" si="0"/>
        <v>#REF!</v>
      </c>
      <c r="I12" s="78" t="e">
        <f t="shared" si="0"/>
        <v>#REF!</v>
      </c>
      <c r="J12" s="78" t="e">
        <f t="shared" si="0"/>
        <v>#REF!</v>
      </c>
      <c r="K12" s="78" t="e">
        <f t="shared" si="0"/>
        <v>#REF!</v>
      </c>
      <c r="L12" s="78" t="e">
        <f t="shared" si="0"/>
        <v>#REF!</v>
      </c>
      <c r="M12" s="78" t="e">
        <f t="shared" si="0"/>
        <v>#REF!</v>
      </c>
      <c r="N12" s="78" t="e">
        <f t="shared" si="0"/>
        <v>#REF!</v>
      </c>
      <c r="O12" s="79"/>
      <c r="P12" s="79"/>
      <c r="Q12" s="79"/>
      <c r="R12" s="79"/>
      <c r="S12" s="79"/>
      <c r="T12" s="79"/>
      <c r="U12" s="79"/>
      <c r="V12" s="79"/>
      <c r="W12" s="7"/>
      <c r="X12" s="7"/>
      <c r="Y12" s="7"/>
      <c r="Z12" s="7"/>
    </row>
    <row r="13" spans="1:26" ht="12.75" customHeight="1" x14ac:dyDescent="0.25">
      <c r="A13" s="76" t="s">
        <v>217</v>
      </c>
      <c r="B13" s="76" t="s">
        <v>213</v>
      </c>
      <c r="C13" s="78" t="e">
        <f>SUMIFS(#REF!,#REF!,'Variance Analysis'!$B13,#REF!,'Variance Analysis'!$A13)</f>
        <v>#REF!</v>
      </c>
      <c r="D13" s="78" t="e">
        <f>SUMIFS(#REF!,#REF!,'Variance Analysis'!$B13,#REF!,'Variance Analysis'!$A13)</f>
        <v>#REF!</v>
      </c>
      <c r="E13" s="78" t="e">
        <f>SUMIFS(#REF!,#REF!,'Variance Analysis'!$B13,#REF!,'Variance Analysis'!$A13)</f>
        <v>#REF!</v>
      </c>
      <c r="F13" s="78" t="e">
        <f>SUMIFS(#REF!,#REF!,'Variance Analysis'!$B13,#REF!,'Variance Analysis'!$A13)</f>
        <v>#REF!</v>
      </c>
      <c r="G13" s="78" t="e">
        <f>SUMIFS(#REF!,#REF!,'Variance Analysis'!$B13,#REF!,'Variance Analysis'!$A13)</f>
        <v>#REF!</v>
      </c>
      <c r="H13" s="78" t="e">
        <f>SUMIFS(#REF!,#REF!,'Variance Analysis'!$B13,#REF!,'Variance Analysis'!$A13)</f>
        <v>#REF!</v>
      </c>
      <c r="I13" s="78" t="e">
        <f>SUMIFS(#REF!,#REF!,'Variance Analysis'!$B13,#REF!,'Variance Analysis'!$A13)</f>
        <v>#REF!</v>
      </c>
      <c r="J13" s="78" t="e">
        <f>SUMIFS(#REF!,#REF!,'Variance Analysis'!$B13,#REF!,'Variance Analysis'!$A13)</f>
        <v>#REF!</v>
      </c>
      <c r="K13" s="78" t="e">
        <f>SUMIFS(#REF!,#REF!,'Variance Analysis'!$B13,#REF!,'Variance Analysis'!$A13)</f>
        <v>#REF!</v>
      </c>
      <c r="L13" s="78" t="e">
        <f>SUMIFS(#REF!,#REF!,'Variance Analysis'!$B13,#REF!,'Variance Analysis'!$A13)</f>
        <v>#REF!</v>
      </c>
      <c r="M13" s="78" t="e">
        <f>SUMIFS(#REF!,#REF!,'Variance Analysis'!$B13,#REF!,'Variance Analysis'!$A13)</f>
        <v>#REF!</v>
      </c>
      <c r="N13" s="78" t="e">
        <f>SUMIFS(#REF!,#REF!,'Variance Analysis'!$B13,#REF!,'Variance Analysis'!$A13)</f>
        <v>#REF!</v>
      </c>
      <c r="O13" s="79"/>
      <c r="P13" s="79"/>
      <c r="Q13" s="79"/>
      <c r="R13" s="79"/>
      <c r="S13" s="79"/>
      <c r="T13" s="79"/>
      <c r="U13" s="79"/>
      <c r="V13" s="79"/>
      <c r="W13" s="7"/>
      <c r="X13" s="7"/>
      <c r="Y13" s="7"/>
      <c r="Z13" s="7"/>
    </row>
    <row r="14" spans="1:26" ht="12.75" customHeight="1" x14ac:dyDescent="0.25">
      <c r="A14" s="76" t="s">
        <v>217</v>
      </c>
      <c r="B14" s="76" t="s">
        <v>214</v>
      </c>
      <c r="C14" s="78" t="e">
        <f>SUMIFS(#REF!,#REF!,'Variance Analysis'!$B14,#REF!,'Variance Analysis'!$A14)</f>
        <v>#REF!</v>
      </c>
      <c r="D14" s="78" t="e">
        <f>SUMIFS(#REF!,#REF!,'Variance Analysis'!$B14,#REF!,'Variance Analysis'!$A14)</f>
        <v>#REF!</v>
      </c>
      <c r="E14" s="78" t="e">
        <f>SUMIFS(#REF!,#REF!,'Variance Analysis'!$B14,#REF!,'Variance Analysis'!$A14)</f>
        <v>#REF!</v>
      </c>
      <c r="F14" s="78" t="e">
        <f>SUMIFS(#REF!,#REF!,'Variance Analysis'!$B14,#REF!,'Variance Analysis'!$A14)</f>
        <v>#REF!</v>
      </c>
      <c r="G14" s="78" t="e">
        <f>SUMIFS(#REF!,#REF!,'Variance Analysis'!$B14,#REF!,'Variance Analysis'!$A14)</f>
        <v>#REF!</v>
      </c>
      <c r="H14" s="78" t="e">
        <f>SUMIFS(#REF!,#REF!,'Variance Analysis'!$B14,#REF!,'Variance Analysis'!$A14)</f>
        <v>#REF!</v>
      </c>
      <c r="I14" s="78" t="e">
        <f>SUMIFS(#REF!,#REF!,'Variance Analysis'!$B14,#REF!,'Variance Analysis'!$A14)</f>
        <v>#REF!</v>
      </c>
      <c r="J14" s="78" t="e">
        <f>SUMIFS(#REF!,#REF!,'Variance Analysis'!$B14,#REF!,'Variance Analysis'!$A14)</f>
        <v>#REF!</v>
      </c>
      <c r="K14" s="78" t="e">
        <f>SUMIFS(#REF!,#REF!,'Variance Analysis'!$B14,#REF!,'Variance Analysis'!$A14)</f>
        <v>#REF!</v>
      </c>
      <c r="L14" s="78" t="e">
        <f>SUMIFS(#REF!,#REF!,'Variance Analysis'!$B14,#REF!,'Variance Analysis'!$A14)</f>
        <v>#REF!</v>
      </c>
      <c r="M14" s="78" t="e">
        <f>SUMIFS(#REF!,#REF!,'Variance Analysis'!$B14,#REF!,'Variance Analysis'!$A14)</f>
        <v>#REF!</v>
      </c>
      <c r="N14" s="78" t="e">
        <f>SUMIFS(#REF!,#REF!,'Variance Analysis'!$B14,#REF!,'Variance Analysis'!$A14)</f>
        <v>#REF!</v>
      </c>
      <c r="O14" s="79"/>
      <c r="P14" s="79"/>
      <c r="Q14" s="79"/>
      <c r="R14" s="79"/>
      <c r="S14" s="79"/>
      <c r="T14" s="79"/>
      <c r="U14" s="79"/>
      <c r="V14" s="79"/>
      <c r="W14" s="7"/>
      <c r="X14" s="7"/>
      <c r="Y14" s="7"/>
      <c r="Z14" s="7"/>
    </row>
    <row r="15" spans="1:26" ht="12.75" customHeight="1" x14ac:dyDescent="0.25">
      <c r="A15" s="76" t="s">
        <v>217</v>
      </c>
      <c r="B15" s="76" t="s">
        <v>215</v>
      </c>
      <c r="C15" s="78" t="e">
        <f>SUMIFS(#REF!,#REF!,'Variance Analysis'!$B15,#REF!,'Variance Analysis'!$A15)</f>
        <v>#REF!</v>
      </c>
      <c r="D15" s="78" t="e">
        <f>SUMIFS(#REF!,#REF!,'Variance Analysis'!$B15,#REF!,'Variance Analysis'!$A15)</f>
        <v>#REF!</v>
      </c>
      <c r="E15" s="78" t="e">
        <f>SUMIFS(#REF!,#REF!,'Variance Analysis'!$B15,#REF!,'Variance Analysis'!$A15)</f>
        <v>#REF!</v>
      </c>
      <c r="F15" s="78" t="e">
        <f>SUMIFS(#REF!,#REF!,'Variance Analysis'!$B15,#REF!,'Variance Analysis'!$A15)</f>
        <v>#REF!</v>
      </c>
      <c r="G15" s="78" t="e">
        <f>SUMIFS(#REF!,#REF!,'Variance Analysis'!$B15,#REF!,'Variance Analysis'!$A15)</f>
        <v>#REF!</v>
      </c>
      <c r="H15" s="78" t="e">
        <f>SUMIFS(#REF!,#REF!,'Variance Analysis'!$B15,#REF!,'Variance Analysis'!$A15)</f>
        <v>#REF!</v>
      </c>
      <c r="I15" s="78" t="e">
        <f>SUMIFS(#REF!,#REF!,'Variance Analysis'!$B15,#REF!,'Variance Analysis'!$A15)</f>
        <v>#REF!</v>
      </c>
      <c r="J15" s="78" t="e">
        <f>SUMIFS(#REF!,#REF!,'Variance Analysis'!$B15,#REF!,'Variance Analysis'!$A15)</f>
        <v>#REF!</v>
      </c>
      <c r="K15" s="78" t="e">
        <f>SUMIFS(#REF!,#REF!,'Variance Analysis'!$B15,#REF!,'Variance Analysis'!$A15)</f>
        <v>#REF!</v>
      </c>
      <c r="L15" s="78" t="e">
        <f>SUMIFS(#REF!,#REF!,'Variance Analysis'!$B15,#REF!,'Variance Analysis'!$A15)</f>
        <v>#REF!</v>
      </c>
      <c r="M15" s="78" t="e">
        <f>SUMIFS(#REF!,#REF!,'Variance Analysis'!$B15,#REF!,'Variance Analysis'!$A15)</f>
        <v>#REF!</v>
      </c>
      <c r="N15" s="78" t="e">
        <f>SUMIFS(#REF!,#REF!,'Variance Analysis'!$B15,#REF!,'Variance Analysis'!$A15)</f>
        <v>#REF!</v>
      </c>
      <c r="O15" s="79"/>
      <c r="P15" s="79"/>
      <c r="Q15" s="79"/>
      <c r="R15" s="79"/>
      <c r="S15" s="79"/>
      <c r="T15" s="79"/>
      <c r="U15" s="79"/>
      <c r="V15" s="79"/>
      <c r="W15" s="7"/>
      <c r="X15" s="7"/>
      <c r="Y15" s="7"/>
      <c r="Z15" s="7"/>
    </row>
    <row r="16" spans="1:26" ht="12.75" customHeight="1" x14ac:dyDescent="0.25">
      <c r="A16" s="76" t="s">
        <v>217</v>
      </c>
      <c r="B16" s="76" t="s">
        <v>216</v>
      </c>
      <c r="C16" s="78" t="e">
        <f t="shared" ref="C16:N16" si="1">SUMIFS(#REF!,#REF!,$A$16)</f>
        <v>#REF!</v>
      </c>
      <c r="D16" s="78" t="e">
        <f t="shared" si="1"/>
        <v>#REF!</v>
      </c>
      <c r="E16" s="78" t="e">
        <f t="shared" si="1"/>
        <v>#REF!</v>
      </c>
      <c r="F16" s="78" t="e">
        <f t="shared" si="1"/>
        <v>#REF!</v>
      </c>
      <c r="G16" s="78" t="e">
        <f t="shared" si="1"/>
        <v>#REF!</v>
      </c>
      <c r="H16" s="78" t="e">
        <f t="shared" si="1"/>
        <v>#REF!</v>
      </c>
      <c r="I16" s="78" t="e">
        <f t="shared" si="1"/>
        <v>#REF!</v>
      </c>
      <c r="J16" s="78" t="e">
        <f t="shared" si="1"/>
        <v>#REF!</v>
      </c>
      <c r="K16" s="78" t="e">
        <f t="shared" si="1"/>
        <v>#REF!</v>
      </c>
      <c r="L16" s="78" t="e">
        <f t="shared" si="1"/>
        <v>#REF!</v>
      </c>
      <c r="M16" s="78" t="e">
        <f t="shared" si="1"/>
        <v>#REF!</v>
      </c>
      <c r="N16" s="78" t="e">
        <f t="shared" si="1"/>
        <v>#REF!</v>
      </c>
      <c r="O16" s="79"/>
      <c r="P16" s="79"/>
      <c r="Q16" s="79"/>
      <c r="R16" s="79"/>
      <c r="S16" s="79"/>
      <c r="T16" s="79"/>
      <c r="U16" s="79"/>
      <c r="V16" s="79"/>
      <c r="W16" s="7"/>
      <c r="X16" s="7"/>
      <c r="Y16" s="7"/>
      <c r="Z16" s="7"/>
    </row>
    <row r="17" spans="1:26" ht="12.75" customHeight="1" x14ac:dyDescent="0.25">
      <c r="A17" s="76" t="s">
        <v>218</v>
      </c>
      <c r="B17" s="76" t="s">
        <v>213</v>
      </c>
      <c r="C17" s="78" t="e">
        <f>SUMIFS(#REF!,#REF!,'Variance Analysis'!$B17,#REF!,'Variance Analysis'!$A17)</f>
        <v>#REF!</v>
      </c>
      <c r="D17" s="78" t="e">
        <f>SUMIFS(#REF!,#REF!,'Variance Analysis'!$B17,#REF!,'Variance Analysis'!$A17)</f>
        <v>#REF!</v>
      </c>
      <c r="E17" s="78" t="e">
        <f>SUMIFS(#REF!,#REF!,'Variance Analysis'!$B17,#REF!,'Variance Analysis'!$A17)</f>
        <v>#REF!</v>
      </c>
      <c r="F17" s="78" t="e">
        <f>SUMIFS(#REF!,#REF!,'Variance Analysis'!$B17,#REF!,'Variance Analysis'!$A17)</f>
        <v>#REF!</v>
      </c>
      <c r="G17" s="78" t="e">
        <f>SUMIFS(#REF!,#REF!,'Variance Analysis'!$B17,#REF!,'Variance Analysis'!$A17)</f>
        <v>#REF!</v>
      </c>
      <c r="H17" s="78" t="e">
        <f>SUMIFS(#REF!,#REF!,'Variance Analysis'!$B17,#REF!,'Variance Analysis'!$A17)</f>
        <v>#REF!</v>
      </c>
      <c r="I17" s="78" t="e">
        <f>SUMIFS(#REF!,#REF!,'Variance Analysis'!$B17,#REF!,'Variance Analysis'!$A17)</f>
        <v>#REF!</v>
      </c>
      <c r="J17" s="78" t="e">
        <f>SUMIFS(#REF!,#REF!,'Variance Analysis'!$B17,#REF!,'Variance Analysis'!$A17)</f>
        <v>#REF!</v>
      </c>
      <c r="K17" s="78" t="e">
        <f>SUMIFS(#REF!,#REF!,'Variance Analysis'!$B17,#REF!,'Variance Analysis'!$A17)</f>
        <v>#REF!</v>
      </c>
      <c r="L17" s="78" t="e">
        <f>SUMIFS(#REF!,#REF!,'Variance Analysis'!$B17,#REF!,'Variance Analysis'!$A17)</f>
        <v>#REF!</v>
      </c>
      <c r="M17" s="78" t="e">
        <f>SUMIFS(#REF!,#REF!,'Variance Analysis'!$B17,#REF!,'Variance Analysis'!$A17)</f>
        <v>#REF!</v>
      </c>
      <c r="N17" s="78" t="e">
        <f>SUMIFS(#REF!,#REF!,'Variance Analysis'!$B17,#REF!,'Variance Analysis'!$A17)</f>
        <v>#REF!</v>
      </c>
      <c r="O17" s="79"/>
      <c r="P17" s="79"/>
      <c r="Q17" s="79"/>
      <c r="R17" s="79"/>
      <c r="S17" s="79"/>
      <c r="T17" s="79"/>
      <c r="U17" s="79"/>
      <c r="V17" s="79"/>
      <c r="W17" s="7"/>
      <c r="X17" s="7"/>
      <c r="Y17" s="7"/>
      <c r="Z17" s="7"/>
    </row>
    <row r="18" spans="1:26" ht="12.75" customHeight="1" x14ac:dyDescent="0.25">
      <c r="A18" s="76" t="s">
        <v>218</v>
      </c>
      <c r="B18" s="76" t="s">
        <v>214</v>
      </c>
      <c r="C18" s="78" t="e">
        <f>SUMIFS(#REF!,#REF!,'Variance Analysis'!$B18,#REF!,'Variance Analysis'!$A18)</f>
        <v>#REF!</v>
      </c>
      <c r="D18" s="78" t="e">
        <f>SUMIFS(#REF!,#REF!,'Variance Analysis'!$B18,#REF!,'Variance Analysis'!$A18)</f>
        <v>#REF!</v>
      </c>
      <c r="E18" s="78" t="e">
        <f>SUMIFS(#REF!,#REF!,'Variance Analysis'!$B18,#REF!,'Variance Analysis'!$A18)</f>
        <v>#REF!</v>
      </c>
      <c r="F18" s="78" t="e">
        <f>SUMIFS(#REF!,#REF!,'Variance Analysis'!$B18,#REF!,'Variance Analysis'!$A18)</f>
        <v>#REF!</v>
      </c>
      <c r="G18" s="78" t="e">
        <f>SUMIFS(#REF!,#REF!,'Variance Analysis'!$B18,#REF!,'Variance Analysis'!$A18)</f>
        <v>#REF!</v>
      </c>
      <c r="H18" s="78" t="e">
        <f>SUMIFS(#REF!,#REF!,'Variance Analysis'!$B18,#REF!,'Variance Analysis'!$A18)</f>
        <v>#REF!</v>
      </c>
      <c r="I18" s="78" t="e">
        <f>SUMIFS(#REF!,#REF!,'Variance Analysis'!$B18,#REF!,'Variance Analysis'!$A18)</f>
        <v>#REF!</v>
      </c>
      <c r="J18" s="78" t="e">
        <f>SUMIFS(#REF!,#REF!,'Variance Analysis'!$B18,#REF!,'Variance Analysis'!$A18)</f>
        <v>#REF!</v>
      </c>
      <c r="K18" s="78" t="e">
        <f>SUMIFS(#REF!,#REF!,'Variance Analysis'!$B18,#REF!,'Variance Analysis'!$A18)</f>
        <v>#REF!</v>
      </c>
      <c r="L18" s="78" t="e">
        <f>SUMIFS(#REF!,#REF!,'Variance Analysis'!$B18,#REF!,'Variance Analysis'!$A18)</f>
        <v>#REF!</v>
      </c>
      <c r="M18" s="78" t="e">
        <f>SUMIFS(#REF!,#REF!,'Variance Analysis'!$B18,#REF!,'Variance Analysis'!$A18)</f>
        <v>#REF!</v>
      </c>
      <c r="N18" s="78" t="e">
        <f>SUMIFS(#REF!,#REF!,'Variance Analysis'!$B18,#REF!,'Variance Analysis'!$A18)</f>
        <v>#REF!</v>
      </c>
      <c r="O18" s="79"/>
      <c r="P18" s="79"/>
      <c r="Q18" s="79"/>
      <c r="R18" s="79"/>
      <c r="S18" s="79"/>
      <c r="T18" s="79"/>
      <c r="U18" s="79"/>
      <c r="V18" s="79"/>
      <c r="W18" s="7"/>
      <c r="X18" s="7"/>
      <c r="Y18" s="7"/>
      <c r="Z18" s="7"/>
    </row>
    <row r="19" spans="1:26" ht="12.75" customHeight="1" x14ac:dyDescent="0.25">
      <c r="A19" s="76" t="s">
        <v>218</v>
      </c>
      <c r="B19" s="76" t="s">
        <v>215</v>
      </c>
      <c r="C19" s="78" t="e">
        <f>SUMIFS(#REF!,#REF!,'Variance Analysis'!$B19,#REF!,'Variance Analysis'!$A19)</f>
        <v>#REF!</v>
      </c>
      <c r="D19" s="78" t="e">
        <f>SUMIFS(#REF!,#REF!,'Variance Analysis'!$B19,#REF!,'Variance Analysis'!$A19)</f>
        <v>#REF!</v>
      </c>
      <c r="E19" s="78" t="e">
        <f>SUMIFS(#REF!,#REF!,'Variance Analysis'!$B19,#REF!,'Variance Analysis'!$A19)</f>
        <v>#REF!</v>
      </c>
      <c r="F19" s="78" t="e">
        <f>SUMIFS(#REF!,#REF!,'Variance Analysis'!$B19,#REF!,'Variance Analysis'!$A19)</f>
        <v>#REF!</v>
      </c>
      <c r="G19" s="78" t="e">
        <f>SUMIFS(#REF!,#REF!,'Variance Analysis'!$B19,#REF!,'Variance Analysis'!$A19)</f>
        <v>#REF!</v>
      </c>
      <c r="H19" s="78" t="e">
        <f>SUMIFS(#REF!,#REF!,'Variance Analysis'!$B19,#REF!,'Variance Analysis'!$A19)</f>
        <v>#REF!</v>
      </c>
      <c r="I19" s="78" t="e">
        <f>SUMIFS(#REF!,#REF!,'Variance Analysis'!$B19,#REF!,'Variance Analysis'!$A19)</f>
        <v>#REF!</v>
      </c>
      <c r="J19" s="78" t="e">
        <f>SUMIFS(#REF!,#REF!,'Variance Analysis'!$B19,#REF!,'Variance Analysis'!$A19)</f>
        <v>#REF!</v>
      </c>
      <c r="K19" s="78" t="e">
        <f>SUMIFS(#REF!,#REF!,'Variance Analysis'!$B19,#REF!,'Variance Analysis'!$A19)</f>
        <v>#REF!</v>
      </c>
      <c r="L19" s="78" t="e">
        <f>SUMIFS(#REF!,#REF!,'Variance Analysis'!$B19,#REF!,'Variance Analysis'!$A19)</f>
        <v>#REF!</v>
      </c>
      <c r="M19" s="78" t="e">
        <f>SUMIFS(#REF!,#REF!,'Variance Analysis'!$B19,#REF!,'Variance Analysis'!$A19)</f>
        <v>#REF!</v>
      </c>
      <c r="N19" s="78" t="e">
        <f>SUMIFS(#REF!,#REF!,'Variance Analysis'!$B19,#REF!,'Variance Analysis'!$A19)</f>
        <v>#REF!</v>
      </c>
      <c r="O19" s="79"/>
      <c r="P19" s="79"/>
      <c r="Q19" s="79"/>
      <c r="R19" s="79"/>
      <c r="S19" s="79"/>
      <c r="T19" s="79"/>
      <c r="U19" s="79"/>
      <c r="V19" s="79"/>
      <c r="W19" s="7"/>
      <c r="X19" s="7"/>
      <c r="Y19" s="7"/>
      <c r="Z19" s="7"/>
    </row>
    <row r="20" spans="1:26" ht="12.75" customHeight="1" x14ac:dyDescent="0.25">
      <c r="A20" s="76" t="s">
        <v>218</v>
      </c>
      <c r="B20" s="76" t="s">
        <v>216</v>
      </c>
      <c r="C20" s="78" t="e">
        <f t="shared" ref="C20:N20" si="2">SUMIFS(#REF!,#REF!,$A$20)</f>
        <v>#REF!</v>
      </c>
      <c r="D20" s="78" t="e">
        <f t="shared" si="2"/>
        <v>#REF!</v>
      </c>
      <c r="E20" s="78" t="e">
        <f t="shared" si="2"/>
        <v>#REF!</v>
      </c>
      <c r="F20" s="78" t="e">
        <f t="shared" si="2"/>
        <v>#REF!</v>
      </c>
      <c r="G20" s="78" t="e">
        <f t="shared" si="2"/>
        <v>#REF!</v>
      </c>
      <c r="H20" s="78" t="e">
        <f t="shared" si="2"/>
        <v>#REF!</v>
      </c>
      <c r="I20" s="78" t="e">
        <f t="shared" si="2"/>
        <v>#REF!</v>
      </c>
      <c r="J20" s="78" t="e">
        <f t="shared" si="2"/>
        <v>#REF!</v>
      </c>
      <c r="K20" s="78" t="e">
        <f t="shared" si="2"/>
        <v>#REF!</v>
      </c>
      <c r="L20" s="78" t="e">
        <f t="shared" si="2"/>
        <v>#REF!</v>
      </c>
      <c r="M20" s="78" t="e">
        <f t="shared" si="2"/>
        <v>#REF!</v>
      </c>
      <c r="N20" s="78" t="e">
        <f t="shared" si="2"/>
        <v>#REF!</v>
      </c>
      <c r="O20" s="79"/>
      <c r="P20" s="79"/>
      <c r="Q20" s="79"/>
      <c r="R20" s="79"/>
      <c r="S20" s="79"/>
      <c r="T20" s="79"/>
      <c r="U20" s="79"/>
      <c r="V20" s="79"/>
      <c r="W20" s="7"/>
      <c r="X20" s="7"/>
      <c r="Y20" s="7"/>
      <c r="Z20" s="7"/>
    </row>
    <row r="21" spans="1:26" ht="12.75" customHeight="1" x14ac:dyDescent="0.25">
      <c r="A21" s="76" t="s">
        <v>199</v>
      </c>
      <c r="B21" s="76" t="s">
        <v>213</v>
      </c>
      <c r="C21" s="80" t="e">
        <f t="shared" ref="C21:N21" si="3">SUMIFS(C$9:C$20,$B$9:$B$20,$B21)</f>
        <v>#REF!</v>
      </c>
      <c r="D21" s="80" t="e">
        <f t="shared" si="3"/>
        <v>#REF!</v>
      </c>
      <c r="E21" s="80" t="e">
        <f t="shared" si="3"/>
        <v>#REF!</v>
      </c>
      <c r="F21" s="80" t="e">
        <f t="shared" si="3"/>
        <v>#REF!</v>
      </c>
      <c r="G21" s="80" t="e">
        <f t="shared" si="3"/>
        <v>#REF!</v>
      </c>
      <c r="H21" s="80" t="e">
        <f t="shared" si="3"/>
        <v>#REF!</v>
      </c>
      <c r="I21" s="80" t="e">
        <f t="shared" si="3"/>
        <v>#REF!</v>
      </c>
      <c r="J21" s="80" t="e">
        <f t="shared" si="3"/>
        <v>#REF!</v>
      </c>
      <c r="K21" s="80" t="e">
        <f t="shared" si="3"/>
        <v>#REF!</v>
      </c>
      <c r="L21" s="80" t="e">
        <f t="shared" si="3"/>
        <v>#REF!</v>
      </c>
      <c r="M21" s="80" t="e">
        <f t="shared" si="3"/>
        <v>#REF!</v>
      </c>
      <c r="N21" s="80" t="e">
        <f t="shared" si="3"/>
        <v>#REF!</v>
      </c>
      <c r="O21" s="79"/>
      <c r="P21" s="79"/>
      <c r="Q21" s="79"/>
      <c r="R21" s="79"/>
      <c r="S21" s="79"/>
      <c r="T21" s="79"/>
      <c r="U21" s="79"/>
      <c r="V21" s="79"/>
      <c r="W21" s="7"/>
      <c r="X21" s="7"/>
      <c r="Y21" s="7"/>
      <c r="Z21" s="7"/>
    </row>
    <row r="22" spans="1:26" ht="12.75" customHeight="1" x14ac:dyDescent="0.25">
      <c r="A22" s="76" t="s">
        <v>199</v>
      </c>
      <c r="B22" s="76" t="s">
        <v>214</v>
      </c>
      <c r="C22" s="80" t="e">
        <f t="shared" ref="C22:N22" si="4">SUMIFS(C$9:C$20,$B$9:$B$20,$B22)</f>
        <v>#REF!</v>
      </c>
      <c r="D22" s="80" t="e">
        <f t="shared" si="4"/>
        <v>#REF!</v>
      </c>
      <c r="E22" s="80" t="e">
        <f t="shared" si="4"/>
        <v>#REF!</v>
      </c>
      <c r="F22" s="80" t="e">
        <f t="shared" si="4"/>
        <v>#REF!</v>
      </c>
      <c r="G22" s="80" t="e">
        <f t="shared" si="4"/>
        <v>#REF!</v>
      </c>
      <c r="H22" s="80" t="e">
        <f t="shared" si="4"/>
        <v>#REF!</v>
      </c>
      <c r="I22" s="80" t="e">
        <f t="shared" si="4"/>
        <v>#REF!</v>
      </c>
      <c r="J22" s="80" t="e">
        <f t="shared" si="4"/>
        <v>#REF!</v>
      </c>
      <c r="K22" s="80" t="e">
        <f t="shared" si="4"/>
        <v>#REF!</v>
      </c>
      <c r="L22" s="80" t="e">
        <f t="shared" si="4"/>
        <v>#REF!</v>
      </c>
      <c r="M22" s="80" t="e">
        <f t="shared" si="4"/>
        <v>#REF!</v>
      </c>
      <c r="N22" s="80" t="e">
        <f t="shared" si="4"/>
        <v>#REF!</v>
      </c>
      <c r="O22" s="79"/>
      <c r="P22" s="79"/>
      <c r="Q22" s="79"/>
      <c r="R22" s="79"/>
      <c r="S22" s="79"/>
      <c r="T22" s="79"/>
      <c r="U22" s="79"/>
      <c r="V22" s="79"/>
      <c r="W22" s="7"/>
      <c r="X22" s="7"/>
      <c r="Y22" s="7"/>
      <c r="Z22" s="7"/>
    </row>
    <row r="23" spans="1:26" ht="12.75" customHeight="1" x14ac:dyDescent="0.25">
      <c r="A23" s="76" t="s">
        <v>199</v>
      </c>
      <c r="B23" s="76" t="s">
        <v>215</v>
      </c>
      <c r="C23" s="80" t="e">
        <f t="shared" ref="C23:N23" si="5">SUMIFS(C$9:C$20,$B$9:$B$20,$B23)</f>
        <v>#REF!</v>
      </c>
      <c r="D23" s="80" t="e">
        <f t="shared" si="5"/>
        <v>#REF!</v>
      </c>
      <c r="E23" s="80" t="e">
        <f t="shared" si="5"/>
        <v>#REF!</v>
      </c>
      <c r="F23" s="80" t="e">
        <f t="shared" si="5"/>
        <v>#REF!</v>
      </c>
      <c r="G23" s="80" t="e">
        <f t="shared" si="5"/>
        <v>#REF!</v>
      </c>
      <c r="H23" s="80" t="e">
        <f t="shared" si="5"/>
        <v>#REF!</v>
      </c>
      <c r="I23" s="80" t="e">
        <f t="shared" si="5"/>
        <v>#REF!</v>
      </c>
      <c r="J23" s="80" t="e">
        <f t="shared" si="5"/>
        <v>#REF!</v>
      </c>
      <c r="K23" s="80" t="e">
        <f t="shared" si="5"/>
        <v>#REF!</v>
      </c>
      <c r="L23" s="80" t="e">
        <f t="shared" si="5"/>
        <v>#REF!</v>
      </c>
      <c r="M23" s="80" t="e">
        <f t="shared" si="5"/>
        <v>#REF!</v>
      </c>
      <c r="N23" s="80" t="e">
        <f t="shared" si="5"/>
        <v>#REF!</v>
      </c>
      <c r="O23" s="79"/>
      <c r="P23" s="79"/>
      <c r="Q23" s="79"/>
      <c r="R23" s="79"/>
      <c r="S23" s="79"/>
      <c r="T23" s="79"/>
      <c r="U23" s="79"/>
      <c r="V23" s="79"/>
      <c r="W23" s="7"/>
      <c r="X23" s="7"/>
      <c r="Y23" s="7"/>
      <c r="Z23" s="7"/>
    </row>
    <row r="24" spans="1:26" ht="12.75" customHeight="1" x14ac:dyDescent="0.25">
      <c r="A24" s="76" t="s">
        <v>199</v>
      </c>
      <c r="B24" s="7" t="s">
        <v>216</v>
      </c>
      <c r="C24" s="80" t="e">
        <f t="shared" ref="C24:N24" si="6">SUMIFS(C$9:C$20,$B$9:$B$20,$B24)</f>
        <v>#REF!</v>
      </c>
      <c r="D24" s="80" t="e">
        <f t="shared" si="6"/>
        <v>#REF!</v>
      </c>
      <c r="E24" s="80" t="e">
        <f t="shared" si="6"/>
        <v>#REF!</v>
      </c>
      <c r="F24" s="80" t="e">
        <f t="shared" si="6"/>
        <v>#REF!</v>
      </c>
      <c r="G24" s="80" t="e">
        <f t="shared" si="6"/>
        <v>#REF!</v>
      </c>
      <c r="H24" s="80" t="e">
        <f t="shared" si="6"/>
        <v>#REF!</v>
      </c>
      <c r="I24" s="80" t="e">
        <f t="shared" si="6"/>
        <v>#REF!</v>
      </c>
      <c r="J24" s="80" t="e">
        <f t="shared" si="6"/>
        <v>#REF!</v>
      </c>
      <c r="K24" s="80" t="e">
        <f t="shared" si="6"/>
        <v>#REF!</v>
      </c>
      <c r="L24" s="80" t="e">
        <f t="shared" si="6"/>
        <v>#REF!</v>
      </c>
      <c r="M24" s="80" t="e">
        <f t="shared" si="6"/>
        <v>#REF!</v>
      </c>
      <c r="N24" s="80" t="e">
        <f t="shared" si="6"/>
        <v>#REF!</v>
      </c>
      <c r="O24" s="7"/>
      <c r="P24" s="7"/>
      <c r="Q24" s="7"/>
      <c r="R24" s="7"/>
      <c r="S24" s="7"/>
      <c r="T24" s="7"/>
      <c r="U24" s="7"/>
      <c r="V24" s="7"/>
      <c r="W24" s="7"/>
      <c r="X24" s="7"/>
      <c r="Y24" s="7"/>
      <c r="Z24" s="7"/>
    </row>
    <row r="25" spans="1:26" ht="27" customHeight="1" x14ac:dyDescent="0.25">
      <c r="A25" s="159" t="s">
        <v>219</v>
      </c>
      <c r="B25" s="157"/>
      <c r="C25" s="157"/>
      <c r="D25" s="157"/>
      <c r="E25" s="157"/>
      <c r="F25" s="157"/>
      <c r="G25" s="157"/>
      <c r="H25" s="157"/>
      <c r="I25" s="157"/>
      <c r="J25" s="157"/>
      <c r="K25" s="157"/>
      <c r="L25" s="157"/>
      <c r="M25" s="157"/>
      <c r="N25" s="157"/>
      <c r="O25" s="157"/>
      <c r="P25" s="157"/>
      <c r="Q25" s="157"/>
      <c r="R25" s="157"/>
      <c r="S25" s="157"/>
      <c r="T25" s="157"/>
      <c r="U25" s="157"/>
      <c r="V25" s="157"/>
      <c r="W25" s="157"/>
      <c r="X25" s="157"/>
      <c r="Y25" s="157"/>
      <c r="Z25" s="157"/>
    </row>
    <row r="26" spans="1:26" ht="57.75" customHeight="1" x14ac:dyDescent="0.25">
      <c r="A26" s="224" t="s">
        <v>220</v>
      </c>
      <c r="B26" s="206"/>
      <c r="C26" s="206"/>
      <c r="D26" s="206"/>
      <c r="E26" s="206"/>
      <c r="F26" s="206"/>
      <c r="G26" s="206"/>
      <c r="H26" s="206"/>
      <c r="I26" s="206"/>
      <c r="J26" s="206"/>
      <c r="K26" s="206"/>
      <c r="L26" s="157"/>
      <c r="M26" s="157"/>
      <c r="N26" s="157"/>
      <c r="O26" s="157"/>
      <c r="P26" s="157"/>
      <c r="Q26" s="157"/>
      <c r="R26" s="157"/>
      <c r="S26" s="157"/>
      <c r="T26" s="157"/>
      <c r="U26" s="157"/>
      <c r="V26" s="157"/>
      <c r="W26" s="157"/>
      <c r="X26" s="157"/>
      <c r="Y26" s="157"/>
      <c r="Z26" s="157"/>
    </row>
    <row r="27" spans="1:26" ht="15" customHeight="1" x14ac:dyDescent="0.25">
      <c r="A27" s="161"/>
      <c r="B27" s="161"/>
      <c r="C27" s="161"/>
      <c r="D27" s="161"/>
      <c r="E27" s="161"/>
      <c r="F27" s="161"/>
      <c r="G27" s="161"/>
      <c r="H27" s="161"/>
      <c r="I27" s="161"/>
      <c r="J27" s="161"/>
      <c r="K27" s="161"/>
      <c r="L27" s="161"/>
      <c r="M27" s="161"/>
      <c r="N27" s="161"/>
      <c r="O27" s="161"/>
      <c r="P27" s="161"/>
      <c r="Q27" s="161"/>
      <c r="R27" s="161"/>
      <c r="S27" s="161"/>
      <c r="T27" s="161"/>
      <c r="U27" s="161"/>
      <c r="V27" s="161"/>
      <c r="W27" s="161"/>
      <c r="X27" s="161"/>
      <c r="Y27" s="161"/>
      <c r="Z27" s="161"/>
    </row>
    <row r="28" spans="1:26" ht="12.75" customHeight="1" x14ac:dyDescent="0.25">
      <c r="A28" s="224" t="s">
        <v>221</v>
      </c>
      <c r="B28" s="206"/>
      <c r="C28" s="206"/>
      <c r="D28" s="206"/>
      <c r="E28" s="206"/>
      <c r="F28" s="206"/>
      <c r="G28" s="206"/>
      <c r="H28" s="206"/>
      <c r="I28" s="206"/>
      <c r="J28" s="206"/>
      <c r="K28" s="206"/>
      <c r="L28" s="206"/>
      <c r="M28" s="206"/>
      <c r="N28" s="206"/>
      <c r="O28" s="206"/>
      <c r="P28" s="206"/>
      <c r="Q28" s="206"/>
      <c r="R28" s="206"/>
      <c r="S28" s="206"/>
      <c r="T28" s="206"/>
      <c r="U28" s="206"/>
      <c r="V28" s="206"/>
      <c r="W28" s="13"/>
      <c r="X28" s="13"/>
      <c r="Y28" s="13"/>
      <c r="Z28" s="13"/>
    </row>
    <row r="29" spans="1:26" ht="27" customHeight="1" x14ac:dyDescent="0.25">
      <c r="A29" s="81" t="s">
        <v>199</v>
      </c>
      <c r="B29" s="160"/>
      <c r="C29" s="75" t="s">
        <v>200</v>
      </c>
      <c r="D29" s="75" t="s">
        <v>201</v>
      </c>
      <c r="E29" s="75" t="s">
        <v>202</v>
      </c>
      <c r="F29" s="75" t="s">
        <v>203</v>
      </c>
      <c r="G29" s="75" t="s">
        <v>204</v>
      </c>
      <c r="H29" s="75" t="s">
        <v>205</v>
      </c>
      <c r="I29" s="75" t="s">
        <v>206</v>
      </c>
      <c r="J29" s="75" t="s">
        <v>207</v>
      </c>
      <c r="K29" s="75" t="s">
        <v>208</v>
      </c>
      <c r="L29" s="75" t="s">
        <v>209</v>
      </c>
      <c r="M29" s="75" t="s">
        <v>210</v>
      </c>
      <c r="N29" s="75" t="s">
        <v>211</v>
      </c>
      <c r="O29" s="7"/>
      <c r="P29" s="7"/>
      <c r="Q29" s="7"/>
      <c r="R29" s="7"/>
      <c r="S29" s="7"/>
      <c r="T29" s="7"/>
      <c r="U29" s="7"/>
      <c r="V29" s="7"/>
      <c r="W29" s="7"/>
      <c r="X29" s="7"/>
      <c r="Y29" s="7"/>
      <c r="Z29" s="7"/>
    </row>
    <row r="30" spans="1:26" ht="12.75" customHeight="1" x14ac:dyDescent="0.25">
      <c r="A30" s="76" t="s">
        <v>212</v>
      </c>
      <c r="B30" s="77" t="s">
        <v>213</v>
      </c>
      <c r="C30" s="78" t="e">
        <f>SUMIFS(#REF!,#REF!,'Variance Analysis'!$B30,#REF!,'Variance Analysis'!$A30)</f>
        <v>#REF!</v>
      </c>
      <c r="D30" s="78" t="e">
        <f>SUMIFS(#REF!,#REF!,'Variance Analysis'!$B30,#REF!,'Variance Analysis'!$A30)</f>
        <v>#REF!</v>
      </c>
      <c r="E30" s="78" t="e">
        <f>SUMIFS(#REF!,#REF!,'Variance Analysis'!$B30,#REF!,'Variance Analysis'!$A30)</f>
        <v>#REF!</v>
      </c>
      <c r="F30" s="78" t="e">
        <f>SUMIFS(#REF!,#REF!,'Variance Analysis'!$B30,#REF!,'Variance Analysis'!$A30)</f>
        <v>#REF!</v>
      </c>
      <c r="G30" s="78" t="e">
        <f>SUMIFS(#REF!,#REF!,'Variance Analysis'!$B30,#REF!,'Variance Analysis'!$A30)</f>
        <v>#REF!</v>
      </c>
      <c r="H30" s="78" t="e">
        <f>SUMIFS(#REF!,#REF!,'Variance Analysis'!$B30,#REF!,'Variance Analysis'!$A30)</f>
        <v>#REF!</v>
      </c>
      <c r="I30" s="78" t="e">
        <f>SUMIFS(#REF!,#REF!,'Variance Analysis'!$B30,#REF!,'Variance Analysis'!$A30)</f>
        <v>#REF!</v>
      </c>
      <c r="J30" s="78" t="e">
        <f>SUMIFS(#REF!,#REF!,'Variance Analysis'!$B30,#REF!,'Variance Analysis'!$A30)</f>
        <v>#REF!</v>
      </c>
      <c r="K30" s="78" t="e">
        <f>SUMIFS(#REF!,#REF!,'Variance Analysis'!$B30,#REF!,'Variance Analysis'!$A30)</f>
        <v>#REF!</v>
      </c>
      <c r="L30" s="78" t="e">
        <f>SUMIFS(#REF!,#REF!,'Variance Analysis'!$B30,#REF!,'Variance Analysis'!$A30)</f>
        <v>#REF!</v>
      </c>
      <c r="M30" s="78" t="e">
        <f>SUMIFS(#REF!,#REF!,'Variance Analysis'!$B30,#REF!,'Variance Analysis'!$A30)</f>
        <v>#REF!</v>
      </c>
      <c r="N30" s="78" t="e">
        <f>SUMIFS(#REF!,#REF!,'Variance Analysis'!$B30,#REF!,'Variance Analysis'!$A30)</f>
        <v>#REF!</v>
      </c>
      <c r="O30" s="7"/>
      <c r="P30" s="7"/>
      <c r="Q30" s="7"/>
      <c r="R30" s="7"/>
      <c r="S30" s="7"/>
      <c r="T30" s="7"/>
      <c r="U30" s="7"/>
      <c r="V30" s="7"/>
      <c r="W30" s="7"/>
      <c r="X30" s="7"/>
      <c r="Y30" s="7"/>
      <c r="Z30" s="7"/>
    </row>
    <row r="31" spans="1:26" ht="12.75" customHeight="1" x14ac:dyDescent="0.25">
      <c r="A31" s="76" t="s">
        <v>212</v>
      </c>
      <c r="B31" s="76" t="s">
        <v>222</v>
      </c>
      <c r="C31" s="78" t="e">
        <f>SUMIFS(#REF!,#REF!,'Variance Analysis'!$B31,#REF!,'Variance Analysis'!$A31)</f>
        <v>#REF!</v>
      </c>
      <c r="D31" s="78" t="e">
        <f>SUMIFS(#REF!,#REF!,'Variance Analysis'!$B31,#REF!,'Variance Analysis'!$A31)</f>
        <v>#REF!</v>
      </c>
      <c r="E31" s="78" t="e">
        <f>SUMIFS(#REF!,#REF!,'Variance Analysis'!$B31,#REF!,'Variance Analysis'!$A31)</f>
        <v>#REF!</v>
      </c>
      <c r="F31" s="78" t="e">
        <f>SUMIFS(#REF!,#REF!,'Variance Analysis'!$B31,#REF!,'Variance Analysis'!$A31)</f>
        <v>#REF!</v>
      </c>
      <c r="G31" s="78" t="e">
        <f>SUMIFS(#REF!,#REF!,'Variance Analysis'!$B31,#REF!,'Variance Analysis'!$A31)</f>
        <v>#REF!</v>
      </c>
      <c r="H31" s="78" t="e">
        <f>SUMIFS(#REF!,#REF!,'Variance Analysis'!$B31,#REF!,'Variance Analysis'!$A31)</f>
        <v>#REF!</v>
      </c>
      <c r="I31" s="78" t="e">
        <f>SUMIFS(#REF!,#REF!,'Variance Analysis'!$B31,#REF!,'Variance Analysis'!$A31)</f>
        <v>#REF!</v>
      </c>
      <c r="J31" s="78" t="e">
        <f>SUMIFS(#REF!,#REF!,'Variance Analysis'!$B31,#REF!,'Variance Analysis'!$A31)</f>
        <v>#REF!</v>
      </c>
      <c r="K31" s="78" t="e">
        <f>SUMIFS(#REF!,#REF!,'Variance Analysis'!$B31,#REF!,'Variance Analysis'!$A31)</f>
        <v>#REF!</v>
      </c>
      <c r="L31" s="78" t="e">
        <f>SUMIFS(#REF!,#REF!,'Variance Analysis'!$B31,#REF!,'Variance Analysis'!$A31)</f>
        <v>#REF!</v>
      </c>
      <c r="M31" s="78" t="e">
        <f>SUMIFS(#REF!,#REF!,'Variance Analysis'!$B31,#REF!,'Variance Analysis'!$A31)</f>
        <v>#REF!</v>
      </c>
      <c r="N31" s="78" t="e">
        <f>SUMIFS(#REF!,#REF!,'Variance Analysis'!$B31,#REF!,'Variance Analysis'!$A31)</f>
        <v>#REF!</v>
      </c>
      <c r="O31" s="7"/>
      <c r="P31" s="7"/>
      <c r="Q31" s="7"/>
      <c r="R31" s="7"/>
      <c r="S31" s="7"/>
      <c r="T31" s="7"/>
      <c r="U31" s="7"/>
      <c r="V31" s="7"/>
      <c r="W31" s="7"/>
      <c r="X31" s="7"/>
      <c r="Y31" s="7"/>
      <c r="Z31" s="7"/>
    </row>
    <row r="32" spans="1:26" ht="12.75" customHeight="1" x14ac:dyDescent="0.25">
      <c r="A32" s="76" t="s">
        <v>212</v>
      </c>
      <c r="B32" s="76" t="s">
        <v>223</v>
      </c>
      <c r="C32" s="78" t="e">
        <f>SUMIFS(#REF!,#REF!,'Variance Analysis'!$B32,#REF!,'Variance Analysis'!$A32)</f>
        <v>#REF!</v>
      </c>
      <c r="D32" s="78" t="e">
        <f>SUMIFS(#REF!,#REF!,'Variance Analysis'!$B32,#REF!,'Variance Analysis'!$A32)</f>
        <v>#REF!</v>
      </c>
      <c r="E32" s="78" t="e">
        <f>SUMIFS(#REF!,#REF!,'Variance Analysis'!$B32,#REF!,'Variance Analysis'!$A32)</f>
        <v>#REF!</v>
      </c>
      <c r="F32" s="78" t="e">
        <f>SUMIFS(#REF!,#REF!,'Variance Analysis'!$B32,#REF!,'Variance Analysis'!$A32)</f>
        <v>#REF!</v>
      </c>
      <c r="G32" s="78" t="e">
        <f>SUMIFS(#REF!,#REF!,'Variance Analysis'!$B32,#REF!,'Variance Analysis'!$A32)</f>
        <v>#REF!</v>
      </c>
      <c r="H32" s="78" t="e">
        <f>SUMIFS(#REF!,#REF!,'Variance Analysis'!$B32,#REF!,'Variance Analysis'!$A32)</f>
        <v>#REF!</v>
      </c>
      <c r="I32" s="78" t="e">
        <f>SUMIFS(#REF!,#REF!,'Variance Analysis'!$B32,#REF!,'Variance Analysis'!$A32)</f>
        <v>#REF!</v>
      </c>
      <c r="J32" s="78" t="e">
        <f>SUMIFS(#REF!,#REF!,'Variance Analysis'!$B32,#REF!,'Variance Analysis'!$A32)</f>
        <v>#REF!</v>
      </c>
      <c r="K32" s="78" t="e">
        <f>SUMIFS(#REF!,#REF!,'Variance Analysis'!$B32,#REF!,'Variance Analysis'!$A32)</f>
        <v>#REF!</v>
      </c>
      <c r="L32" s="78" t="e">
        <f>SUMIFS(#REF!,#REF!,'Variance Analysis'!$B32,#REF!,'Variance Analysis'!$A32)</f>
        <v>#REF!</v>
      </c>
      <c r="M32" s="78" t="e">
        <f>SUMIFS(#REF!,#REF!,'Variance Analysis'!$B32,#REF!,'Variance Analysis'!$A32)</f>
        <v>#REF!</v>
      </c>
      <c r="N32" s="78" t="e">
        <f>SUMIFS(#REF!,#REF!,'Variance Analysis'!$B32,#REF!,'Variance Analysis'!$A32)</f>
        <v>#REF!</v>
      </c>
      <c r="O32" s="7"/>
      <c r="P32" s="7"/>
      <c r="Q32" s="7"/>
      <c r="R32" s="7"/>
      <c r="S32" s="7"/>
      <c r="T32" s="7"/>
      <c r="U32" s="7"/>
      <c r="V32" s="7"/>
      <c r="W32" s="7"/>
      <c r="X32" s="7"/>
      <c r="Y32" s="7"/>
      <c r="Z32" s="7"/>
    </row>
    <row r="33" spans="1:26" ht="12.75" customHeight="1" x14ac:dyDescent="0.25">
      <c r="A33" s="76" t="s">
        <v>212</v>
      </c>
      <c r="B33" s="76" t="s">
        <v>216</v>
      </c>
      <c r="C33" s="80" t="e">
        <f t="shared" ref="C33:N33" si="7">SUMIFS(#REF!,#REF!,#REF!)</f>
        <v>#REF!</v>
      </c>
      <c r="D33" s="80" t="e">
        <f t="shared" si="7"/>
        <v>#REF!</v>
      </c>
      <c r="E33" s="80" t="e">
        <f t="shared" si="7"/>
        <v>#REF!</v>
      </c>
      <c r="F33" s="80" t="e">
        <f t="shared" si="7"/>
        <v>#REF!</v>
      </c>
      <c r="G33" s="80" t="e">
        <f t="shared" si="7"/>
        <v>#REF!</v>
      </c>
      <c r="H33" s="80" t="e">
        <f t="shared" si="7"/>
        <v>#REF!</v>
      </c>
      <c r="I33" s="80" t="e">
        <f t="shared" si="7"/>
        <v>#REF!</v>
      </c>
      <c r="J33" s="80" t="e">
        <f t="shared" si="7"/>
        <v>#REF!</v>
      </c>
      <c r="K33" s="80" t="e">
        <f t="shared" si="7"/>
        <v>#REF!</v>
      </c>
      <c r="L33" s="80" t="e">
        <f t="shared" si="7"/>
        <v>#REF!</v>
      </c>
      <c r="M33" s="80" t="e">
        <f t="shared" si="7"/>
        <v>#REF!</v>
      </c>
      <c r="N33" s="80" t="e">
        <f t="shared" si="7"/>
        <v>#REF!</v>
      </c>
      <c r="O33" s="7"/>
      <c r="P33" s="7"/>
      <c r="Q33" s="7"/>
      <c r="R33" s="7"/>
      <c r="S33" s="7"/>
      <c r="T33" s="7"/>
      <c r="U33" s="7"/>
      <c r="V33" s="7"/>
      <c r="W33" s="7"/>
      <c r="X33" s="7"/>
      <c r="Y33" s="7"/>
      <c r="Z33" s="7"/>
    </row>
    <row r="34" spans="1:26" ht="12.75" customHeight="1" x14ac:dyDescent="0.25">
      <c r="A34" s="76" t="s">
        <v>217</v>
      </c>
      <c r="B34" s="76" t="s">
        <v>213</v>
      </c>
      <c r="C34" s="80" t="e">
        <f>SUMIFS(#REF!,#REF!,'Variance Analysis'!$B34,#REF!,'Variance Analysis'!$A34)</f>
        <v>#REF!</v>
      </c>
      <c r="D34" s="80" t="e">
        <f>SUMIFS(#REF!,#REF!,'Variance Analysis'!$B34,#REF!,'Variance Analysis'!$A34)</f>
        <v>#REF!</v>
      </c>
      <c r="E34" s="80" t="e">
        <f>SUMIFS(#REF!,#REF!,'Variance Analysis'!$B34,#REF!,'Variance Analysis'!$A34)</f>
        <v>#REF!</v>
      </c>
      <c r="F34" s="80" t="e">
        <f>SUMIFS(#REF!,#REF!,'Variance Analysis'!$B34,#REF!,'Variance Analysis'!$A34)</f>
        <v>#REF!</v>
      </c>
      <c r="G34" s="80" t="e">
        <f>SUMIFS(#REF!,#REF!,'Variance Analysis'!$B34,#REF!,'Variance Analysis'!$A34)</f>
        <v>#REF!</v>
      </c>
      <c r="H34" s="80" t="e">
        <f>SUMIFS(#REF!,#REF!,'Variance Analysis'!$B34,#REF!,'Variance Analysis'!$A34)</f>
        <v>#REF!</v>
      </c>
      <c r="I34" s="80" t="e">
        <f>SUMIFS(#REF!,#REF!,'Variance Analysis'!$B34,#REF!,'Variance Analysis'!$A34)</f>
        <v>#REF!</v>
      </c>
      <c r="J34" s="80" t="e">
        <f>SUMIFS(#REF!,#REF!,'Variance Analysis'!$B34,#REF!,'Variance Analysis'!$A34)</f>
        <v>#REF!</v>
      </c>
      <c r="K34" s="80" t="e">
        <f>SUMIFS(#REF!,#REF!,'Variance Analysis'!$B34,#REF!,'Variance Analysis'!$A34)</f>
        <v>#REF!</v>
      </c>
      <c r="L34" s="80" t="e">
        <f>SUMIFS(#REF!,#REF!,'Variance Analysis'!$B34,#REF!,'Variance Analysis'!$A34)</f>
        <v>#REF!</v>
      </c>
      <c r="M34" s="80" t="e">
        <f>SUMIFS(#REF!,#REF!,'Variance Analysis'!$B34,#REF!,'Variance Analysis'!$A34)</f>
        <v>#REF!</v>
      </c>
      <c r="N34" s="80" t="e">
        <f>SUMIFS(#REF!,#REF!,'Variance Analysis'!$B34,#REF!,'Variance Analysis'!$A34)</f>
        <v>#REF!</v>
      </c>
      <c r="O34" s="7"/>
      <c r="P34" s="7"/>
      <c r="Q34" s="7"/>
      <c r="R34" s="7"/>
      <c r="S34" s="7"/>
      <c r="T34" s="7"/>
      <c r="U34" s="7"/>
      <c r="V34" s="7"/>
      <c r="W34" s="7"/>
      <c r="X34" s="7"/>
      <c r="Y34" s="7"/>
      <c r="Z34" s="7"/>
    </row>
    <row r="35" spans="1:26" ht="12.75" customHeight="1" x14ac:dyDescent="0.25">
      <c r="A35" s="76" t="s">
        <v>217</v>
      </c>
      <c r="B35" s="76" t="s">
        <v>222</v>
      </c>
      <c r="C35" s="80" t="e">
        <f>SUMIFS(#REF!,#REF!,'Variance Analysis'!$B35,#REF!,'Variance Analysis'!$A35)</f>
        <v>#REF!</v>
      </c>
      <c r="D35" s="80" t="e">
        <f>SUMIFS(#REF!,#REF!,'Variance Analysis'!$B35,#REF!,'Variance Analysis'!$A35)</f>
        <v>#REF!</v>
      </c>
      <c r="E35" s="80" t="e">
        <f>SUMIFS(#REF!,#REF!,'Variance Analysis'!$B35,#REF!,'Variance Analysis'!$A35)</f>
        <v>#REF!</v>
      </c>
      <c r="F35" s="80" t="e">
        <f>SUMIFS(#REF!,#REF!,'Variance Analysis'!$B35,#REF!,'Variance Analysis'!$A35)</f>
        <v>#REF!</v>
      </c>
      <c r="G35" s="80" t="e">
        <f>SUMIFS(#REF!,#REF!,'Variance Analysis'!$B35,#REF!,'Variance Analysis'!$A35)</f>
        <v>#REF!</v>
      </c>
      <c r="H35" s="80" t="e">
        <f>SUMIFS(#REF!,#REF!,'Variance Analysis'!$B35,#REF!,'Variance Analysis'!$A35)</f>
        <v>#REF!</v>
      </c>
      <c r="I35" s="80" t="e">
        <f>SUMIFS(#REF!,#REF!,'Variance Analysis'!$B35,#REF!,'Variance Analysis'!$A35)</f>
        <v>#REF!</v>
      </c>
      <c r="J35" s="80" t="e">
        <f>SUMIFS(#REF!,#REF!,'Variance Analysis'!$B35,#REF!,'Variance Analysis'!$A35)</f>
        <v>#REF!</v>
      </c>
      <c r="K35" s="80" t="e">
        <f>SUMIFS(#REF!,#REF!,'Variance Analysis'!$B35,#REF!,'Variance Analysis'!$A35)</f>
        <v>#REF!</v>
      </c>
      <c r="L35" s="80" t="e">
        <f>SUMIFS(#REF!,#REF!,'Variance Analysis'!$B35,#REF!,'Variance Analysis'!$A35)</f>
        <v>#REF!</v>
      </c>
      <c r="M35" s="80" t="e">
        <f>SUMIFS(#REF!,#REF!,'Variance Analysis'!$B35,#REF!,'Variance Analysis'!$A35)</f>
        <v>#REF!</v>
      </c>
      <c r="N35" s="80" t="e">
        <f>SUMIFS(#REF!,#REF!,'Variance Analysis'!$B35,#REF!,'Variance Analysis'!$A35)</f>
        <v>#REF!</v>
      </c>
      <c r="O35" s="7"/>
      <c r="P35" s="7"/>
      <c r="Q35" s="7"/>
      <c r="R35" s="7"/>
      <c r="S35" s="7"/>
      <c r="T35" s="7"/>
      <c r="U35" s="7"/>
      <c r="V35" s="7"/>
      <c r="W35" s="7"/>
      <c r="X35" s="7"/>
      <c r="Y35" s="7"/>
      <c r="Z35" s="7"/>
    </row>
    <row r="36" spans="1:26" ht="12.75" customHeight="1" x14ac:dyDescent="0.25">
      <c r="A36" s="76" t="s">
        <v>217</v>
      </c>
      <c r="B36" s="76" t="s">
        <v>223</v>
      </c>
      <c r="C36" s="80" t="e">
        <f>SUMIFS(#REF!,#REF!,'Variance Analysis'!$B36,#REF!,'Variance Analysis'!$A36)</f>
        <v>#REF!</v>
      </c>
      <c r="D36" s="80" t="e">
        <f>SUMIFS(#REF!,#REF!,'Variance Analysis'!$B36,#REF!,'Variance Analysis'!$A36)</f>
        <v>#REF!</v>
      </c>
      <c r="E36" s="80" t="e">
        <f>SUMIFS(#REF!,#REF!,'Variance Analysis'!$B36,#REF!,'Variance Analysis'!$A36)</f>
        <v>#REF!</v>
      </c>
      <c r="F36" s="80" t="e">
        <f>SUMIFS(#REF!,#REF!,'Variance Analysis'!$B36,#REF!,'Variance Analysis'!$A36)</f>
        <v>#REF!</v>
      </c>
      <c r="G36" s="80" t="e">
        <f>SUMIFS(#REF!,#REF!,'Variance Analysis'!$B36,#REF!,'Variance Analysis'!$A36)</f>
        <v>#REF!</v>
      </c>
      <c r="H36" s="80" t="e">
        <f>SUMIFS(#REF!,#REF!,'Variance Analysis'!$B36,#REF!,'Variance Analysis'!$A36)</f>
        <v>#REF!</v>
      </c>
      <c r="I36" s="80" t="e">
        <f>SUMIFS(#REF!,#REF!,'Variance Analysis'!$B36,#REF!,'Variance Analysis'!$A36)</f>
        <v>#REF!</v>
      </c>
      <c r="J36" s="80" t="e">
        <f>SUMIFS(#REF!,#REF!,'Variance Analysis'!$B36,#REF!,'Variance Analysis'!$A36)</f>
        <v>#REF!</v>
      </c>
      <c r="K36" s="80" t="e">
        <f>SUMIFS(#REF!,#REF!,'Variance Analysis'!$B36,#REF!,'Variance Analysis'!$A36)</f>
        <v>#REF!</v>
      </c>
      <c r="L36" s="80" t="e">
        <f>SUMIFS(#REF!,#REF!,'Variance Analysis'!$B36,#REF!,'Variance Analysis'!$A36)</f>
        <v>#REF!</v>
      </c>
      <c r="M36" s="80" t="e">
        <f>SUMIFS(#REF!,#REF!,'Variance Analysis'!$B36,#REF!,'Variance Analysis'!$A36)</f>
        <v>#REF!</v>
      </c>
      <c r="N36" s="80" t="e">
        <f>SUMIFS(#REF!,#REF!,'Variance Analysis'!$B36,#REF!,'Variance Analysis'!$A36)</f>
        <v>#REF!</v>
      </c>
      <c r="O36" s="7"/>
      <c r="P36" s="7"/>
      <c r="Q36" s="7"/>
      <c r="R36" s="7"/>
      <c r="S36" s="7"/>
      <c r="T36" s="7"/>
      <c r="U36" s="7"/>
      <c r="V36" s="7"/>
      <c r="W36" s="7"/>
      <c r="X36" s="7"/>
      <c r="Y36" s="7"/>
      <c r="Z36" s="7"/>
    </row>
    <row r="37" spans="1:26" ht="12.75" customHeight="1" x14ac:dyDescent="0.25">
      <c r="A37" s="76" t="s">
        <v>217</v>
      </c>
      <c r="B37" s="76" t="s">
        <v>216</v>
      </c>
      <c r="C37" s="80" t="e">
        <f t="shared" ref="C37:N37" si="8">SUMIFS(#REF!,#REF!,$A$37)</f>
        <v>#REF!</v>
      </c>
      <c r="D37" s="80" t="e">
        <f t="shared" si="8"/>
        <v>#REF!</v>
      </c>
      <c r="E37" s="80" t="e">
        <f t="shared" si="8"/>
        <v>#REF!</v>
      </c>
      <c r="F37" s="80" t="e">
        <f t="shared" si="8"/>
        <v>#REF!</v>
      </c>
      <c r="G37" s="80" t="e">
        <f t="shared" si="8"/>
        <v>#REF!</v>
      </c>
      <c r="H37" s="80" t="e">
        <f t="shared" si="8"/>
        <v>#REF!</v>
      </c>
      <c r="I37" s="80" t="e">
        <f t="shared" si="8"/>
        <v>#REF!</v>
      </c>
      <c r="J37" s="80" t="e">
        <f t="shared" si="8"/>
        <v>#REF!</v>
      </c>
      <c r="K37" s="80" t="e">
        <f t="shared" si="8"/>
        <v>#REF!</v>
      </c>
      <c r="L37" s="80" t="e">
        <f t="shared" si="8"/>
        <v>#REF!</v>
      </c>
      <c r="M37" s="80" t="e">
        <f t="shared" si="8"/>
        <v>#REF!</v>
      </c>
      <c r="N37" s="80" t="e">
        <f t="shared" si="8"/>
        <v>#REF!</v>
      </c>
      <c r="O37" s="7"/>
      <c r="P37" s="7"/>
      <c r="Q37" s="7"/>
      <c r="R37" s="7"/>
      <c r="S37" s="7"/>
      <c r="T37" s="7"/>
      <c r="U37" s="7"/>
      <c r="V37" s="7"/>
      <c r="W37" s="7"/>
      <c r="X37" s="7"/>
      <c r="Y37" s="7"/>
      <c r="Z37" s="7"/>
    </row>
    <row r="38" spans="1:26" ht="12.75" customHeight="1" x14ac:dyDescent="0.25">
      <c r="A38" s="76" t="s">
        <v>224</v>
      </c>
      <c r="B38" s="76" t="s">
        <v>213</v>
      </c>
      <c r="C38" s="80" t="e">
        <f>SUMIFS(#REF!,#REF!,'Variance Analysis'!$B38,#REF!,'Variance Analysis'!$A38)</f>
        <v>#REF!</v>
      </c>
      <c r="D38" s="80" t="e">
        <f>SUMIFS(#REF!,#REF!,'Variance Analysis'!$B38,#REF!,'Variance Analysis'!$A38)</f>
        <v>#REF!</v>
      </c>
      <c r="E38" s="80" t="e">
        <f>SUMIFS(#REF!,#REF!,'Variance Analysis'!$B38,#REF!,'Variance Analysis'!$A38)</f>
        <v>#REF!</v>
      </c>
      <c r="F38" s="80" t="e">
        <f>SUMIFS(#REF!,#REF!,'Variance Analysis'!$B38,#REF!,'Variance Analysis'!$A38)</f>
        <v>#REF!</v>
      </c>
      <c r="G38" s="80" t="e">
        <f>SUMIFS(#REF!,#REF!,'Variance Analysis'!$B38,#REF!,'Variance Analysis'!$A38)</f>
        <v>#REF!</v>
      </c>
      <c r="H38" s="80" t="e">
        <f>SUMIFS(#REF!,#REF!,'Variance Analysis'!$B38,#REF!,'Variance Analysis'!$A38)</f>
        <v>#REF!</v>
      </c>
      <c r="I38" s="80" t="e">
        <f>SUMIFS(#REF!,#REF!,'Variance Analysis'!$B38,#REF!,'Variance Analysis'!$A38)</f>
        <v>#REF!</v>
      </c>
      <c r="J38" s="80" t="e">
        <f>SUMIFS(#REF!,#REF!,'Variance Analysis'!$B38,#REF!,'Variance Analysis'!$A38)</f>
        <v>#REF!</v>
      </c>
      <c r="K38" s="80" t="e">
        <f>SUMIFS(#REF!,#REF!,'Variance Analysis'!$B38,#REF!,'Variance Analysis'!$A38)</f>
        <v>#REF!</v>
      </c>
      <c r="L38" s="80" t="e">
        <f>SUMIFS(#REF!,#REF!,'Variance Analysis'!$B38,#REF!,'Variance Analysis'!$A38)</f>
        <v>#REF!</v>
      </c>
      <c r="M38" s="80" t="e">
        <f>SUMIFS(#REF!,#REF!,'Variance Analysis'!$B38,#REF!,'Variance Analysis'!$A38)</f>
        <v>#REF!</v>
      </c>
      <c r="N38" s="80" t="e">
        <f>SUMIFS(#REF!,#REF!,'Variance Analysis'!$B38,#REF!,'Variance Analysis'!$A38)</f>
        <v>#REF!</v>
      </c>
      <c r="O38" s="7"/>
      <c r="P38" s="7"/>
      <c r="Q38" s="7"/>
      <c r="R38" s="7"/>
      <c r="S38" s="7"/>
      <c r="T38" s="7"/>
      <c r="U38" s="7"/>
      <c r="V38" s="7"/>
      <c r="W38" s="7"/>
      <c r="X38" s="7"/>
      <c r="Y38" s="7"/>
      <c r="Z38" s="7"/>
    </row>
    <row r="39" spans="1:26" ht="12.75" customHeight="1" x14ac:dyDescent="0.25">
      <c r="A39" s="76" t="s">
        <v>224</v>
      </c>
      <c r="B39" s="76" t="s">
        <v>222</v>
      </c>
      <c r="C39" s="80" t="e">
        <f>SUMIFS(#REF!,#REF!,'Variance Analysis'!$B39,#REF!,'Variance Analysis'!$A39)</f>
        <v>#REF!</v>
      </c>
      <c r="D39" s="80" t="e">
        <f>SUMIFS(#REF!,#REF!,'Variance Analysis'!$B39,#REF!,'Variance Analysis'!$A39)</f>
        <v>#REF!</v>
      </c>
      <c r="E39" s="80" t="e">
        <f>SUMIFS(#REF!,#REF!,'Variance Analysis'!$B39,#REF!,'Variance Analysis'!$A39)</f>
        <v>#REF!</v>
      </c>
      <c r="F39" s="80" t="e">
        <f>SUMIFS(#REF!,#REF!,'Variance Analysis'!$B39,#REF!,'Variance Analysis'!$A39)</f>
        <v>#REF!</v>
      </c>
      <c r="G39" s="80" t="e">
        <f>SUMIFS(#REF!,#REF!,'Variance Analysis'!$B39,#REF!,'Variance Analysis'!$A39)</f>
        <v>#REF!</v>
      </c>
      <c r="H39" s="80" t="e">
        <f>SUMIFS(#REF!,#REF!,'Variance Analysis'!$B39,#REF!,'Variance Analysis'!$A39)</f>
        <v>#REF!</v>
      </c>
      <c r="I39" s="80" t="e">
        <f>SUMIFS(#REF!,#REF!,'Variance Analysis'!$B39,#REF!,'Variance Analysis'!$A39)</f>
        <v>#REF!</v>
      </c>
      <c r="J39" s="80" t="e">
        <f>SUMIFS(#REF!,#REF!,'Variance Analysis'!$B39,#REF!,'Variance Analysis'!$A39)</f>
        <v>#REF!</v>
      </c>
      <c r="K39" s="80" t="e">
        <f>SUMIFS(#REF!,#REF!,'Variance Analysis'!$B39,#REF!,'Variance Analysis'!$A39)</f>
        <v>#REF!</v>
      </c>
      <c r="L39" s="80" t="e">
        <f>SUMIFS(#REF!,#REF!,'Variance Analysis'!$B39,#REF!,'Variance Analysis'!$A39)</f>
        <v>#REF!</v>
      </c>
      <c r="M39" s="80" t="e">
        <f>SUMIFS(#REF!,#REF!,'Variance Analysis'!$B39,#REF!,'Variance Analysis'!$A39)</f>
        <v>#REF!</v>
      </c>
      <c r="N39" s="80" t="e">
        <f>SUMIFS(#REF!,#REF!,'Variance Analysis'!$B39,#REF!,'Variance Analysis'!$A39)</f>
        <v>#REF!</v>
      </c>
      <c r="O39" s="7"/>
      <c r="P39" s="7"/>
      <c r="Q39" s="7"/>
      <c r="R39" s="7"/>
      <c r="S39" s="7"/>
      <c r="T39" s="7"/>
      <c r="U39" s="7"/>
      <c r="V39" s="7"/>
      <c r="W39" s="7"/>
      <c r="X39" s="7"/>
      <c r="Y39" s="7"/>
      <c r="Z39" s="7"/>
    </row>
    <row r="40" spans="1:26" ht="12.75" customHeight="1" x14ac:dyDescent="0.25">
      <c r="A40" s="76" t="s">
        <v>224</v>
      </c>
      <c r="B40" s="76" t="s">
        <v>223</v>
      </c>
      <c r="C40" s="80" t="e">
        <f>SUMIFS(#REF!,#REF!,'Variance Analysis'!$B40,#REF!,'Variance Analysis'!$A40)</f>
        <v>#REF!</v>
      </c>
      <c r="D40" s="80" t="e">
        <f>SUMIFS(#REF!,#REF!,'Variance Analysis'!$B40,#REF!,'Variance Analysis'!$A40)</f>
        <v>#REF!</v>
      </c>
      <c r="E40" s="80" t="e">
        <f>SUMIFS(#REF!,#REF!,'Variance Analysis'!$B40,#REF!,'Variance Analysis'!$A40)</f>
        <v>#REF!</v>
      </c>
      <c r="F40" s="80" t="e">
        <f>SUMIFS(#REF!,#REF!,'Variance Analysis'!$B40,#REF!,'Variance Analysis'!$A40)</f>
        <v>#REF!</v>
      </c>
      <c r="G40" s="80" t="e">
        <f>SUMIFS(#REF!,#REF!,'Variance Analysis'!$B40,#REF!,'Variance Analysis'!$A40)</f>
        <v>#REF!</v>
      </c>
      <c r="H40" s="80" t="e">
        <f>SUMIFS(#REF!,#REF!,'Variance Analysis'!$B40,#REF!,'Variance Analysis'!$A40)</f>
        <v>#REF!</v>
      </c>
      <c r="I40" s="80" t="e">
        <f>SUMIFS(#REF!,#REF!,'Variance Analysis'!$B40,#REF!,'Variance Analysis'!$A40)</f>
        <v>#REF!</v>
      </c>
      <c r="J40" s="80" t="e">
        <f>SUMIFS(#REF!,#REF!,'Variance Analysis'!$B40,#REF!,'Variance Analysis'!$A40)</f>
        <v>#REF!</v>
      </c>
      <c r="K40" s="80" t="e">
        <f>SUMIFS(#REF!,#REF!,'Variance Analysis'!$B40,#REF!,'Variance Analysis'!$A40)</f>
        <v>#REF!</v>
      </c>
      <c r="L40" s="80" t="e">
        <f>SUMIFS(#REF!,#REF!,'Variance Analysis'!$B40,#REF!,'Variance Analysis'!$A40)</f>
        <v>#REF!</v>
      </c>
      <c r="M40" s="80" t="e">
        <f>SUMIFS(#REF!,#REF!,'Variance Analysis'!$B40,#REF!,'Variance Analysis'!$A40)</f>
        <v>#REF!</v>
      </c>
      <c r="N40" s="80" t="e">
        <f>SUMIFS(#REF!,#REF!,'Variance Analysis'!$B40,#REF!,'Variance Analysis'!$A40)</f>
        <v>#REF!</v>
      </c>
      <c r="O40" s="7"/>
      <c r="P40" s="7"/>
      <c r="Q40" s="7"/>
      <c r="R40" s="7"/>
      <c r="S40" s="7"/>
      <c r="T40" s="7"/>
      <c r="U40" s="7"/>
      <c r="V40" s="7"/>
      <c r="W40" s="7"/>
      <c r="X40" s="7"/>
      <c r="Y40" s="7"/>
      <c r="Z40" s="7"/>
    </row>
    <row r="41" spans="1:26" ht="12.75" customHeight="1" x14ac:dyDescent="0.25">
      <c r="A41" s="76" t="s">
        <v>224</v>
      </c>
      <c r="B41" s="76" t="s">
        <v>216</v>
      </c>
      <c r="C41" s="78" t="e">
        <f t="shared" ref="C41:N41" si="9">SUMIFS(#REF!,#REF!,$A$41)</f>
        <v>#REF!</v>
      </c>
      <c r="D41" s="78" t="e">
        <f t="shared" si="9"/>
        <v>#REF!</v>
      </c>
      <c r="E41" s="78" t="e">
        <f t="shared" si="9"/>
        <v>#REF!</v>
      </c>
      <c r="F41" s="78" t="e">
        <f t="shared" si="9"/>
        <v>#REF!</v>
      </c>
      <c r="G41" s="78" t="e">
        <f t="shared" si="9"/>
        <v>#REF!</v>
      </c>
      <c r="H41" s="78" t="e">
        <f t="shared" si="9"/>
        <v>#REF!</v>
      </c>
      <c r="I41" s="78" t="e">
        <f t="shared" si="9"/>
        <v>#REF!</v>
      </c>
      <c r="J41" s="78" t="e">
        <f t="shared" si="9"/>
        <v>#REF!</v>
      </c>
      <c r="K41" s="78" t="e">
        <f t="shared" si="9"/>
        <v>#REF!</v>
      </c>
      <c r="L41" s="78" t="e">
        <f t="shared" si="9"/>
        <v>#REF!</v>
      </c>
      <c r="M41" s="78" t="e">
        <f t="shared" si="9"/>
        <v>#REF!</v>
      </c>
      <c r="N41" s="78" t="e">
        <f t="shared" si="9"/>
        <v>#REF!</v>
      </c>
      <c r="O41" s="7"/>
      <c r="P41" s="7"/>
      <c r="Q41" s="7"/>
      <c r="R41" s="7"/>
      <c r="S41" s="7"/>
      <c r="T41" s="7"/>
      <c r="U41" s="7"/>
      <c r="V41" s="7"/>
      <c r="W41" s="7"/>
      <c r="X41" s="7"/>
      <c r="Y41" s="7"/>
      <c r="Z41" s="7"/>
    </row>
    <row r="42" spans="1:26" ht="12.75" customHeight="1" x14ac:dyDescent="0.25">
      <c r="A42" s="76" t="s">
        <v>199</v>
      </c>
      <c r="B42" s="76" t="s">
        <v>213</v>
      </c>
      <c r="C42" s="80" t="e">
        <f t="shared" ref="C42:N42" si="10">SUMIFS(C$30:C$41,$B$30:$B$41,$B$42)</f>
        <v>#REF!</v>
      </c>
      <c r="D42" s="80" t="e">
        <f t="shared" si="10"/>
        <v>#REF!</v>
      </c>
      <c r="E42" s="80" t="e">
        <f t="shared" si="10"/>
        <v>#REF!</v>
      </c>
      <c r="F42" s="80" t="e">
        <f t="shared" si="10"/>
        <v>#REF!</v>
      </c>
      <c r="G42" s="80" t="e">
        <f t="shared" si="10"/>
        <v>#REF!</v>
      </c>
      <c r="H42" s="80" t="e">
        <f t="shared" si="10"/>
        <v>#REF!</v>
      </c>
      <c r="I42" s="80" t="e">
        <f t="shared" si="10"/>
        <v>#REF!</v>
      </c>
      <c r="J42" s="80" t="e">
        <f t="shared" si="10"/>
        <v>#REF!</v>
      </c>
      <c r="K42" s="80" t="e">
        <f t="shared" si="10"/>
        <v>#REF!</v>
      </c>
      <c r="L42" s="80" t="e">
        <f t="shared" si="10"/>
        <v>#REF!</v>
      </c>
      <c r="M42" s="80" t="e">
        <f t="shared" si="10"/>
        <v>#REF!</v>
      </c>
      <c r="N42" s="80" t="e">
        <f t="shared" si="10"/>
        <v>#REF!</v>
      </c>
      <c r="O42" s="7"/>
      <c r="P42" s="7"/>
      <c r="Q42" s="7"/>
      <c r="R42" s="7"/>
      <c r="S42" s="7"/>
      <c r="T42" s="7"/>
      <c r="U42" s="7"/>
      <c r="V42" s="7"/>
      <c r="W42" s="7"/>
      <c r="X42" s="7"/>
      <c r="Y42" s="7"/>
      <c r="Z42" s="7"/>
    </row>
    <row r="43" spans="1:26" ht="12.75" customHeight="1" x14ac:dyDescent="0.25">
      <c r="A43" s="76" t="s">
        <v>199</v>
      </c>
      <c r="B43" s="76" t="s">
        <v>222</v>
      </c>
      <c r="C43" s="80" t="e">
        <f t="shared" ref="C43:N43" si="11">SUMIFS(C$30:C$41,$B$30:$B$41,$B$43)</f>
        <v>#REF!</v>
      </c>
      <c r="D43" s="80" t="e">
        <f t="shared" si="11"/>
        <v>#REF!</v>
      </c>
      <c r="E43" s="80" t="e">
        <f t="shared" si="11"/>
        <v>#REF!</v>
      </c>
      <c r="F43" s="80" t="e">
        <f t="shared" si="11"/>
        <v>#REF!</v>
      </c>
      <c r="G43" s="80" t="e">
        <f t="shared" si="11"/>
        <v>#REF!</v>
      </c>
      <c r="H43" s="80" t="e">
        <f t="shared" si="11"/>
        <v>#REF!</v>
      </c>
      <c r="I43" s="80" t="e">
        <f t="shared" si="11"/>
        <v>#REF!</v>
      </c>
      <c r="J43" s="80" t="e">
        <f t="shared" si="11"/>
        <v>#REF!</v>
      </c>
      <c r="K43" s="80" t="e">
        <f t="shared" si="11"/>
        <v>#REF!</v>
      </c>
      <c r="L43" s="80" t="e">
        <f t="shared" si="11"/>
        <v>#REF!</v>
      </c>
      <c r="M43" s="80" t="e">
        <f t="shared" si="11"/>
        <v>#REF!</v>
      </c>
      <c r="N43" s="80" t="e">
        <f t="shared" si="11"/>
        <v>#REF!</v>
      </c>
      <c r="O43" s="7"/>
      <c r="P43" s="7"/>
      <c r="Q43" s="7"/>
      <c r="R43" s="7"/>
      <c r="S43" s="7"/>
      <c r="T43" s="7"/>
      <c r="U43" s="7"/>
      <c r="V43" s="7"/>
      <c r="W43" s="7"/>
      <c r="X43" s="7"/>
      <c r="Y43" s="7"/>
      <c r="Z43" s="7"/>
    </row>
    <row r="44" spans="1:26" ht="12.75" customHeight="1" x14ac:dyDescent="0.25">
      <c r="A44" s="76" t="s">
        <v>199</v>
      </c>
      <c r="B44" s="76" t="s">
        <v>223</v>
      </c>
      <c r="C44" s="80" t="e">
        <f t="shared" ref="C44:N44" si="12">SUMIFS(C$30:C$41,$B$30:$B$41,$B$44)</f>
        <v>#REF!</v>
      </c>
      <c r="D44" s="80" t="e">
        <f t="shared" si="12"/>
        <v>#REF!</v>
      </c>
      <c r="E44" s="80" t="e">
        <f t="shared" si="12"/>
        <v>#REF!</v>
      </c>
      <c r="F44" s="80" t="e">
        <f t="shared" si="12"/>
        <v>#REF!</v>
      </c>
      <c r="G44" s="80" t="e">
        <f t="shared" si="12"/>
        <v>#REF!</v>
      </c>
      <c r="H44" s="80" t="e">
        <f t="shared" si="12"/>
        <v>#REF!</v>
      </c>
      <c r="I44" s="80" t="e">
        <f t="shared" si="12"/>
        <v>#REF!</v>
      </c>
      <c r="J44" s="80" t="e">
        <f t="shared" si="12"/>
        <v>#REF!</v>
      </c>
      <c r="K44" s="80" t="e">
        <f t="shared" si="12"/>
        <v>#REF!</v>
      </c>
      <c r="L44" s="80" t="e">
        <f t="shared" si="12"/>
        <v>#REF!</v>
      </c>
      <c r="M44" s="80" t="e">
        <f t="shared" si="12"/>
        <v>#REF!</v>
      </c>
      <c r="N44" s="80" t="e">
        <f t="shared" si="12"/>
        <v>#REF!</v>
      </c>
      <c r="O44" s="7"/>
      <c r="P44" s="7"/>
      <c r="Q44" s="7"/>
      <c r="R44" s="7"/>
      <c r="S44" s="7"/>
      <c r="T44" s="7"/>
      <c r="U44" s="7"/>
      <c r="V44" s="7"/>
      <c r="W44" s="7"/>
      <c r="X44" s="7"/>
      <c r="Y44" s="7"/>
      <c r="Z44" s="7"/>
    </row>
    <row r="45" spans="1:26" ht="12.75" customHeight="1" x14ac:dyDescent="0.25">
      <c r="A45" s="76" t="s">
        <v>199</v>
      </c>
      <c r="B45" s="7" t="s">
        <v>216</v>
      </c>
      <c r="C45" s="80" t="e">
        <f t="shared" ref="C45:N45" si="13">SUMIFS(C$30:C$41,$B$30:$B$41,$B$45)</f>
        <v>#REF!</v>
      </c>
      <c r="D45" s="80" t="e">
        <f t="shared" si="13"/>
        <v>#REF!</v>
      </c>
      <c r="E45" s="80" t="e">
        <f t="shared" si="13"/>
        <v>#REF!</v>
      </c>
      <c r="F45" s="80" t="e">
        <f t="shared" si="13"/>
        <v>#REF!</v>
      </c>
      <c r="G45" s="80" t="e">
        <f t="shared" si="13"/>
        <v>#REF!</v>
      </c>
      <c r="H45" s="80" t="e">
        <f t="shared" si="13"/>
        <v>#REF!</v>
      </c>
      <c r="I45" s="80" t="e">
        <f t="shared" si="13"/>
        <v>#REF!</v>
      </c>
      <c r="J45" s="80" t="e">
        <f t="shared" si="13"/>
        <v>#REF!</v>
      </c>
      <c r="K45" s="80" t="e">
        <f t="shared" si="13"/>
        <v>#REF!</v>
      </c>
      <c r="L45" s="80" t="e">
        <f t="shared" si="13"/>
        <v>#REF!</v>
      </c>
      <c r="M45" s="80" t="e">
        <f t="shared" si="13"/>
        <v>#REF!</v>
      </c>
      <c r="N45" s="80" t="e">
        <f t="shared" si="13"/>
        <v>#REF!</v>
      </c>
      <c r="O45" s="7"/>
      <c r="P45" s="7"/>
      <c r="Q45" s="7"/>
      <c r="R45" s="7"/>
      <c r="S45" s="7"/>
      <c r="T45" s="7"/>
      <c r="U45" s="7"/>
      <c r="V45" s="7"/>
      <c r="W45" s="7"/>
      <c r="X45" s="7"/>
      <c r="Y45" s="7"/>
      <c r="Z45" s="7"/>
    </row>
    <row r="46" spans="1:26" ht="39.75" customHeight="1" x14ac:dyDescent="0.25">
      <c r="A46" s="225" t="s">
        <v>225</v>
      </c>
      <c r="B46" s="226"/>
      <c r="C46" s="226"/>
      <c r="D46" s="226"/>
      <c r="E46" s="226"/>
      <c r="F46" s="226"/>
      <c r="G46" s="226"/>
      <c r="H46" s="226"/>
      <c r="I46" s="226"/>
      <c r="J46" s="226"/>
      <c r="K46" s="162"/>
      <c r="L46" s="162"/>
      <c r="M46" s="162"/>
      <c r="N46" s="162"/>
      <c r="O46" s="162"/>
      <c r="P46" s="162"/>
      <c r="Q46" s="162"/>
      <c r="R46" s="162"/>
      <c r="S46" s="162"/>
      <c r="T46" s="162"/>
      <c r="U46" s="162"/>
      <c r="V46" s="162"/>
      <c r="W46" s="162"/>
      <c r="X46" s="162"/>
      <c r="Y46" s="162"/>
      <c r="Z46" s="162"/>
    </row>
    <row r="47" spans="1:26" ht="30" customHeight="1" x14ac:dyDescent="0.25">
      <c r="A47" s="220" t="s">
        <v>226</v>
      </c>
      <c r="B47" s="221"/>
      <c r="C47" s="221"/>
      <c r="D47" s="221"/>
      <c r="E47" s="221"/>
      <c r="F47" s="221"/>
      <c r="G47" s="221"/>
      <c r="H47" s="221"/>
      <c r="I47" s="221"/>
      <c r="J47" s="221"/>
      <c r="K47" s="162"/>
      <c r="L47" s="162"/>
      <c r="M47" s="162"/>
      <c r="N47" s="162"/>
      <c r="O47" s="162"/>
      <c r="P47" s="162"/>
      <c r="Q47" s="162"/>
      <c r="R47" s="162"/>
      <c r="S47" s="162"/>
      <c r="T47" s="162"/>
      <c r="U47" s="162"/>
      <c r="V47" s="162"/>
      <c r="W47" s="162"/>
      <c r="X47" s="162"/>
      <c r="Y47" s="162"/>
      <c r="Z47" s="162"/>
    </row>
    <row r="48" spans="1:26" ht="45.75" customHeight="1" x14ac:dyDescent="0.25">
      <c r="A48" s="220" t="s">
        <v>227</v>
      </c>
      <c r="B48" s="221"/>
      <c r="C48" s="221"/>
      <c r="D48" s="221"/>
      <c r="E48" s="221"/>
      <c r="F48" s="221"/>
      <c r="G48" s="221"/>
      <c r="H48" s="221"/>
      <c r="I48" s="221"/>
      <c r="J48" s="221"/>
      <c r="K48" s="162"/>
      <c r="L48" s="162"/>
      <c r="M48" s="162"/>
      <c r="N48" s="162"/>
      <c r="O48" s="162"/>
      <c r="P48" s="162"/>
      <c r="Q48" s="162"/>
      <c r="R48" s="162"/>
      <c r="S48" s="162"/>
      <c r="T48" s="162"/>
      <c r="U48" s="162"/>
      <c r="V48" s="162"/>
      <c r="W48" s="162"/>
      <c r="X48" s="162"/>
      <c r="Y48" s="162"/>
      <c r="Z48" s="162"/>
    </row>
    <row r="49" spans="1:26" ht="45.75" customHeight="1" x14ac:dyDescent="0.3">
      <c r="A49" s="194" t="s">
        <v>228</v>
      </c>
      <c r="B49" s="163" t="s">
        <v>229</v>
      </c>
      <c r="C49" s="164"/>
      <c r="D49" s="164"/>
      <c r="E49" s="164"/>
      <c r="F49" s="164"/>
      <c r="G49" s="164"/>
      <c r="H49" s="164"/>
      <c r="I49" s="164"/>
      <c r="J49" s="164"/>
      <c r="K49" s="162"/>
      <c r="L49" s="162"/>
      <c r="M49" s="162"/>
      <c r="N49" s="162"/>
      <c r="O49" s="162"/>
      <c r="P49" s="162"/>
      <c r="Q49" s="162"/>
      <c r="R49" s="162"/>
      <c r="S49" s="162"/>
      <c r="T49" s="162"/>
      <c r="U49" s="162"/>
      <c r="V49" s="162"/>
      <c r="W49" s="162"/>
      <c r="X49" s="162"/>
      <c r="Y49" s="162"/>
      <c r="Z49" s="162"/>
    </row>
    <row r="50" spans="1:26" ht="28.5" customHeight="1" x14ac:dyDescent="0.25">
      <c r="A50" s="81" t="s">
        <v>199</v>
      </c>
      <c r="B50" s="160"/>
      <c r="C50" s="75" t="s">
        <v>200</v>
      </c>
      <c r="D50" s="75" t="s">
        <v>201</v>
      </c>
      <c r="E50" s="75" t="s">
        <v>202</v>
      </c>
      <c r="F50" s="75" t="s">
        <v>203</v>
      </c>
      <c r="G50" s="75" t="s">
        <v>204</v>
      </c>
      <c r="H50" s="75" t="s">
        <v>205</v>
      </c>
      <c r="I50" s="75" t="s">
        <v>206</v>
      </c>
      <c r="J50" s="75" t="s">
        <v>207</v>
      </c>
      <c r="K50" s="75" t="s">
        <v>208</v>
      </c>
      <c r="L50" s="75" t="s">
        <v>209</v>
      </c>
      <c r="M50" s="75" t="s">
        <v>210</v>
      </c>
      <c r="N50" s="75" t="s">
        <v>211</v>
      </c>
      <c r="O50" s="7"/>
      <c r="P50" s="7"/>
      <c r="Q50" s="7"/>
      <c r="R50" s="7"/>
      <c r="S50" s="7"/>
      <c r="T50" s="7"/>
      <c r="U50" s="7"/>
      <c r="V50" s="7"/>
      <c r="W50" s="7"/>
      <c r="X50" s="7"/>
      <c r="Y50" s="7"/>
      <c r="Z50" s="7"/>
    </row>
    <row r="51" spans="1:26" ht="12.75" customHeight="1" x14ac:dyDescent="0.25">
      <c r="A51" s="82" t="s">
        <v>212</v>
      </c>
      <c r="B51" s="77" t="s">
        <v>213</v>
      </c>
      <c r="C51" s="83" t="e">
        <f t="shared" ref="C51:N51" si="14">C30-C9</f>
        <v>#REF!</v>
      </c>
      <c r="D51" s="83" t="e">
        <f t="shared" si="14"/>
        <v>#REF!</v>
      </c>
      <c r="E51" s="83" t="e">
        <f t="shared" si="14"/>
        <v>#REF!</v>
      </c>
      <c r="F51" s="83" t="e">
        <f t="shared" si="14"/>
        <v>#REF!</v>
      </c>
      <c r="G51" s="83" t="e">
        <f t="shared" si="14"/>
        <v>#REF!</v>
      </c>
      <c r="H51" s="83" t="e">
        <f t="shared" si="14"/>
        <v>#REF!</v>
      </c>
      <c r="I51" s="83" t="e">
        <f t="shared" si="14"/>
        <v>#REF!</v>
      </c>
      <c r="J51" s="83" t="e">
        <f t="shared" si="14"/>
        <v>#REF!</v>
      </c>
      <c r="K51" s="83" t="e">
        <f t="shared" si="14"/>
        <v>#REF!</v>
      </c>
      <c r="L51" s="83" t="e">
        <f t="shared" si="14"/>
        <v>#REF!</v>
      </c>
      <c r="M51" s="83" t="e">
        <f t="shared" si="14"/>
        <v>#REF!</v>
      </c>
      <c r="N51" s="83" t="e">
        <f t="shared" si="14"/>
        <v>#REF!</v>
      </c>
      <c r="O51" s="7"/>
      <c r="P51" s="7"/>
      <c r="Q51" s="7"/>
      <c r="R51" s="7"/>
      <c r="S51" s="7"/>
      <c r="T51" s="7"/>
      <c r="U51" s="7"/>
      <c r="V51" s="7"/>
      <c r="W51" s="7"/>
      <c r="X51" s="7"/>
      <c r="Y51" s="7"/>
      <c r="Z51" s="7"/>
    </row>
    <row r="52" spans="1:26" ht="12.75" customHeight="1" x14ac:dyDescent="0.25">
      <c r="A52" s="76"/>
      <c r="B52" s="76" t="s">
        <v>214</v>
      </c>
      <c r="C52" s="83" t="e">
        <f t="shared" ref="C52:N52" si="15">C31-C10</f>
        <v>#REF!</v>
      </c>
      <c r="D52" s="83" t="e">
        <f t="shared" si="15"/>
        <v>#REF!</v>
      </c>
      <c r="E52" s="83" t="e">
        <f t="shared" si="15"/>
        <v>#REF!</v>
      </c>
      <c r="F52" s="83" t="e">
        <f t="shared" si="15"/>
        <v>#REF!</v>
      </c>
      <c r="G52" s="83" t="e">
        <f t="shared" si="15"/>
        <v>#REF!</v>
      </c>
      <c r="H52" s="83" t="e">
        <f t="shared" si="15"/>
        <v>#REF!</v>
      </c>
      <c r="I52" s="83" t="e">
        <f t="shared" si="15"/>
        <v>#REF!</v>
      </c>
      <c r="J52" s="83" t="e">
        <f t="shared" si="15"/>
        <v>#REF!</v>
      </c>
      <c r="K52" s="83" t="e">
        <f t="shared" si="15"/>
        <v>#REF!</v>
      </c>
      <c r="L52" s="83" t="e">
        <f t="shared" si="15"/>
        <v>#REF!</v>
      </c>
      <c r="M52" s="83" t="e">
        <f t="shared" si="15"/>
        <v>#REF!</v>
      </c>
      <c r="N52" s="83" t="e">
        <f t="shared" si="15"/>
        <v>#REF!</v>
      </c>
      <c r="O52" s="7"/>
      <c r="P52" s="7"/>
      <c r="Q52" s="7"/>
      <c r="R52" s="7"/>
      <c r="S52" s="7"/>
      <c r="T52" s="7"/>
      <c r="U52" s="7"/>
      <c r="V52" s="7"/>
      <c r="W52" s="7"/>
      <c r="X52" s="7"/>
      <c r="Y52" s="7"/>
      <c r="Z52" s="7"/>
    </row>
    <row r="53" spans="1:26" ht="12.75" customHeight="1" x14ac:dyDescent="0.25">
      <c r="A53" s="76"/>
      <c r="B53" s="76" t="s">
        <v>215</v>
      </c>
      <c r="C53" s="83" t="e">
        <f t="shared" ref="C53:N53" si="16">C32-C11</f>
        <v>#REF!</v>
      </c>
      <c r="D53" s="83" t="e">
        <f t="shared" si="16"/>
        <v>#REF!</v>
      </c>
      <c r="E53" s="83" t="e">
        <f t="shared" si="16"/>
        <v>#REF!</v>
      </c>
      <c r="F53" s="83" t="e">
        <f t="shared" si="16"/>
        <v>#REF!</v>
      </c>
      <c r="G53" s="83" t="e">
        <f t="shared" si="16"/>
        <v>#REF!</v>
      </c>
      <c r="H53" s="83" t="e">
        <f t="shared" si="16"/>
        <v>#REF!</v>
      </c>
      <c r="I53" s="83" t="e">
        <f t="shared" si="16"/>
        <v>#REF!</v>
      </c>
      <c r="J53" s="83" t="e">
        <f t="shared" si="16"/>
        <v>#REF!</v>
      </c>
      <c r="K53" s="83" t="e">
        <f t="shared" si="16"/>
        <v>#REF!</v>
      </c>
      <c r="L53" s="83" t="e">
        <f t="shared" si="16"/>
        <v>#REF!</v>
      </c>
      <c r="M53" s="83" t="e">
        <f t="shared" si="16"/>
        <v>#REF!</v>
      </c>
      <c r="N53" s="83" t="e">
        <f t="shared" si="16"/>
        <v>#REF!</v>
      </c>
      <c r="O53" s="7"/>
      <c r="P53" s="7"/>
      <c r="Q53" s="7"/>
      <c r="R53" s="7"/>
      <c r="S53" s="7"/>
      <c r="T53" s="7"/>
      <c r="U53" s="7"/>
      <c r="V53" s="7"/>
      <c r="W53" s="7"/>
      <c r="X53" s="7"/>
      <c r="Y53" s="7"/>
      <c r="Z53" s="7"/>
    </row>
    <row r="54" spans="1:26" ht="12.75" customHeight="1" x14ac:dyDescent="0.25">
      <c r="A54" s="76"/>
      <c r="B54" s="76" t="s">
        <v>216</v>
      </c>
      <c r="C54" s="83" t="e">
        <f t="shared" ref="C54:N54" si="17">C33-C12</f>
        <v>#REF!</v>
      </c>
      <c r="D54" s="83" t="e">
        <f t="shared" si="17"/>
        <v>#REF!</v>
      </c>
      <c r="E54" s="83" t="e">
        <f t="shared" si="17"/>
        <v>#REF!</v>
      </c>
      <c r="F54" s="83" t="e">
        <f t="shared" si="17"/>
        <v>#REF!</v>
      </c>
      <c r="G54" s="83" t="e">
        <f t="shared" si="17"/>
        <v>#REF!</v>
      </c>
      <c r="H54" s="83" t="e">
        <f t="shared" si="17"/>
        <v>#REF!</v>
      </c>
      <c r="I54" s="83" t="e">
        <f t="shared" si="17"/>
        <v>#REF!</v>
      </c>
      <c r="J54" s="83" t="e">
        <f t="shared" si="17"/>
        <v>#REF!</v>
      </c>
      <c r="K54" s="83" t="e">
        <f t="shared" si="17"/>
        <v>#REF!</v>
      </c>
      <c r="L54" s="83" t="e">
        <f t="shared" si="17"/>
        <v>#REF!</v>
      </c>
      <c r="M54" s="83" t="e">
        <f t="shared" si="17"/>
        <v>#REF!</v>
      </c>
      <c r="N54" s="83" t="e">
        <f t="shared" si="17"/>
        <v>#REF!</v>
      </c>
      <c r="O54" s="7"/>
      <c r="P54" s="7"/>
      <c r="Q54" s="7"/>
      <c r="R54" s="7"/>
      <c r="S54" s="7"/>
      <c r="T54" s="7"/>
      <c r="U54" s="7"/>
      <c r="V54" s="7"/>
      <c r="W54" s="7"/>
      <c r="X54" s="7"/>
      <c r="Y54" s="7"/>
      <c r="Z54" s="7"/>
    </row>
    <row r="55" spans="1:26" ht="12.75" customHeight="1" x14ac:dyDescent="0.25">
      <c r="A55" s="76" t="s">
        <v>217</v>
      </c>
      <c r="B55" s="76" t="s">
        <v>213</v>
      </c>
      <c r="C55" s="83" t="e">
        <f t="shared" ref="C55:N55" si="18">C34-C13</f>
        <v>#REF!</v>
      </c>
      <c r="D55" s="83" t="e">
        <f t="shared" si="18"/>
        <v>#REF!</v>
      </c>
      <c r="E55" s="83" t="e">
        <f t="shared" si="18"/>
        <v>#REF!</v>
      </c>
      <c r="F55" s="83" t="e">
        <f t="shared" si="18"/>
        <v>#REF!</v>
      </c>
      <c r="G55" s="83" t="e">
        <f t="shared" si="18"/>
        <v>#REF!</v>
      </c>
      <c r="H55" s="83" t="e">
        <f t="shared" si="18"/>
        <v>#REF!</v>
      </c>
      <c r="I55" s="83" t="e">
        <f t="shared" si="18"/>
        <v>#REF!</v>
      </c>
      <c r="J55" s="83" t="e">
        <f t="shared" si="18"/>
        <v>#REF!</v>
      </c>
      <c r="K55" s="83" t="e">
        <f t="shared" si="18"/>
        <v>#REF!</v>
      </c>
      <c r="L55" s="83" t="e">
        <f t="shared" si="18"/>
        <v>#REF!</v>
      </c>
      <c r="M55" s="83" t="e">
        <f t="shared" si="18"/>
        <v>#REF!</v>
      </c>
      <c r="N55" s="83" t="e">
        <f t="shared" si="18"/>
        <v>#REF!</v>
      </c>
      <c r="O55" s="7"/>
      <c r="P55" s="7"/>
      <c r="Q55" s="7"/>
      <c r="R55" s="7"/>
      <c r="S55" s="7"/>
      <c r="T55" s="7"/>
      <c r="U55" s="7"/>
      <c r="V55" s="7"/>
      <c r="W55" s="7"/>
      <c r="X55" s="7"/>
      <c r="Y55" s="7"/>
      <c r="Z55" s="7"/>
    </row>
    <row r="56" spans="1:26" ht="12.75" customHeight="1" x14ac:dyDescent="0.25">
      <c r="A56" s="76"/>
      <c r="B56" s="76" t="s">
        <v>214</v>
      </c>
      <c r="C56" s="83" t="e">
        <f t="shared" ref="C56:N56" si="19">C35-C14</f>
        <v>#REF!</v>
      </c>
      <c r="D56" s="83" t="e">
        <f t="shared" si="19"/>
        <v>#REF!</v>
      </c>
      <c r="E56" s="83" t="e">
        <f t="shared" si="19"/>
        <v>#REF!</v>
      </c>
      <c r="F56" s="83" t="e">
        <f t="shared" si="19"/>
        <v>#REF!</v>
      </c>
      <c r="G56" s="83" t="e">
        <f t="shared" si="19"/>
        <v>#REF!</v>
      </c>
      <c r="H56" s="83" t="e">
        <f t="shared" si="19"/>
        <v>#REF!</v>
      </c>
      <c r="I56" s="83" t="e">
        <f t="shared" si="19"/>
        <v>#REF!</v>
      </c>
      <c r="J56" s="83" t="e">
        <f t="shared" si="19"/>
        <v>#REF!</v>
      </c>
      <c r="K56" s="83" t="e">
        <f t="shared" si="19"/>
        <v>#REF!</v>
      </c>
      <c r="L56" s="83" t="e">
        <f t="shared" si="19"/>
        <v>#REF!</v>
      </c>
      <c r="M56" s="83" t="e">
        <f t="shared" si="19"/>
        <v>#REF!</v>
      </c>
      <c r="N56" s="83" t="e">
        <f t="shared" si="19"/>
        <v>#REF!</v>
      </c>
      <c r="O56" s="7"/>
      <c r="P56" s="7"/>
      <c r="Q56" s="7"/>
      <c r="R56" s="7"/>
      <c r="S56" s="7"/>
      <c r="T56" s="7"/>
      <c r="U56" s="7"/>
      <c r="V56" s="7"/>
      <c r="W56" s="7"/>
      <c r="X56" s="7"/>
      <c r="Y56" s="7"/>
      <c r="Z56" s="7"/>
    </row>
    <row r="57" spans="1:26" ht="12.75" customHeight="1" x14ac:dyDescent="0.25">
      <c r="A57" s="76"/>
      <c r="B57" s="76" t="s">
        <v>215</v>
      </c>
      <c r="C57" s="83" t="e">
        <f t="shared" ref="C57:N57" si="20">C36-C15</f>
        <v>#REF!</v>
      </c>
      <c r="D57" s="83" t="e">
        <f t="shared" si="20"/>
        <v>#REF!</v>
      </c>
      <c r="E57" s="83" t="e">
        <f t="shared" si="20"/>
        <v>#REF!</v>
      </c>
      <c r="F57" s="83" t="e">
        <f t="shared" si="20"/>
        <v>#REF!</v>
      </c>
      <c r="G57" s="83" t="e">
        <f t="shared" si="20"/>
        <v>#REF!</v>
      </c>
      <c r="H57" s="83" t="e">
        <f t="shared" si="20"/>
        <v>#REF!</v>
      </c>
      <c r="I57" s="83" t="e">
        <f t="shared" si="20"/>
        <v>#REF!</v>
      </c>
      <c r="J57" s="83" t="e">
        <f t="shared" si="20"/>
        <v>#REF!</v>
      </c>
      <c r="K57" s="83" t="e">
        <f t="shared" si="20"/>
        <v>#REF!</v>
      </c>
      <c r="L57" s="83" t="e">
        <f t="shared" si="20"/>
        <v>#REF!</v>
      </c>
      <c r="M57" s="83" t="e">
        <f t="shared" si="20"/>
        <v>#REF!</v>
      </c>
      <c r="N57" s="83" t="e">
        <f t="shared" si="20"/>
        <v>#REF!</v>
      </c>
      <c r="O57" s="7"/>
      <c r="P57" s="7"/>
      <c r="Q57" s="7"/>
      <c r="R57" s="7"/>
      <c r="S57" s="7"/>
      <c r="T57" s="7"/>
      <c r="U57" s="7"/>
      <c r="V57" s="7"/>
      <c r="W57" s="7"/>
      <c r="X57" s="7"/>
      <c r="Y57" s="7"/>
      <c r="Z57" s="7"/>
    </row>
    <row r="58" spans="1:26" ht="12.75" customHeight="1" x14ac:dyDescent="0.25">
      <c r="A58" s="76"/>
      <c r="B58" s="76" t="s">
        <v>216</v>
      </c>
      <c r="C58" s="83" t="e">
        <f t="shared" ref="C58:N58" si="21">C37-C16</f>
        <v>#REF!</v>
      </c>
      <c r="D58" s="83" t="e">
        <f t="shared" si="21"/>
        <v>#REF!</v>
      </c>
      <c r="E58" s="83" t="e">
        <f t="shared" si="21"/>
        <v>#REF!</v>
      </c>
      <c r="F58" s="83" t="e">
        <f t="shared" si="21"/>
        <v>#REF!</v>
      </c>
      <c r="G58" s="83" t="e">
        <f t="shared" si="21"/>
        <v>#REF!</v>
      </c>
      <c r="H58" s="83" t="e">
        <f t="shared" si="21"/>
        <v>#REF!</v>
      </c>
      <c r="I58" s="83" t="e">
        <f t="shared" si="21"/>
        <v>#REF!</v>
      </c>
      <c r="J58" s="83" t="e">
        <f t="shared" si="21"/>
        <v>#REF!</v>
      </c>
      <c r="K58" s="83" t="e">
        <f t="shared" si="21"/>
        <v>#REF!</v>
      </c>
      <c r="L58" s="83" t="e">
        <f t="shared" si="21"/>
        <v>#REF!</v>
      </c>
      <c r="M58" s="83" t="e">
        <f t="shared" si="21"/>
        <v>#REF!</v>
      </c>
      <c r="N58" s="83" t="e">
        <f t="shared" si="21"/>
        <v>#REF!</v>
      </c>
      <c r="O58" s="7"/>
      <c r="P58" s="7"/>
      <c r="Q58" s="7"/>
      <c r="R58" s="7"/>
      <c r="S58" s="7"/>
      <c r="T58" s="7"/>
      <c r="U58" s="7"/>
      <c r="V58" s="7"/>
      <c r="W58" s="7"/>
      <c r="X58" s="7"/>
      <c r="Y58" s="7"/>
      <c r="Z58" s="7"/>
    </row>
    <row r="59" spans="1:26" ht="12.75" customHeight="1" x14ac:dyDescent="0.25">
      <c r="A59" s="76" t="s">
        <v>218</v>
      </c>
      <c r="B59" s="76" t="s">
        <v>213</v>
      </c>
      <c r="C59" s="83" t="e">
        <f t="shared" ref="C59:N59" si="22">C38-C17</f>
        <v>#REF!</v>
      </c>
      <c r="D59" s="83" t="e">
        <f t="shared" si="22"/>
        <v>#REF!</v>
      </c>
      <c r="E59" s="83" t="e">
        <f t="shared" si="22"/>
        <v>#REF!</v>
      </c>
      <c r="F59" s="83" t="e">
        <f t="shared" si="22"/>
        <v>#REF!</v>
      </c>
      <c r="G59" s="83" t="e">
        <f t="shared" si="22"/>
        <v>#REF!</v>
      </c>
      <c r="H59" s="83" t="e">
        <f t="shared" si="22"/>
        <v>#REF!</v>
      </c>
      <c r="I59" s="83" t="e">
        <f t="shared" si="22"/>
        <v>#REF!</v>
      </c>
      <c r="J59" s="83" t="e">
        <f t="shared" si="22"/>
        <v>#REF!</v>
      </c>
      <c r="K59" s="83" t="e">
        <f t="shared" si="22"/>
        <v>#REF!</v>
      </c>
      <c r="L59" s="83" t="e">
        <f t="shared" si="22"/>
        <v>#REF!</v>
      </c>
      <c r="M59" s="83" t="e">
        <f t="shared" si="22"/>
        <v>#REF!</v>
      </c>
      <c r="N59" s="83" t="e">
        <f t="shared" si="22"/>
        <v>#REF!</v>
      </c>
      <c r="O59" s="7"/>
      <c r="P59" s="7"/>
      <c r="Q59" s="7"/>
      <c r="R59" s="7"/>
      <c r="S59" s="7"/>
      <c r="T59" s="7"/>
      <c r="U59" s="7"/>
      <c r="V59" s="7"/>
      <c r="W59" s="7"/>
      <c r="X59" s="7"/>
      <c r="Y59" s="7"/>
      <c r="Z59" s="7"/>
    </row>
    <row r="60" spans="1:26" ht="12.75" customHeight="1" x14ac:dyDescent="0.25">
      <c r="A60" s="76"/>
      <c r="B60" s="76" t="s">
        <v>214</v>
      </c>
      <c r="C60" s="83" t="e">
        <f t="shared" ref="C60:N60" si="23">C39-C18</f>
        <v>#REF!</v>
      </c>
      <c r="D60" s="83" t="e">
        <f t="shared" si="23"/>
        <v>#REF!</v>
      </c>
      <c r="E60" s="83" t="e">
        <f t="shared" si="23"/>
        <v>#REF!</v>
      </c>
      <c r="F60" s="83" t="e">
        <f t="shared" si="23"/>
        <v>#REF!</v>
      </c>
      <c r="G60" s="83" t="e">
        <f t="shared" si="23"/>
        <v>#REF!</v>
      </c>
      <c r="H60" s="83" t="e">
        <f t="shared" si="23"/>
        <v>#REF!</v>
      </c>
      <c r="I60" s="83" t="e">
        <f t="shared" si="23"/>
        <v>#REF!</v>
      </c>
      <c r="J60" s="83" t="e">
        <f t="shared" si="23"/>
        <v>#REF!</v>
      </c>
      <c r="K60" s="83" t="e">
        <f t="shared" si="23"/>
        <v>#REF!</v>
      </c>
      <c r="L60" s="83" t="e">
        <f t="shared" si="23"/>
        <v>#REF!</v>
      </c>
      <c r="M60" s="83" t="e">
        <f t="shared" si="23"/>
        <v>#REF!</v>
      </c>
      <c r="N60" s="83" t="e">
        <f t="shared" si="23"/>
        <v>#REF!</v>
      </c>
      <c r="O60" s="7"/>
      <c r="P60" s="7"/>
      <c r="Q60" s="7"/>
      <c r="R60" s="7"/>
      <c r="S60" s="7"/>
      <c r="T60" s="7"/>
      <c r="U60" s="7"/>
      <c r="V60" s="7"/>
      <c r="W60" s="7"/>
      <c r="X60" s="7"/>
      <c r="Y60" s="7"/>
      <c r="Z60" s="7"/>
    </row>
    <row r="61" spans="1:26" ht="12.75" customHeight="1" x14ac:dyDescent="0.25">
      <c r="A61" s="76"/>
      <c r="B61" s="76" t="s">
        <v>215</v>
      </c>
      <c r="C61" s="83" t="e">
        <f t="shared" ref="C61:N61" si="24">C40-C19</f>
        <v>#REF!</v>
      </c>
      <c r="D61" s="83" t="e">
        <f t="shared" si="24"/>
        <v>#REF!</v>
      </c>
      <c r="E61" s="83" t="e">
        <f t="shared" si="24"/>
        <v>#REF!</v>
      </c>
      <c r="F61" s="83" t="e">
        <f t="shared" si="24"/>
        <v>#REF!</v>
      </c>
      <c r="G61" s="83" t="e">
        <f t="shared" si="24"/>
        <v>#REF!</v>
      </c>
      <c r="H61" s="83" t="e">
        <f t="shared" si="24"/>
        <v>#REF!</v>
      </c>
      <c r="I61" s="83" t="e">
        <f t="shared" si="24"/>
        <v>#REF!</v>
      </c>
      <c r="J61" s="83" t="e">
        <f t="shared" si="24"/>
        <v>#REF!</v>
      </c>
      <c r="K61" s="83" t="e">
        <f t="shared" si="24"/>
        <v>#REF!</v>
      </c>
      <c r="L61" s="83" t="e">
        <f t="shared" si="24"/>
        <v>#REF!</v>
      </c>
      <c r="M61" s="83" t="e">
        <f t="shared" si="24"/>
        <v>#REF!</v>
      </c>
      <c r="N61" s="83" t="e">
        <f t="shared" si="24"/>
        <v>#REF!</v>
      </c>
      <c r="O61" s="7"/>
      <c r="P61" s="7"/>
      <c r="Q61" s="7"/>
      <c r="R61" s="7"/>
      <c r="S61" s="7"/>
      <c r="T61" s="7"/>
      <c r="U61" s="7"/>
      <c r="V61" s="7"/>
      <c r="W61" s="7"/>
      <c r="X61" s="7"/>
      <c r="Y61" s="7"/>
      <c r="Z61" s="7"/>
    </row>
    <row r="62" spans="1:26" ht="12.75" customHeight="1" x14ac:dyDescent="0.25">
      <c r="A62" s="76"/>
      <c r="B62" s="76" t="s">
        <v>216</v>
      </c>
      <c r="C62" s="83" t="e">
        <f t="shared" ref="C62:N62" si="25">C41-C20</f>
        <v>#REF!</v>
      </c>
      <c r="D62" s="83" t="e">
        <f t="shared" si="25"/>
        <v>#REF!</v>
      </c>
      <c r="E62" s="83" t="e">
        <f t="shared" si="25"/>
        <v>#REF!</v>
      </c>
      <c r="F62" s="83" t="e">
        <f t="shared" si="25"/>
        <v>#REF!</v>
      </c>
      <c r="G62" s="83" t="e">
        <f t="shared" si="25"/>
        <v>#REF!</v>
      </c>
      <c r="H62" s="83" t="e">
        <f t="shared" si="25"/>
        <v>#REF!</v>
      </c>
      <c r="I62" s="83" t="e">
        <f t="shared" si="25"/>
        <v>#REF!</v>
      </c>
      <c r="J62" s="83" t="e">
        <f t="shared" si="25"/>
        <v>#REF!</v>
      </c>
      <c r="K62" s="83" t="e">
        <f t="shared" si="25"/>
        <v>#REF!</v>
      </c>
      <c r="L62" s="83" t="e">
        <f t="shared" si="25"/>
        <v>#REF!</v>
      </c>
      <c r="M62" s="83" t="e">
        <f t="shared" si="25"/>
        <v>#REF!</v>
      </c>
      <c r="N62" s="83" t="e">
        <f t="shared" si="25"/>
        <v>#REF!</v>
      </c>
      <c r="O62" s="7"/>
      <c r="P62" s="7"/>
      <c r="Q62" s="7"/>
      <c r="R62" s="7"/>
      <c r="S62" s="7"/>
      <c r="T62" s="7"/>
      <c r="U62" s="7"/>
      <c r="V62" s="7"/>
      <c r="W62" s="7"/>
      <c r="X62" s="7"/>
      <c r="Y62" s="7"/>
      <c r="Z62" s="7"/>
    </row>
    <row r="63" spans="1:26" ht="12.75" customHeight="1" x14ac:dyDescent="0.25">
      <c r="A63" s="76" t="s">
        <v>199</v>
      </c>
      <c r="B63" s="76" t="s">
        <v>213</v>
      </c>
      <c r="C63" s="83" t="e">
        <f t="shared" ref="C63:N63" si="26">C42-C21</f>
        <v>#REF!</v>
      </c>
      <c r="D63" s="83" t="e">
        <f t="shared" si="26"/>
        <v>#REF!</v>
      </c>
      <c r="E63" s="83" t="e">
        <f t="shared" si="26"/>
        <v>#REF!</v>
      </c>
      <c r="F63" s="83" t="e">
        <f t="shared" si="26"/>
        <v>#REF!</v>
      </c>
      <c r="G63" s="83" t="e">
        <f t="shared" si="26"/>
        <v>#REF!</v>
      </c>
      <c r="H63" s="83" t="e">
        <f t="shared" si="26"/>
        <v>#REF!</v>
      </c>
      <c r="I63" s="83" t="e">
        <f t="shared" si="26"/>
        <v>#REF!</v>
      </c>
      <c r="J63" s="83" t="e">
        <f t="shared" si="26"/>
        <v>#REF!</v>
      </c>
      <c r="K63" s="83" t="e">
        <f t="shared" si="26"/>
        <v>#REF!</v>
      </c>
      <c r="L63" s="83" t="e">
        <f t="shared" si="26"/>
        <v>#REF!</v>
      </c>
      <c r="M63" s="83" t="e">
        <f t="shared" si="26"/>
        <v>#REF!</v>
      </c>
      <c r="N63" s="83" t="e">
        <f t="shared" si="26"/>
        <v>#REF!</v>
      </c>
      <c r="O63" s="7"/>
      <c r="P63" s="7"/>
      <c r="Q63" s="7"/>
      <c r="R63" s="7"/>
      <c r="S63" s="7"/>
      <c r="T63" s="7"/>
      <c r="U63" s="7"/>
      <c r="V63" s="7"/>
      <c r="W63" s="7"/>
      <c r="X63" s="7"/>
      <c r="Y63" s="7"/>
      <c r="Z63" s="7"/>
    </row>
    <row r="64" spans="1:26" ht="12.75" customHeight="1" x14ac:dyDescent="0.25">
      <c r="A64" s="76"/>
      <c r="B64" s="76" t="s">
        <v>214</v>
      </c>
      <c r="C64" s="83" t="e">
        <f t="shared" ref="C64:N64" si="27">C43-C22</f>
        <v>#REF!</v>
      </c>
      <c r="D64" s="83" t="e">
        <f t="shared" si="27"/>
        <v>#REF!</v>
      </c>
      <c r="E64" s="83" t="e">
        <f t="shared" si="27"/>
        <v>#REF!</v>
      </c>
      <c r="F64" s="83" t="e">
        <f t="shared" si="27"/>
        <v>#REF!</v>
      </c>
      <c r="G64" s="83" t="e">
        <f t="shared" si="27"/>
        <v>#REF!</v>
      </c>
      <c r="H64" s="83" t="e">
        <f t="shared" si="27"/>
        <v>#REF!</v>
      </c>
      <c r="I64" s="83" t="e">
        <f t="shared" si="27"/>
        <v>#REF!</v>
      </c>
      <c r="J64" s="83" t="e">
        <f t="shared" si="27"/>
        <v>#REF!</v>
      </c>
      <c r="K64" s="83" t="e">
        <f t="shared" si="27"/>
        <v>#REF!</v>
      </c>
      <c r="L64" s="83" t="e">
        <f t="shared" si="27"/>
        <v>#REF!</v>
      </c>
      <c r="M64" s="83" t="e">
        <f t="shared" si="27"/>
        <v>#REF!</v>
      </c>
      <c r="N64" s="83" t="e">
        <f t="shared" si="27"/>
        <v>#REF!</v>
      </c>
      <c r="O64" s="7"/>
      <c r="P64" s="7"/>
      <c r="Q64" s="7"/>
      <c r="R64" s="7"/>
      <c r="S64" s="7"/>
      <c r="T64" s="7"/>
      <c r="U64" s="7"/>
      <c r="V64" s="7"/>
      <c r="W64" s="7"/>
      <c r="X64" s="7"/>
      <c r="Y64" s="7"/>
      <c r="Z64" s="7"/>
    </row>
    <row r="65" spans="1:26" ht="12.75" customHeight="1" x14ac:dyDescent="0.25">
      <c r="A65" s="76"/>
      <c r="B65" s="76" t="s">
        <v>215</v>
      </c>
      <c r="C65" s="83" t="e">
        <f t="shared" ref="C65:N65" si="28">C44-C23</f>
        <v>#REF!</v>
      </c>
      <c r="D65" s="83" t="e">
        <f t="shared" si="28"/>
        <v>#REF!</v>
      </c>
      <c r="E65" s="83" t="e">
        <f t="shared" si="28"/>
        <v>#REF!</v>
      </c>
      <c r="F65" s="83" t="e">
        <f t="shared" si="28"/>
        <v>#REF!</v>
      </c>
      <c r="G65" s="83" t="e">
        <f t="shared" si="28"/>
        <v>#REF!</v>
      </c>
      <c r="H65" s="83" t="e">
        <f t="shared" si="28"/>
        <v>#REF!</v>
      </c>
      <c r="I65" s="83" t="e">
        <f t="shared" si="28"/>
        <v>#REF!</v>
      </c>
      <c r="J65" s="83" t="e">
        <f t="shared" si="28"/>
        <v>#REF!</v>
      </c>
      <c r="K65" s="83" t="e">
        <f t="shared" si="28"/>
        <v>#REF!</v>
      </c>
      <c r="L65" s="83" t="e">
        <f t="shared" si="28"/>
        <v>#REF!</v>
      </c>
      <c r="M65" s="83" t="e">
        <f t="shared" si="28"/>
        <v>#REF!</v>
      </c>
      <c r="N65" s="83" t="e">
        <f t="shared" si="28"/>
        <v>#REF!</v>
      </c>
      <c r="O65" s="7"/>
      <c r="P65" s="7"/>
      <c r="Q65" s="7"/>
      <c r="R65" s="7"/>
      <c r="S65" s="7"/>
      <c r="T65" s="7"/>
      <c r="U65" s="7"/>
      <c r="V65" s="7"/>
      <c r="W65" s="7"/>
      <c r="X65" s="7"/>
      <c r="Y65" s="7"/>
      <c r="Z65" s="7"/>
    </row>
    <row r="66" spans="1:26" ht="12.75" customHeight="1" x14ac:dyDescent="0.25">
      <c r="A66" s="7"/>
      <c r="B66" s="7" t="s">
        <v>216</v>
      </c>
      <c r="C66" s="83" t="e">
        <f t="shared" ref="C66:N66" si="29">C45-C24</f>
        <v>#REF!</v>
      </c>
      <c r="D66" s="83" t="e">
        <f t="shared" si="29"/>
        <v>#REF!</v>
      </c>
      <c r="E66" s="83" t="e">
        <f t="shared" si="29"/>
        <v>#REF!</v>
      </c>
      <c r="F66" s="83" t="e">
        <f t="shared" si="29"/>
        <v>#REF!</v>
      </c>
      <c r="G66" s="83" t="e">
        <f t="shared" si="29"/>
        <v>#REF!</v>
      </c>
      <c r="H66" s="83" t="e">
        <f t="shared" si="29"/>
        <v>#REF!</v>
      </c>
      <c r="I66" s="83" t="e">
        <f t="shared" si="29"/>
        <v>#REF!</v>
      </c>
      <c r="J66" s="83" t="e">
        <f t="shared" si="29"/>
        <v>#REF!</v>
      </c>
      <c r="K66" s="83" t="e">
        <f t="shared" si="29"/>
        <v>#REF!</v>
      </c>
      <c r="L66" s="83" t="e">
        <f t="shared" si="29"/>
        <v>#REF!</v>
      </c>
      <c r="M66" s="83" t="e">
        <f t="shared" si="29"/>
        <v>#REF!</v>
      </c>
      <c r="N66" s="83" t="e">
        <f t="shared" si="29"/>
        <v>#REF!</v>
      </c>
      <c r="O66" s="7"/>
      <c r="P66" s="7"/>
      <c r="Q66" s="7"/>
      <c r="R66" s="7"/>
      <c r="S66" s="7"/>
      <c r="T66" s="7"/>
      <c r="U66" s="7"/>
      <c r="V66" s="7"/>
      <c r="W66" s="7"/>
      <c r="X66" s="7"/>
      <c r="Y66" s="7"/>
      <c r="Z66" s="7"/>
    </row>
    <row r="67" spans="1:26" ht="189" customHeight="1" x14ac:dyDescent="0.25">
      <c r="A67" s="225" t="s">
        <v>230</v>
      </c>
      <c r="B67" s="226"/>
      <c r="C67" s="226"/>
      <c r="D67" s="226"/>
      <c r="E67" s="226"/>
      <c r="F67" s="226"/>
      <c r="G67" s="226"/>
      <c r="H67" s="226"/>
      <c r="I67" s="226"/>
      <c r="J67" s="226"/>
      <c r="K67" s="165"/>
      <c r="L67" s="165"/>
      <c r="M67" s="165"/>
      <c r="N67" s="165"/>
      <c r="O67" s="7"/>
      <c r="P67" s="7"/>
      <c r="Q67" s="7"/>
      <c r="R67" s="7"/>
      <c r="S67" s="7"/>
      <c r="T67" s="7"/>
      <c r="U67" s="7"/>
      <c r="V67" s="7"/>
      <c r="W67" s="7"/>
      <c r="X67" s="7"/>
      <c r="Y67" s="7"/>
      <c r="Z67" s="7"/>
    </row>
    <row r="68" spans="1:26" ht="24" customHeight="1" x14ac:dyDescent="0.25">
      <c r="A68" s="220" t="s">
        <v>231</v>
      </c>
      <c r="B68" s="221"/>
      <c r="C68" s="221"/>
      <c r="D68" s="221"/>
      <c r="E68" s="221"/>
      <c r="F68" s="221"/>
      <c r="G68" s="221"/>
      <c r="H68" s="221"/>
      <c r="I68" s="221"/>
      <c r="J68" s="221"/>
      <c r="K68" s="165"/>
      <c r="L68" s="165"/>
      <c r="M68" s="165"/>
      <c r="N68" s="165"/>
      <c r="O68" s="7"/>
      <c r="P68" s="7"/>
      <c r="Q68" s="7"/>
      <c r="R68" s="7"/>
      <c r="S68" s="7"/>
      <c r="T68" s="7"/>
      <c r="U68" s="7"/>
      <c r="V68" s="7"/>
      <c r="W68" s="7"/>
      <c r="X68" s="7"/>
      <c r="Y68" s="7"/>
      <c r="Z68" s="7"/>
    </row>
    <row r="69" spans="1:26" ht="24" customHeight="1" x14ac:dyDescent="0.25">
      <c r="A69" s="220" t="s">
        <v>232</v>
      </c>
      <c r="B69" s="221"/>
      <c r="C69" s="221"/>
      <c r="D69" s="221"/>
      <c r="E69" s="221"/>
      <c r="F69" s="221"/>
      <c r="G69" s="221"/>
      <c r="H69" s="221"/>
      <c r="I69" s="221"/>
      <c r="J69" s="221"/>
      <c r="K69" s="165"/>
      <c r="L69" s="165"/>
      <c r="M69" s="165"/>
      <c r="N69" s="165"/>
      <c r="O69" s="7"/>
      <c r="P69" s="7"/>
      <c r="Q69" s="7"/>
      <c r="R69" s="7"/>
      <c r="S69" s="7"/>
      <c r="T69" s="7"/>
      <c r="U69" s="7"/>
      <c r="V69" s="7"/>
      <c r="W69" s="7"/>
      <c r="X69" s="7"/>
      <c r="Y69" s="7"/>
      <c r="Z69" s="7"/>
    </row>
    <row r="70" spans="1:26" ht="27.75" customHeight="1" x14ac:dyDescent="0.25">
      <c r="A70" s="220"/>
      <c r="B70" s="221"/>
      <c r="C70" s="221"/>
      <c r="D70" s="221"/>
      <c r="E70" s="221"/>
      <c r="F70" s="221"/>
      <c r="G70" s="221"/>
      <c r="H70" s="221"/>
      <c r="I70" s="221"/>
      <c r="J70" s="221"/>
      <c r="K70" s="165"/>
      <c r="L70" s="165"/>
      <c r="M70" s="165"/>
      <c r="N70" s="165"/>
      <c r="O70" s="7"/>
      <c r="P70" s="7"/>
      <c r="Q70" s="7"/>
      <c r="R70" s="7"/>
      <c r="S70" s="7"/>
      <c r="T70" s="7"/>
      <c r="U70" s="7"/>
      <c r="V70" s="7"/>
      <c r="W70" s="7"/>
      <c r="X70" s="7"/>
      <c r="Y70" s="7"/>
      <c r="Z70" s="7"/>
    </row>
    <row r="71" spans="1:26" ht="28.5" customHeight="1" x14ac:dyDescent="0.25">
      <c r="A71" s="81" t="s">
        <v>199</v>
      </c>
      <c r="B71" s="160"/>
      <c r="C71" s="75" t="s">
        <v>200</v>
      </c>
      <c r="D71" s="75" t="s">
        <v>201</v>
      </c>
      <c r="E71" s="75" t="s">
        <v>202</v>
      </c>
      <c r="F71" s="75" t="s">
        <v>203</v>
      </c>
      <c r="G71" s="75" t="s">
        <v>204</v>
      </c>
      <c r="H71" s="75" t="s">
        <v>205</v>
      </c>
      <c r="I71" s="75" t="s">
        <v>206</v>
      </c>
      <c r="J71" s="75" t="s">
        <v>207</v>
      </c>
      <c r="K71" s="75" t="s">
        <v>208</v>
      </c>
      <c r="L71" s="75" t="s">
        <v>209</v>
      </c>
      <c r="M71" s="75" t="s">
        <v>210</v>
      </c>
      <c r="N71" s="75" t="s">
        <v>211</v>
      </c>
      <c r="O71" s="7"/>
      <c r="P71" s="7"/>
      <c r="Q71" s="7"/>
      <c r="R71" s="7"/>
      <c r="S71" s="7"/>
      <c r="T71" s="7"/>
      <c r="U71" s="7"/>
      <c r="V71" s="7"/>
      <c r="W71" s="7"/>
      <c r="X71" s="7"/>
      <c r="Y71" s="7"/>
      <c r="Z71" s="7"/>
    </row>
    <row r="72" spans="1:26" ht="12.75" customHeight="1" x14ac:dyDescent="0.25">
      <c r="A72" s="84" t="s">
        <v>212</v>
      </c>
      <c r="B72" s="166" t="s">
        <v>213</v>
      </c>
      <c r="C72" s="85" t="e">
        <f t="shared" ref="C72:N72" si="30">(C51/C9)*100</f>
        <v>#REF!</v>
      </c>
      <c r="D72" s="85" t="e">
        <f t="shared" si="30"/>
        <v>#REF!</v>
      </c>
      <c r="E72" s="85" t="e">
        <f t="shared" si="30"/>
        <v>#REF!</v>
      </c>
      <c r="F72" s="85" t="e">
        <f t="shared" si="30"/>
        <v>#REF!</v>
      </c>
      <c r="G72" s="85" t="e">
        <f t="shared" si="30"/>
        <v>#REF!</v>
      </c>
      <c r="H72" s="85" t="e">
        <f t="shared" si="30"/>
        <v>#REF!</v>
      </c>
      <c r="I72" s="85" t="e">
        <f t="shared" si="30"/>
        <v>#REF!</v>
      </c>
      <c r="J72" s="85" t="e">
        <f t="shared" si="30"/>
        <v>#REF!</v>
      </c>
      <c r="K72" s="85" t="e">
        <f t="shared" si="30"/>
        <v>#REF!</v>
      </c>
      <c r="L72" s="85" t="e">
        <f t="shared" si="30"/>
        <v>#REF!</v>
      </c>
      <c r="M72" s="85" t="e">
        <f t="shared" si="30"/>
        <v>#REF!</v>
      </c>
      <c r="N72" s="85" t="e">
        <f t="shared" si="30"/>
        <v>#REF!</v>
      </c>
      <c r="O72" s="7"/>
      <c r="P72" s="7"/>
      <c r="Q72" s="7"/>
      <c r="R72" s="7"/>
      <c r="S72" s="7"/>
      <c r="T72" s="7"/>
      <c r="U72" s="7"/>
      <c r="V72" s="7"/>
      <c r="W72" s="7"/>
      <c r="X72" s="7"/>
      <c r="Y72" s="7"/>
      <c r="Z72" s="7"/>
    </row>
    <row r="73" spans="1:26" ht="12.75" customHeight="1" x14ac:dyDescent="0.25">
      <c r="A73" s="84"/>
      <c r="B73" s="166" t="s">
        <v>214</v>
      </c>
      <c r="C73" s="85" t="e">
        <f t="shared" ref="C73:N73" si="31">(C52/C10)*100</f>
        <v>#REF!</v>
      </c>
      <c r="D73" s="85" t="e">
        <f t="shared" si="31"/>
        <v>#REF!</v>
      </c>
      <c r="E73" s="85" t="e">
        <f t="shared" si="31"/>
        <v>#REF!</v>
      </c>
      <c r="F73" s="85" t="e">
        <f t="shared" si="31"/>
        <v>#REF!</v>
      </c>
      <c r="G73" s="85" t="e">
        <f t="shared" si="31"/>
        <v>#REF!</v>
      </c>
      <c r="H73" s="85" t="e">
        <f t="shared" si="31"/>
        <v>#REF!</v>
      </c>
      <c r="I73" s="85" t="e">
        <f t="shared" si="31"/>
        <v>#REF!</v>
      </c>
      <c r="J73" s="85" t="e">
        <f t="shared" si="31"/>
        <v>#REF!</v>
      </c>
      <c r="K73" s="85" t="e">
        <f t="shared" si="31"/>
        <v>#REF!</v>
      </c>
      <c r="L73" s="85" t="e">
        <f t="shared" si="31"/>
        <v>#REF!</v>
      </c>
      <c r="M73" s="85" t="e">
        <f t="shared" si="31"/>
        <v>#REF!</v>
      </c>
      <c r="N73" s="85" t="e">
        <f t="shared" si="31"/>
        <v>#REF!</v>
      </c>
      <c r="O73" s="7"/>
      <c r="P73" s="7"/>
      <c r="Q73" s="7"/>
      <c r="R73" s="7"/>
      <c r="S73" s="7"/>
      <c r="T73" s="7"/>
      <c r="U73" s="7"/>
      <c r="V73" s="7"/>
      <c r="W73" s="7"/>
      <c r="X73" s="7"/>
      <c r="Y73" s="7"/>
      <c r="Z73" s="7"/>
    </row>
    <row r="74" spans="1:26" ht="12.75" customHeight="1" x14ac:dyDescent="0.25">
      <c r="A74" s="84"/>
      <c r="B74" s="166" t="s">
        <v>215</v>
      </c>
      <c r="C74" s="85" t="e">
        <f t="shared" ref="C74:N74" si="32">(C53/C11)*100</f>
        <v>#REF!</v>
      </c>
      <c r="D74" s="85" t="e">
        <f t="shared" si="32"/>
        <v>#REF!</v>
      </c>
      <c r="E74" s="85" t="e">
        <f t="shared" si="32"/>
        <v>#REF!</v>
      </c>
      <c r="F74" s="85" t="e">
        <f t="shared" si="32"/>
        <v>#REF!</v>
      </c>
      <c r="G74" s="85" t="e">
        <f t="shared" si="32"/>
        <v>#REF!</v>
      </c>
      <c r="H74" s="85" t="e">
        <f t="shared" si="32"/>
        <v>#REF!</v>
      </c>
      <c r="I74" s="85" t="e">
        <f t="shared" si="32"/>
        <v>#REF!</v>
      </c>
      <c r="J74" s="85" t="e">
        <f t="shared" si="32"/>
        <v>#REF!</v>
      </c>
      <c r="K74" s="85" t="e">
        <f t="shared" si="32"/>
        <v>#REF!</v>
      </c>
      <c r="L74" s="85" t="e">
        <f t="shared" si="32"/>
        <v>#REF!</v>
      </c>
      <c r="M74" s="85" t="e">
        <f t="shared" si="32"/>
        <v>#REF!</v>
      </c>
      <c r="N74" s="85" t="e">
        <f t="shared" si="32"/>
        <v>#REF!</v>
      </c>
      <c r="O74" s="7"/>
      <c r="P74" s="7"/>
      <c r="Q74" s="7"/>
      <c r="R74" s="7"/>
      <c r="S74" s="7"/>
      <c r="T74" s="7"/>
      <c r="U74" s="7"/>
      <c r="V74" s="7"/>
      <c r="W74" s="7"/>
      <c r="X74" s="7"/>
      <c r="Y74" s="7"/>
      <c r="Z74" s="7"/>
    </row>
    <row r="75" spans="1:26" ht="12.75" customHeight="1" x14ac:dyDescent="0.25">
      <c r="A75" s="84"/>
      <c r="B75" s="166" t="s">
        <v>216</v>
      </c>
      <c r="C75" s="85" t="e">
        <f t="shared" ref="C75:N75" si="33">(C54/C12)*100</f>
        <v>#REF!</v>
      </c>
      <c r="D75" s="85" t="e">
        <f t="shared" si="33"/>
        <v>#REF!</v>
      </c>
      <c r="E75" s="85" t="e">
        <f t="shared" si="33"/>
        <v>#REF!</v>
      </c>
      <c r="F75" s="85" t="e">
        <f t="shared" si="33"/>
        <v>#REF!</v>
      </c>
      <c r="G75" s="85" t="e">
        <f t="shared" si="33"/>
        <v>#REF!</v>
      </c>
      <c r="H75" s="85" t="e">
        <f t="shared" si="33"/>
        <v>#REF!</v>
      </c>
      <c r="I75" s="85" t="e">
        <f t="shared" si="33"/>
        <v>#REF!</v>
      </c>
      <c r="J75" s="85" t="e">
        <f t="shared" si="33"/>
        <v>#REF!</v>
      </c>
      <c r="K75" s="85" t="e">
        <f t="shared" si="33"/>
        <v>#REF!</v>
      </c>
      <c r="L75" s="85" t="e">
        <f t="shared" si="33"/>
        <v>#REF!</v>
      </c>
      <c r="M75" s="85" t="e">
        <f t="shared" si="33"/>
        <v>#REF!</v>
      </c>
      <c r="N75" s="85" t="e">
        <f t="shared" si="33"/>
        <v>#REF!</v>
      </c>
      <c r="O75" s="7"/>
      <c r="P75" s="7"/>
      <c r="Q75" s="7"/>
      <c r="R75" s="7"/>
      <c r="S75" s="7"/>
      <c r="T75" s="7"/>
      <c r="U75" s="7"/>
      <c r="V75" s="7"/>
      <c r="W75" s="7"/>
      <c r="X75" s="7"/>
      <c r="Y75" s="7"/>
      <c r="Z75" s="7"/>
    </row>
    <row r="76" spans="1:26" ht="12.75" customHeight="1" x14ac:dyDescent="0.25">
      <c r="A76" s="84" t="s">
        <v>217</v>
      </c>
      <c r="B76" s="166" t="s">
        <v>213</v>
      </c>
      <c r="C76" s="85" t="e">
        <f t="shared" ref="C76:N76" si="34">(C55/C13)*100</f>
        <v>#REF!</v>
      </c>
      <c r="D76" s="85" t="e">
        <f t="shared" si="34"/>
        <v>#REF!</v>
      </c>
      <c r="E76" s="85" t="e">
        <f t="shared" si="34"/>
        <v>#REF!</v>
      </c>
      <c r="F76" s="85" t="e">
        <f t="shared" si="34"/>
        <v>#REF!</v>
      </c>
      <c r="G76" s="85" t="e">
        <f t="shared" si="34"/>
        <v>#REF!</v>
      </c>
      <c r="H76" s="85" t="e">
        <f t="shared" si="34"/>
        <v>#REF!</v>
      </c>
      <c r="I76" s="85" t="e">
        <f t="shared" si="34"/>
        <v>#REF!</v>
      </c>
      <c r="J76" s="85" t="e">
        <f t="shared" si="34"/>
        <v>#REF!</v>
      </c>
      <c r="K76" s="85" t="e">
        <f t="shared" si="34"/>
        <v>#REF!</v>
      </c>
      <c r="L76" s="85" t="e">
        <f t="shared" si="34"/>
        <v>#REF!</v>
      </c>
      <c r="M76" s="85" t="e">
        <f t="shared" si="34"/>
        <v>#REF!</v>
      </c>
      <c r="N76" s="85" t="e">
        <f t="shared" si="34"/>
        <v>#REF!</v>
      </c>
      <c r="O76" s="7"/>
      <c r="P76" s="7"/>
      <c r="Q76" s="7"/>
      <c r="R76" s="7"/>
      <c r="S76" s="7"/>
      <c r="T76" s="7"/>
      <c r="U76" s="7"/>
      <c r="V76" s="7"/>
      <c r="W76" s="7"/>
      <c r="X76" s="7"/>
      <c r="Y76" s="7"/>
      <c r="Z76" s="7"/>
    </row>
    <row r="77" spans="1:26" ht="12.75" customHeight="1" x14ac:dyDescent="0.25">
      <c r="A77" s="84"/>
      <c r="B77" s="166" t="s">
        <v>214</v>
      </c>
      <c r="C77" s="85" t="e">
        <f t="shared" ref="C77:N77" si="35">(C56/C14)*100</f>
        <v>#REF!</v>
      </c>
      <c r="D77" s="85" t="e">
        <f t="shared" si="35"/>
        <v>#REF!</v>
      </c>
      <c r="E77" s="85" t="e">
        <f t="shared" si="35"/>
        <v>#REF!</v>
      </c>
      <c r="F77" s="85" t="e">
        <f t="shared" si="35"/>
        <v>#REF!</v>
      </c>
      <c r="G77" s="85" t="e">
        <f t="shared" si="35"/>
        <v>#REF!</v>
      </c>
      <c r="H77" s="85" t="e">
        <f t="shared" si="35"/>
        <v>#REF!</v>
      </c>
      <c r="I77" s="85" t="e">
        <f t="shared" si="35"/>
        <v>#REF!</v>
      </c>
      <c r="J77" s="85" t="e">
        <f t="shared" si="35"/>
        <v>#REF!</v>
      </c>
      <c r="K77" s="85" t="e">
        <f t="shared" si="35"/>
        <v>#REF!</v>
      </c>
      <c r="L77" s="85" t="e">
        <f t="shared" si="35"/>
        <v>#REF!</v>
      </c>
      <c r="M77" s="85" t="e">
        <f t="shared" si="35"/>
        <v>#REF!</v>
      </c>
      <c r="N77" s="85" t="e">
        <f t="shared" si="35"/>
        <v>#REF!</v>
      </c>
      <c r="O77" s="7"/>
      <c r="P77" s="7"/>
      <c r="Q77" s="7"/>
      <c r="R77" s="7"/>
      <c r="S77" s="7"/>
      <c r="T77" s="7"/>
      <c r="U77" s="7"/>
      <c r="V77" s="7"/>
      <c r="W77" s="7"/>
      <c r="X77" s="7"/>
      <c r="Y77" s="7"/>
      <c r="Z77" s="7"/>
    </row>
    <row r="78" spans="1:26" ht="12.75" customHeight="1" x14ac:dyDescent="0.25">
      <c r="A78" s="84"/>
      <c r="B78" s="166" t="s">
        <v>215</v>
      </c>
      <c r="C78" s="85" t="e">
        <f t="shared" ref="C78:N78" si="36">(C57/C15)*100</f>
        <v>#REF!</v>
      </c>
      <c r="D78" s="85" t="e">
        <f t="shared" si="36"/>
        <v>#REF!</v>
      </c>
      <c r="E78" s="85" t="e">
        <f t="shared" si="36"/>
        <v>#REF!</v>
      </c>
      <c r="F78" s="85" t="e">
        <f t="shared" si="36"/>
        <v>#REF!</v>
      </c>
      <c r="G78" s="85" t="e">
        <f t="shared" si="36"/>
        <v>#REF!</v>
      </c>
      <c r="H78" s="85" t="e">
        <f t="shared" si="36"/>
        <v>#REF!</v>
      </c>
      <c r="I78" s="85" t="e">
        <f t="shared" si="36"/>
        <v>#REF!</v>
      </c>
      <c r="J78" s="85" t="e">
        <f t="shared" si="36"/>
        <v>#REF!</v>
      </c>
      <c r="K78" s="85" t="e">
        <f t="shared" si="36"/>
        <v>#REF!</v>
      </c>
      <c r="L78" s="85" t="e">
        <f t="shared" si="36"/>
        <v>#REF!</v>
      </c>
      <c r="M78" s="85" t="e">
        <f t="shared" si="36"/>
        <v>#REF!</v>
      </c>
      <c r="N78" s="85" t="e">
        <f t="shared" si="36"/>
        <v>#REF!</v>
      </c>
      <c r="O78" s="7"/>
      <c r="P78" s="7"/>
      <c r="Q78" s="7"/>
      <c r="R78" s="7"/>
      <c r="S78" s="7"/>
      <c r="T78" s="7"/>
      <c r="U78" s="7"/>
      <c r="V78" s="7"/>
      <c r="W78" s="7"/>
      <c r="X78" s="7"/>
      <c r="Y78" s="7"/>
      <c r="Z78" s="7"/>
    </row>
    <row r="79" spans="1:26" ht="12.75" customHeight="1" x14ac:dyDescent="0.25">
      <c r="A79" s="84"/>
      <c r="B79" s="166" t="s">
        <v>216</v>
      </c>
      <c r="C79" s="85" t="e">
        <f t="shared" ref="C79:N79" si="37">(C58/C16)*100</f>
        <v>#REF!</v>
      </c>
      <c r="D79" s="85" t="e">
        <f t="shared" si="37"/>
        <v>#REF!</v>
      </c>
      <c r="E79" s="85" t="e">
        <f t="shared" si="37"/>
        <v>#REF!</v>
      </c>
      <c r="F79" s="85" t="e">
        <f t="shared" si="37"/>
        <v>#REF!</v>
      </c>
      <c r="G79" s="85" t="e">
        <f t="shared" si="37"/>
        <v>#REF!</v>
      </c>
      <c r="H79" s="85" t="e">
        <f t="shared" si="37"/>
        <v>#REF!</v>
      </c>
      <c r="I79" s="85" t="e">
        <f t="shared" si="37"/>
        <v>#REF!</v>
      </c>
      <c r="J79" s="85" t="e">
        <f t="shared" si="37"/>
        <v>#REF!</v>
      </c>
      <c r="K79" s="85" t="e">
        <f t="shared" si="37"/>
        <v>#REF!</v>
      </c>
      <c r="L79" s="85" t="e">
        <f t="shared" si="37"/>
        <v>#REF!</v>
      </c>
      <c r="M79" s="85" t="e">
        <f t="shared" si="37"/>
        <v>#REF!</v>
      </c>
      <c r="N79" s="85" t="e">
        <f t="shared" si="37"/>
        <v>#REF!</v>
      </c>
      <c r="O79" s="7"/>
      <c r="P79" s="7"/>
      <c r="Q79" s="7"/>
      <c r="R79" s="7"/>
      <c r="S79" s="7"/>
      <c r="T79" s="7"/>
      <c r="U79" s="7"/>
      <c r="V79" s="7"/>
      <c r="W79" s="7"/>
      <c r="X79" s="7"/>
      <c r="Y79" s="7"/>
      <c r="Z79" s="7"/>
    </row>
    <row r="80" spans="1:26" ht="12.75" customHeight="1" x14ac:dyDescent="0.25">
      <c r="A80" s="84" t="s">
        <v>218</v>
      </c>
      <c r="B80" s="166" t="s">
        <v>213</v>
      </c>
      <c r="C80" s="85" t="e">
        <f t="shared" ref="C80:N80" si="38">(C59/C17)*100</f>
        <v>#REF!</v>
      </c>
      <c r="D80" s="85" t="e">
        <f t="shared" si="38"/>
        <v>#REF!</v>
      </c>
      <c r="E80" s="85" t="e">
        <f t="shared" si="38"/>
        <v>#REF!</v>
      </c>
      <c r="F80" s="85" t="e">
        <f t="shared" si="38"/>
        <v>#REF!</v>
      </c>
      <c r="G80" s="85" t="e">
        <f t="shared" si="38"/>
        <v>#REF!</v>
      </c>
      <c r="H80" s="85" t="e">
        <f t="shared" si="38"/>
        <v>#REF!</v>
      </c>
      <c r="I80" s="85" t="e">
        <f t="shared" si="38"/>
        <v>#REF!</v>
      </c>
      <c r="J80" s="85" t="e">
        <f t="shared" si="38"/>
        <v>#REF!</v>
      </c>
      <c r="K80" s="85" t="e">
        <f t="shared" si="38"/>
        <v>#REF!</v>
      </c>
      <c r="L80" s="85" t="e">
        <f t="shared" si="38"/>
        <v>#REF!</v>
      </c>
      <c r="M80" s="85" t="e">
        <f t="shared" si="38"/>
        <v>#REF!</v>
      </c>
      <c r="N80" s="85" t="e">
        <f t="shared" si="38"/>
        <v>#REF!</v>
      </c>
      <c r="O80" s="7"/>
      <c r="P80" s="7"/>
      <c r="Q80" s="7"/>
      <c r="R80" s="7"/>
      <c r="S80" s="7"/>
      <c r="T80" s="7"/>
      <c r="U80" s="7"/>
      <c r="V80" s="7"/>
      <c r="W80" s="7"/>
      <c r="X80" s="7"/>
      <c r="Y80" s="7"/>
      <c r="Z80" s="7"/>
    </row>
    <row r="81" spans="1:26" ht="12.75" customHeight="1" x14ac:dyDescent="0.25">
      <c r="A81" s="84"/>
      <c r="B81" s="166" t="s">
        <v>214</v>
      </c>
      <c r="C81" s="85" t="e">
        <f t="shared" ref="C81:N81" si="39">(C60/C18)*100</f>
        <v>#REF!</v>
      </c>
      <c r="D81" s="85" t="e">
        <f t="shared" si="39"/>
        <v>#REF!</v>
      </c>
      <c r="E81" s="85" t="e">
        <f t="shared" si="39"/>
        <v>#REF!</v>
      </c>
      <c r="F81" s="85" t="e">
        <f t="shared" si="39"/>
        <v>#REF!</v>
      </c>
      <c r="G81" s="85" t="e">
        <f t="shared" si="39"/>
        <v>#REF!</v>
      </c>
      <c r="H81" s="85" t="e">
        <f t="shared" si="39"/>
        <v>#REF!</v>
      </c>
      <c r="I81" s="85" t="e">
        <f t="shared" si="39"/>
        <v>#REF!</v>
      </c>
      <c r="J81" s="85" t="e">
        <f t="shared" si="39"/>
        <v>#REF!</v>
      </c>
      <c r="K81" s="85" t="e">
        <f t="shared" si="39"/>
        <v>#REF!</v>
      </c>
      <c r="L81" s="85" t="e">
        <f t="shared" si="39"/>
        <v>#REF!</v>
      </c>
      <c r="M81" s="85" t="e">
        <f t="shared" si="39"/>
        <v>#REF!</v>
      </c>
      <c r="N81" s="85" t="e">
        <f t="shared" si="39"/>
        <v>#REF!</v>
      </c>
      <c r="O81" s="7"/>
      <c r="P81" s="7"/>
      <c r="Q81" s="7"/>
      <c r="R81" s="7"/>
      <c r="S81" s="7"/>
      <c r="T81" s="7"/>
      <c r="U81" s="7"/>
      <c r="V81" s="7"/>
      <c r="W81" s="7"/>
      <c r="X81" s="7"/>
      <c r="Y81" s="7"/>
      <c r="Z81" s="7"/>
    </row>
    <row r="82" spans="1:26" ht="12.75" customHeight="1" x14ac:dyDescent="0.25">
      <c r="A82" s="84"/>
      <c r="B82" s="166" t="s">
        <v>215</v>
      </c>
      <c r="C82" s="85" t="e">
        <f t="shared" ref="C82:N82" si="40">(C61/C19)*100</f>
        <v>#REF!</v>
      </c>
      <c r="D82" s="85" t="e">
        <f t="shared" si="40"/>
        <v>#REF!</v>
      </c>
      <c r="E82" s="85" t="e">
        <f t="shared" si="40"/>
        <v>#REF!</v>
      </c>
      <c r="F82" s="85" t="e">
        <f t="shared" si="40"/>
        <v>#REF!</v>
      </c>
      <c r="G82" s="85" t="e">
        <f t="shared" si="40"/>
        <v>#REF!</v>
      </c>
      <c r="H82" s="85" t="e">
        <f t="shared" si="40"/>
        <v>#REF!</v>
      </c>
      <c r="I82" s="85" t="e">
        <f t="shared" si="40"/>
        <v>#REF!</v>
      </c>
      <c r="J82" s="85" t="e">
        <f t="shared" si="40"/>
        <v>#REF!</v>
      </c>
      <c r="K82" s="85" t="e">
        <f t="shared" si="40"/>
        <v>#REF!</v>
      </c>
      <c r="L82" s="85" t="e">
        <f t="shared" si="40"/>
        <v>#REF!</v>
      </c>
      <c r="M82" s="85" t="e">
        <f t="shared" si="40"/>
        <v>#REF!</v>
      </c>
      <c r="N82" s="85" t="e">
        <f t="shared" si="40"/>
        <v>#REF!</v>
      </c>
      <c r="O82" s="7"/>
      <c r="P82" s="7"/>
      <c r="Q82" s="7"/>
      <c r="R82" s="7"/>
      <c r="S82" s="7"/>
      <c r="T82" s="7"/>
      <c r="U82" s="7"/>
      <c r="V82" s="7"/>
      <c r="W82" s="7"/>
      <c r="X82" s="7"/>
      <c r="Y82" s="7"/>
      <c r="Z82" s="7"/>
    </row>
    <row r="83" spans="1:26" ht="12.75" customHeight="1" x14ac:dyDescent="0.25">
      <c r="A83" s="84"/>
      <c r="B83" s="166" t="s">
        <v>216</v>
      </c>
      <c r="C83" s="85" t="e">
        <f t="shared" ref="C83:N83" si="41">(C62/C20)*100</f>
        <v>#REF!</v>
      </c>
      <c r="D83" s="85" t="e">
        <f t="shared" si="41"/>
        <v>#REF!</v>
      </c>
      <c r="E83" s="85" t="e">
        <f t="shared" si="41"/>
        <v>#REF!</v>
      </c>
      <c r="F83" s="85" t="e">
        <f t="shared" si="41"/>
        <v>#REF!</v>
      </c>
      <c r="G83" s="85" t="e">
        <f t="shared" si="41"/>
        <v>#REF!</v>
      </c>
      <c r="H83" s="85" t="e">
        <f t="shared" si="41"/>
        <v>#REF!</v>
      </c>
      <c r="I83" s="85" t="e">
        <f t="shared" si="41"/>
        <v>#REF!</v>
      </c>
      <c r="J83" s="85" t="e">
        <f t="shared" si="41"/>
        <v>#REF!</v>
      </c>
      <c r="K83" s="85" t="e">
        <f t="shared" si="41"/>
        <v>#REF!</v>
      </c>
      <c r="L83" s="85" t="e">
        <f t="shared" si="41"/>
        <v>#REF!</v>
      </c>
      <c r="M83" s="85" t="e">
        <f t="shared" si="41"/>
        <v>#REF!</v>
      </c>
      <c r="N83" s="85" t="e">
        <f t="shared" si="41"/>
        <v>#REF!</v>
      </c>
      <c r="O83" s="7"/>
      <c r="P83" s="7"/>
      <c r="Q83" s="7"/>
      <c r="R83" s="7"/>
      <c r="S83" s="7"/>
      <c r="T83" s="7"/>
      <c r="U83" s="7"/>
      <c r="V83" s="7"/>
      <c r="W83" s="7"/>
      <c r="X83" s="7"/>
      <c r="Y83" s="7"/>
      <c r="Z83" s="7"/>
    </row>
    <row r="84" spans="1:26" ht="12.75" customHeight="1" x14ac:dyDescent="0.25">
      <c r="A84" s="84" t="s">
        <v>199</v>
      </c>
      <c r="B84" s="166" t="s">
        <v>213</v>
      </c>
      <c r="C84" s="85" t="e">
        <f t="shared" ref="C84:N84" si="42">(C63/C21)*100</f>
        <v>#REF!</v>
      </c>
      <c r="D84" s="85" t="e">
        <f t="shared" si="42"/>
        <v>#REF!</v>
      </c>
      <c r="E84" s="85" t="e">
        <f t="shared" si="42"/>
        <v>#REF!</v>
      </c>
      <c r="F84" s="85" t="e">
        <f t="shared" si="42"/>
        <v>#REF!</v>
      </c>
      <c r="G84" s="85" t="e">
        <f t="shared" si="42"/>
        <v>#REF!</v>
      </c>
      <c r="H84" s="85" t="e">
        <f t="shared" si="42"/>
        <v>#REF!</v>
      </c>
      <c r="I84" s="85" t="e">
        <f t="shared" si="42"/>
        <v>#REF!</v>
      </c>
      <c r="J84" s="85" t="e">
        <f t="shared" si="42"/>
        <v>#REF!</v>
      </c>
      <c r="K84" s="85" t="e">
        <f t="shared" si="42"/>
        <v>#REF!</v>
      </c>
      <c r="L84" s="85" t="e">
        <f t="shared" si="42"/>
        <v>#REF!</v>
      </c>
      <c r="M84" s="85" t="e">
        <f t="shared" si="42"/>
        <v>#REF!</v>
      </c>
      <c r="N84" s="85" t="e">
        <f t="shared" si="42"/>
        <v>#REF!</v>
      </c>
      <c r="O84" s="7"/>
      <c r="P84" s="7"/>
      <c r="Q84" s="7"/>
      <c r="R84" s="7"/>
      <c r="S84" s="7"/>
      <c r="T84" s="7"/>
      <c r="U84" s="7"/>
      <c r="V84" s="7"/>
      <c r="W84" s="7"/>
      <c r="X84" s="7"/>
      <c r="Y84" s="7"/>
      <c r="Z84" s="7"/>
    </row>
    <row r="85" spans="1:26" ht="12.75" customHeight="1" x14ac:dyDescent="0.25">
      <c r="A85" s="84"/>
      <c r="B85" s="166" t="s">
        <v>214</v>
      </c>
      <c r="C85" s="85" t="e">
        <f t="shared" ref="C85:N85" si="43">(C64/C22)*100</f>
        <v>#REF!</v>
      </c>
      <c r="D85" s="85" t="e">
        <f t="shared" si="43"/>
        <v>#REF!</v>
      </c>
      <c r="E85" s="85" t="e">
        <f t="shared" si="43"/>
        <v>#REF!</v>
      </c>
      <c r="F85" s="85" t="e">
        <f t="shared" si="43"/>
        <v>#REF!</v>
      </c>
      <c r="G85" s="85" t="e">
        <f t="shared" si="43"/>
        <v>#REF!</v>
      </c>
      <c r="H85" s="85" t="e">
        <f t="shared" si="43"/>
        <v>#REF!</v>
      </c>
      <c r="I85" s="85" t="e">
        <f t="shared" si="43"/>
        <v>#REF!</v>
      </c>
      <c r="J85" s="85" t="e">
        <f t="shared" si="43"/>
        <v>#REF!</v>
      </c>
      <c r="K85" s="85" t="e">
        <f t="shared" si="43"/>
        <v>#REF!</v>
      </c>
      <c r="L85" s="85" t="e">
        <f t="shared" si="43"/>
        <v>#REF!</v>
      </c>
      <c r="M85" s="85" t="e">
        <f t="shared" si="43"/>
        <v>#REF!</v>
      </c>
      <c r="N85" s="85" t="e">
        <f t="shared" si="43"/>
        <v>#REF!</v>
      </c>
      <c r="O85" s="7"/>
      <c r="P85" s="7"/>
      <c r="Q85" s="7"/>
      <c r="R85" s="7"/>
      <c r="S85" s="7"/>
      <c r="T85" s="7"/>
      <c r="U85" s="7"/>
      <c r="V85" s="7"/>
      <c r="W85" s="7"/>
      <c r="X85" s="7"/>
      <c r="Y85" s="7"/>
      <c r="Z85" s="7"/>
    </row>
    <row r="86" spans="1:26" ht="12.75" customHeight="1" x14ac:dyDescent="0.25">
      <c r="A86" s="84"/>
      <c r="B86" s="167" t="s">
        <v>215</v>
      </c>
      <c r="C86" s="85" t="e">
        <f t="shared" ref="C86:N86" si="44">(C65/C23)*100</f>
        <v>#REF!</v>
      </c>
      <c r="D86" s="85" t="e">
        <f t="shared" si="44"/>
        <v>#REF!</v>
      </c>
      <c r="E86" s="85" t="e">
        <f t="shared" si="44"/>
        <v>#REF!</v>
      </c>
      <c r="F86" s="85" t="e">
        <f t="shared" si="44"/>
        <v>#REF!</v>
      </c>
      <c r="G86" s="85" t="e">
        <f t="shared" si="44"/>
        <v>#REF!</v>
      </c>
      <c r="H86" s="85" t="e">
        <f t="shared" si="44"/>
        <v>#REF!</v>
      </c>
      <c r="I86" s="85" t="e">
        <f t="shared" si="44"/>
        <v>#REF!</v>
      </c>
      <c r="J86" s="85" t="e">
        <f t="shared" si="44"/>
        <v>#REF!</v>
      </c>
      <c r="K86" s="85" t="e">
        <f t="shared" si="44"/>
        <v>#REF!</v>
      </c>
      <c r="L86" s="85" t="e">
        <f t="shared" si="44"/>
        <v>#REF!</v>
      </c>
      <c r="M86" s="85" t="e">
        <f t="shared" si="44"/>
        <v>#REF!</v>
      </c>
      <c r="N86" s="85" t="e">
        <f t="shared" si="44"/>
        <v>#REF!</v>
      </c>
      <c r="O86" s="7"/>
      <c r="P86" s="7"/>
      <c r="Q86" s="7"/>
      <c r="R86" s="7"/>
      <c r="S86" s="7"/>
      <c r="T86" s="7"/>
      <c r="U86" s="7"/>
      <c r="V86" s="7"/>
      <c r="W86" s="7"/>
      <c r="X86" s="7"/>
      <c r="Y86" s="7"/>
      <c r="Z86" s="7"/>
    </row>
    <row r="87" spans="1:26" ht="12.75" customHeight="1" x14ac:dyDescent="0.25">
      <c r="A87" s="84"/>
      <c r="B87" s="167" t="s">
        <v>216</v>
      </c>
      <c r="C87" s="85" t="e">
        <f t="shared" ref="C87:N87" si="45">(C66/C24)*100</f>
        <v>#REF!</v>
      </c>
      <c r="D87" s="85" t="e">
        <f t="shared" si="45"/>
        <v>#REF!</v>
      </c>
      <c r="E87" s="85" t="e">
        <f t="shared" si="45"/>
        <v>#REF!</v>
      </c>
      <c r="F87" s="85" t="e">
        <f t="shared" si="45"/>
        <v>#REF!</v>
      </c>
      <c r="G87" s="85" t="e">
        <f t="shared" si="45"/>
        <v>#REF!</v>
      </c>
      <c r="H87" s="85" t="e">
        <f t="shared" si="45"/>
        <v>#REF!</v>
      </c>
      <c r="I87" s="85" t="e">
        <f t="shared" si="45"/>
        <v>#REF!</v>
      </c>
      <c r="J87" s="85" t="e">
        <f t="shared" si="45"/>
        <v>#REF!</v>
      </c>
      <c r="K87" s="85" t="e">
        <f t="shared" si="45"/>
        <v>#REF!</v>
      </c>
      <c r="L87" s="85" t="e">
        <f t="shared" si="45"/>
        <v>#REF!</v>
      </c>
      <c r="M87" s="85" t="e">
        <f t="shared" si="45"/>
        <v>#REF!</v>
      </c>
      <c r="N87" s="85" t="e">
        <f t="shared" si="45"/>
        <v>#REF!</v>
      </c>
      <c r="O87" s="7"/>
      <c r="P87" s="7"/>
      <c r="Q87" s="7"/>
      <c r="R87" s="7"/>
      <c r="S87" s="7"/>
      <c r="T87" s="7"/>
      <c r="U87" s="7"/>
      <c r="V87" s="7"/>
      <c r="W87" s="7"/>
      <c r="X87" s="7"/>
      <c r="Y87" s="7"/>
      <c r="Z87" s="7"/>
    </row>
    <row r="88" spans="1:26" ht="12.75" customHeight="1"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x14ac:dyDescent="0.25">
      <c r="A120" s="6" t="s">
        <v>233</v>
      </c>
      <c r="B120" s="86" t="s">
        <v>200</v>
      </c>
      <c r="C120" s="86" t="s">
        <v>201</v>
      </c>
      <c r="D120" s="86" t="s">
        <v>202</v>
      </c>
      <c r="E120" s="86" t="s">
        <v>203</v>
      </c>
      <c r="F120" s="86" t="s">
        <v>204</v>
      </c>
      <c r="G120" s="86" t="s">
        <v>205</v>
      </c>
      <c r="H120" s="86" t="s">
        <v>206</v>
      </c>
      <c r="I120" s="86" t="s">
        <v>207</v>
      </c>
      <c r="J120" s="86" t="s">
        <v>208</v>
      </c>
      <c r="K120" s="86" t="s">
        <v>209</v>
      </c>
      <c r="L120" s="86" t="s">
        <v>210</v>
      </c>
      <c r="M120" s="86" t="s">
        <v>211</v>
      </c>
      <c r="N120" s="7"/>
      <c r="O120" s="7"/>
      <c r="P120" s="7"/>
      <c r="Q120" s="7"/>
      <c r="R120" s="7"/>
      <c r="S120" s="7"/>
      <c r="T120" s="7"/>
      <c r="U120" s="7"/>
      <c r="V120" s="7"/>
      <c r="W120" s="7"/>
      <c r="X120" s="7"/>
      <c r="Y120" s="7"/>
      <c r="Z120" s="7"/>
    </row>
    <row r="121" spans="1:26" ht="12.75" customHeight="1" x14ac:dyDescent="0.25">
      <c r="A121" s="168" t="s">
        <v>234</v>
      </c>
      <c r="B121" s="54" t="e">
        <f>EBIT!C7-EBIT!C36</f>
        <v>#REF!</v>
      </c>
      <c r="C121" s="54" t="e">
        <f>EBIT!D7-EBIT!D36</f>
        <v>#REF!</v>
      </c>
      <c r="D121" s="54" t="e">
        <f>EBIT!E7-EBIT!E36</f>
        <v>#REF!</v>
      </c>
      <c r="E121" s="54" t="e">
        <f>EBIT!F7-EBIT!F36</f>
        <v>#REF!</v>
      </c>
      <c r="F121" s="54" t="e">
        <f>EBIT!G7-EBIT!G36</f>
        <v>#REF!</v>
      </c>
      <c r="G121" s="54" t="e">
        <f>EBIT!H7-EBIT!H36</f>
        <v>#REF!</v>
      </c>
      <c r="H121" s="54" t="e">
        <f>EBIT!I7-EBIT!I36</f>
        <v>#REF!</v>
      </c>
      <c r="I121" s="54" t="e">
        <f>EBIT!J7-EBIT!J36</f>
        <v>#REF!</v>
      </c>
      <c r="J121" s="54" t="e">
        <f>EBIT!K7-EBIT!K36</f>
        <v>#REF!</v>
      </c>
      <c r="K121" s="54" t="e">
        <f>EBIT!L7-EBIT!L36</f>
        <v>#REF!</v>
      </c>
      <c r="L121" s="54" t="e">
        <f>EBIT!M7-EBIT!M36</f>
        <v>#REF!</v>
      </c>
      <c r="M121" s="54" t="e">
        <f>EBIT!N7-EBIT!N36</f>
        <v>#REF!</v>
      </c>
      <c r="N121" s="7"/>
      <c r="O121" s="7"/>
      <c r="P121" s="7"/>
      <c r="Q121" s="7"/>
      <c r="R121" s="7"/>
      <c r="S121" s="7"/>
      <c r="T121" s="7"/>
      <c r="U121" s="7"/>
      <c r="V121" s="7"/>
      <c r="W121" s="7"/>
      <c r="X121" s="7"/>
      <c r="Y121" s="7"/>
      <c r="Z121" s="7"/>
    </row>
    <row r="122" spans="1:26" ht="12.75" customHeight="1" x14ac:dyDescent="0.25">
      <c r="A122" s="168" t="s">
        <v>235</v>
      </c>
      <c r="B122" s="54" t="e">
        <f>EBIT!C8-EBIT!C37</f>
        <v>#REF!</v>
      </c>
      <c r="C122" s="54" t="e">
        <f>EBIT!D8-EBIT!D37</f>
        <v>#REF!</v>
      </c>
      <c r="D122" s="54" t="e">
        <f>EBIT!E8-EBIT!E37</f>
        <v>#REF!</v>
      </c>
      <c r="E122" s="54" t="e">
        <f>EBIT!F8-EBIT!F37</f>
        <v>#REF!</v>
      </c>
      <c r="F122" s="54" t="e">
        <f>EBIT!G8-EBIT!G37</f>
        <v>#REF!</v>
      </c>
      <c r="G122" s="54" t="e">
        <f>EBIT!H8-EBIT!H37</f>
        <v>#REF!</v>
      </c>
      <c r="H122" s="54" t="e">
        <f>EBIT!I8-EBIT!I37</f>
        <v>#REF!</v>
      </c>
      <c r="I122" s="54" t="e">
        <f>EBIT!J8-EBIT!J37</f>
        <v>#REF!</v>
      </c>
      <c r="J122" s="54" t="e">
        <f>EBIT!K8-EBIT!K37</f>
        <v>#REF!</v>
      </c>
      <c r="K122" s="54" t="e">
        <f>EBIT!L8-EBIT!L37</f>
        <v>#REF!</v>
      </c>
      <c r="L122" s="54" t="e">
        <f>EBIT!M8-EBIT!M37</f>
        <v>#REF!</v>
      </c>
      <c r="M122" s="54" t="e">
        <f>EBIT!N8-EBIT!N37</f>
        <v>#REF!</v>
      </c>
      <c r="N122" s="7"/>
      <c r="O122" s="7"/>
      <c r="P122" s="7"/>
      <c r="Q122" s="7"/>
      <c r="R122" s="7"/>
      <c r="S122" s="7"/>
      <c r="T122" s="7"/>
      <c r="U122" s="7"/>
      <c r="V122" s="7"/>
      <c r="W122" s="7"/>
      <c r="X122" s="7"/>
      <c r="Y122" s="7"/>
      <c r="Z122" s="7"/>
    </row>
    <row r="123" spans="1:26" ht="12.75" customHeight="1" x14ac:dyDescent="0.25">
      <c r="A123" s="168" t="s">
        <v>236</v>
      </c>
      <c r="B123" s="54" t="e">
        <f>EBIT!C9-EBIT!C38</f>
        <v>#REF!</v>
      </c>
      <c r="C123" s="54" t="e">
        <f>EBIT!D9-EBIT!D38</f>
        <v>#REF!</v>
      </c>
      <c r="D123" s="54" t="e">
        <f>EBIT!E9-EBIT!E38</f>
        <v>#REF!</v>
      </c>
      <c r="E123" s="54" t="e">
        <f>EBIT!F9-EBIT!F38</f>
        <v>#REF!</v>
      </c>
      <c r="F123" s="54" t="e">
        <f>EBIT!G9-EBIT!G38</f>
        <v>#REF!</v>
      </c>
      <c r="G123" s="54" t="e">
        <f>EBIT!H9-EBIT!H38</f>
        <v>#REF!</v>
      </c>
      <c r="H123" s="54" t="e">
        <f>EBIT!I9-EBIT!I38</f>
        <v>#REF!</v>
      </c>
      <c r="I123" s="54" t="e">
        <f>EBIT!J9-EBIT!J38</f>
        <v>#REF!</v>
      </c>
      <c r="J123" s="54" t="e">
        <f>EBIT!K9-EBIT!K38</f>
        <v>#REF!</v>
      </c>
      <c r="K123" s="54" t="e">
        <f>EBIT!L9-EBIT!L38</f>
        <v>#REF!</v>
      </c>
      <c r="L123" s="54" t="e">
        <f>EBIT!M9-EBIT!M38</f>
        <v>#REF!</v>
      </c>
      <c r="M123" s="54" t="e">
        <f>EBIT!N9-EBIT!N38</f>
        <v>#REF!</v>
      </c>
      <c r="N123" s="7"/>
      <c r="O123" s="7"/>
      <c r="P123" s="7"/>
      <c r="Q123" s="7"/>
      <c r="R123" s="7"/>
      <c r="S123" s="7"/>
      <c r="T123" s="7"/>
      <c r="U123" s="7"/>
      <c r="V123" s="7"/>
      <c r="W123" s="7"/>
      <c r="X123" s="7"/>
      <c r="Y123" s="7"/>
      <c r="Z123" s="7"/>
    </row>
    <row r="124" spans="1:26" ht="12.75" customHeight="1" x14ac:dyDescent="0.25">
      <c r="A124" s="169" t="s">
        <v>213</v>
      </c>
      <c r="B124" s="54" t="e">
        <f>EBIT!C39-EBIT!C10</f>
        <v>#REF!</v>
      </c>
      <c r="C124" s="54" t="e">
        <f>EBIT!D39-EBIT!D10</f>
        <v>#REF!</v>
      </c>
      <c r="D124" s="54" t="e">
        <f>EBIT!E39-EBIT!E10</f>
        <v>#REF!</v>
      </c>
      <c r="E124" s="54" t="e">
        <f>EBIT!F39-EBIT!F10</f>
        <v>#REF!</v>
      </c>
      <c r="F124" s="54" t="e">
        <f>EBIT!G39-EBIT!G10</f>
        <v>#REF!</v>
      </c>
      <c r="G124" s="54" t="e">
        <f>EBIT!H39-EBIT!H10</f>
        <v>#REF!</v>
      </c>
      <c r="H124" s="54" t="e">
        <f>EBIT!I39-EBIT!I10</f>
        <v>#REF!</v>
      </c>
      <c r="I124" s="54" t="e">
        <f>EBIT!J39-EBIT!J10</f>
        <v>#REF!</v>
      </c>
      <c r="J124" s="54" t="e">
        <f>EBIT!K39-EBIT!K10</f>
        <v>#REF!</v>
      </c>
      <c r="K124" s="54" t="e">
        <f>EBIT!L39-EBIT!L10</f>
        <v>#REF!</v>
      </c>
      <c r="L124" s="54" t="e">
        <f>EBIT!M39-EBIT!M10</f>
        <v>#REF!</v>
      </c>
      <c r="M124" s="54" t="e">
        <f>EBIT!N39-EBIT!N10</f>
        <v>#REF!</v>
      </c>
      <c r="N124" s="7"/>
      <c r="O124" s="7"/>
      <c r="P124" s="7"/>
      <c r="Q124" s="7"/>
      <c r="R124" s="7"/>
      <c r="S124" s="7"/>
      <c r="T124" s="7"/>
      <c r="U124" s="7"/>
      <c r="V124" s="7"/>
      <c r="W124" s="7"/>
      <c r="X124" s="7"/>
      <c r="Y124" s="7"/>
      <c r="Z124" s="7"/>
    </row>
    <row r="125" spans="1:26" ht="12.75" customHeight="1" x14ac:dyDescent="0.25">
      <c r="A125" s="87" t="s">
        <v>237</v>
      </c>
      <c r="B125" s="88" t="e">
        <f>EBIT!C11-EBIT!C40</f>
        <v>#REF!</v>
      </c>
      <c r="C125" s="88" t="e">
        <f>EBIT!D11-EBIT!D40</f>
        <v>#REF!</v>
      </c>
      <c r="D125" s="88" t="e">
        <f>EBIT!E11-EBIT!E40</f>
        <v>#REF!</v>
      </c>
      <c r="E125" s="88" t="e">
        <f>EBIT!F11-EBIT!F40</f>
        <v>#REF!</v>
      </c>
      <c r="F125" s="88" t="e">
        <f>EBIT!G11-EBIT!G40</f>
        <v>#REF!</v>
      </c>
      <c r="G125" s="88" t="e">
        <f>EBIT!H11-EBIT!H40</f>
        <v>#REF!</v>
      </c>
      <c r="H125" s="88" t="e">
        <f>EBIT!I11-EBIT!I40</f>
        <v>#REF!</v>
      </c>
      <c r="I125" s="88" t="e">
        <f>EBIT!J11-EBIT!J40</f>
        <v>#REF!</v>
      </c>
      <c r="J125" s="88" t="e">
        <f>EBIT!K11-EBIT!K40</f>
        <v>#REF!</v>
      </c>
      <c r="K125" s="88" t="e">
        <f>EBIT!L11-EBIT!L40</f>
        <v>#REF!</v>
      </c>
      <c r="L125" s="88" t="e">
        <f>EBIT!M11-EBIT!M40</f>
        <v>#REF!</v>
      </c>
      <c r="M125" s="88" t="e">
        <f>EBIT!N11-EBIT!N40</f>
        <v>#REF!</v>
      </c>
      <c r="N125" s="7"/>
      <c r="O125" s="7"/>
      <c r="P125" s="7"/>
      <c r="Q125" s="7"/>
      <c r="R125" s="7"/>
      <c r="S125" s="7"/>
      <c r="T125" s="7"/>
      <c r="U125" s="7"/>
      <c r="V125" s="7"/>
      <c r="W125" s="7"/>
      <c r="X125" s="7"/>
      <c r="Y125" s="7"/>
      <c r="Z125" s="7"/>
    </row>
    <row r="126" spans="1:26" ht="12.75" customHeight="1" x14ac:dyDescent="0.25">
      <c r="A126" s="7"/>
      <c r="B126" s="54"/>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x14ac:dyDescent="0.2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x14ac:dyDescent="0.25">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x14ac:dyDescent="0.25">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x14ac:dyDescent="0.25">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x14ac:dyDescent="0.25">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x14ac:dyDescent="0.25">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x14ac:dyDescent="0.25">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x14ac:dyDescent="0.25">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x14ac:dyDescent="0.25">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x14ac:dyDescent="0.25">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x14ac:dyDescent="0.2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x14ac:dyDescent="0.25">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x14ac:dyDescent="0.25">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x14ac:dyDescent="0.25">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x14ac:dyDescent="0.25">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x14ac:dyDescent="0.25">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x14ac:dyDescent="0.25">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x14ac:dyDescent="0.25">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x14ac:dyDescent="0.25">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x14ac:dyDescent="0.25">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x14ac:dyDescent="0.2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x14ac:dyDescent="0.25">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x14ac:dyDescent="0.25">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x14ac:dyDescent="0.25">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x14ac:dyDescent="0.25">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x14ac:dyDescent="0.25">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x14ac:dyDescent="0.25">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x14ac:dyDescent="0.25">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x14ac:dyDescent="0.25">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x14ac:dyDescent="0.25">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x14ac:dyDescent="0.2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x14ac:dyDescent="0.25">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x14ac:dyDescent="0.25">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x14ac:dyDescent="0.25">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x14ac:dyDescent="0.25">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x14ac:dyDescent="0.25">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x14ac:dyDescent="0.25">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x14ac:dyDescent="0.25">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x14ac:dyDescent="0.25">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x14ac:dyDescent="0.25">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x14ac:dyDescent="0.2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x14ac:dyDescent="0.25">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x14ac:dyDescent="0.25">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x14ac:dyDescent="0.25">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x14ac:dyDescent="0.25">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x14ac:dyDescent="0.25">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x14ac:dyDescent="0.25">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x14ac:dyDescent="0.25">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x14ac:dyDescent="0.25">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x14ac:dyDescent="0.25">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x14ac:dyDescent="0.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x14ac:dyDescent="0.25">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x14ac:dyDescent="0.25">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x14ac:dyDescent="0.25">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x14ac:dyDescent="0.25">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x14ac:dyDescent="0.25">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x14ac:dyDescent="0.25">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x14ac:dyDescent="0.25">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x14ac:dyDescent="0.25">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x14ac:dyDescent="0.25">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x14ac:dyDescent="0.2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x14ac:dyDescent="0.25">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x14ac:dyDescent="0.25">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x14ac:dyDescent="0.25">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x14ac:dyDescent="0.25">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x14ac:dyDescent="0.25">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x14ac:dyDescent="0.25">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x14ac:dyDescent="0.25">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x14ac:dyDescent="0.25">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x14ac:dyDescent="0.25">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x14ac:dyDescent="0.2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x14ac:dyDescent="0.25">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x14ac:dyDescent="0.25">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x14ac:dyDescent="0.25">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x14ac:dyDescent="0.25">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x14ac:dyDescent="0.25">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x14ac:dyDescent="0.25">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x14ac:dyDescent="0.25">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x14ac:dyDescent="0.25">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x14ac:dyDescent="0.25">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x14ac:dyDescent="0.2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x14ac:dyDescent="0.25">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x14ac:dyDescent="0.25">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x14ac:dyDescent="0.25">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x14ac:dyDescent="0.25">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x14ac:dyDescent="0.25">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x14ac:dyDescent="0.25">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x14ac:dyDescent="0.25">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x14ac:dyDescent="0.25">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x14ac:dyDescent="0.25">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x14ac:dyDescent="0.2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x14ac:dyDescent="0.25">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x14ac:dyDescent="0.25">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x14ac:dyDescent="0.25">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x14ac:dyDescent="0.25">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x14ac:dyDescent="0.25">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x14ac:dyDescent="0.25">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x14ac:dyDescent="0.25">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x14ac:dyDescent="0.25">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x14ac:dyDescent="0.25">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x14ac:dyDescent="0.2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x14ac:dyDescent="0.25">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x14ac:dyDescent="0.25">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x14ac:dyDescent="0.25">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x14ac:dyDescent="0.25">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x14ac:dyDescent="0.25">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x14ac:dyDescent="0.25">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x14ac:dyDescent="0.25">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x14ac:dyDescent="0.25">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x14ac:dyDescent="0.25">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x14ac:dyDescent="0.2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x14ac:dyDescent="0.25">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x14ac:dyDescent="0.25">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x14ac:dyDescent="0.25">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x14ac:dyDescent="0.25">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x14ac:dyDescent="0.25">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x14ac:dyDescent="0.25">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x14ac:dyDescent="0.25">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x14ac:dyDescent="0.25">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x14ac:dyDescent="0.25">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x14ac:dyDescent="0.2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x14ac:dyDescent="0.25">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x14ac:dyDescent="0.25">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x14ac:dyDescent="0.25">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x14ac:dyDescent="0.25">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x14ac:dyDescent="0.25">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x14ac:dyDescent="0.25">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x14ac:dyDescent="0.25">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x14ac:dyDescent="0.25">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x14ac:dyDescent="0.25">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x14ac:dyDescent="0.2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x14ac:dyDescent="0.25">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x14ac:dyDescent="0.25">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x14ac:dyDescent="0.25">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x14ac:dyDescent="0.25">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x14ac:dyDescent="0.25">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x14ac:dyDescent="0.25">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x14ac:dyDescent="0.25">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x14ac:dyDescent="0.25">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x14ac:dyDescent="0.25">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x14ac:dyDescent="0.2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x14ac:dyDescent="0.25">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x14ac:dyDescent="0.25">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x14ac:dyDescent="0.25">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x14ac:dyDescent="0.25">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x14ac:dyDescent="0.25">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x14ac:dyDescent="0.25">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x14ac:dyDescent="0.25">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x14ac:dyDescent="0.25">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x14ac:dyDescent="0.25">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x14ac:dyDescent="0.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x14ac:dyDescent="0.25">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x14ac:dyDescent="0.25">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x14ac:dyDescent="0.25">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x14ac:dyDescent="0.25">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x14ac:dyDescent="0.25">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x14ac:dyDescent="0.25">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x14ac:dyDescent="0.25">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x14ac:dyDescent="0.25">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x14ac:dyDescent="0.25">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x14ac:dyDescent="0.2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x14ac:dyDescent="0.25">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x14ac:dyDescent="0.25">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x14ac:dyDescent="0.25">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x14ac:dyDescent="0.25">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x14ac:dyDescent="0.25">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x14ac:dyDescent="0.25">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x14ac:dyDescent="0.25">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x14ac:dyDescent="0.25">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x14ac:dyDescent="0.25">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x14ac:dyDescent="0.2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x14ac:dyDescent="0.25">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x14ac:dyDescent="0.25">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x14ac:dyDescent="0.25">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x14ac:dyDescent="0.25">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x14ac:dyDescent="0.25">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x14ac:dyDescent="0.25">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x14ac:dyDescent="0.25">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x14ac:dyDescent="0.25">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x14ac:dyDescent="0.25">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x14ac:dyDescent="0.2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x14ac:dyDescent="0.25">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x14ac:dyDescent="0.25">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x14ac:dyDescent="0.25">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x14ac:dyDescent="0.25">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x14ac:dyDescent="0.25">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x14ac:dyDescent="0.25">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x14ac:dyDescent="0.25">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x14ac:dyDescent="0.25">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x14ac:dyDescent="0.25">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x14ac:dyDescent="0.2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x14ac:dyDescent="0.25">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x14ac:dyDescent="0.25">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x14ac:dyDescent="0.25">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x14ac:dyDescent="0.25">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x14ac:dyDescent="0.25">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x14ac:dyDescent="0.25">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x14ac:dyDescent="0.25">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x14ac:dyDescent="0.25">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x14ac:dyDescent="0.25">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x14ac:dyDescent="0.2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x14ac:dyDescent="0.25">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x14ac:dyDescent="0.25">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x14ac:dyDescent="0.25">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x14ac:dyDescent="0.25">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x14ac:dyDescent="0.25">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x14ac:dyDescent="0.25">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x14ac:dyDescent="0.25">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x14ac:dyDescent="0.25">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x14ac:dyDescent="0.25">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x14ac:dyDescent="0.2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x14ac:dyDescent="0.25">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x14ac:dyDescent="0.25">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x14ac:dyDescent="0.25">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x14ac:dyDescent="0.25">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x14ac:dyDescent="0.25">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x14ac:dyDescent="0.25">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x14ac:dyDescent="0.25">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x14ac:dyDescent="0.25">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x14ac:dyDescent="0.25">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x14ac:dyDescent="0.2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x14ac:dyDescent="0.25">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x14ac:dyDescent="0.25">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x14ac:dyDescent="0.25">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x14ac:dyDescent="0.25">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x14ac:dyDescent="0.25">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x14ac:dyDescent="0.25">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x14ac:dyDescent="0.25">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x14ac:dyDescent="0.25">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x14ac:dyDescent="0.25">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x14ac:dyDescent="0.2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x14ac:dyDescent="0.25">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x14ac:dyDescent="0.25">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x14ac:dyDescent="0.25">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x14ac:dyDescent="0.25">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x14ac:dyDescent="0.25">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x14ac:dyDescent="0.25">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x14ac:dyDescent="0.25">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x14ac:dyDescent="0.25">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x14ac:dyDescent="0.25">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x14ac:dyDescent="0.2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x14ac:dyDescent="0.25">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x14ac:dyDescent="0.25">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x14ac:dyDescent="0.25">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x14ac:dyDescent="0.25">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x14ac:dyDescent="0.25">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x14ac:dyDescent="0.25">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x14ac:dyDescent="0.25">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x14ac:dyDescent="0.25">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x14ac:dyDescent="0.25">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x14ac:dyDescent="0.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x14ac:dyDescent="0.25">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x14ac:dyDescent="0.25">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x14ac:dyDescent="0.25">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x14ac:dyDescent="0.25">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x14ac:dyDescent="0.25">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x14ac:dyDescent="0.25">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x14ac:dyDescent="0.25">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x14ac:dyDescent="0.25">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x14ac:dyDescent="0.25">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x14ac:dyDescent="0.2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x14ac:dyDescent="0.25">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x14ac:dyDescent="0.25">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x14ac:dyDescent="0.25">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x14ac:dyDescent="0.25">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x14ac:dyDescent="0.25">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x14ac:dyDescent="0.25">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x14ac:dyDescent="0.25">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x14ac:dyDescent="0.25">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x14ac:dyDescent="0.25">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x14ac:dyDescent="0.2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x14ac:dyDescent="0.25">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x14ac:dyDescent="0.25">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x14ac:dyDescent="0.25">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x14ac:dyDescent="0.25">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x14ac:dyDescent="0.25">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x14ac:dyDescent="0.25">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x14ac:dyDescent="0.25">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x14ac:dyDescent="0.25">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x14ac:dyDescent="0.25">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x14ac:dyDescent="0.2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x14ac:dyDescent="0.25">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x14ac:dyDescent="0.25">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x14ac:dyDescent="0.25">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x14ac:dyDescent="0.25">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x14ac:dyDescent="0.25">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x14ac:dyDescent="0.25">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x14ac:dyDescent="0.25">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x14ac:dyDescent="0.25">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x14ac:dyDescent="0.25">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x14ac:dyDescent="0.2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x14ac:dyDescent="0.25">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x14ac:dyDescent="0.25">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x14ac:dyDescent="0.25">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x14ac:dyDescent="0.25">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x14ac:dyDescent="0.25">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x14ac:dyDescent="0.25">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x14ac:dyDescent="0.25">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x14ac:dyDescent="0.25">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x14ac:dyDescent="0.25">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x14ac:dyDescent="0.2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x14ac:dyDescent="0.25">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x14ac:dyDescent="0.25">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x14ac:dyDescent="0.25">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x14ac:dyDescent="0.25">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x14ac:dyDescent="0.25">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x14ac:dyDescent="0.25">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x14ac:dyDescent="0.25">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x14ac:dyDescent="0.25">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x14ac:dyDescent="0.25">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x14ac:dyDescent="0.2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x14ac:dyDescent="0.25">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x14ac:dyDescent="0.25">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x14ac:dyDescent="0.25">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x14ac:dyDescent="0.25">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x14ac:dyDescent="0.25">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x14ac:dyDescent="0.25">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x14ac:dyDescent="0.25">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x14ac:dyDescent="0.25">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x14ac:dyDescent="0.25">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x14ac:dyDescent="0.2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x14ac:dyDescent="0.25">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x14ac:dyDescent="0.25">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x14ac:dyDescent="0.25">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x14ac:dyDescent="0.25">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x14ac:dyDescent="0.25">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x14ac:dyDescent="0.25">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x14ac:dyDescent="0.25">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x14ac:dyDescent="0.25">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x14ac:dyDescent="0.25">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x14ac:dyDescent="0.2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x14ac:dyDescent="0.25">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x14ac:dyDescent="0.25">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x14ac:dyDescent="0.25">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x14ac:dyDescent="0.25">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x14ac:dyDescent="0.25">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x14ac:dyDescent="0.25">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x14ac:dyDescent="0.25">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x14ac:dyDescent="0.25">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x14ac:dyDescent="0.25">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x14ac:dyDescent="0.2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x14ac:dyDescent="0.25">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x14ac:dyDescent="0.25">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x14ac:dyDescent="0.25">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x14ac:dyDescent="0.25">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x14ac:dyDescent="0.25">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x14ac:dyDescent="0.25">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x14ac:dyDescent="0.25">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x14ac:dyDescent="0.25">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x14ac:dyDescent="0.25">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x14ac:dyDescent="0.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x14ac:dyDescent="0.25">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x14ac:dyDescent="0.25">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x14ac:dyDescent="0.25">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x14ac:dyDescent="0.25">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x14ac:dyDescent="0.25">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x14ac:dyDescent="0.25">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x14ac:dyDescent="0.25">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x14ac:dyDescent="0.25">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x14ac:dyDescent="0.25">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x14ac:dyDescent="0.2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x14ac:dyDescent="0.25">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x14ac:dyDescent="0.25">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x14ac:dyDescent="0.25">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x14ac:dyDescent="0.25">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x14ac:dyDescent="0.25">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x14ac:dyDescent="0.25">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x14ac:dyDescent="0.25">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x14ac:dyDescent="0.25">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x14ac:dyDescent="0.25">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x14ac:dyDescent="0.2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x14ac:dyDescent="0.25">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x14ac:dyDescent="0.25">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x14ac:dyDescent="0.25">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x14ac:dyDescent="0.25">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x14ac:dyDescent="0.25">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x14ac:dyDescent="0.25">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x14ac:dyDescent="0.25">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x14ac:dyDescent="0.25">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x14ac:dyDescent="0.25">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x14ac:dyDescent="0.2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x14ac:dyDescent="0.25">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x14ac:dyDescent="0.25">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x14ac:dyDescent="0.25">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x14ac:dyDescent="0.25">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x14ac:dyDescent="0.25">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x14ac:dyDescent="0.25">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x14ac:dyDescent="0.25">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x14ac:dyDescent="0.25">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x14ac:dyDescent="0.25">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x14ac:dyDescent="0.2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x14ac:dyDescent="0.25">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x14ac:dyDescent="0.25">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x14ac:dyDescent="0.25">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x14ac:dyDescent="0.25">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x14ac:dyDescent="0.25">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x14ac:dyDescent="0.25">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x14ac:dyDescent="0.25">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x14ac:dyDescent="0.25">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x14ac:dyDescent="0.25">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x14ac:dyDescent="0.2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x14ac:dyDescent="0.25">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x14ac:dyDescent="0.25">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x14ac:dyDescent="0.25">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x14ac:dyDescent="0.25">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x14ac:dyDescent="0.25">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x14ac:dyDescent="0.25">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x14ac:dyDescent="0.25">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x14ac:dyDescent="0.25">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x14ac:dyDescent="0.25">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x14ac:dyDescent="0.2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x14ac:dyDescent="0.25">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x14ac:dyDescent="0.25">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x14ac:dyDescent="0.25">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x14ac:dyDescent="0.25">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x14ac:dyDescent="0.25">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x14ac:dyDescent="0.25">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x14ac:dyDescent="0.25">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x14ac:dyDescent="0.25">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x14ac:dyDescent="0.25">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x14ac:dyDescent="0.2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x14ac:dyDescent="0.25">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x14ac:dyDescent="0.25">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x14ac:dyDescent="0.25">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x14ac:dyDescent="0.25">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x14ac:dyDescent="0.25">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x14ac:dyDescent="0.25">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x14ac:dyDescent="0.25">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x14ac:dyDescent="0.25">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x14ac:dyDescent="0.25">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x14ac:dyDescent="0.2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x14ac:dyDescent="0.25">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x14ac:dyDescent="0.25">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x14ac:dyDescent="0.25">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x14ac:dyDescent="0.25">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x14ac:dyDescent="0.25">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x14ac:dyDescent="0.25">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x14ac:dyDescent="0.25">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x14ac:dyDescent="0.25">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x14ac:dyDescent="0.25">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x14ac:dyDescent="0.2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x14ac:dyDescent="0.25">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x14ac:dyDescent="0.25">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x14ac:dyDescent="0.25">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x14ac:dyDescent="0.25">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x14ac:dyDescent="0.25">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x14ac:dyDescent="0.25">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x14ac:dyDescent="0.25">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x14ac:dyDescent="0.25">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x14ac:dyDescent="0.25">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x14ac:dyDescent="0.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x14ac:dyDescent="0.25">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x14ac:dyDescent="0.25">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x14ac:dyDescent="0.25">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x14ac:dyDescent="0.25">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x14ac:dyDescent="0.25">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x14ac:dyDescent="0.25">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x14ac:dyDescent="0.25">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x14ac:dyDescent="0.25">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x14ac:dyDescent="0.25">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x14ac:dyDescent="0.2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x14ac:dyDescent="0.25">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x14ac:dyDescent="0.25">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x14ac:dyDescent="0.25">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x14ac:dyDescent="0.25">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x14ac:dyDescent="0.25">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x14ac:dyDescent="0.25">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x14ac:dyDescent="0.25">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x14ac:dyDescent="0.25">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x14ac:dyDescent="0.25">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x14ac:dyDescent="0.2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x14ac:dyDescent="0.25">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x14ac:dyDescent="0.25">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x14ac:dyDescent="0.25">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x14ac:dyDescent="0.25">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x14ac:dyDescent="0.25">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x14ac:dyDescent="0.25">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x14ac:dyDescent="0.25">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x14ac:dyDescent="0.25">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x14ac:dyDescent="0.25">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x14ac:dyDescent="0.2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x14ac:dyDescent="0.25">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x14ac:dyDescent="0.25">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x14ac:dyDescent="0.25">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x14ac:dyDescent="0.25">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x14ac:dyDescent="0.25">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x14ac:dyDescent="0.25">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x14ac:dyDescent="0.25">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x14ac:dyDescent="0.25">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x14ac:dyDescent="0.25">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x14ac:dyDescent="0.2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x14ac:dyDescent="0.25">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x14ac:dyDescent="0.25">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x14ac:dyDescent="0.25">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x14ac:dyDescent="0.25">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x14ac:dyDescent="0.25">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x14ac:dyDescent="0.25">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x14ac:dyDescent="0.25">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x14ac:dyDescent="0.25">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x14ac:dyDescent="0.25">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x14ac:dyDescent="0.2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x14ac:dyDescent="0.25">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x14ac:dyDescent="0.25">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x14ac:dyDescent="0.25">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x14ac:dyDescent="0.25">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x14ac:dyDescent="0.25">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x14ac:dyDescent="0.25">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x14ac:dyDescent="0.25">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x14ac:dyDescent="0.25">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x14ac:dyDescent="0.25">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x14ac:dyDescent="0.2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x14ac:dyDescent="0.25">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x14ac:dyDescent="0.25">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x14ac:dyDescent="0.25">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x14ac:dyDescent="0.25">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x14ac:dyDescent="0.25">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x14ac:dyDescent="0.25">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x14ac:dyDescent="0.25">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x14ac:dyDescent="0.25">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x14ac:dyDescent="0.25">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x14ac:dyDescent="0.2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x14ac:dyDescent="0.25">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x14ac:dyDescent="0.25">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x14ac:dyDescent="0.25">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x14ac:dyDescent="0.25">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x14ac:dyDescent="0.25">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x14ac:dyDescent="0.25">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x14ac:dyDescent="0.25">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x14ac:dyDescent="0.25">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x14ac:dyDescent="0.25">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x14ac:dyDescent="0.2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x14ac:dyDescent="0.25">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x14ac:dyDescent="0.25">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x14ac:dyDescent="0.25">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x14ac:dyDescent="0.25">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x14ac:dyDescent="0.25">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x14ac:dyDescent="0.25">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x14ac:dyDescent="0.25">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x14ac:dyDescent="0.25">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x14ac:dyDescent="0.25">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x14ac:dyDescent="0.2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x14ac:dyDescent="0.25">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x14ac:dyDescent="0.25">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x14ac:dyDescent="0.25">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x14ac:dyDescent="0.25">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x14ac:dyDescent="0.25">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x14ac:dyDescent="0.25">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x14ac:dyDescent="0.25">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x14ac:dyDescent="0.25">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x14ac:dyDescent="0.25">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x14ac:dyDescent="0.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x14ac:dyDescent="0.25">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x14ac:dyDescent="0.25">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x14ac:dyDescent="0.25">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x14ac:dyDescent="0.25">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x14ac:dyDescent="0.25">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x14ac:dyDescent="0.25">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x14ac:dyDescent="0.25">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x14ac:dyDescent="0.25">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x14ac:dyDescent="0.25">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x14ac:dyDescent="0.2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x14ac:dyDescent="0.25">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x14ac:dyDescent="0.25">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x14ac:dyDescent="0.25">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x14ac:dyDescent="0.25">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x14ac:dyDescent="0.25">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x14ac:dyDescent="0.25">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x14ac:dyDescent="0.25">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x14ac:dyDescent="0.25">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x14ac:dyDescent="0.25">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x14ac:dyDescent="0.2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x14ac:dyDescent="0.25">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x14ac:dyDescent="0.25">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x14ac:dyDescent="0.25">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x14ac:dyDescent="0.25">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x14ac:dyDescent="0.25">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x14ac:dyDescent="0.25">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x14ac:dyDescent="0.25">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x14ac:dyDescent="0.25">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x14ac:dyDescent="0.25">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x14ac:dyDescent="0.2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x14ac:dyDescent="0.25">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x14ac:dyDescent="0.25">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x14ac:dyDescent="0.25">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x14ac:dyDescent="0.25">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x14ac:dyDescent="0.25">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x14ac:dyDescent="0.25">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x14ac:dyDescent="0.25">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x14ac:dyDescent="0.25">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x14ac:dyDescent="0.25">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x14ac:dyDescent="0.2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x14ac:dyDescent="0.25">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x14ac:dyDescent="0.25">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x14ac:dyDescent="0.25">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x14ac:dyDescent="0.25">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x14ac:dyDescent="0.25">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x14ac:dyDescent="0.25">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x14ac:dyDescent="0.25">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x14ac:dyDescent="0.25">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x14ac:dyDescent="0.25">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x14ac:dyDescent="0.2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x14ac:dyDescent="0.25">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x14ac:dyDescent="0.25">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x14ac:dyDescent="0.25">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x14ac:dyDescent="0.25">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x14ac:dyDescent="0.25">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x14ac:dyDescent="0.25">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x14ac:dyDescent="0.25">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x14ac:dyDescent="0.25">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x14ac:dyDescent="0.25">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x14ac:dyDescent="0.2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x14ac:dyDescent="0.25">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x14ac:dyDescent="0.25">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x14ac:dyDescent="0.25">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x14ac:dyDescent="0.25">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x14ac:dyDescent="0.25">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x14ac:dyDescent="0.25">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x14ac:dyDescent="0.25">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x14ac:dyDescent="0.25">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x14ac:dyDescent="0.25">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x14ac:dyDescent="0.2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x14ac:dyDescent="0.25">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x14ac:dyDescent="0.25">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x14ac:dyDescent="0.25">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x14ac:dyDescent="0.25">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x14ac:dyDescent="0.25">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x14ac:dyDescent="0.25">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x14ac:dyDescent="0.25">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x14ac:dyDescent="0.25">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x14ac:dyDescent="0.25">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x14ac:dyDescent="0.2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x14ac:dyDescent="0.25">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x14ac:dyDescent="0.25">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x14ac:dyDescent="0.25">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x14ac:dyDescent="0.25">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x14ac:dyDescent="0.25">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x14ac:dyDescent="0.25">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x14ac:dyDescent="0.25">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x14ac:dyDescent="0.25">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x14ac:dyDescent="0.25">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x14ac:dyDescent="0.2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x14ac:dyDescent="0.25">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x14ac:dyDescent="0.25">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x14ac:dyDescent="0.25">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x14ac:dyDescent="0.25">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x14ac:dyDescent="0.25">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x14ac:dyDescent="0.25">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x14ac:dyDescent="0.25">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x14ac:dyDescent="0.25">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x14ac:dyDescent="0.25">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x14ac:dyDescent="0.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x14ac:dyDescent="0.25">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x14ac:dyDescent="0.25">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x14ac:dyDescent="0.25">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x14ac:dyDescent="0.25">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x14ac:dyDescent="0.25">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x14ac:dyDescent="0.25">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x14ac:dyDescent="0.25">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x14ac:dyDescent="0.25">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x14ac:dyDescent="0.25">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x14ac:dyDescent="0.2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x14ac:dyDescent="0.25">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x14ac:dyDescent="0.25">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x14ac:dyDescent="0.25">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x14ac:dyDescent="0.25">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x14ac:dyDescent="0.25">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x14ac:dyDescent="0.25">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x14ac:dyDescent="0.25">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x14ac:dyDescent="0.25">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x14ac:dyDescent="0.25">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x14ac:dyDescent="0.2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x14ac:dyDescent="0.25">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x14ac:dyDescent="0.25">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x14ac:dyDescent="0.25">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x14ac:dyDescent="0.25">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x14ac:dyDescent="0.25">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x14ac:dyDescent="0.25">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x14ac:dyDescent="0.25">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x14ac:dyDescent="0.25">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x14ac:dyDescent="0.25">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x14ac:dyDescent="0.2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x14ac:dyDescent="0.25">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x14ac:dyDescent="0.25">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x14ac:dyDescent="0.25">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x14ac:dyDescent="0.25">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x14ac:dyDescent="0.25">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x14ac:dyDescent="0.25">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x14ac:dyDescent="0.25">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x14ac:dyDescent="0.25">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x14ac:dyDescent="0.25">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x14ac:dyDescent="0.2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x14ac:dyDescent="0.25">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x14ac:dyDescent="0.25">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x14ac:dyDescent="0.25">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x14ac:dyDescent="0.25">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x14ac:dyDescent="0.25">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x14ac:dyDescent="0.25">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x14ac:dyDescent="0.25">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x14ac:dyDescent="0.25">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x14ac:dyDescent="0.25">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x14ac:dyDescent="0.2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x14ac:dyDescent="0.25">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x14ac:dyDescent="0.25">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x14ac:dyDescent="0.25">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x14ac:dyDescent="0.25">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x14ac:dyDescent="0.25">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x14ac:dyDescent="0.25">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x14ac:dyDescent="0.25">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x14ac:dyDescent="0.25">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x14ac:dyDescent="0.25">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x14ac:dyDescent="0.2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x14ac:dyDescent="0.25">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x14ac:dyDescent="0.25">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x14ac:dyDescent="0.25">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x14ac:dyDescent="0.25">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x14ac:dyDescent="0.25">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x14ac:dyDescent="0.25">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x14ac:dyDescent="0.25">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x14ac:dyDescent="0.25">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x14ac:dyDescent="0.25">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x14ac:dyDescent="0.2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x14ac:dyDescent="0.25">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x14ac:dyDescent="0.25">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x14ac:dyDescent="0.25">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x14ac:dyDescent="0.25">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x14ac:dyDescent="0.25">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3">
    <mergeCell ref="A70:J70"/>
    <mergeCell ref="A1:E1"/>
    <mergeCell ref="A2:K2"/>
    <mergeCell ref="A4:J4"/>
    <mergeCell ref="A6:V6"/>
    <mergeCell ref="A26:K26"/>
    <mergeCell ref="A28:V28"/>
    <mergeCell ref="A46:J46"/>
    <mergeCell ref="A47:J47"/>
    <mergeCell ref="A48:J48"/>
    <mergeCell ref="A67:J67"/>
    <mergeCell ref="A68:J68"/>
    <mergeCell ref="A69:J69"/>
  </mergeCells>
  <conditionalFormatting sqref="C72:N87">
    <cfRule type="cellIs" dxfId="0" priority="1" operator="greaterThan">
      <formula>5</formula>
    </cfRule>
  </conditionalFormatting>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sheetPr>
  <dimension ref="A1:Z1000"/>
  <sheetViews>
    <sheetView showGridLines="0" workbookViewId="0"/>
  </sheetViews>
  <sheetFormatPr defaultColWidth="14.42578125" defaultRowHeight="15" customHeight="1" x14ac:dyDescent="0.25"/>
  <cols>
    <col min="1" max="1" width="68.85546875" customWidth="1"/>
    <col min="2" max="2" width="15.42578125" customWidth="1"/>
    <col min="3" max="14" width="14" customWidth="1"/>
    <col min="15" max="26" width="8.7109375" customWidth="1"/>
  </cols>
  <sheetData>
    <row r="1" spans="1:26" ht="27.75" customHeight="1" x14ac:dyDescent="0.25">
      <c r="A1" s="224" t="s">
        <v>238</v>
      </c>
      <c r="B1" s="206"/>
      <c r="C1" s="206"/>
      <c r="D1" s="206"/>
      <c r="E1" s="206"/>
      <c r="F1" s="206"/>
      <c r="G1" s="206"/>
      <c r="H1" s="206"/>
      <c r="I1" s="206"/>
      <c r="J1" s="206"/>
      <c r="K1" s="206"/>
      <c r="L1" s="170"/>
      <c r="M1" s="170"/>
      <c r="N1" s="170"/>
      <c r="O1" s="170"/>
      <c r="P1" s="170"/>
      <c r="Q1" s="170"/>
      <c r="R1" s="170"/>
      <c r="S1" s="170"/>
      <c r="T1" s="170"/>
      <c r="U1" s="170"/>
      <c r="V1" s="170"/>
      <c r="W1" s="170"/>
      <c r="X1" s="170"/>
      <c r="Y1" s="170"/>
      <c r="Z1" s="170"/>
    </row>
    <row r="2" spans="1:26" ht="36.75" customHeight="1" x14ac:dyDescent="0.25">
      <c r="A2" s="206"/>
      <c r="B2" s="206"/>
      <c r="C2" s="206"/>
      <c r="D2" s="206"/>
      <c r="E2" s="206"/>
      <c r="F2" s="206"/>
      <c r="G2" s="206"/>
      <c r="H2" s="206"/>
      <c r="I2" s="206"/>
      <c r="J2" s="206"/>
      <c r="K2" s="206"/>
      <c r="L2" s="170"/>
      <c r="M2" s="170"/>
      <c r="N2" s="170"/>
      <c r="O2" s="170"/>
      <c r="P2" s="170"/>
      <c r="Q2" s="170"/>
      <c r="R2" s="170"/>
      <c r="S2" s="170"/>
      <c r="T2" s="170"/>
      <c r="U2" s="170"/>
      <c r="V2" s="170"/>
      <c r="W2" s="170"/>
      <c r="X2" s="170"/>
      <c r="Y2" s="170"/>
      <c r="Z2" s="170"/>
    </row>
    <row r="3" spans="1:26" ht="13.5" customHeight="1" x14ac:dyDescent="0.25">
      <c r="A3" s="171" t="s">
        <v>239</v>
      </c>
      <c r="B3" s="171"/>
      <c r="C3" s="172"/>
      <c r="D3" s="172"/>
      <c r="E3" s="172"/>
      <c r="F3" s="172"/>
      <c r="G3" s="157"/>
      <c r="H3" s="157"/>
      <c r="I3" s="157"/>
      <c r="J3" s="157"/>
      <c r="K3" s="157"/>
      <c r="L3" s="157"/>
      <c r="M3" s="157"/>
      <c r="N3" s="157"/>
      <c r="O3" s="157"/>
      <c r="P3" s="157"/>
      <c r="Q3" s="157"/>
      <c r="R3" s="157"/>
      <c r="S3" s="157"/>
      <c r="T3" s="157"/>
      <c r="U3" s="157"/>
      <c r="V3" s="157"/>
      <c r="W3" s="157"/>
      <c r="X3" s="157"/>
      <c r="Y3" s="157"/>
      <c r="Z3" s="157"/>
    </row>
    <row r="4" spans="1:26" ht="13.5" customHeight="1" x14ac:dyDescent="0.25">
      <c r="A4" s="157" t="s">
        <v>240</v>
      </c>
      <c r="B4" s="157"/>
      <c r="C4" s="172"/>
      <c r="D4" s="172"/>
      <c r="E4" s="172"/>
      <c r="F4" s="172"/>
      <c r="G4" s="157"/>
      <c r="H4" s="157"/>
      <c r="I4" s="157"/>
      <c r="J4" s="157"/>
      <c r="K4" s="157"/>
      <c r="L4" s="157"/>
      <c r="M4" s="157"/>
      <c r="N4" s="157"/>
      <c r="O4" s="157"/>
      <c r="P4" s="157"/>
      <c r="Q4" s="157"/>
      <c r="R4" s="157"/>
      <c r="S4" s="157"/>
      <c r="T4" s="157"/>
      <c r="U4" s="157"/>
      <c r="V4" s="157"/>
      <c r="W4" s="157"/>
      <c r="X4" s="157"/>
      <c r="Y4" s="157"/>
      <c r="Z4" s="157"/>
    </row>
    <row r="5" spans="1:26" ht="41.25" customHeight="1" x14ac:dyDescent="0.25">
      <c r="A5" s="227" t="s">
        <v>241</v>
      </c>
      <c r="B5" s="206"/>
      <c r="C5" s="206"/>
      <c r="D5" s="206"/>
      <c r="E5" s="206"/>
      <c r="F5" s="206"/>
      <c r="G5" s="206"/>
      <c r="H5" s="206"/>
      <c r="I5" s="206"/>
      <c r="J5" s="206"/>
      <c r="K5" s="206"/>
      <c r="L5" s="206"/>
      <c r="M5" s="161"/>
      <c r="N5" s="161"/>
      <c r="O5" s="161"/>
      <c r="P5" s="161"/>
      <c r="Q5" s="161"/>
      <c r="R5" s="161"/>
      <c r="S5" s="161"/>
      <c r="T5" s="161"/>
      <c r="U5" s="161"/>
      <c r="V5" s="161"/>
      <c r="W5" s="161"/>
      <c r="X5" s="161"/>
      <c r="Y5" s="161"/>
      <c r="Z5" s="161"/>
    </row>
    <row r="6" spans="1:26" ht="13.5" customHeight="1" x14ac:dyDescent="0.25">
      <c r="A6" s="171" t="s">
        <v>242</v>
      </c>
      <c r="B6" s="171"/>
      <c r="C6" s="172"/>
      <c r="D6" s="172"/>
      <c r="E6" s="172"/>
      <c r="F6" s="172"/>
      <c r="G6" s="157"/>
      <c r="H6" s="157"/>
      <c r="I6" s="157"/>
      <c r="J6" s="157"/>
      <c r="K6" s="157"/>
      <c r="L6" s="157"/>
      <c r="M6" s="157"/>
      <c r="N6" s="157"/>
      <c r="O6" s="157"/>
      <c r="P6" s="157"/>
      <c r="Q6" s="157"/>
      <c r="R6" s="157"/>
      <c r="S6" s="157"/>
      <c r="T6" s="157"/>
      <c r="U6" s="157"/>
      <c r="V6" s="157"/>
      <c r="W6" s="157"/>
      <c r="X6" s="157"/>
      <c r="Y6" s="157"/>
      <c r="Z6" s="157"/>
    </row>
    <row r="7" spans="1:26" ht="13.5" customHeight="1" x14ac:dyDescent="0.25">
      <c r="A7" s="6" t="s">
        <v>243</v>
      </c>
      <c r="B7" s="6" t="s">
        <v>244</v>
      </c>
      <c r="C7" s="89" t="s">
        <v>200</v>
      </c>
      <c r="D7" s="89" t="s">
        <v>201</v>
      </c>
      <c r="E7" s="89" t="s">
        <v>202</v>
      </c>
      <c r="F7" s="89" t="s">
        <v>203</v>
      </c>
      <c r="G7" s="89" t="s">
        <v>204</v>
      </c>
      <c r="H7" s="89" t="s">
        <v>205</v>
      </c>
      <c r="I7" s="89" t="s">
        <v>206</v>
      </c>
      <c r="J7" s="89" t="s">
        <v>207</v>
      </c>
      <c r="K7" s="89" t="s">
        <v>208</v>
      </c>
      <c r="L7" s="89" t="s">
        <v>209</v>
      </c>
      <c r="M7" s="89" t="s">
        <v>210</v>
      </c>
      <c r="N7" s="89" t="s">
        <v>211</v>
      </c>
      <c r="O7" s="7"/>
      <c r="P7" s="7"/>
      <c r="Q7" s="7"/>
      <c r="R7" s="7"/>
      <c r="S7" s="7"/>
      <c r="T7" s="7"/>
      <c r="U7" s="7"/>
      <c r="V7" s="7"/>
      <c r="W7" s="7"/>
      <c r="X7" s="7"/>
      <c r="Y7" s="7"/>
      <c r="Z7" s="7"/>
    </row>
    <row r="8" spans="1:26" ht="13.5" customHeight="1" x14ac:dyDescent="0.25">
      <c r="A8" s="90" t="s">
        <v>234</v>
      </c>
      <c r="B8" s="90" t="s">
        <v>50</v>
      </c>
      <c r="C8" s="91" t="e">
        <f>SUMIFS('Variance Analysis'!C$30:C$45,'Variance Analysis'!$B$30:$B$45,'Variance Analysis'!$B33,'Variance Analysis'!$A$30:$A$45,'Variance Analysis'!$A$30)</f>
        <v>#REF!</v>
      </c>
      <c r="D8" s="91" t="e">
        <f>SUMIFS('Variance Analysis'!D$30:D$45,'Variance Analysis'!$B$30:$B$45,'Variance Analysis'!$B33,'Variance Analysis'!$A$30:$A$45,'Variance Analysis'!$A$30)</f>
        <v>#REF!</v>
      </c>
      <c r="E8" s="91" t="e">
        <f>SUMIFS('Variance Analysis'!E$30:E$45,'Variance Analysis'!$B$30:$B$45,'Variance Analysis'!$B33,'Variance Analysis'!$A$30:$A$45,'Variance Analysis'!$A$30)</f>
        <v>#REF!</v>
      </c>
      <c r="F8" s="91" t="e">
        <f>SUMIFS('Variance Analysis'!F$30:F$45,'Variance Analysis'!$B$30:$B$45,'Variance Analysis'!$B33,'Variance Analysis'!$A$30:$A$45,'Variance Analysis'!$A$30)</f>
        <v>#REF!</v>
      </c>
      <c r="G8" s="91" t="e">
        <f>SUMIFS('Variance Analysis'!G$30:G$45,'Variance Analysis'!$B$30:$B$45,'Variance Analysis'!$B33,'Variance Analysis'!$A$30:$A$45,'Variance Analysis'!$A$30)</f>
        <v>#REF!</v>
      </c>
      <c r="H8" s="91" t="e">
        <f>SUMIFS('Variance Analysis'!H$30:H$45,'Variance Analysis'!$B$30:$B$45,'Variance Analysis'!$B33,'Variance Analysis'!$A$30:$A$45,'Variance Analysis'!$A$30)</f>
        <v>#REF!</v>
      </c>
      <c r="I8" s="91" t="e">
        <f>SUMIFS('Variance Analysis'!I$30:I$45,'Variance Analysis'!$B$30:$B$45,'Variance Analysis'!$B33,'Variance Analysis'!$A$30:$A$45,'Variance Analysis'!$A$30)</f>
        <v>#REF!</v>
      </c>
      <c r="J8" s="91" t="e">
        <f>SUMIFS('Variance Analysis'!J$30:J$45,'Variance Analysis'!$B$30:$B$45,'Variance Analysis'!$B33,'Variance Analysis'!$A$30:$A$45,'Variance Analysis'!$A$30)</f>
        <v>#REF!</v>
      </c>
      <c r="K8" s="91" t="e">
        <f>SUMIFS('Variance Analysis'!K$30:K$45,'Variance Analysis'!$B$30:$B$45,'Variance Analysis'!$B33,'Variance Analysis'!$A$30:$A$45,'Variance Analysis'!$A$30)</f>
        <v>#REF!</v>
      </c>
      <c r="L8" s="91" t="e">
        <f>SUMIFS('Variance Analysis'!L$30:L$45,'Variance Analysis'!$B$30:$B$45,'Variance Analysis'!$B33,'Variance Analysis'!$A$30:$A$45,'Variance Analysis'!$A$30)</f>
        <v>#REF!</v>
      </c>
      <c r="M8" s="91" t="e">
        <f>SUMIFS('Variance Analysis'!M$30:M$45,'Variance Analysis'!$B$30:$B$45,'Variance Analysis'!$B33,'Variance Analysis'!$A$30:$A$45,'Variance Analysis'!$A$30)</f>
        <v>#REF!</v>
      </c>
      <c r="N8" s="91" t="e">
        <f>SUMIFS('Variance Analysis'!N$30:N$45,'Variance Analysis'!$B$30:$B$45,'Variance Analysis'!$B33,'Variance Analysis'!$A$30:$A$45,'Variance Analysis'!$A$30)</f>
        <v>#REF!</v>
      </c>
      <c r="O8" s="7"/>
      <c r="P8" s="7"/>
      <c r="Q8" s="7"/>
      <c r="R8" s="7"/>
      <c r="S8" s="7"/>
      <c r="T8" s="7"/>
      <c r="U8" s="7"/>
      <c r="V8" s="7"/>
      <c r="W8" s="7"/>
      <c r="X8" s="7"/>
      <c r="Y8" s="7"/>
      <c r="Z8" s="7"/>
    </row>
    <row r="9" spans="1:26" ht="13.5" customHeight="1" x14ac:dyDescent="0.25">
      <c r="A9" s="90" t="s">
        <v>235</v>
      </c>
      <c r="B9" s="90" t="s">
        <v>50</v>
      </c>
      <c r="C9" s="91" t="e">
        <f>SUMIFS('Variance Analysis'!C$30:C$45,'Variance Analysis'!$B$30:$B$45,'Variance Analysis'!$B$31,'Variance Analysis'!$A$30:$A$45,'Variance Analysis'!$A$30)</f>
        <v>#REF!</v>
      </c>
      <c r="D9" s="91" t="e">
        <f>SUMIFS('Variance Analysis'!D$30:D$45,'Variance Analysis'!$B$30:$B$45,'Variance Analysis'!$B$31,'Variance Analysis'!$A$30:$A$45,'Variance Analysis'!$A$30)</f>
        <v>#REF!</v>
      </c>
      <c r="E9" s="91" t="e">
        <f>SUMIFS('Variance Analysis'!E$30:E$45,'Variance Analysis'!$B$30:$B$45,'Variance Analysis'!$B$31,'Variance Analysis'!$A$30:$A$45,'Variance Analysis'!$A$30)</f>
        <v>#REF!</v>
      </c>
      <c r="F9" s="91" t="e">
        <f>SUMIFS('Variance Analysis'!F$30:F$45,'Variance Analysis'!$B$30:$B$45,'Variance Analysis'!$B$31,'Variance Analysis'!$A$30:$A$45,'Variance Analysis'!$A$30)</f>
        <v>#REF!</v>
      </c>
      <c r="G9" s="91" t="e">
        <f>SUMIFS('Variance Analysis'!G$30:G$45,'Variance Analysis'!$B$30:$B$45,'Variance Analysis'!$B$31,'Variance Analysis'!$A$30:$A$45,'Variance Analysis'!$A$30)</f>
        <v>#REF!</v>
      </c>
      <c r="H9" s="91" t="e">
        <f>SUMIFS('Variance Analysis'!H$30:H$45,'Variance Analysis'!$B$30:$B$45,'Variance Analysis'!$B$31,'Variance Analysis'!$A$30:$A$45,'Variance Analysis'!$A$30)</f>
        <v>#REF!</v>
      </c>
      <c r="I9" s="91" t="e">
        <f>SUMIFS('Variance Analysis'!I$30:I$45,'Variance Analysis'!$B$30:$B$45,'Variance Analysis'!$B$31,'Variance Analysis'!$A$30:$A$45,'Variance Analysis'!$A$30)</f>
        <v>#REF!</v>
      </c>
      <c r="J9" s="91" t="e">
        <f>SUMIFS('Variance Analysis'!J$30:J$45,'Variance Analysis'!$B$30:$B$45,'Variance Analysis'!$B$31,'Variance Analysis'!$A$30:$A$45,'Variance Analysis'!$A$30)</f>
        <v>#REF!</v>
      </c>
      <c r="K9" s="91" t="e">
        <f>SUMIFS('Variance Analysis'!K$30:K$45,'Variance Analysis'!$B$30:$B$45,'Variance Analysis'!$B$31,'Variance Analysis'!$A$30:$A$45,'Variance Analysis'!$A$30)</f>
        <v>#REF!</v>
      </c>
      <c r="L9" s="91" t="e">
        <f>SUMIFS('Variance Analysis'!L$30:L$45,'Variance Analysis'!$B$30:$B$45,'Variance Analysis'!$B$31,'Variance Analysis'!$A$30:$A$45,'Variance Analysis'!$A$30)</f>
        <v>#REF!</v>
      </c>
      <c r="M9" s="91" t="e">
        <f>SUMIFS('Variance Analysis'!M$30:M$45,'Variance Analysis'!$B$30:$B$45,'Variance Analysis'!$B$31,'Variance Analysis'!$A$30:$A$45,'Variance Analysis'!$A$30)</f>
        <v>#REF!</v>
      </c>
      <c r="N9" s="91" t="e">
        <f>SUMIFS('Variance Analysis'!N$30:N$45,'Variance Analysis'!$B$30:$B$45,'Variance Analysis'!$B$31,'Variance Analysis'!$A$30:$A$45,'Variance Analysis'!$A$30)</f>
        <v>#REF!</v>
      </c>
      <c r="O9" s="7"/>
      <c r="P9" s="7"/>
      <c r="Q9" s="7"/>
      <c r="R9" s="7"/>
      <c r="S9" s="7"/>
      <c r="T9" s="7"/>
      <c r="U9" s="7"/>
      <c r="V9" s="7"/>
      <c r="W9" s="7"/>
      <c r="X9" s="7"/>
      <c r="Y9" s="7"/>
      <c r="Z9" s="7"/>
    </row>
    <row r="10" spans="1:26" ht="13.5" customHeight="1" x14ac:dyDescent="0.25">
      <c r="A10" s="90" t="s">
        <v>236</v>
      </c>
      <c r="B10" s="90" t="s">
        <v>50</v>
      </c>
      <c r="C10" s="91" t="e">
        <f>SUMIFS('Variance Analysis'!C$30:C$45,'Variance Analysis'!$B$30:$B$45,'Variance Analysis'!$B32,'Variance Analysis'!$A$30:$A$45,'Variance Analysis'!$A$30)</f>
        <v>#REF!</v>
      </c>
      <c r="D10" s="91" t="e">
        <f>SUMIFS('Variance Analysis'!D$30:D$45,'Variance Analysis'!$B$30:$B$45,'Variance Analysis'!$B32,'Variance Analysis'!$A$30:$A$45,'Variance Analysis'!$A$30)</f>
        <v>#REF!</v>
      </c>
      <c r="E10" s="91" t="e">
        <f>SUMIFS('Variance Analysis'!E$30:E$45,'Variance Analysis'!$B$30:$B$45,'Variance Analysis'!$B32,'Variance Analysis'!$A$30:$A$45,'Variance Analysis'!$A$30)</f>
        <v>#REF!</v>
      </c>
      <c r="F10" s="91" t="e">
        <f>SUMIFS('Variance Analysis'!F$30:F$45,'Variance Analysis'!$B$30:$B$45,'Variance Analysis'!$B32,'Variance Analysis'!$A$30:$A$45,'Variance Analysis'!$A$30)</f>
        <v>#REF!</v>
      </c>
      <c r="G10" s="91" t="e">
        <f>SUMIFS('Variance Analysis'!G$30:G$45,'Variance Analysis'!$B$30:$B$45,'Variance Analysis'!$B32,'Variance Analysis'!$A$30:$A$45,'Variance Analysis'!$A$30)</f>
        <v>#REF!</v>
      </c>
      <c r="H10" s="91" t="e">
        <f>SUMIFS('Variance Analysis'!H$30:H$45,'Variance Analysis'!$B$30:$B$45,'Variance Analysis'!$B32,'Variance Analysis'!$A$30:$A$45,'Variance Analysis'!$A$30)</f>
        <v>#REF!</v>
      </c>
      <c r="I10" s="91" t="e">
        <f>SUMIFS('Variance Analysis'!I$30:I$45,'Variance Analysis'!$B$30:$B$45,'Variance Analysis'!$B32,'Variance Analysis'!$A$30:$A$45,'Variance Analysis'!$A$30)</f>
        <v>#REF!</v>
      </c>
      <c r="J10" s="91" t="e">
        <f>SUMIFS('Variance Analysis'!J$30:J$45,'Variance Analysis'!$B$30:$B$45,'Variance Analysis'!$B32,'Variance Analysis'!$A$30:$A$45,'Variance Analysis'!$A$30)</f>
        <v>#REF!</v>
      </c>
      <c r="K10" s="91" t="e">
        <f>SUMIFS('Variance Analysis'!K$30:K$45,'Variance Analysis'!$B$30:$B$45,'Variance Analysis'!$B32,'Variance Analysis'!$A$30:$A$45,'Variance Analysis'!$A$30)</f>
        <v>#REF!</v>
      </c>
      <c r="L10" s="91" t="e">
        <f>SUMIFS('Variance Analysis'!L$30:L$45,'Variance Analysis'!$B$30:$B$45,'Variance Analysis'!$B32,'Variance Analysis'!$A$30:$A$45,'Variance Analysis'!$A$30)</f>
        <v>#REF!</v>
      </c>
      <c r="M10" s="91" t="e">
        <f>SUMIFS('Variance Analysis'!M$30:M$45,'Variance Analysis'!$B$30:$B$45,'Variance Analysis'!$B32,'Variance Analysis'!$A$30:$A$45,'Variance Analysis'!$A$30)</f>
        <v>#REF!</v>
      </c>
      <c r="N10" s="91" t="e">
        <f>SUMIFS('Variance Analysis'!N$30:N$45,'Variance Analysis'!$B$30:$B$45,'Variance Analysis'!$B32,'Variance Analysis'!$A$30:$A$45,'Variance Analysis'!$A$30)</f>
        <v>#REF!</v>
      </c>
      <c r="O10" s="7"/>
      <c r="P10" s="7"/>
      <c r="Q10" s="7"/>
      <c r="R10" s="7"/>
      <c r="S10" s="7"/>
      <c r="T10" s="7"/>
      <c r="U10" s="7"/>
      <c r="V10" s="7"/>
      <c r="W10" s="7"/>
      <c r="X10" s="7"/>
      <c r="Y10" s="7"/>
      <c r="Z10" s="7"/>
    </row>
    <row r="11" spans="1:26" ht="13.5" customHeight="1" x14ac:dyDescent="0.25">
      <c r="A11" s="90" t="s">
        <v>212</v>
      </c>
      <c r="B11" s="90" t="s">
        <v>245</v>
      </c>
      <c r="C11" s="92" t="e">
        <f t="shared" ref="C11:N11" si="0">#REF!</f>
        <v>#REF!</v>
      </c>
      <c r="D11" s="92" t="e">
        <f t="shared" si="0"/>
        <v>#REF!</v>
      </c>
      <c r="E11" s="92" t="e">
        <f t="shared" si="0"/>
        <v>#REF!</v>
      </c>
      <c r="F11" s="92" t="e">
        <f t="shared" si="0"/>
        <v>#REF!</v>
      </c>
      <c r="G11" s="92" t="e">
        <f t="shared" si="0"/>
        <v>#REF!</v>
      </c>
      <c r="H11" s="92" t="e">
        <f t="shared" si="0"/>
        <v>#REF!</v>
      </c>
      <c r="I11" s="92" t="e">
        <f t="shared" si="0"/>
        <v>#REF!</v>
      </c>
      <c r="J11" s="92" t="e">
        <f t="shared" si="0"/>
        <v>#REF!</v>
      </c>
      <c r="K11" s="92" t="e">
        <f t="shared" si="0"/>
        <v>#REF!</v>
      </c>
      <c r="L11" s="92" t="e">
        <f t="shared" si="0"/>
        <v>#REF!</v>
      </c>
      <c r="M11" s="92" t="e">
        <f t="shared" si="0"/>
        <v>#REF!</v>
      </c>
      <c r="N11" s="92" t="e">
        <f t="shared" si="0"/>
        <v>#REF!</v>
      </c>
      <c r="O11" s="7"/>
      <c r="P11" s="7"/>
      <c r="Q11" s="7"/>
      <c r="R11" s="7"/>
      <c r="S11" s="7"/>
      <c r="T11" s="7"/>
      <c r="U11" s="7"/>
      <c r="V11" s="7"/>
      <c r="W11" s="7"/>
      <c r="X11" s="7"/>
      <c r="Y11" s="7"/>
      <c r="Z11" s="7"/>
    </row>
    <row r="12" spans="1:26" ht="13.5" customHeight="1" x14ac:dyDescent="0.25">
      <c r="A12" s="93" t="s">
        <v>246</v>
      </c>
      <c r="B12" s="94" t="s">
        <v>247</v>
      </c>
      <c r="C12" s="95" t="e">
        <f t="shared" ref="C12:N12" si="1">SUM($C$8:C10)/(SUM($C$11:C11)*1000)</f>
        <v>#REF!</v>
      </c>
      <c r="D12" s="95" t="e">
        <f t="shared" si="1"/>
        <v>#REF!</v>
      </c>
      <c r="E12" s="95" t="e">
        <f t="shared" si="1"/>
        <v>#REF!</v>
      </c>
      <c r="F12" s="95" t="e">
        <f t="shared" si="1"/>
        <v>#REF!</v>
      </c>
      <c r="G12" s="95" t="e">
        <f t="shared" si="1"/>
        <v>#REF!</v>
      </c>
      <c r="H12" s="95" t="e">
        <f t="shared" si="1"/>
        <v>#REF!</v>
      </c>
      <c r="I12" s="95" t="e">
        <f t="shared" si="1"/>
        <v>#REF!</v>
      </c>
      <c r="J12" s="95" t="e">
        <f t="shared" si="1"/>
        <v>#REF!</v>
      </c>
      <c r="K12" s="95" t="e">
        <f t="shared" si="1"/>
        <v>#REF!</v>
      </c>
      <c r="L12" s="95" t="e">
        <f t="shared" si="1"/>
        <v>#REF!</v>
      </c>
      <c r="M12" s="95" t="e">
        <f t="shared" si="1"/>
        <v>#REF!</v>
      </c>
      <c r="N12" s="95" t="e">
        <f t="shared" si="1"/>
        <v>#REF!</v>
      </c>
      <c r="O12" s="7"/>
      <c r="P12" s="7"/>
      <c r="Q12" s="7"/>
      <c r="R12" s="7"/>
      <c r="S12" s="7"/>
      <c r="T12" s="7"/>
      <c r="U12" s="7"/>
      <c r="V12" s="7"/>
      <c r="W12" s="7"/>
      <c r="X12" s="7"/>
      <c r="Y12" s="7"/>
      <c r="Z12" s="7"/>
    </row>
    <row r="13" spans="1:26" ht="13.5" customHeight="1" x14ac:dyDescent="0.25">
      <c r="A13" s="6"/>
      <c r="B13" s="7"/>
      <c r="C13" s="54"/>
      <c r="D13" s="54"/>
      <c r="E13" s="54"/>
      <c r="F13" s="54"/>
      <c r="G13" s="54"/>
      <c r="H13" s="54"/>
      <c r="I13" s="54"/>
      <c r="J13" s="54"/>
      <c r="K13" s="54"/>
      <c r="L13" s="54"/>
      <c r="M13" s="54"/>
      <c r="N13" s="54"/>
      <c r="O13" s="7"/>
      <c r="P13" s="7"/>
      <c r="Q13" s="7"/>
      <c r="R13" s="7"/>
      <c r="S13" s="7"/>
      <c r="T13" s="7"/>
      <c r="U13" s="7"/>
      <c r="V13" s="7"/>
      <c r="W13" s="7"/>
      <c r="X13" s="7"/>
      <c r="Y13" s="7"/>
      <c r="Z13" s="7"/>
    </row>
    <row r="14" spans="1:26" ht="13.5" customHeight="1" x14ac:dyDescent="0.25">
      <c r="A14" s="171" t="s">
        <v>248</v>
      </c>
      <c r="B14" s="171"/>
      <c r="C14" s="172"/>
      <c r="D14" s="172"/>
      <c r="E14" s="172"/>
      <c r="F14" s="172"/>
      <c r="G14" s="157"/>
      <c r="H14" s="157"/>
      <c r="I14" s="157"/>
      <c r="J14" s="157"/>
      <c r="K14" s="157"/>
      <c r="L14" s="157"/>
      <c r="M14" s="157"/>
      <c r="N14" s="157"/>
      <c r="O14" s="157"/>
      <c r="P14" s="157"/>
      <c r="Q14" s="157"/>
      <c r="R14" s="157"/>
      <c r="S14" s="157"/>
      <c r="T14" s="157"/>
      <c r="U14" s="157"/>
      <c r="V14" s="157"/>
      <c r="W14" s="157"/>
      <c r="X14" s="157"/>
      <c r="Y14" s="157"/>
      <c r="Z14" s="157"/>
    </row>
    <row r="15" spans="1:26" ht="13.5" customHeight="1" x14ac:dyDescent="0.25">
      <c r="A15" s="171" t="s">
        <v>243</v>
      </c>
      <c r="B15" s="171" t="s">
        <v>244</v>
      </c>
      <c r="C15" s="75" t="s">
        <v>200</v>
      </c>
      <c r="D15" s="75" t="s">
        <v>201</v>
      </c>
      <c r="E15" s="75" t="s">
        <v>202</v>
      </c>
      <c r="F15" s="75" t="s">
        <v>203</v>
      </c>
      <c r="G15" s="75" t="s">
        <v>204</v>
      </c>
      <c r="H15" s="75" t="s">
        <v>205</v>
      </c>
      <c r="I15" s="75" t="s">
        <v>206</v>
      </c>
      <c r="J15" s="75" t="s">
        <v>207</v>
      </c>
      <c r="K15" s="75" t="s">
        <v>208</v>
      </c>
      <c r="L15" s="75" t="s">
        <v>209</v>
      </c>
      <c r="M15" s="75" t="s">
        <v>210</v>
      </c>
      <c r="N15" s="75" t="s">
        <v>211</v>
      </c>
      <c r="O15" s="157"/>
      <c r="P15" s="157"/>
      <c r="Q15" s="157"/>
      <c r="R15" s="157"/>
      <c r="S15" s="157"/>
      <c r="T15" s="157"/>
      <c r="U15" s="157"/>
      <c r="V15" s="157"/>
      <c r="W15" s="157"/>
      <c r="X15" s="157"/>
      <c r="Y15" s="157"/>
      <c r="Z15" s="157"/>
    </row>
    <row r="16" spans="1:26" ht="13.5" customHeight="1" x14ac:dyDescent="0.25">
      <c r="A16" s="90" t="s">
        <v>234</v>
      </c>
      <c r="B16" s="90" t="s">
        <v>50</v>
      </c>
      <c r="C16" s="91" t="e">
        <f>SUMIFS('Variance Analysis'!C$30:C$45,'Variance Analysis'!$B$30:$B$45,'Variance Analysis'!$B37,'Variance Analysis'!$A$30:$A$45,'Variance Analysis'!$A$34)</f>
        <v>#REF!</v>
      </c>
      <c r="D16" s="91" t="e">
        <f>SUMIFS('Variance Analysis'!D$30:D$45,'Variance Analysis'!$B$30:$B$45,'Variance Analysis'!$B37,'Variance Analysis'!$A$30:$A$45,'Variance Analysis'!$A$34)</f>
        <v>#REF!</v>
      </c>
      <c r="E16" s="91" t="e">
        <f>SUMIFS('Variance Analysis'!E$30:E$45,'Variance Analysis'!$B$30:$B$45,'Variance Analysis'!$B37,'Variance Analysis'!$A$30:$A$45,'Variance Analysis'!$A$34)</f>
        <v>#REF!</v>
      </c>
      <c r="F16" s="91" t="e">
        <f>SUMIFS('Variance Analysis'!F$30:F$45,'Variance Analysis'!$B$30:$B$45,'Variance Analysis'!$B37,'Variance Analysis'!$A$30:$A$45,'Variance Analysis'!$A$34)</f>
        <v>#REF!</v>
      </c>
      <c r="G16" s="91" t="e">
        <f>SUMIFS('Variance Analysis'!G$30:G$45,'Variance Analysis'!$B$30:$B$45,'Variance Analysis'!$B37,'Variance Analysis'!$A$30:$A$45,'Variance Analysis'!$A$34)</f>
        <v>#REF!</v>
      </c>
      <c r="H16" s="91" t="e">
        <f>SUMIFS('Variance Analysis'!H$30:H$45,'Variance Analysis'!$B$30:$B$45,'Variance Analysis'!$B37,'Variance Analysis'!$A$30:$A$45,'Variance Analysis'!$A$34)</f>
        <v>#REF!</v>
      </c>
      <c r="I16" s="91" t="e">
        <f>SUMIFS('Variance Analysis'!I$30:I$45,'Variance Analysis'!$B$30:$B$45,'Variance Analysis'!$B37,'Variance Analysis'!$A$30:$A$45,'Variance Analysis'!$A$34)</f>
        <v>#REF!</v>
      </c>
      <c r="J16" s="91" t="e">
        <f>SUMIFS('Variance Analysis'!J$30:J$45,'Variance Analysis'!$B$30:$B$45,'Variance Analysis'!$B37,'Variance Analysis'!$A$30:$A$45,'Variance Analysis'!$A$34)</f>
        <v>#REF!</v>
      </c>
      <c r="K16" s="91" t="e">
        <f>SUMIFS('Variance Analysis'!K$30:K$45,'Variance Analysis'!$B$30:$B$45,'Variance Analysis'!$B37,'Variance Analysis'!$A$30:$A$45,'Variance Analysis'!$A$34)</f>
        <v>#REF!</v>
      </c>
      <c r="L16" s="91" t="e">
        <f>SUMIFS('Variance Analysis'!L$30:L$45,'Variance Analysis'!$B$30:$B$45,'Variance Analysis'!$B37,'Variance Analysis'!$A$30:$A$45,'Variance Analysis'!$A$34)</f>
        <v>#REF!</v>
      </c>
      <c r="M16" s="91" t="e">
        <f>SUMIFS('Variance Analysis'!M$30:M$45,'Variance Analysis'!$B$30:$B$45,'Variance Analysis'!$B37,'Variance Analysis'!$A$30:$A$45,'Variance Analysis'!$A$34)</f>
        <v>#REF!</v>
      </c>
      <c r="N16" s="91" t="e">
        <f>SUMIFS('Variance Analysis'!N$30:N$45,'Variance Analysis'!$B$30:$B$45,'Variance Analysis'!$B37,'Variance Analysis'!$A$30:$A$45,'Variance Analysis'!$A$34)</f>
        <v>#REF!</v>
      </c>
      <c r="O16" s="7"/>
      <c r="P16" s="7"/>
      <c r="Q16" s="7"/>
      <c r="R16" s="7"/>
      <c r="S16" s="7"/>
      <c r="T16" s="7"/>
      <c r="U16" s="7"/>
      <c r="V16" s="7"/>
      <c r="W16" s="7"/>
      <c r="X16" s="7"/>
      <c r="Y16" s="7"/>
      <c r="Z16" s="7"/>
    </row>
    <row r="17" spans="1:26" ht="13.5" customHeight="1" x14ac:dyDescent="0.25">
      <c r="A17" s="90" t="s">
        <v>235</v>
      </c>
      <c r="B17" s="90" t="s">
        <v>50</v>
      </c>
      <c r="C17" s="91" t="e">
        <f>SUMIFS('Variance Analysis'!C$30:C$45,'Variance Analysis'!$B$30:$B$45,'Variance Analysis'!$B$35,'Variance Analysis'!$A$30:$A$45,'Variance Analysis'!$A$34)</f>
        <v>#REF!</v>
      </c>
      <c r="D17" s="91" t="e">
        <f>SUMIFS('Variance Analysis'!D$30:D$45,'Variance Analysis'!$B$30:$B$45,'Variance Analysis'!$B$35,'Variance Analysis'!$A$30:$A$45,'Variance Analysis'!$A$34)</f>
        <v>#REF!</v>
      </c>
      <c r="E17" s="91" t="e">
        <f>SUMIFS('Variance Analysis'!E$30:E$45,'Variance Analysis'!$B$30:$B$45,'Variance Analysis'!$B$35,'Variance Analysis'!$A$30:$A$45,'Variance Analysis'!$A$34)</f>
        <v>#REF!</v>
      </c>
      <c r="F17" s="91" t="e">
        <f>SUMIFS('Variance Analysis'!F$30:F$45,'Variance Analysis'!$B$30:$B$45,'Variance Analysis'!$B$35,'Variance Analysis'!$A$30:$A$45,'Variance Analysis'!$A$34)</f>
        <v>#REF!</v>
      </c>
      <c r="G17" s="91" t="e">
        <f>SUMIFS('Variance Analysis'!G$30:G$45,'Variance Analysis'!$B$30:$B$45,'Variance Analysis'!$B$35,'Variance Analysis'!$A$30:$A$45,'Variance Analysis'!$A$34)</f>
        <v>#REF!</v>
      </c>
      <c r="H17" s="91" t="e">
        <f>SUMIFS('Variance Analysis'!H$30:H$45,'Variance Analysis'!$B$30:$B$45,'Variance Analysis'!$B$35,'Variance Analysis'!$A$30:$A$45,'Variance Analysis'!$A$34)</f>
        <v>#REF!</v>
      </c>
      <c r="I17" s="91" t="e">
        <f>SUMIFS('Variance Analysis'!I$30:I$45,'Variance Analysis'!$B$30:$B$45,'Variance Analysis'!$B$35,'Variance Analysis'!$A$30:$A$45,'Variance Analysis'!$A$34)</f>
        <v>#REF!</v>
      </c>
      <c r="J17" s="91" t="e">
        <f>SUMIFS('Variance Analysis'!J$30:J$45,'Variance Analysis'!$B$30:$B$45,'Variance Analysis'!$B$35,'Variance Analysis'!$A$30:$A$45,'Variance Analysis'!$A$34)</f>
        <v>#REF!</v>
      </c>
      <c r="K17" s="91" t="e">
        <f>SUMIFS('Variance Analysis'!K$30:K$45,'Variance Analysis'!$B$30:$B$45,'Variance Analysis'!$B$35,'Variance Analysis'!$A$30:$A$45,'Variance Analysis'!$A$34)</f>
        <v>#REF!</v>
      </c>
      <c r="L17" s="91" t="e">
        <f>SUMIFS('Variance Analysis'!L$30:L$45,'Variance Analysis'!$B$30:$B$45,'Variance Analysis'!$B$35,'Variance Analysis'!$A$30:$A$45,'Variance Analysis'!$A$34)</f>
        <v>#REF!</v>
      </c>
      <c r="M17" s="91" t="e">
        <f>SUMIFS('Variance Analysis'!M$30:M$45,'Variance Analysis'!$B$30:$B$45,'Variance Analysis'!$B$35,'Variance Analysis'!$A$30:$A$45,'Variance Analysis'!$A$34)</f>
        <v>#REF!</v>
      </c>
      <c r="N17" s="91" t="e">
        <f>SUMIFS('Variance Analysis'!N$30:N$45,'Variance Analysis'!$B$30:$B$45,'Variance Analysis'!$B$35,'Variance Analysis'!$A$30:$A$45,'Variance Analysis'!$A$34)</f>
        <v>#REF!</v>
      </c>
      <c r="O17" s="7"/>
      <c r="P17" s="7"/>
      <c r="Q17" s="7"/>
      <c r="R17" s="7"/>
      <c r="S17" s="7"/>
      <c r="T17" s="7"/>
      <c r="U17" s="7"/>
      <c r="V17" s="7"/>
      <c r="W17" s="7"/>
      <c r="X17" s="7"/>
      <c r="Y17" s="7"/>
      <c r="Z17" s="7"/>
    </row>
    <row r="18" spans="1:26" ht="13.5" customHeight="1" x14ac:dyDescent="0.25">
      <c r="A18" s="90" t="s">
        <v>236</v>
      </c>
      <c r="B18" s="90" t="s">
        <v>50</v>
      </c>
      <c r="C18" s="91" t="e">
        <f>SUMIFS('Variance Analysis'!C$30:C$45,'Variance Analysis'!$B$30:$B$45,'Variance Analysis'!$B36,'Variance Analysis'!$A$30:$A$45,'Variance Analysis'!$A$34)</f>
        <v>#REF!</v>
      </c>
      <c r="D18" s="91" t="e">
        <f>SUMIFS('Variance Analysis'!D$30:D$45,'Variance Analysis'!$B$30:$B$45,'Variance Analysis'!$B36,'Variance Analysis'!$A$30:$A$45,'Variance Analysis'!$A$34)</f>
        <v>#REF!</v>
      </c>
      <c r="E18" s="91" t="e">
        <f>SUMIFS('Variance Analysis'!E$30:E$45,'Variance Analysis'!$B$30:$B$45,'Variance Analysis'!$B36,'Variance Analysis'!$A$30:$A$45,'Variance Analysis'!$A$34)</f>
        <v>#REF!</v>
      </c>
      <c r="F18" s="91" t="e">
        <f>SUMIFS('Variance Analysis'!F$30:F$45,'Variance Analysis'!$B$30:$B$45,'Variance Analysis'!$B36,'Variance Analysis'!$A$30:$A$45,'Variance Analysis'!$A$34)</f>
        <v>#REF!</v>
      </c>
      <c r="G18" s="91" t="e">
        <f>SUMIFS('Variance Analysis'!G$30:G$45,'Variance Analysis'!$B$30:$B$45,'Variance Analysis'!$B36,'Variance Analysis'!$A$30:$A$45,'Variance Analysis'!$A$34)</f>
        <v>#REF!</v>
      </c>
      <c r="H18" s="91" t="e">
        <f>SUMIFS('Variance Analysis'!H$30:H$45,'Variance Analysis'!$B$30:$B$45,'Variance Analysis'!$B36,'Variance Analysis'!$A$30:$A$45,'Variance Analysis'!$A$34)</f>
        <v>#REF!</v>
      </c>
      <c r="I18" s="91" t="e">
        <f>SUMIFS('Variance Analysis'!I$30:I$45,'Variance Analysis'!$B$30:$B$45,'Variance Analysis'!$B36,'Variance Analysis'!$A$30:$A$45,'Variance Analysis'!$A$34)</f>
        <v>#REF!</v>
      </c>
      <c r="J18" s="91" t="e">
        <f>SUMIFS('Variance Analysis'!J$30:J$45,'Variance Analysis'!$B$30:$B$45,'Variance Analysis'!$B36,'Variance Analysis'!$A$30:$A$45,'Variance Analysis'!$A$34)</f>
        <v>#REF!</v>
      </c>
      <c r="K18" s="91" t="e">
        <f>SUMIFS('Variance Analysis'!K$30:K$45,'Variance Analysis'!$B$30:$B$45,'Variance Analysis'!$B36,'Variance Analysis'!$A$30:$A$45,'Variance Analysis'!$A$34)</f>
        <v>#REF!</v>
      </c>
      <c r="L18" s="91" t="e">
        <f>SUMIFS('Variance Analysis'!L$30:L$45,'Variance Analysis'!$B$30:$B$45,'Variance Analysis'!$B36,'Variance Analysis'!$A$30:$A$45,'Variance Analysis'!$A$34)</f>
        <v>#REF!</v>
      </c>
      <c r="M18" s="91" t="e">
        <f>SUMIFS('Variance Analysis'!M$30:M$45,'Variance Analysis'!$B$30:$B$45,'Variance Analysis'!$B36,'Variance Analysis'!$A$30:$A$45,'Variance Analysis'!$A$34)</f>
        <v>#REF!</v>
      </c>
      <c r="N18" s="91" t="e">
        <f>SUMIFS('Variance Analysis'!N$30:N$45,'Variance Analysis'!$B$30:$B$45,'Variance Analysis'!$B36,'Variance Analysis'!$A$30:$A$45,'Variance Analysis'!$A$34)</f>
        <v>#REF!</v>
      </c>
      <c r="O18" s="7"/>
      <c r="P18" s="7"/>
      <c r="Q18" s="7"/>
      <c r="R18" s="7"/>
      <c r="S18" s="7"/>
      <c r="T18" s="7"/>
      <c r="U18" s="7"/>
      <c r="V18" s="7"/>
      <c r="W18" s="7"/>
      <c r="X18" s="7"/>
      <c r="Y18" s="7"/>
      <c r="Z18" s="7"/>
    </row>
    <row r="19" spans="1:26" ht="13.5" customHeight="1" x14ac:dyDescent="0.25">
      <c r="A19" s="90" t="s">
        <v>217</v>
      </c>
      <c r="B19" s="90" t="s">
        <v>245</v>
      </c>
      <c r="C19" s="92" t="e">
        <f t="shared" ref="C19:N19" si="2">#REF!</f>
        <v>#REF!</v>
      </c>
      <c r="D19" s="92" t="e">
        <f t="shared" si="2"/>
        <v>#REF!</v>
      </c>
      <c r="E19" s="92" t="e">
        <f t="shared" si="2"/>
        <v>#REF!</v>
      </c>
      <c r="F19" s="92" t="e">
        <f t="shared" si="2"/>
        <v>#REF!</v>
      </c>
      <c r="G19" s="92" t="e">
        <f t="shared" si="2"/>
        <v>#REF!</v>
      </c>
      <c r="H19" s="92" t="e">
        <f t="shared" si="2"/>
        <v>#REF!</v>
      </c>
      <c r="I19" s="92" t="e">
        <f t="shared" si="2"/>
        <v>#REF!</v>
      </c>
      <c r="J19" s="92" t="e">
        <f t="shared" si="2"/>
        <v>#REF!</v>
      </c>
      <c r="K19" s="92" t="e">
        <f t="shared" si="2"/>
        <v>#REF!</v>
      </c>
      <c r="L19" s="92" t="e">
        <f t="shared" si="2"/>
        <v>#REF!</v>
      </c>
      <c r="M19" s="92" t="e">
        <f t="shared" si="2"/>
        <v>#REF!</v>
      </c>
      <c r="N19" s="92" t="e">
        <f t="shared" si="2"/>
        <v>#REF!</v>
      </c>
      <c r="O19" s="7"/>
      <c r="P19" s="7"/>
      <c r="Q19" s="7"/>
      <c r="R19" s="7"/>
      <c r="S19" s="7"/>
      <c r="T19" s="7"/>
      <c r="U19" s="7"/>
      <c r="V19" s="7"/>
      <c r="W19" s="7"/>
      <c r="X19" s="7"/>
      <c r="Y19" s="7"/>
      <c r="Z19" s="7"/>
    </row>
    <row r="20" spans="1:26" ht="13.5" customHeight="1" x14ac:dyDescent="0.25">
      <c r="A20" s="93" t="s">
        <v>246</v>
      </c>
      <c r="B20" s="94" t="s">
        <v>247</v>
      </c>
      <c r="C20" s="95" t="e">
        <f>SUM($C$16:C18)/(SUM($C$19:C19*1000))</f>
        <v>#REF!</v>
      </c>
      <c r="D20" s="95" t="e">
        <f t="shared" ref="D20:N20" si="3">SUM($C$16:D18)/(SUM($C$19:D19)*1000)</f>
        <v>#REF!</v>
      </c>
      <c r="E20" s="95" t="e">
        <f t="shared" si="3"/>
        <v>#REF!</v>
      </c>
      <c r="F20" s="95" t="e">
        <f t="shared" si="3"/>
        <v>#REF!</v>
      </c>
      <c r="G20" s="95" t="e">
        <f t="shared" si="3"/>
        <v>#REF!</v>
      </c>
      <c r="H20" s="95" t="e">
        <f t="shared" si="3"/>
        <v>#REF!</v>
      </c>
      <c r="I20" s="95" t="e">
        <f t="shared" si="3"/>
        <v>#REF!</v>
      </c>
      <c r="J20" s="95" t="e">
        <f t="shared" si="3"/>
        <v>#REF!</v>
      </c>
      <c r="K20" s="95" t="e">
        <f t="shared" si="3"/>
        <v>#REF!</v>
      </c>
      <c r="L20" s="95" t="e">
        <f t="shared" si="3"/>
        <v>#REF!</v>
      </c>
      <c r="M20" s="95" t="e">
        <f t="shared" si="3"/>
        <v>#REF!</v>
      </c>
      <c r="N20" s="95" t="e">
        <f t="shared" si="3"/>
        <v>#REF!</v>
      </c>
      <c r="O20" s="7"/>
      <c r="P20" s="7"/>
      <c r="Q20" s="7"/>
      <c r="R20" s="7"/>
      <c r="S20" s="7"/>
      <c r="T20" s="7"/>
      <c r="U20" s="7"/>
      <c r="V20" s="7"/>
      <c r="W20" s="7"/>
      <c r="X20" s="7"/>
      <c r="Y20" s="7"/>
      <c r="Z20" s="7"/>
    </row>
    <row r="21" spans="1:26" ht="13.5" customHeight="1" x14ac:dyDescent="0.25">
      <c r="A21" s="6"/>
      <c r="B21" s="7"/>
      <c r="C21" s="54"/>
      <c r="D21" s="54"/>
      <c r="E21" s="54"/>
      <c r="F21" s="54"/>
      <c r="G21" s="54"/>
      <c r="H21" s="54"/>
      <c r="I21" s="54"/>
      <c r="J21" s="54"/>
      <c r="K21" s="54"/>
      <c r="L21" s="54"/>
      <c r="M21" s="54"/>
      <c r="N21" s="54"/>
      <c r="O21" s="7"/>
      <c r="P21" s="7"/>
      <c r="Q21" s="7"/>
      <c r="R21" s="7"/>
      <c r="S21" s="7"/>
      <c r="T21" s="7"/>
      <c r="U21" s="7"/>
      <c r="V21" s="7"/>
      <c r="W21" s="7"/>
      <c r="X21" s="7"/>
      <c r="Y21" s="7"/>
      <c r="Z21" s="7"/>
    </row>
    <row r="22" spans="1:26" ht="13.5" customHeight="1" x14ac:dyDescent="0.25">
      <c r="A22" s="171" t="s">
        <v>249</v>
      </c>
      <c r="B22" s="171"/>
      <c r="C22" s="172"/>
      <c r="D22" s="172"/>
      <c r="E22" s="172"/>
      <c r="F22" s="172"/>
      <c r="G22" s="157"/>
      <c r="H22" s="157"/>
      <c r="I22" s="157"/>
      <c r="J22" s="157"/>
      <c r="K22" s="157"/>
      <c r="L22" s="157"/>
      <c r="M22" s="157"/>
      <c r="N22" s="157"/>
      <c r="O22" s="157"/>
      <c r="P22" s="157"/>
      <c r="Q22" s="157"/>
      <c r="R22" s="157"/>
      <c r="S22" s="157"/>
      <c r="T22" s="157"/>
      <c r="U22" s="157"/>
      <c r="V22" s="157"/>
      <c r="W22" s="157"/>
      <c r="X22" s="157"/>
      <c r="Y22" s="157"/>
      <c r="Z22" s="157"/>
    </row>
    <row r="23" spans="1:26" ht="13.5" customHeight="1" x14ac:dyDescent="0.25">
      <c r="A23" s="171" t="s">
        <v>243</v>
      </c>
      <c r="B23" s="171" t="s">
        <v>244</v>
      </c>
      <c r="C23" s="75" t="s">
        <v>200</v>
      </c>
      <c r="D23" s="75" t="s">
        <v>201</v>
      </c>
      <c r="E23" s="75" t="s">
        <v>202</v>
      </c>
      <c r="F23" s="75" t="s">
        <v>203</v>
      </c>
      <c r="G23" s="75" t="s">
        <v>204</v>
      </c>
      <c r="H23" s="75" t="s">
        <v>205</v>
      </c>
      <c r="I23" s="75" t="s">
        <v>206</v>
      </c>
      <c r="J23" s="75" t="s">
        <v>207</v>
      </c>
      <c r="K23" s="75" t="s">
        <v>208</v>
      </c>
      <c r="L23" s="75" t="s">
        <v>209</v>
      </c>
      <c r="M23" s="75" t="s">
        <v>210</v>
      </c>
      <c r="N23" s="75" t="s">
        <v>211</v>
      </c>
      <c r="O23" s="157"/>
      <c r="P23" s="157"/>
      <c r="Q23" s="157"/>
      <c r="R23" s="157"/>
      <c r="S23" s="157"/>
      <c r="T23" s="157"/>
      <c r="U23" s="157"/>
      <c r="V23" s="157"/>
      <c r="W23" s="157"/>
      <c r="X23" s="157"/>
      <c r="Y23" s="157"/>
      <c r="Z23" s="157"/>
    </row>
    <row r="24" spans="1:26" ht="13.5" customHeight="1" x14ac:dyDescent="0.25">
      <c r="A24" s="90" t="s">
        <v>234</v>
      </c>
      <c r="B24" s="90" t="s">
        <v>50</v>
      </c>
      <c r="C24" s="91" t="e">
        <f>SUMIFS('Variance Analysis'!C$30:C$45,'Variance Analysis'!$B$30:$B$45,'Variance Analysis'!$B$41,'Variance Analysis'!$A$30:$A$45,'Variance Analysis'!$A$41)</f>
        <v>#REF!</v>
      </c>
      <c r="D24" s="91" t="e">
        <f>SUMIFS('Variance Analysis'!D$30:D$45,'Variance Analysis'!$B$30:$B$45,'Variance Analysis'!$B$41,'Variance Analysis'!$A$30:$A$45,'Variance Analysis'!$A$41)</f>
        <v>#REF!</v>
      </c>
      <c r="E24" s="91" t="e">
        <f>SUMIFS('Variance Analysis'!E$30:E$45,'Variance Analysis'!$B$30:$B$45,'Variance Analysis'!$B$41,'Variance Analysis'!$A$30:$A$45,'Variance Analysis'!$A$41)</f>
        <v>#REF!</v>
      </c>
      <c r="F24" s="91" t="e">
        <f>SUMIFS('Variance Analysis'!F$30:F$45,'Variance Analysis'!$B$30:$B$45,'Variance Analysis'!$B$41,'Variance Analysis'!$A$30:$A$45,'Variance Analysis'!$A$41)</f>
        <v>#REF!</v>
      </c>
      <c r="G24" s="91" t="e">
        <f>SUMIFS('Variance Analysis'!G$30:G$45,'Variance Analysis'!$B$30:$B$45,'Variance Analysis'!$B$41,'Variance Analysis'!$A$30:$A$45,'Variance Analysis'!$A$41)</f>
        <v>#REF!</v>
      </c>
      <c r="H24" s="91" t="e">
        <f>SUMIFS('Variance Analysis'!H$30:H$45,'Variance Analysis'!$B$30:$B$45,'Variance Analysis'!$B$41,'Variance Analysis'!$A$30:$A$45,'Variance Analysis'!$A$41)</f>
        <v>#REF!</v>
      </c>
      <c r="I24" s="91" t="e">
        <f>SUMIFS('Variance Analysis'!I$30:I$45,'Variance Analysis'!$B$30:$B$45,'Variance Analysis'!$B$41,'Variance Analysis'!$A$30:$A$45,'Variance Analysis'!$A$41)</f>
        <v>#REF!</v>
      </c>
      <c r="J24" s="91" t="e">
        <f>SUMIFS('Variance Analysis'!J$30:J$45,'Variance Analysis'!$B$30:$B$45,'Variance Analysis'!$B$41,'Variance Analysis'!$A$30:$A$45,'Variance Analysis'!$A$41)</f>
        <v>#REF!</v>
      </c>
      <c r="K24" s="91" t="e">
        <f>SUMIFS('Variance Analysis'!K$30:K$45,'Variance Analysis'!$B$30:$B$45,'Variance Analysis'!$B$41,'Variance Analysis'!$A$30:$A$45,'Variance Analysis'!$A$41)</f>
        <v>#REF!</v>
      </c>
      <c r="L24" s="91" t="e">
        <f>SUMIFS('Variance Analysis'!L$30:L$45,'Variance Analysis'!$B$30:$B$45,'Variance Analysis'!$B$41,'Variance Analysis'!$A$30:$A$45,'Variance Analysis'!$A$41)</f>
        <v>#REF!</v>
      </c>
      <c r="M24" s="91" t="e">
        <f>SUMIFS('Variance Analysis'!M$30:M$45,'Variance Analysis'!$B$30:$B$45,'Variance Analysis'!$B$41,'Variance Analysis'!$A$30:$A$45,'Variance Analysis'!$A$41)</f>
        <v>#REF!</v>
      </c>
      <c r="N24" s="91" t="e">
        <f>SUMIFS('Variance Analysis'!N$30:N$45,'Variance Analysis'!$B$30:$B$45,'Variance Analysis'!$B$41,'Variance Analysis'!$A$30:$A$45,'Variance Analysis'!$A$41)</f>
        <v>#REF!</v>
      </c>
      <c r="O24" s="7"/>
      <c r="P24" s="7"/>
      <c r="Q24" s="7"/>
      <c r="R24" s="7"/>
      <c r="S24" s="7"/>
      <c r="T24" s="7"/>
      <c r="U24" s="7"/>
      <c r="V24" s="7"/>
      <c r="W24" s="7"/>
      <c r="X24" s="7"/>
      <c r="Y24" s="7"/>
      <c r="Z24" s="7"/>
    </row>
    <row r="25" spans="1:26" ht="13.5" customHeight="1" x14ac:dyDescent="0.25">
      <c r="A25" s="90" t="s">
        <v>235</v>
      </c>
      <c r="B25" s="90" t="s">
        <v>50</v>
      </c>
      <c r="C25" s="91" t="e">
        <f>SUMIFS('Variance Analysis'!C$30:C$45,'Variance Analysis'!$B$30:$B$45,'Variance Analysis'!$B$39,'Variance Analysis'!$A$30:$A$45,'Variance Analysis'!$A$41)</f>
        <v>#REF!</v>
      </c>
      <c r="D25" s="91" t="e">
        <f>SUMIFS('Variance Analysis'!D$30:D$45,'Variance Analysis'!$B$30:$B$45,'Variance Analysis'!$B$39,'Variance Analysis'!$A$30:$A$45,'Variance Analysis'!$A$41)</f>
        <v>#REF!</v>
      </c>
      <c r="E25" s="91" t="e">
        <f>SUMIFS('Variance Analysis'!E$30:E$45,'Variance Analysis'!$B$30:$B$45,'Variance Analysis'!$B$39,'Variance Analysis'!$A$30:$A$45,'Variance Analysis'!$A$41)</f>
        <v>#REF!</v>
      </c>
      <c r="F25" s="91" t="e">
        <f>SUMIFS('Variance Analysis'!F$30:F$45,'Variance Analysis'!$B$30:$B$45,'Variance Analysis'!$B$39,'Variance Analysis'!$A$30:$A$45,'Variance Analysis'!$A$41)</f>
        <v>#REF!</v>
      </c>
      <c r="G25" s="91" t="e">
        <f>SUMIFS('Variance Analysis'!G$30:G$45,'Variance Analysis'!$B$30:$B$45,'Variance Analysis'!$B$39,'Variance Analysis'!$A$30:$A$45,'Variance Analysis'!$A$41)</f>
        <v>#REF!</v>
      </c>
      <c r="H25" s="91" t="e">
        <f>SUMIFS('Variance Analysis'!H$30:H$45,'Variance Analysis'!$B$30:$B$45,'Variance Analysis'!$B$39,'Variance Analysis'!$A$30:$A$45,'Variance Analysis'!$A$41)</f>
        <v>#REF!</v>
      </c>
      <c r="I25" s="91" t="e">
        <f>SUMIFS('Variance Analysis'!I$30:I$45,'Variance Analysis'!$B$30:$B$45,'Variance Analysis'!$B$39,'Variance Analysis'!$A$30:$A$45,'Variance Analysis'!$A$41)</f>
        <v>#REF!</v>
      </c>
      <c r="J25" s="91" t="e">
        <f>SUMIFS('Variance Analysis'!J$30:J$45,'Variance Analysis'!$B$30:$B$45,'Variance Analysis'!$B$39,'Variance Analysis'!$A$30:$A$45,'Variance Analysis'!$A$41)</f>
        <v>#REF!</v>
      </c>
      <c r="K25" s="91" t="e">
        <f>SUMIFS('Variance Analysis'!K$30:K$45,'Variance Analysis'!$B$30:$B$45,'Variance Analysis'!$B$39,'Variance Analysis'!$A$30:$A$45,'Variance Analysis'!$A$41)</f>
        <v>#REF!</v>
      </c>
      <c r="L25" s="91" t="e">
        <f>SUMIFS('Variance Analysis'!L$30:L$45,'Variance Analysis'!$B$30:$B$45,'Variance Analysis'!$B$39,'Variance Analysis'!$A$30:$A$45,'Variance Analysis'!$A$41)</f>
        <v>#REF!</v>
      </c>
      <c r="M25" s="91" t="e">
        <f>SUMIFS('Variance Analysis'!M$30:M$45,'Variance Analysis'!$B$30:$B$45,'Variance Analysis'!$B$39,'Variance Analysis'!$A$30:$A$45,'Variance Analysis'!$A$41)</f>
        <v>#REF!</v>
      </c>
      <c r="N25" s="91" t="e">
        <f>SUMIFS('Variance Analysis'!N$30:N$45,'Variance Analysis'!$B$30:$B$45,'Variance Analysis'!$B$39,'Variance Analysis'!$A$30:$A$45,'Variance Analysis'!$A$41)</f>
        <v>#REF!</v>
      </c>
      <c r="O25" s="7"/>
      <c r="P25" s="7"/>
      <c r="Q25" s="7"/>
      <c r="R25" s="7"/>
      <c r="S25" s="7"/>
      <c r="T25" s="7"/>
      <c r="U25" s="7"/>
      <c r="V25" s="7"/>
      <c r="W25" s="7"/>
      <c r="X25" s="7"/>
      <c r="Y25" s="7"/>
      <c r="Z25" s="7"/>
    </row>
    <row r="26" spans="1:26" ht="13.5" customHeight="1" x14ac:dyDescent="0.25">
      <c r="A26" s="90" t="s">
        <v>236</v>
      </c>
      <c r="B26" s="90" t="s">
        <v>50</v>
      </c>
      <c r="C26" s="91" t="e">
        <f>SUMIFS('Variance Analysis'!C$30:C$45,'Variance Analysis'!$B$30:$B$45,'Variance Analysis'!$B40,'Variance Analysis'!$A$30:$A$45,'Variance Analysis'!$A$40)</f>
        <v>#REF!</v>
      </c>
      <c r="D26" s="91" t="e">
        <f>SUMIFS('Variance Analysis'!D$30:D$45,'Variance Analysis'!$B$30:$B$45,'Variance Analysis'!$B40,'Variance Analysis'!$A$30:$A$45,'Variance Analysis'!$A$40)</f>
        <v>#REF!</v>
      </c>
      <c r="E26" s="91" t="e">
        <f>SUMIFS('Variance Analysis'!E$30:E$45,'Variance Analysis'!$B$30:$B$45,'Variance Analysis'!$B40,'Variance Analysis'!$A$30:$A$45,'Variance Analysis'!$A$40)</f>
        <v>#REF!</v>
      </c>
      <c r="F26" s="91" t="e">
        <f>SUMIFS('Variance Analysis'!F$30:F$45,'Variance Analysis'!$B$30:$B$45,'Variance Analysis'!$B40,'Variance Analysis'!$A$30:$A$45,'Variance Analysis'!$A$40)</f>
        <v>#REF!</v>
      </c>
      <c r="G26" s="91" t="e">
        <f>SUMIFS('Variance Analysis'!G$30:G$45,'Variance Analysis'!$B$30:$B$45,'Variance Analysis'!$B40,'Variance Analysis'!$A$30:$A$45,'Variance Analysis'!$A$40)</f>
        <v>#REF!</v>
      </c>
      <c r="H26" s="91" t="e">
        <f>SUMIFS('Variance Analysis'!H$30:H$45,'Variance Analysis'!$B$30:$B$45,'Variance Analysis'!$B40,'Variance Analysis'!$A$30:$A$45,'Variance Analysis'!$A$40)</f>
        <v>#REF!</v>
      </c>
      <c r="I26" s="91" t="e">
        <f>SUMIFS('Variance Analysis'!I$30:I$45,'Variance Analysis'!$B$30:$B$45,'Variance Analysis'!$B40,'Variance Analysis'!$A$30:$A$45,'Variance Analysis'!$A$40)</f>
        <v>#REF!</v>
      </c>
      <c r="J26" s="91" t="e">
        <f>SUMIFS('Variance Analysis'!J$30:J$45,'Variance Analysis'!$B$30:$B$45,'Variance Analysis'!$B40,'Variance Analysis'!$A$30:$A$45,'Variance Analysis'!$A$40)</f>
        <v>#REF!</v>
      </c>
      <c r="K26" s="91" t="e">
        <f>SUMIFS('Variance Analysis'!K$30:K$45,'Variance Analysis'!$B$30:$B$45,'Variance Analysis'!$B40,'Variance Analysis'!$A$30:$A$45,'Variance Analysis'!$A$40)</f>
        <v>#REF!</v>
      </c>
      <c r="L26" s="91" t="e">
        <f>SUMIFS('Variance Analysis'!L$30:L$45,'Variance Analysis'!$B$30:$B$45,'Variance Analysis'!$B40,'Variance Analysis'!$A$30:$A$45,'Variance Analysis'!$A$40)</f>
        <v>#REF!</v>
      </c>
      <c r="M26" s="91" t="e">
        <f>SUMIFS('Variance Analysis'!M$30:M$45,'Variance Analysis'!$B$30:$B$45,'Variance Analysis'!$B40,'Variance Analysis'!$A$30:$A$45,'Variance Analysis'!$A$40)</f>
        <v>#REF!</v>
      </c>
      <c r="N26" s="91" t="e">
        <f>SUMIFS('Variance Analysis'!N$30:N$45,'Variance Analysis'!$B$30:$B$45,'Variance Analysis'!$B40,'Variance Analysis'!$A$30:$A$45,'Variance Analysis'!$A$40)</f>
        <v>#REF!</v>
      </c>
      <c r="O26" s="7"/>
      <c r="P26" s="7"/>
      <c r="Q26" s="7"/>
      <c r="R26" s="7"/>
      <c r="S26" s="7"/>
      <c r="T26" s="7"/>
      <c r="U26" s="7"/>
      <c r="V26" s="7"/>
      <c r="W26" s="7"/>
      <c r="X26" s="7"/>
      <c r="Y26" s="7"/>
      <c r="Z26" s="7"/>
    </row>
    <row r="27" spans="1:26" ht="13.5" customHeight="1" x14ac:dyDescent="0.25">
      <c r="A27" s="90" t="s">
        <v>218</v>
      </c>
      <c r="B27" s="90" t="s">
        <v>245</v>
      </c>
      <c r="C27" s="92" t="e">
        <f t="shared" ref="C27:N27" si="4">#REF!</f>
        <v>#REF!</v>
      </c>
      <c r="D27" s="92" t="e">
        <f t="shared" si="4"/>
        <v>#REF!</v>
      </c>
      <c r="E27" s="92" t="e">
        <f t="shared" si="4"/>
        <v>#REF!</v>
      </c>
      <c r="F27" s="92" t="e">
        <f t="shared" si="4"/>
        <v>#REF!</v>
      </c>
      <c r="G27" s="92" t="e">
        <f t="shared" si="4"/>
        <v>#REF!</v>
      </c>
      <c r="H27" s="92" t="e">
        <f t="shared" si="4"/>
        <v>#REF!</v>
      </c>
      <c r="I27" s="92" t="e">
        <f t="shared" si="4"/>
        <v>#REF!</v>
      </c>
      <c r="J27" s="92" t="e">
        <f t="shared" si="4"/>
        <v>#REF!</v>
      </c>
      <c r="K27" s="92" t="e">
        <f t="shared" si="4"/>
        <v>#REF!</v>
      </c>
      <c r="L27" s="92" t="e">
        <f t="shared" si="4"/>
        <v>#REF!</v>
      </c>
      <c r="M27" s="92" t="e">
        <f t="shared" si="4"/>
        <v>#REF!</v>
      </c>
      <c r="N27" s="92" t="e">
        <f t="shared" si="4"/>
        <v>#REF!</v>
      </c>
      <c r="O27" s="7"/>
      <c r="P27" s="7"/>
      <c r="Q27" s="7"/>
      <c r="R27" s="7"/>
      <c r="S27" s="7"/>
      <c r="T27" s="7"/>
      <c r="U27" s="7"/>
      <c r="V27" s="7"/>
      <c r="W27" s="7"/>
      <c r="X27" s="7"/>
      <c r="Y27" s="7"/>
      <c r="Z27" s="7"/>
    </row>
    <row r="28" spans="1:26" ht="13.5" customHeight="1" x14ac:dyDescent="0.25">
      <c r="A28" s="93" t="s">
        <v>246</v>
      </c>
      <c r="B28" s="94" t="s">
        <v>247</v>
      </c>
      <c r="C28" s="95" t="e">
        <f>SUM(C24:C26)/(C27*1000)</f>
        <v>#REF!</v>
      </c>
      <c r="D28" s="95" t="e">
        <f t="shared" ref="D28:N28" si="5">SUM($C$24:D26)/(SUM($C$27:D27)*1000)</f>
        <v>#REF!</v>
      </c>
      <c r="E28" s="95" t="e">
        <f t="shared" si="5"/>
        <v>#REF!</v>
      </c>
      <c r="F28" s="95" t="e">
        <f t="shared" si="5"/>
        <v>#REF!</v>
      </c>
      <c r="G28" s="95" t="e">
        <f t="shared" si="5"/>
        <v>#REF!</v>
      </c>
      <c r="H28" s="95" t="e">
        <f t="shared" si="5"/>
        <v>#REF!</v>
      </c>
      <c r="I28" s="95" t="e">
        <f t="shared" si="5"/>
        <v>#REF!</v>
      </c>
      <c r="J28" s="95" t="e">
        <f t="shared" si="5"/>
        <v>#REF!</v>
      </c>
      <c r="K28" s="95" t="e">
        <f t="shared" si="5"/>
        <v>#REF!</v>
      </c>
      <c r="L28" s="95" t="e">
        <f t="shared" si="5"/>
        <v>#REF!</v>
      </c>
      <c r="M28" s="95" t="e">
        <f t="shared" si="5"/>
        <v>#REF!</v>
      </c>
      <c r="N28" s="95" t="e">
        <f t="shared" si="5"/>
        <v>#REF!</v>
      </c>
      <c r="O28" s="7"/>
      <c r="P28" s="7"/>
      <c r="Q28" s="7"/>
      <c r="R28" s="7"/>
      <c r="S28" s="7"/>
      <c r="T28" s="7"/>
      <c r="U28" s="7"/>
      <c r="V28" s="7"/>
      <c r="W28" s="7"/>
      <c r="X28" s="7"/>
      <c r="Y28" s="7"/>
      <c r="Z28" s="7"/>
    </row>
    <row r="29" spans="1:26" ht="13.5" customHeight="1" x14ac:dyDescent="0.25">
      <c r="A29" s="6"/>
      <c r="B29" s="7"/>
      <c r="C29" s="54"/>
      <c r="D29" s="54"/>
      <c r="E29" s="54"/>
      <c r="F29" s="54"/>
      <c r="G29" s="54"/>
      <c r="H29" s="54"/>
      <c r="I29" s="54"/>
      <c r="J29" s="54"/>
      <c r="K29" s="54"/>
      <c r="L29" s="54"/>
      <c r="M29" s="54"/>
      <c r="N29" s="54"/>
      <c r="O29" s="7"/>
      <c r="P29" s="7"/>
      <c r="Q29" s="7"/>
      <c r="R29" s="7"/>
      <c r="S29" s="7"/>
      <c r="T29" s="7"/>
      <c r="U29" s="7"/>
      <c r="V29" s="7"/>
      <c r="W29" s="7"/>
      <c r="X29" s="7"/>
      <c r="Y29" s="7"/>
      <c r="Z29" s="7"/>
    </row>
    <row r="30" spans="1:26" ht="13.5" customHeight="1" x14ac:dyDescent="0.25">
      <c r="A30" s="171" t="s">
        <v>250</v>
      </c>
      <c r="B30" s="171"/>
      <c r="C30" s="172"/>
      <c r="D30" s="172"/>
      <c r="E30" s="172"/>
      <c r="F30" s="172"/>
      <c r="G30" s="157"/>
      <c r="H30" s="157"/>
      <c r="I30" s="157"/>
      <c r="J30" s="157"/>
      <c r="K30" s="157"/>
      <c r="L30" s="157"/>
      <c r="M30" s="157"/>
      <c r="N30" s="157"/>
      <c r="O30" s="157"/>
      <c r="P30" s="157"/>
      <c r="Q30" s="157"/>
      <c r="R30" s="157"/>
      <c r="S30" s="157"/>
      <c r="T30" s="157"/>
      <c r="U30" s="157"/>
      <c r="V30" s="157"/>
      <c r="W30" s="157"/>
      <c r="X30" s="157"/>
      <c r="Y30" s="157"/>
      <c r="Z30" s="157"/>
    </row>
    <row r="31" spans="1:26" ht="13.5" customHeight="1" x14ac:dyDescent="0.25">
      <c r="A31" s="171" t="s">
        <v>243</v>
      </c>
      <c r="B31" s="171" t="s">
        <v>244</v>
      </c>
      <c r="C31" s="75" t="s">
        <v>200</v>
      </c>
      <c r="D31" s="75" t="s">
        <v>201</v>
      </c>
      <c r="E31" s="75" t="s">
        <v>202</v>
      </c>
      <c r="F31" s="75" t="s">
        <v>203</v>
      </c>
      <c r="G31" s="75" t="s">
        <v>204</v>
      </c>
      <c r="H31" s="75" t="s">
        <v>205</v>
      </c>
      <c r="I31" s="75" t="s">
        <v>206</v>
      </c>
      <c r="J31" s="75" t="s">
        <v>207</v>
      </c>
      <c r="K31" s="75" t="s">
        <v>208</v>
      </c>
      <c r="L31" s="75" t="s">
        <v>209</v>
      </c>
      <c r="M31" s="75" t="s">
        <v>210</v>
      </c>
      <c r="N31" s="75" t="s">
        <v>211</v>
      </c>
      <c r="O31" s="157"/>
      <c r="P31" s="157"/>
      <c r="Q31" s="157"/>
      <c r="R31" s="157"/>
      <c r="S31" s="157"/>
      <c r="T31" s="157"/>
      <c r="U31" s="157"/>
      <c r="V31" s="157"/>
      <c r="W31" s="157"/>
      <c r="X31" s="157"/>
      <c r="Y31" s="157"/>
      <c r="Z31" s="157"/>
    </row>
    <row r="32" spans="1:26" ht="13.5" customHeight="1" x14ac:dyDescent="0.25">
      <c r="A32" s="90" t="s">
        <v>234</v>
      </c>
      <c r="B32" s="90" t="s">
        <v>50</v>
      </c>
      <c r="C32" s="91" t="e">
        <f>SUMIFS('Variance Analysis'!C$42:C$45,'Variance Analysis'!$B$42:$B$45,'Variance Analysis'!$B$45)</f>
        <v>#REF!</v>
      </c>
      <c r="D32" s="91" t="e">
        <f>SUMIFS('Variance Analysis'!D$42:D$45,'Variance Analysis'!$B$42:$B$45,'Variance Analysis'!$B$45)</f>
        <v>#REF!</v>
      </c>
      <c r="E32" s="91" t="e">
        <f>SUMIFS('Variance Analysis'!E$42:E$45,'Variance Analysis'!$B$42:$B$45,'Variance Analysis'!$B$45)</f>
        <v>#REF!</v>
      </c>
      <c r="F32" s="91" t="e">
        <f>SUMIFS('Variance Analysis'!F$42:F$45,'Variance Analysis'!$B$42:$B$45,'Variance Analysis'!$B$45)</f>
        <v>#REF!</v>
      </c>
      <c r="G32" s="91" t="e">
        <f>SUMIFS('Variance Analysis'!G$42:G$45,'Variance Analysis'!$B$42:$B$45,'Variance Analysis'!$B$45)</f>
        <v>#REF!</v>
      </c>
      <c r="H32" s="91" t="e">
        <f>SUMIFS('Variance Analysis'!H$42:H$45,'Variance Analysis'!$B$42:$B$45,'Variance Analysis'!$B$45)</f>
        <v>#REF!</v>
      </c>
      <c r="I32" s="91" t="e">
        <f>SUMIFS('Variance Analysis'!I$42:I$45,'Variance Analysis'!$B$42:$B$45,'Variance Analysis'!$B$45)</f>
        <v>#REF!</v>
      </c>
      <c r="J32" s="91" t="e">
        <f>SUMIFS('Variance Analysis'!J$42:J$45,'Variance Analysis'!$B$42:$B$45,'Variance Analysis'!$B$45)</f>
        <v>#REF!</v>
      </c>
      <c r="K32" s="91" t="e">
        <f>SUMIFS('Variance Analysis'!K$42:K$45,'Variance Analysis'!$B$42:$B$45,'Variance Analysis'!$B$45)</f>
        <v>#REF!</v>
      </c>
      <c r="L32" s="91" t="e">
        <f>SUMIFS('Variance Analysis'!L$42:L$45,'Variance Analysis'!$B$42:$B$45,'Variance Analysis'!$B$45)</f>
        <v>#REF!</v>
      </c>
      <c r="M32" s="91" t="e">
        <f>SUMIFS('Variance Analysis'!M$42:M$45,'Variance Analysis'!$B$42:$B$45,'Variance Analysis'!$B$45)</f>
        <v>#REF!</v>
      </c>
      <c r="N32" s="91" t="e">
        <f>SUMIFS('Variance Analysis'!N$42:N$45,'Variance Analysis'!$B$42:$B$45,'Variance Analysis'!$B$45)</f>
        <v>#REF!</v>
      </c>
      <c r="O32" s="7"/>
      <c r="P32" s="7"/>
      <c r="Q32" s="7"/>
      <c r="R32" s="7"/>
      <c r="S32" s="7"/>
      <c r="T32" s="7"/>
      <c r="U32" s="7"/>
      <c r="V32" s="7"/>
      <c r="W32" s="7"/>
      <c r="X32" s="7"/>
      <c r="Y32" s="7"/>
      <c r="Z32" s="7"/>
    </row>
    <row r="33" spans="1:26" ht="13.5" customHeight="1" x14ac:dyDescent="0.25">
      <c r="A33" s="90" t="s">
        <v>235</v>
      </c>
      <c r="B33" s="90" t="s">
        <v>50</v>
      </c>
      <c r="C33" s="91" t="e">
        <f>SUMIFS('Variance Analysis'!C$42:C$45,'Variance Analysis'!$B$42:$B$45,'Variance Analysis'!$B$43)</f>
        <v>#REF!</v>
      </c>
      <c r="D33" s="91" t="e">
        <f>SUMIFS('Variance Analysis'!D$42:D$45,'Variance Analysis'!$B$42:$B$45,'Variance Analysis'!$B$43)</f>
        <v>#REF!</v>
      </c>
      <c r="E33" s="91" t="e">
        <f>SUMIFS('Variance Analysis'!E$42:E$45,'Variance Analysis'!$B$42:$B$45,'Variance Analysis'!$B$43)</f>
        <v>#REF!</v>
      </c>
      <c r="F33" s="91" t="e">
        <f>SUMIFS('Variance Analysis'!F$42:F$45,'Variance Analysis'!$B$42:$B$45,'Variance Analysis'!$B$43)</f>
        <v>#REF!</v>
      </c>
      <c r="G33" s="91" t="e">
        <f>SUMIFS('Variance Analysis'!G$42:G$45,'Variance Analysis'!$B$42:$B$45,'Variance Analysis'!$B$43)</f>
        <v>#REF!</v>
      </c>
      <c r="H33" s="91" t="e">
        <f>SUMIFS('Variance Analysis'!H$42:H$45,'Variance Analysis'!$B$42:$B$45,'Variance Analysis'!$B$43)</f>
        <v>#REF!</v>
      </c>
      <c r="I33" s="91" t="e">
        <f>SUMIFS('Variance Analysis'!I$42:I$45,'Variance Analysis'!$B$42:$B$45,'Variance Analysis'!$B$43)</f>
        <v>#REF!</v>
      </c>
      <c r="J33" s="91" t="e">
        <f>SUMIFS('Variance Analysis'!J$42:J$45,'Variance Analysis'!$B$42:$B$45,'Variance Analysis'!$B$43)</f>
        <v>#REF!</v>
      </c>
      <c r="K33" s="91" t="e">
        <f>SUMIFS('Variance Analysis'!K$42:K$45,'Variance Analysis'!$B$42:$B$45,'Variance Analysis'!$B$43)</f>
        <v>#REF!</v>
      </c>
      <c r="L33" s="91" t="e">
        <f>SUMIFS('Variance Analysis'!L$42:L$45,'Variance Analysis'!$B$42:$B$45,'Variance Analysis'!$B$43)</f>
        <v>#REF!</v>
      </c>
      <c r="M33" s="91" t="e">
        <f>SUMIFS('Variance Analysis'!M$42:M$45,'Variance Analysis'!$B$42:$B$45,'Variance Analysis'!$B$43)</f>
        <v>#REF!</v>
      </c>
      <c r="N33" s="91" t="e">
        <f>SUMIFS('Variance Analysis'!N$42:N$45,'Variance Analysis'!$B$42:$B$45,'Variance Analysis'!$B$43)</f>
        <v>#REF!</v>
      </c>
      <c r="O33" s="7"/>
      <c r="P33" s="7"/>
      <c r="Q33" s="7"/>
      <c r="R33" s="7"/>
      <c r="S33" s="7"/>
      <c r="T33" s="7"/>
      <c r="U33" s="7"/>
      <c r="V33" s="7"/>
      <c r="W33" s="7"/>
      <c r="X33" s="7"/>
      <c r="Y33" s="7"/>
      <c r="Z33" s="7"/>
    </row>
    <row r="34" spans="1:26" ht="13.5" customHeight="1" x14ac:dyDescent="0.25">
      <c r="A34" s="90" t="s">
        <v>236</v>
      </c>
      <c r="B34" s="90" t="s">
        <v>50</v>
      </c>
      <c r="C34" s="91" t="e">
        <f>SUMIFS('Variance Analysis'!C$42:C$45,'Variance Analysis'!$B$42:$B$45,'Variance Analysis'!$B$44)</f>
        <v>#REF!</v>
      </c>
      <c r="D34" s="91" t="e">
        <f>SUMIFS('Variance Analysis'!D$42:D$45,'Variance Analysis'!$B$42:$B$45,'Variance Analysis'!$B$44)</f>
        <v>#REF!</v>
      </c>
      <c r="E34" s="91" t="e">
        <f>SUMIFS('Variance Analysis'!E$42:E$45,'Variance Analysis'!$B$42:$B$45,'Variance Analysis'!$B$44)</f>
        <v>#REF!</v>
      </c>
      <c r="F34" s="91" t="e">
        <f>SUMIFS('Variance Analysis'!F$42:F$45,'Variance Analysis'!$B$42:$B$45,'Variance Analysis'!$B$44)</f>
        <v>#REF!</v>
      </c>
      <c r="G34" s="91" t="e">
        <f>SUMIFS('Variance Analysis'!G$42:G$45,'Variance Analysis'!$B$42:$B$45,'Variance Analysis'!$B$44)</f>
        <v>#REF!</v>
      </c>
      <c r="H34" s="91" t="e">
        <f>SUMIFS('Variance Analysis'!H$42:H$45,'Variance Analysis'!$B$42:$B$45,'Variance Analysis'!$B$44)</f>
        <v>#REF!</v>
      </c>
      <c r="I34" s="91" t="e">
        <f>SUMIFS('Variance Analysis'!I$42:I$45,'Variance Analysis'!$B$42:$B$45,'Variance Analysis'!$B$44)</f>
        <v>#REF!</v>
      </c>
      <c r="J34" s="91" t="e">
        <f>SUMIFS('Variance Analysis'!J$42:J$45,'Variance Analysis'!$B$42:$B$45,'Variance Analysis'!$B$44)</f>
        <v>#REF!</v>
      </c>
      <c r="K34" s="91" t="e">
        <f>SUMIFS('Variance Analysis'!K$42:K$45,'Variance Analysis'!$B$42:$B$45,'Variance Analysis'!$B$44)</f>
        <v>#REF!</v>
      </c>
      <c r="L34" s="91" t="e">
        <f>SUMIFS('Variance Analysis'!L$42:L$45,'Variance Analysis'!$B$42:$B$45,'Variance Analysis'!$B$44)</f>
        <v>#REF!</v>
      </c>
      <c r="M34" s="91" t="e">
        <f>SUMIFS('Variance Analysis'!M$42:M$45,'Variance Analysis'!$B$42:$B$45,'Variance Analysis'!$B$44)</f>
        <v>#REF!</v>
      </c>
      <c r="N34" s="91" t="e">
        <f>SUMIFS('Variance Analysis'!N$42:N$45,'Variance Analysis'!$B$42:$B$45,'Variance Analysis'!$B$44)</f>
        <v>#REF!</v>
      </c>
      <c r="O34" s="7"/>
      <c r="P34" s="7"/>
      <c r="Q34" s="7"/>
      <c r="R34" s="7"/>
      <c r="S34" s="7"/>
      <c r="T34" s="7"/>
      <c r="U34" s="7"/>
      <c r="V34" s="7"/>
      <c r="W34" s="7"/>
      <c r="X34" s="7"/>
      <c r="Y34" s="7"/>
      <c r="Z34" s="7"/>
    </row>
    <row r="35" spans="1:26" ht="13.5" customHeight="1" x14ac:dyDescent="0.25">
      <c r="A35" s="90" t="s">
        <v>212</v>
      </c>
      <c r="B35" s="90" t="s">
        <v>245</v>
      </c>
      <c r="C35" s="92" t="e">
        <f t="shared" ref="C35:N35" si="6">#REF!</f>
        <v>#REF!</v>
      </c>
      <c r="D35" s="92" t="e">
        <f t="shared" si="6"/>
        <v>#REF!</v>
      </c>
      <c r="E35" s="92" t="e">
        <f t="shared" si="6"/>
        <v>#REF!</v>
      </c>
      <c r="F35" s="92" t="e">
        <f t="shared" si="6"/>
        <v>#REF!</v>
      </c>
      <c r="G35" s="92" t="e">
        <f t="shared" si="6"/>
        <v>#REF!</v>
      </c>
      <c r="H35" s="92" t="e">
        <f t="shared" si="6"/>
        <v>#REF!</v>
      </c>
      <c r="I35" s="92" t="e">
        <f t="shared" si="6"/>
        <v>#REF!</v>
      </c>
      <c r="J35" s="92" t="e">
        <f t="shared" si="6"/>
        <v>#REF!</v>
      </c>
      <c r="K35" s="92" t="e">
        <f t="shared" si="6"/>
        <v>#REF!</v>
      </c>
      <c r="L35" s="92" t="e">
        <f t="shared" si="6"/>
        <v>#REF!</v>
      </c>
      <c r="M35" s="92" t="e">
        <f t="shared" si="6"/>
        <v>#REF!</v>
      </c>
      <c r="N35" s="92" t="e">
        <f t="shared" si="6"/>
        <v>#REF!</v>
      </c>
      <c r="O35" s="7"/>
      <c r="P35" s="7"/>
      <c r="Q35" s="7"/>
      <c r="R35" s="7"/>
      <c r="S35" s="7"/>
      <c r="T35" s="7"/>
      <c r="U35" s="7"/>
      <c r="V35" s="7"/>
      <c r="W35" s="7"/>
      <c r="X35" s="7"/>
      <c r="Y35" s="7"/>
      <c r="Z35" s="7"/>
    </row>
    <row r="36" spans="1:26" ht="13.5" customHeight="1" x14ac:dyDescent="0.25">
      <c r="A36" s="90" t="s">
        <v>217</v>
      </c>
      <c r="B36" s="90" t="s">
        <v>245</v>
      </c>
      <c r="C36" s="92" t="e">
        <f t="shared" ref="C36:N36" si="7">#REF!</f>
        <v>#REF!</v>
      </c>
      <c r="D36" s="92" t="e">
        <f t="shared" si="7"/>
        <v>#REF!</v>
      </c>
      <c r="E36" s="92" t="e">
        <f t="shared" si="7"/>
        <v>#REF!</v>
      </c>
      <c r="F36" s="92" t="e">
        <f t="shared" si="7"/>
        <v>#REF!</v>
      </c>
      <c r="G36" s="92" t="e">
        <f t="shared" si="7"/>
        <v>#REF!</v>
      </c>
      <c r="H36" s="92" t="e">
        <f t="shared" si="7"/>
        <v>#REF!</v>
      </c>
      <c r="I36" s="92" t="e">
        <f t="shared" si="7"/>
        <v>#REF!</v>
      </c>
      <c r="J36" s="92" t="e">
        <f t="shared" si="7"/>
        <v>#REF!</v>
      </c>
      <c r="K36" s="92" t="e">
        <f t="shared" si="7"/>
        <v>#REF!</v>
      </c>
      <c r="L36" s="92" t="e">
        <f t="shared" si="7"/>
        <v>#REF!</v>
      </c>
      <c r="M36" s="92" t="e">
        <f t="shared" si="7"/>
        <v>#REF!</v>
      </c>
      <c r="N36" s="92" t="e">
        <f t="shared" si="7"/>
        <v>#REF!</v>
      </c>
      <c r="O36" s="7"/>
      <c r="P36" s="7"/>
      <c r="Q36" s="7"/>
      <c r="R36" s="7"/>
      <c r="S36" s="7"/>
      <c r="T36" s="7"/>
      <c r="U36" s="7"/>
      <c r="V36" s="7"/>
      <c r="W36" s="7"/>
      <c r="X36" s="7"/>
      <c r="Y36" s="7"/>
      <c r="Z36" s="7"/>
    </row>
    <row r="37" spans="1:26" ht="13.5" customHeight="1" x14ac:dyDescent="0.25">
      <c r="A37" s="90" t="s">
        <v>218</v>
      </c>
      <c r="B37" s="90" t="s">
        <v>245</v>
      </c>
      <c r="C37" s="92" t="e">
        <f t="shared" ref="C37:N37" si="8">#REF!</f>
        <v>#REF!</v>
      </c>
      <c r="D37" s="92" t="e">
        <f t="shared" si="8"/>
        <v>#REF!</v>
      </c>
      <c r="E37" s="92" t="e">
        <f t="shared" si="8"/>
        <v>#REF!</v>
      </c>
      <c r="F37" s="92" t="e">
        <f t="shared" si="8"/>
        <v>#REF!</v>
      </c>
      <c r="G37" s="92" t="e">
        <f t="shared" si="8"/>
        <v>#REF!</v>
      </c>
      <c r="H37" s="92" t="e">
        <f t="shared" si="8"/>
        <v>#REF!</v>
      </c>
      <c r="I37" s="92" t="e">
        <f t="shared" si="8"/>
        <v>#REF!</v>
      </c>
      <c r="J37" s="92" t="e">
        <f t="shared" si="8"/>
        <v>#REF!</v>
      </c>
      <c r="K37" s="92" t="e">
        <f t="shared" si="8"/>
        <v>#REF!</v>
      </c>
      <c r="L37" s="92" t="e">
        <f t="shared" si="8"/>
        <v>#REF!</v>
      </c>
      <c r="M37" s="92" t="e">
        <f t="shared" si="8"/>
        <v>#REF!</v>
      </c>
      <c r="N37" s="92" t="e">
        <f t="shared" si="8"/>
        <v>#REF!</v>
      </c>
      <c r="O37" s="7"/>
      <c r="P37" s="7"/>
      <c r="Q37" s="7"/>
      <c r="R37" s="7"/>
      <c r="S37" s="7"/>
      <c r="T37" s="7"/>
      <c r="U37" s="7"/>
      <c r="V37" s="7"/>
      <c r="W37" s="7"/>
      <c r="X37" s="7"/>
      <c r="Y37" s="7"/>
      <c r="Z37" s="7"/>
    </row>
    <row r="38" spans="1:26" ht="13.5" customHeight="1" x14ac:dyDescent="0.25">
      <c r="A38" s="93" t="s">
        <v>246</v>
      </c>
      <c r="B38" s="94" t="s">
        <v>247</v>
      </c>
      <c r="C38" s="95" t="e">
        <f t="shared" ref="C38:N38" si="9">SUM($C$32:C34)/(SUM($C$35:C37)*1000)</f>
        <v>#REF!</v>
      </c>
      <c r="D38" s="95" t="e">
        <f t="shared" si="9"/>
        <v>#REF!</v>
      </c>
      <c r="E38" s="95" t="e">
        <f t="shared" si="9"/>
        <v>#REF!</v>
      </c>
      <c r="F38" s="95" t="e">
        <f t="shared" si="9"/>
        <v>#REF!</v>
      </c>
      <c r="G38" s="95" t="e">
        <f t="shared" si="9"/>
        <v>#REF!</v>
      </c>
      <c r="H38" s="95" t="e">
        <f t="shared" si="9"/>
        <v>#REF!</v>
      </c>
      <c r="I38" s="95" t="e">
        <f t="shared" si="9"/>
        <v>#REF!</v>
      </c>
      <c r="J38" s="95" t="e">
        <f t="shared" si="9"/>
        <v>#REF!</v>
      </c>
      <c r="K38" s="95" t="e">
        <f t="shared" si="9"/>
        <v>#REF!</v>
      </c>
      <c r="L38" s="95" t="e">
        <f t="shared" si="9"/>
        <v>#REF!</v>
      </c>
      <c r="M38" s="95" t="e">
        <f t="shared" si="9"/>
        <v>#REF!</v>
      </c>
      <c r="N38" s="95" t="e">
        <f t="shared" si="9"/>
        <v>#REF!</v>
      </c>
      <c r="O38" s="7"/>
      <c r="P38" s="7"/>
      <c r="Q38" s="7"/>
      <c r="R38" s="7"/>
      <c r="S38" s="7"/>
      <c r="T38" s="7"/>
      <c r="U38" s="7"/>
      <c r="V38" s="7"/>
      <c r="W38" s="7"/>
      <c r="X38" s="7"/>
      <c r="Y38" s="7"/>
      <c r="Z38" s="7"/>
    </row>
    <row r="39" spans="1:26" ht="13.5" customHeight="1" x14ac:dyDescent="0.25">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3.5" customHeight="1" x14ac:dyDescent="0.25">
      <c r="A40" s="171" t="s">
        <v>251</v>
      </c>
      <c r="B40" s="171"/>
      <c r="C40" s="157"/>
      <c r="D40" s="157"/>
      <c r="E40" s="157"/>
      <c r="F40" s="157"/>
      <c r="G40" s="157"/>
      <c r="H40" s="157"/>
      <c r="I40" s="157"/>
      <c r="J40" s="157"/>
      <c r="K40" s="157"/>
      <c r="L40" s="157"/>
      <c r="M40" s="157"/>
      <c r="N40" s="157"/>
      <c r="O40" s="157"/>
      <c r="P40" s="157"/>
      <c r="Q40" s="157"/>
      <c r="R40" s="157"/>
      <c r="S40" s="157"/>
      <c r="T40" s="157"/>
      <c r="U40" s="157"/>
      <c r="V40" s="157"/>
      <c r="W40" s="157"/>
      <c r="X40" s="157"/>
      <c r="Y40" s="157"/>
      <c r="Z40" s="157"/>
    </row>
    <row r="41" spans="1:26" ht="13.5" customHeight="1" x14ac:dyDescent="0.25">
      <c r="A41" s="171" t="s">
        <v>243</v>
      </c>
      <c r="B41" s="171"/>
      <c r="C41" s="75" t="s">
        <v>200</v>
      </c>
      <c r="D41" s="75" t="s">
        <v>201</v>
      </c>
      <c r="E41" s="75" t="s">
        <v>202</v>
      </c>
      <c r="F41" s="75" t="s">
        <v>203</v>
      </c>
      <c r="G41" s="75" t="s">
        <v>204</v>
      </c>
      <c r="H41" s="75" t="s">
        <v>205</v>
      </c>
      <c r="I41" s="75" t="s">
        <v>206</v>
      </c>
      <c r="J41" s="75" t="s">
        <v>207</v>
      </c>
      <c r="K41" s="75" t="s">
        <v>208</v>
      </c>
      <c r="L41" s="75" t="s">
        <v>209</v>
      </c>
      <c r="M41" s="75" t="s">
        <v>210</v>
      </c>
      <c r="N41" s="75" t="s">
        <v>211</v>
      </c>
      <c r="O41" s="157"/>
      <c r="P41" s="157"/>
      <c r="Q41" s="157"/>
      <c r="R41" s="157"/>
      <c r="S41" s="157"/>
      <c r="T41" s="157"/>
      <c r="U41" s="157"/>
      <c r="V41" s="157"/>
      <c r="W41" s="157"/>
      <c r="X41" s="157"/>
      <c r="Y41" s="157"/>
      <c r="Z41" s="157"/>
    </row>
    <row r="42" spans="1:26" ht="13.5" customHeight="1" x14ac:dyDescent="0.25">
      <c r="A42" s="90" t="s">
        <v>234</v>
      </c>
      <c r="B42" s="90" t="s">
        <v>50</v>
      </c>
      <c r="C42" s="91" t="e">
        <f>SUMIFS('Variance Analysis'!C$9:C$24,'Variance Analysis'!$B$9:$B$24,'Variance Analysis'!$B$12,'Variance Analysis'!$A$9:$A$24,'Variance Analysis'!$A$12)</f>
        <v>#REF!</v>
      </c>
      <c r="D42" s="91" t="e">
        <f>SUMIFS('Variance Analysis'!D$9:D$24,'Variance Analysis'!$B$9:$B$24,'Variance Analysis'!$B$12,'Variance Analysis'!$A$9:$A$24,'Variance Analysis'!$A$12)</f>
        <v>#REF!</v>
      </c>
      <c r="E42" s="91" t="e">
        <f>SUMIFS('Variance Analysis'!E$9:E$24,'Variance Analysis'!$B$9:$B$24,'Variance Analysis'!$B$12,'Variance Analysis'!$A$9:$A$24,'Variance Analysis'!$A$12)</f>
        <v>#REF!</v>
      </c>
      <c r="F42" s="91" t="e">
        <f>SUMIFS('Variance Analysis'!F$9:F$24,'Variance Analysis'!$B$9:$B$24,'Variance Analysis'!$B$12,'Variance Analysis'!$A$9:$A$24,'Variance Analysis'!$A$12)</f>
        <v>#REF!</v>
      </c>
      <c r="G42" s="91" t="e">
        <f>SUMIFS('Variance Analysis'!G$9:G$24,'Variance Analysis'!$B$9:$B$24,'Variance Analysis'!$B$12,'Variance Analysis'!$A$9:$A$24,'Variance Analysis'!$A$12)</f>
        <v>#REF!</v>
      </c>
      <c r="H42" s="91" t="e">
        <f>SUMIFS('Variance Analysis'!H$9:H$24,'Variance Analysis'!$B$9:$B$24,'Variance Analysis'!$B$12,'Variance Analysis'!$A$9:$A$24,'Variance Analysis'!$A$12)</f>
        <v>#REF!</v>
      </c>
      <c r="I42" s="91" t="e">
        <f>SUMIFS('Variance Analysis'!I$9:I$24,'Variance Analysis'!$B$9:$B$24,'Variance Analysis'!$B$12,'Variance Analysis'!$A$9:$A$24,'Variance Analysis'!$A$12)</f>
        <v>#REF!</v>
      </c>
      <c r="J42" s="91" t="e">
        <f>SUMIFS('Variance Analysis'!J$9:J$24,'Variance Analysis'!$B$9:$B$24,'Variance Analysis'!$B$12,'Variance Analysis'!$A$9:$A$24,'Variance Analysis'!$A$12)</f>
        <v>#REF!</v>
      </c>
      <c r="K42" s="91" t="e">
        <f>SUMIFS('Variance Analysis'!K$9:K$24,'Variance Analysis'!$B$9:$B$24,'Variance Analysis'!$B$12,'Variance Analysis'!$A$9:$A$24,'Variance Analysis'!$A$12)</f>
        <v>#REF!</v>
      </c>
      <c r="L42" s="91" t="e">
        <f>SUMIFS('Variance Analysis'!L$9:L$24,'Variance Analysis'!$B$9:$B$24,'Variance Analysis'!$B$12,'Variance Analysis'!$A$9:$A$24,'Variance Analysis'!$A$12)</f>
        <v>#REF!</v>
      </c>
      <c r="M42" s="91" t="e">
        <f>SUMIFS('Variance Analysis'!M$9:M$24,'Variance Analysis'!$B$9:$B$24,'Variance Analysis'!$B$12,'Variance Analysis'!$A$9:$A$24,'Variance Analysis'!$A$12)</f>
        <v>#REF!</v>
      </c>
      <c r="N42" s="91" t="e">
        <f>SUMIFS('Variance Analysis'!N$9:N$24,'Variance Analysis'!$B$9:$B$24,'Variance Analysis'!$B$12,'Variance Analysis'!$A$9:$A$24,'Variance Analysis'!$A$12)</f>
        <v>#REF!</v>
      </c>
      <c r="O42" s="7"/>
      <c r="P42" s="7"/>
      <c r="Q42" s="7"/>
      <c r="R42" s="7"/>
      <c r="S42" s="7"/>
      <c r="T42" s="7"/>
      <c r="U42" s="7"/>
      <c r="V42" s="7"/>
      <c r="W42" s="7"/>
      <c r="X42" s="7"/>
      <c r="Y42" s="7"/>
      <c r="Z42" s="7"/>
    </row>
    <row r="43" spans="1:26" ht="13.5" customHeight="1" x14ac:dyDescent="0.25">
      <c r="A43" s="90" t="s">
        <v>235</v>
      </c>
      <c r="B43" s="90" t="s">
        <v>50</v>
      </c>
      <c r="C43" s="91" t="e">
        <f>SUMIFS('Variance Analysis'!C$9:C$24,'Variance Analysis'!$B$9:$B$24,'Variance Analysis'!$B$10,'Variance Analysis'!$A$9:$A$24,'Variance Analysis'!$A$10)</f>
        <v>#REF!</v>
      </c>
      <c r="D43" s="91" t="e">
        <f>SUMIFS('Variance Analysis'!D$9:D$24,'Variance Analysis'!$B$9:$B$24,'Variance Analysis'!$B$10,'Variance Analysis'!$A$9:$A$24,'Variance Analysis'!$A$10)</f>
        <v>#REF!</v>
      </c>
      <c r="E43" s="91" t="e">
        <f>SUMIFS('Variance Analysis'!E$9:E$24,'Variance Analysis'!$B$9:$B$24,'Variance Analysis'!$B$10,'Variance Analysis'!$A$9:$A$24,'Variance Analysis'!$A$10)</f>
        <v>#REF!</v>
      </c>
      <c r="F43" s="91" t="e">
        <f>SUMIFS('Variance Analysis'!F$9:F$24,'Variance Analysis'!$B$9:$B$24,'Variance Analysis'!$B$10,'Variance Analysis'!$A$9:$A$24,'Variance Analysis'!$A$10)</f>
        <v>#REF!</v>
      </c>
      <c r="G43" s="91" t="e">
        <f>SUMIFS('Variance Analysis'!G$9:G$24,'Variance Analysis'!$B$9:$B$24,'Variance Analysis'!$B$10,'Variance Analysis'!$A$9:$A$24,'Variance Analysis'!$A$10)</f>
        <v>#REF!</v>
      </c>
      <c r="H43" s="91" t="e">
        <f>SUMIFS('Variance Analysis'!H$9:H$24,'Variance Analysis'!$B$9:$B$24,'Variance Analysis'!$B$10,'Variance Analysis'!$A$9:$A$24,'Variance Analysis'!$A$10)</f>
        <v>#REF!</v>
      </c>
      <c r="I43" s="91" t="e">
        <f>SUMIFS('Variance Analysis'!I$9:I$24,'Variance Analysis'!$B$9:$B$24,'Variance Analysis'!$B$10,'Variance Analysis'!$A$9:$A$24,'Variance Analysis'!$A$10)</f>
        <v>#REF!</v>
      </c>
      <c r="J43" s="91" t="e">
        <f>SUMIFS('Variance Analysis'!J$9:J$24,'Variance Analysis'!$B$9:$B$24,'Variance Analysis'!$B$10,'Variance Analysis'!$A$9:$A$24,'Variance Analysis'!$A$10)</f>
        <v>#REF!</v>
      </c>
      <c r="K43" s="91" t="e">
        <f>SUMIFS('Variance Analysis'!K$9:K$24,'Variance Analysis'!$B$9:$B$24,'Variance Analysis'!$B$10,'Variance Analysis'!$A$9:$A$24,'Variance Analysis'!$A$10)</f>
        <v>#REF!</v>
      </c>
      <c r="L43" s="91" t="e">
        <f>SUMIFS('Variance Analysis'!L$9:L$24,'Variance Analysis'!$B$9:$B$24,'Variance Analysis'!$B$10,'Variance Analysis'!$A$9:$A$24,'Variance Analysis'!$A$10)</f>
        <v>#REF!</v>
      </c>
      <c r="M43" s="91" t="e">
        <f>SUMIFS('Variance Analysis'!M$9:M$24,'Variance Analysis'!$B$9:$B$24,'Variance Analysis'!$B$10,'Variance Analysis'!$A$9:$A$24,'Variance Analysis'!$A$10)</f>
        <v>#REF!</v>
      </c>
      <c r="N43" s="91" t="e">
        <f>SUMIFS('Variance Analysis'!N$9:N$24,'Variance Analysis'!$B$9:$B$24,'Variance Analysis'!$B$10,'Variance Analysis'!$A$9:$A$24,'Variance Analysis'!$A$10)</f>
        <v>#REF!</v>
      </c>
      <c r="O43" s="7"/>
      <c r="P43" s="7"/>
      <c r="Q43" s="7"/>
      <c r="R43" s="7"/>
      <c r="S43" s="7"/>
      <c r="T43" s="7"/>
      <c r="U43" s="7"/>
      <c r="V43" s="7"/>
      <c r="W43" s="7"/>
      <c r="X43" s="7"/>
      <c r="Y43" s="7"/>
      <c r="Z43" s="7"/>
    </row>
    <row r="44" spans="1:26" ht="13.5" customHeight="1" x14ac:dyDescent="0.25">
      <c r="A44" s="90" t="s">
        <v>236</v>
      </c>
      <c r="B44" s="90" t="s">
        <v>50</v>
      </c>
      <c r="C44" s="91" t="e">
        <f>SUMIFS('Variance Analysis'!C$9:C$24,'Variance Analysis'!$B$9:$B$24,'Variance Analysis'!$B$11,'Variance Analysis'!$A$9:$A$24,'Variance Analysis'!$A$11)</f>
        <v>#REF!</v>
      </c>
      <c r="D44" s="91" t="e">
        <f>SUMIFS('Variance Analysis'!D$9:D$24,'Variance Analysis'!$B$9:$B$24,'Variance Analysis'!$B$11,'Variance Analysis'!$A$9:$A$24,'Variance Analysis'!$A$11)</f>
        <v>#REF!</v>
      </c>
      <c r="E44" s="91" t="e">
        <f>SUMIFS('Variance Analysis'!E$9:E$24,'Variance Analysis'!$B$9:$B$24,'Variance Analysis'!$B$11,'Variance Analysis'!$A$9:$A$24,'Variance Analysis'!$A$11)</f>
        <v>#REF!</v>
      </c>
      <c r="F44" s="91" t="e">
        <f>SUMIFS('Variance Analysis'!F$9:F$24,'Variance Analysis'!$B$9:$B$24,'Variance Analysis'!$B$11,'Variance Analysis'!$A$9:$A$24,'Variance Analysis'!$A$11)</f>
        <v>#REF!</v>
      </c>
      <c r="G44" s="91" t="e">
        <f>SUMIFS('Variance Analysis'!G$9:G$24,'Variance Analysis'!$B$9:$B$24,'Variance Analysis'!$B$11,'Variance Analysis'!$A$9:$A$24,'Variance Analysis'!$A$11)</f>
        <v>#REF!</v>
      </c>
      <c r="H44" s="91" t="e">
        <f>SUMIFS('Variance Analysis'!H$9:H$24,'Variance Analysis'!$B$9:$B$24,'Variance Analysis'!$B$11,'Variance Analysis'!$A$9:$A$24,'Variance Analysis'!$A$11)</f>
        <v>#REF!</v>
      </c>
      <c r="I44" s="91" t="e">
        <f>SUMIFS('Variance Analysis'!I$9:I$24,'Variance Analysis'!$B$9:$B$24,'Variance Analysis'!$B$11,'Variance Analysis'!$A$9:$A$24,'Variance Analysis'!$A$11)</f>
        <v>#REF!</v>
      </c>
      <c r="J44" s="91" t="e">
        <f>SUMIFS('Variance Analysis'!J$9:J$24,'Variance Analysis'!$B$9:$B$24,'Variance Analysis'!$B$11,'Variance Analysis'!$A$9:$A$24,'Variance Analysis'!$A$11)</f>
        <v>#REF!</v>
      </c>
      <c r="K44" s="91" t="e">
        <f>SUMIFS('Variance Analysis'!K$9:K$24,'Variance Analysis'!$B$9:$B$24,'Variance Analysis'!$B$11,'Variance Analysis'!$A$9:$A$24,'Variance Analysis'!$A$11)</f>
        <v>#REF!</v>
      </c>
      <c r="L44" s="91" t="e">
        <f>SUMIFS('Variance Analysis'!L$9:L$24,'Variance Analysis'!$B$9:$B$24,'Variance Analysis'!$B$11,'Variance Analysis'!$A$9:$A$24,'Variance Analysis'!$A$11)</f>
        <v>#REF!</v>
      </c>
      <c r="M44" s="91" t="e">
        <f>SUMIFS('Variance Analysis'!M$9:M$24,'Variance Analysis'!$B$9:$B$24,'Variance Analysis'!$B$11,'Variance Analysis'!$A$9:$A$24,'Variance Analysis'!$A$11)</f>
        <v>#REF!</v>
      </c>
      <c r="N44" s="91" t="e">
        <f>SUMIFS('Variance Analysis'!N$9:N$24,'Variance Analysis'!$B$9:$B$24,'Variance Analysis'!$B$11,'Variance Analysis'!$A$9:$A$24,'Variance Analysis'!$A$11)</f>
        <v>#REF!</v>
      </c>
      <c r="O44" s="7"/>
      <c r="P44" s="7"/>
      <c r="Q44" s="7"/>
      <c r="R44" s="7"/>
      <c r="S44" s="7"/>
      <c r="T44" s="7"/>
      <c r="U44" s="7"/>
      <c r="V44" s="7"/>
      <c r="W44" s="7"/>
      <c r="X44" s="7"/>
      <c r="Y44" s="7"/>
      <c r="Z44" s="7"/>
    </row>
    <row r="45" spans="1:26" ht="13.5" customHeight="1" x14ac:dyDescent="0.25">
      <c r="A45" s="90" t="s">
        <v>212</v>
      </c>
      <c r="B45" s="90" t="s">
        <v>245</v>
      </c>
      <c r="C45" s="92" t="e">
        <f t="shared" ref="C45:N45" si="10">#REF!</f>
        <v>#REF!</v>
      </c>
      <c r="D45" s="92" t="e">
        <f t="shared" si="10"/>
        <v>#REF!</v>
      </c>
      <c r="E45" s="92" t="e">
        <f t="shared" si="10"/>
        <v>#REF!</v>
      </c>
      <c r="F45" s="92" t="e">
        <f t="shared" si="10"/>
        <v>#REF!</v>
      </c>
      <c r="G45" s="92" t="e">
        <f t="shared" si="10"/>
        <v>#REF!</v>
      </c>
      <c r="H45" s="92" t="e">
        <f t="shared" si="10"/>
        <v>#REF!</v>
      </c>
      <c r="I45" s="92" t="e">
        <f t="shared" si="10"/>
        <v>#REF!</v>
      </c>
      <c r="J45" s="92" t="e">
        <f t="shared" si="10"/>
        <v>#REF!</v>
      </c>
      <c r="K45" s="92" t="e">
        <f t="shared" si="10"/>
        <v>#REF!</v>
      </c>
      <c r="L45" s="92" t="e">
        <f t="shared" si="10"/>
        <v>#REF!</v>
      </c>
      <c r="M45" s="92" t="e">
        <f t="shared" si="10"/>
        <v>#REF!</v>
      </c>
      <c r="N45" s="92" t="e">
        <f t="shared" si="10"/>
        <v>#REF!</v>
      </c>
      <c r="O45" s="7"/>
      <c r="P45" s="7"/>
      <c r="Q45" s="7"/>
      <c r="R45" s="7"/>
      <c r="S45" s="7"/>
      <c r="T45" s="7"/>
      <c r="U45" s="7"/>
      <c r="V45" s="7"/>
      <c r="W45" s="7"/>
      <c r="X45" s="7"/>
      <c r="Y45" s="7"/>
      <c r="Z45" s="7"/>
    </row>
    <row r="46" spans="1:26" ht="13.5" customHeight="1" x14ac:dyDescent="0.25">
      <c r="A46" s="93" t="s">
        <v>252</v>
      </c>
      <c r="B46" s="94" t="s">
        <v>247</v>
      </c>
      <c r="C46" s="95" t="e">
        <f t="shared" ref="C46:N46" si="11">SUM($C$42:C44)/(SUM($C$45:C45)*1000)</f>
        <v>#REF!</v>
      </c>
      <c r="D46" s="95" t="e">
        <f t="shared" si="11"/>
        <v>#REF!</v>
      </c>
      <c r="E46" s="95" t="e">
        <f t="shared" si="11"/>
        <v>#REF!</v>
      </c>
      <c r="F46" s="95" t="e">
        <f t="shared" si="11"/>
        <v>#REF!</v>
      </c>
      <c r="G46" s="95" t="e">
        <f t="shared" si="11"/>
        <v>#REF!</v>
      </c>
      <c r="H46" s="95" t="e">
        <f t="shared" si="11"/>
        <v>#REF!</v>
      </c>
      <c r="I46" s="95" t="e">
        <f t="shared" si="11"/>
        <v>#REF!</v>
      </c>
      <c r="J46" s="95" t="e">
        <f t="shared" si="11"/>
        <v>#REF!</v>
      </c>
      <c r="K46" s="95" t="e">
        <f t="shared" si="11"/>
        <v>#REF!</v>
      </c>
      <c r="L46" s="95" t="e">
        <f t="shared" si="11"/>
        <v>#REF!</v>
      </c>
      <c r="M46" s="95" t="e">
        <f t="shared" si="11"/>
        <v>#REF!</v>
      </c>
      <c r="N46" s="95" t="e">
        <f t="shared" si="11"/>
        <v>#REF!</v>
      </c>
      <c r="O46" s="7"/>
      <c r="P46" s="7"/>
      <c r="Q46" s="7"/>
      <c r="R46" s="7"/>
      <c r="S46" s="7"/>
      <c r="T46" s="7"/>
      <c r="U46" s="7"/>
      <c r="V46" s="7"/>
      <c r="W46" s="7"/>
      <c r="X46" s="7"/>
      <c r="Y46" s="7"/>
      <c r="Z46" s="7"/>
    </row>
    <row r="47" spans="1:26" ht="13.5" customHeight="1" x14ac:dyDescent="0.25">
      <c r="A47" s="6"/>
      <c r="B47" s="7"/>
      <c r="C47" s="54"/>
      <c r="D47" s="54"/>
      <c r="E47" s="54"/>
      <c r="F47" s="54"/>
      <c r="G47" s="54"/>
      <c r="H47" s="54"/>
      <c r="I47" s="54"/>
      <c r="J47" s="54"/>
      <c r="K47" s="54"/>
      <c r="L47" s="54"/>
      <c r="M47" s="54"/>
      <c r="N47" s="54"/>
      <c r="O47" s="7"/>
      <c r="P47" s="7"/>
      <c r="Q47" s="7"/>
      <c r="R47" s="7"/>
      <c r="S47" s="7"/>
      <c r="T47" s="7"/>
      <c r="U47" s="7"/>
      <c r="V47" s="7"/>
      <c r="W47" s="7"/>
      <c r="X47" s="7"/>
      <c r="Y47" s="7"/>
      <c r="Z47" s="7"/>
    </row>
    <row r="48" spans="1:26" ht="13.5" customHeight="1" x14ac:dyDescent="0.25">
      <c r="A48" s="171" t="s">
        <v>253</v>
      </c>
      <c r="B48" s="171"/>
      <c r="C48" s="157"/>
      <c r="D48" s="157"/>
      <c r="E48" s="157"/>
      <c r="F48" s="157"/>
      <c r="G48" s="157"/>
      <c r="H48" s="157"/>
      <c r="I48" s="157"/>
      <c r="J48" s="157"/>
      <c r="K48" s="157"/>
      <c r="L48" s="157"/>
      <c r="M48" s="157"/>
      <c r="N48" s="157"/>
      <c r="O48" s="157"/>
      <c r="P48" s="157"/>
      <c r="Q48" s="157"/>
      <c r="R48" s="157"/>
      <c r="S48" s="157"/>
      <c r="T48" s="157"/>
      <c r="U48" s="157"/>
      <c r="V48" s="157"/>
      <c r="W48" s="157"/>
      <c r="X48" s="157"/>
      <c r="Y48" s="157"/>
      <c r="Z48" s="157"/>
    </row>
    <row r="49" spans="1:26" ht="13.5" customHeight="1" x14ac:dyDescent="0.25">
      <c r="A49" s="171" t="s">
        <v>243</v>
      </c>
      <c r="B49" s="171"/>
      <c r="C49" s="75" t="s">
        <v>200</v>
      </c>
      <c r="D49" s="75" t="s">
        <v>201</v>
      </c>
      <c r="E49" s="75" t="s">
        <v>202</v>
      </c>
      <c r="F49" s="75" t="s">
        <v>203</v>
      </c>
      <c r="G49" s="75" t="s">
        <v>204</v>
      </c>
      <c r="H49" s="75" t="s">
        <v>205</v>
      </c>
      <c r="I49" s="75" t="s">
        <v>206</v>
      </c>
      <c r="J49" s="75" t="s">
        <v>207</v>
      </c>
      <c r="K49" s="75" t="s">
        <v>208</v>
      </c>
      <c r="L49" s="75" t="s">
        <v>209</v>
      </c>
      <c r="M49" s="75" t="s">
        <v>210</v>
      </c>
      <c r="N49" s="75" t="s">
        <v>211</v>
      </c>
      <c r="O49" s="157"/>
      <c r="P49" s="157"/>
      <c r="Q49" s="157"/>
      <c r="R49" s="157"/>
      <c r="S49" s="157"/>
      <c r="T49" s="157"/>
      <c r="U49" s="157"/>
      <c r="V49" s="157"/>
      <c r="W49" s="157"/>
      <c r="X49" s="157"/>
      <c r="Y49" s="157"/>
      <c r="Z49" s="157"/>
    </row>
    <row r="50" spans="1:26" ht="13.5" customHeight="1" x14ac:dyDescent="0.25">
      <c r="A50" s="90" t="s">
        <v>234</v>
      </c>
      <c r="B50" s="90" t="s">
        <v>50</v>
      </c>
      <c r="C50" s="91" t="e">
        <f>SUMIFS('Variance Analysis'!C$9:C$24,'Variance Analysis'!$B$9:$B$24,'Variance Analysis'!$B$12,'Variance Analysis'!$A$9:$A$24,'Variance Analysis'!$A$13)</f>
        <v>#REF!</v>
      </c>
      <c r="D50" s="91" t="e">
        <f>SUMIFS('Variance Analysis'!D$9:D$24,'Variance Analysis'!$B$9:$B$24,'Variance Analysis'!$B$12,'Variance Analysis'!$A$9:$A$24,'Variance Analysis'!$A$13)</f>
        <v>#REF!</v>
      </c>
      <c r="E50" s="91" t="e">
        <f>SUMIFS('Variance Analysis'!E$9:E$24,'Variance Analysis'!$B$9:$B$24,'Variance Analysis'!$B$12,'Variance Analysis'!$A$9:$A$24,'Variance Analysis'!$A$13)</f>
        <v>#REF!</v>
      </c>
      <c r="F50" s="91" t="e">
        <f>SUMIFS('Variance Analysis'!F$9:F$24,'Variance Analysis'!$B$9:$B$24,'Variance Analysis'!$B$12,'Variance Analysis'!$A$9:$A$24,'Variance Analysis'!$A$13)</f>
        <v>#REF!</v>
      </c>
      <c r="G50" s="91" t="e">
        <f>SUMIFS('Variance Analysis'!G$9:G$24,'Variance Analysis'!$B$9:$B$24,'Variance Analysis'!$B$12,'Variance Analysis'!$A$9:$A$24,'Variance Analysis'!$A$13)</f>
        <v>#REF!</v>
      </c>
      <c r="H50" s="91" t="e">
        <f>SUMIFS('Variance Analysis'!H$9:H$24,'Variance Analysis'!$B$9:$B$24,'Variance Analysis'!$B$12,'Variance Analysis'!$A$9:$A$24,'Variance Analysis'!$A$13)</f>
        <v>#REF!</v>
      </c>
      <c r="I50" s="91" t="e">
        <f>SUMIFS('Variance Analysis'!I$9:I$24,'Variance Analysis'!$B$9:$B$24,'Variance Analysis'!$B$12,'Variance Analysis'!$A$9:$A$24,'Variance Analysis'!$A$13)</f>
        <v>#REF!</v>
      </c>
      <c r="J50" s="91" t="e">
        <f>SUMIFS('Variance Analysis'!J$9:J$24,'Variance Analysis'!$B$9:$B$24,'Variance Analysis'!$B$12,'Variance Analysis'!$A$9:$A$24,'Variance Analysis'!$A$13)</f>
        <v>#REF!</v>
      </c>
      <c r="K50" s="91" t="e">
        <f>SUMIFS('Variance Analysis'!K$9:K$24,'Variance Analysis'!$B$9:$B$24,'Variance Analysis'!$B$12,'Variance Analysis'!$A$9:$A$24,'Variance Analysis'!$A$13)</f>
        <v>#REF!</v>
      </c>
      <c r="L50" s="91" t="e">
        <f>SUMIFS('Variance Analysis'!L$9:L$24,'Variance Analysis'!$B$9:$B$24,'Variance Analysis'!$B$12,'Variance Analysis'!$A$9:$A$24,'Variance Analysis'!$A$13)</f>
        <v>#REF!</v>
      </c>
      <c r="M50" s="91" t="e">
        <f>SUMIFS('Variance Analysis'!M$9:M$24,'Variance Analysis'!$B$9:$B$24,'Variance Analysis'!$B$12,'Variance Analysis'!$A$9:$A$24,'Variance Analysis'!$A$13)</f>
        <v>#REF!</v>
      </c>
      <c r="N50" s="91" t="e">
        <f>SUMIFS('Variance Analysis'!N$9:N$24,'Variance Analysis'!$B$9:$B$24,'Variance Analysis'!$B$12,'Variance Analysis'!$A$9:$A$24,'Variance Analysis'!$A$13)</f>
        <v>#REF!</v>
      </c>
      <c r="O50" s="7"/>
      <c r="P50" s="7"/>
      <c r="Q50" s="7"/>
      <c r="R50" s="7"/>
      <c r="S50" s="7"/>
      <c r="T50" s="7"/>
      <c r="U50" s="7"/>
      <c r="V50" s="7"/>
      <c r="W50" s="7"/>
      <c r="X50" s="7"/>
      <c r="Y50" s="7"/>
      <c r="Z50" s="7"/>
    </row>
    <row r="51" spans="1:26" ht="13.5" customHeight="1" x14ac:dyDescent="0.25">
      <c r="A51" s="90" t="s">
        <v>235</v>
      </c>
      <c r="B51" s="90" t="s">
        <v>50</v>
      </c>
      <c r="C51" s="91" t="e">
        <f>SUMIFS('Variance Analysis'!C$9:C$24,'Variance Analysis'!$B$9:$B$24,'Variance Analysis'!$B$10,'Variance Analysis'!$A$9:$A$24,'Variance Analysis'!$A$13)</f>
        <v>#REF!</v>
      </c>
      <c r="D51" s="91" t="e">
        <f>SUMIFS('Variance Analysis'!D$9:D$24,'Variance Analysis'!$B$9:$B$24,'Variance Analysis'!$B$10,'Variance Analysis'!$A$9:$A$24,'Variance Analysis'!$A$13)</f>
        <v>#REF!</v>
      </c>
      <c r="E51" s="91" t="e">
        <f>SUMIFS('Variance Analysis'!E$9:E$24,'Variance Analysis'!$B$9:$B$24,'Variance Analysis'!$B$10,'Variance Analysis'!$A$9:$A$24,'Variance Analysis'!$A$13)</f>
        <v>#REF!</v>
      </c>
      <c r="F51" s="91" t="e">
        <f>SUMIFS('Variance Analysis'!F$9:F$24,'Variance Analysis'!$B$9:$B$24,'Variance Analysis'!$B$10,'Variance Analysis'!$A$9:$A$24,'Variance Analysis'!$A$13)</f>
        <v>#REF!</v>
      </c>
      <c r="G51" s="91" t="e">
        <f>SUMIFS('Variance Analysis'!G$9:G$24,'Variance Analysis'!$B$9:$B$24,'Variance Analysis'!$B$10,'Variance Analysis'!$A$9:$A$24,'Variance Analysis'!$A$13)</f>
        <v>#REF!</v>
      </c>
      <c r="H51" s="91" t="e">
        <f>SUMIFS('Variance Analysis'!H$9:H$24,'Variance Analysis'!$B$9:$B$24,'Variance Analysis'!$B$10,'Variance Analysis'!$A$9:$A$24,'Variance Analysis'!$A$13)</f>
        <v>#REF!</v>
      </c>
      <c r="I51" s="91" t="e">
        <f>SUMIFS('Variance Analysis'!I$9:I$24,'Variance Analysis'!$B$9:$B$24,'Variance Analysis'!$B$10,'Variance Analysis'!$A$9:$A$24,'Variance Analysis'!$A$13)</f>
        <v>#REF!</v>
      </c>
      <c r="J51" s="91" t="e">
        <f>SUMIFS('Variance Analysis'!J$9:J$24,'Variance Analysis'!$B$9:$B$24,'Variance Analysis'!$B$10,'Variance Analysis'!$A$9:$A$24,'Variance Analysis'!$A$13)</f>
        <v>#REF!</v>
      </c>
      <c r="K51" s="91" t="e">
        <f>SUMIFS('Variance Analysis'!K$9:K$24,'Variance Analysis'!$B$9:$B$24,'Variance Analysis'!$B$10,'Variance Analysis'!$A$9:$A$24,'Variance Analysis'!$A$13)</f>
        <v>#REF!</v>
      </c>
      <c r="L51" s="91" t="e">
        <f>SUMIFS('Variance Analysis'!L$9:L$24,'Variance Analysis'!$B$9:$B$24,'Variance Analysis'!$B$10,'Variance Analysis'!$A$9:$A$24,'Variance Analysis'!$A$13)</f>
        <v>#REF!</v>
      </c>
      <c r="M51" s="91" t="e">
        <f>SUMIFS('Variance Analysis'!M$9:M$24,'Variance Analysis'!$B$9:$B$24,'Variance Analysis'!$B$10,'Variance Analysis'!$A$9:$A$24,'Variance Analysis'!$A$13)</f>
        <v>#REF!</v>
      </c>
      <c r="N51" s="91" t="e">
        <f>SUMIFS('Variance Analysis'!N$9:N$24,'Variance Analysis'!$B$9:$B$24,'Variance Analysis'!$B$10,'Variance Analysis'!$A$9:$A$24,'Variance Analysis'!$A$13)</f>
        <v>#REF!</v>
      </c>
      <c r="O51" s="7"/>
      <c r="P51" s="7"/>
      <c r="Q51" s="7"/>
      <c r="R51" s="7"/>
      <c r="S51" s="7"/>
      <c r="T51" s="7"/>
      <c r="U51" s="7"/>
      <c r="V51" s="7"/>
      <c r="W51" s="7"/>
      <c r="X51" s="7"/>
      <c r="Y51" s="7"/>
      <c r="Z51" s="7"/>
    </row>
    <row r="52" spans="1:26" ht="13.5" customHeight="1" x14ac:dyDescent="0.25">
      <c r="A52" s="90" t="s">
        <v>236</v>
      </c>
      <c r="B52" s="90" t="s">
        <v>50</v>
      </c>
      <c r="C52" s="91" t="e">
        <f>SUMIFS('Variance Analysis'!C$9:C$24,'Variance Analysis'!$B$9:$B$24,'Variance Analysis'!$B$11,'Variance Analysis'!$A$9:$A$24,'Variance Analysis'!$A$13)</f>
        <v>#REF!</v>
      </c>
      <c r="D52" s="91" t="e">
        <f>SUMIFS('Variance Analysis'!D$9:D$24,'Variance Analysis'!$B$9:$B$24,'Variance Analysis'!$B$11,'Variance Analysis'!$A$9:$A$24,'Variance Analysis'!$A$13)</f>
        <v>#REF!</v>
      </c>
      <c r="E52" s="91" t="e">
        <f>SUMIFS('Variance Analysis'!E$9:E$24,'Variance Analysis'!$B$9:$B$24,'Variance Analysis'!$B$11,'Variance Analysis'!$A$9:$A$24,'Variance Analysis'!$A$13)</f>
        <v>#REF!</v>
      </c>
      <c r="F52" s="91" t="e">
        <f>SUMIFS('Variance Analysis'!F$9:F$24,'Variance Analysis'!$B$9:$B$24,'Variance Analysis'!$B$11,'Variance Analysis'!$A$9:$A$24,'Variance Analysis'!$A$13)</f>
        <v>#REF!</v>
      </c>
      <c r="G52" s="91" t="e">
        <f>SUMIFS('Variance Analysis'!G$9:G$24,'Variance Analysis'!$B$9:$B$24,'Variance Analysis'!$B$11,'Variance Analysis'!$A$9:$A$24,'Variance Analysis'!$A$13)</f>
        <v>#REF!</v>
      </c>
      <c r="H52" s="91" t="e">
        <f>SUMIFS('Variance Analysis'!H$9:H$24,'Variance Analysis'!$B$9:$B$24,'Variance Analysis'!$B$11,'Variance Analysis'!$A$9:$A$24,'Variance Analysis'!$A$13)</f>
        <v>#REF!</v>
      </c>
      <c r="I52" s="91" t="e">
        <f>SUMIFS('Variance Analysis'!I$9:I$24,'Variance Analysis'!$B$9:$B$24,'Variance Analysis'!$B$11,'Variance Analysis'!$A$9:$A$24,'Variance Analysis'!$A$13)</f>
        <v>#REF!</v>
      </c>
      <c r="J52" s="91" t="e">
        <f>SUMIFS('Variance Analysis'!J$9:J$24,'Variance Analysis'!$B$9:$B$24,'Variance Analysis'!$B$11,'Variance Analysis'!$A$9:$A$24,'Variance Analysis'!$A$13)</f>
        <v>#REF!</v>
      </c>
      <c r="K52" s="91" t="e">
        <f>SUMIFS('Variance Analysis'!K$9:K$24,'Variance Analysis'!$B$9:$B$24,'Variance Analysis'!$B$11,'Variance Analysis'!$A$9:$A$24,'Variance Analysis'!$A$13)</f>
        <v>#REF!</v>
      </c>
      <c r="L52" s="91" t="e">
        <f>SUMIFS('Variance Analysis'!L$9:L$24,'Variance Analysis'!$B$9:$B$24,'Variance Analysis'!$B$11,'Variance Analysis'!$A$9:$A$24,'Variance Analysis'!$A$13)</f>
        <v>#REF!</v>
      </c>
      <c r="M52" s="91" t="e">
        <f>SUMIFS('Variance Analysis'!M$9:M$24,'Variance Analysis'!$B$9:$B$24,'Variance Analysis'!$B$11,'Variance Analysis'!$A$9:$A$24,'Variance Analysis'!$A$13)</f>
        <v>#REF!</v>
      </c>
      <c r="N52" s="91" t="e">
        <f>SUMIFS('Variance Analysis'!N$9:N$24,'Variance Analysis'!$B$9:$B$24,'Variance Analysis'!$B$11,'Variance Analysis'!$A$9:$A$24,'Variance Analysis'!$A$13)</f>
        <v>#REF!</v>
      </c>
      <c r="O52" s="7"/>
      <c r="P52" s="7"/>
      <c r="Q52" s="7"/>
      <c r="R52" s="7"/>
      <c r="S52" s="7"/>
      <c r="T52" s="7"/>
      <c r="U52" s="7"/>
      <c r="V52" s="7"/>
      <c r="W52" s="7"/>
      <c r="X52" s="7"/>
      <c r="Y52" s="7"/>
      <c r="Z52" s="7"/>
    </row>
    <row r="53" spans="1:26" ht="13.5" customHeight="1" x14ac:dyDescent="0.25">
      <c r="A53" s="90" t="s">
        <v>217</v>
      </c>
      <c r="B53" s="90" t="s">
        <v>245</v>
      </c>
      <c r="C53" s="92" t="e">
        <f t="shared" ref="C53:N53" si="12">#REF!</f>
        <v>#REF!</v>
      </c>
      <c r="D53" s="92" t="e">
        <f t="shared" si="12"/>
        <v>#REF!</v>
      </c>
      <c r="E53" s="92" t="e">
        <f t="shared" si="12"/>
        <v>#REF!</v>
      </c>
      <c r="F53" s="92" t="e">
        <f t="shared" si="12"/>
        <v>#REF!</v>
      </c>
      <c r="G53" s="92" t="e">
        <f t="shared" si="12"/>
        <v>#REF!</v>
      </c>
      <c r="H53" s="92" t="e">
        <f t="shared" si="12"/>
        <v>#REF!</v>
      </c>
      <c r="I53" s="92" t="e">
        <f t="shared" si="12"/>
        <v>#REF!</v>
      </c>
      <c r="J53" s="92" t="e">
        <f t="shared" si="12"/>
        <v>#REF!</v>
      </c>
      <c r="K53" s="92" t="e">
        <f t="shared" si="12"/>
        <v>#REF!</v>
      </c>
      <c r="L53" s="92" t="e">
        <f t="shared" si="12"/>
        <v>#REF!</v>
      </c>
      <c r="M53" s="92" t="e">
        <f t="shared" si="12"/>
        <v>#REF!</v>
      </c>
      <c r="N53" s="92" t="e">
        <f t="shared" si="12"/>
        <v>#REF!</v>
      </c>
      <c r="O53" s="7"/>
      <c r="P53" s="7"/>
      <c r="Q53" s="7"/>
      <c r="R53" s="7"/>
      <c r="S53" s="7"/>
      <c r="T53" s="7"/>
      <c r="U53" s="7"/>
      <c r="V53" s="7"/>
      <c r="W53" s="7"/>
      <c r="X53" s="7"/>
      <c r="Y53" s="7"/>
      <c r="Z53" s="7"/>
    </row>
    <row r="54" spans="1:26" ht="13.5" customHeight="1" x14ac:dyDescent="0.25">
      <c r="A54" s="93" t="s">
        <v>252</v>
      </c>
      <c r="B54" s="94" t="s">
        <v>247</v>
      </c>
      <c r="C54" s="95" t="e">
        <f t="shared" ref="C54:N54" si="13">SUM($C$50:C52)/(SUM($C$53:C53)*1000)</f>
        <v>#REF!</v>
      </c>
      <c r="D54" s="95" t="e">
        <f t="shared" si="13"/>
        <v>#REF!</v>
      </c>
      <c r="E54" s="95" t="e">
        <f t="shared" si="13"/>
        <v>#REF!</v>
      </c>
      <c r="F54" s="95" t="e">
        <f t="shared" si="13"/>
        <v>#REF!</v>
      </c>
      <c r="G54" s="95" t="e">
        <f t="shared" si="13"/>
        <v>#REF!</v>
      </c>
      <c r="H54" s="95" t="e">
        <f t="shared" si="13"/>
        <v>#REF!</v>
      </c>
      <c r="I54" s="95" t="e">
        <f t="shared" si="13"/>
        <v>#REF!</v>
      </c>
      <c r="J54" s="95" t="e">
        <f t="shared" si="13"/>
        <v>#REF!</v>
      </c>
      <c r="K54" s="95" t="e">
        <f t="shared" si="13"/>
        <v>#REF!</v>
      </c>
      <c r="L54" s="95" t="e">
        <f t="shared" si="13"/>
        <v>#REF!</v>
      </c>
      <c r="M54" s="95" t="e">
        <f t="shared" si="13"/>
        <v>#REF!</v>
      </c>
      <c r="N54" s="95" t="e">
        <f t="shared" si="13"/>
        <v>#REF!</v>
      </c>
      <c r="O54" s="7"/>
      <c r="P54" s="7"/>
      <c r="Q54" s="7"/>
      <c r="R54" s="7"/>
      <c r="S54" s="7"/>
      <c r="T54" s="7"/>
      <c r="U54" s="7"/>
      <c r="V54" s="7"/>
      <c r="W54" s="7"/>
      <c r="X54" s="7"/>
      <c r="Y54" s="7"/>
      <c r="Z54" s="7"/>
    </row>
    <row r="55" spans="1:26" ht="13.5" customHeight="1" x14ac:dyDescent="0.25">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3.5" customHeight="1" x14ac:dyDescent="0.25">
      <c r="A56" s="171" t="s">
        <v>254</v>
      </c>
      <c r="B56" s="171"/>
      <c r="C56" s="171"/>
      <c r="D56" s="171"/>
      <c r="E56" s="171"/>
      <c r="F56" s="171"/>
      <c r="G56" s="171"/>
      <c r="H56" s="171"/>
      <c r="I56" s="171"/>
      <c r="J56" s="171"/>
      <c r="K56" s="171"/>
      <c r="L56" s="171"/>
      <c r="M56" s="171"/>
      <c r="N56" s="171"/>
      <c r="O56" s="171"/>
      <c r="P56" s="171"/>
      <c r="Q56" s="171"/>
      <c r="R56" s="171"/>
      <c r="S56" s="171"/>
      <c r="T56" s="171"/>
      <c r="U56" s="171"/>
      <c r="V56" s="171"/>
      <c r="W56" s="171"/>
      <c r="X56" s="171"/>
      <c r="Y56" s="171"/>
      <c r="Z56" s="171"/>
    </row>
    <row r="57" spans="1:26" ht="13.5" customHeight="1" x14ac:dyDescent="0.25">
      <c r="A57" s="171" t="s">
        <v>243</v>
      </c>
      <c r="B57" s="171"/>
      <c r="C57" s="75" t="s">
        <v>200</v>
      </c>
      <c r="D57" s="75" t="s">
        <v>201</v>
      </c>
      <c r="E57" s="75" t="s">
        <v>202</v>
      </c>
      <c r="F57" s="75" t="s">
        <v>203</v>
      </c>
      <c r="G57" s="75" t="s">
        <v>204</v>
      </c>
      <c r="H57" s="75" t="s">
        <v>205</v>
      </c>
      <c r="I57" s="75" t="s">
        <v>206</v>
      </c>
      <c r="J57" s="75" t="s">
        <v>207</v>
      </c>
      <c r="K57" s="75" t="s">
        <v>208</v>
      </c>
      <c r="L57" s="75" t="s">
        <v>209</v>
      </c>
      <c r="M57" s="75" t="s">
        <v>210</v>
      </c>
      <c r="N57" s="75" t="s">
        <v>211</v>
      </c>
      <c r="O57" s="171"/>
      <c r="P57" s="171"/>
      <c r="Q57" s="171"/>
      <c r="R57" s="171"/>
      <c r="S57" s="171"/>
      <c r="T57" s="171"/>
      <c r="U57" s="171"/>
      <c r="V57" s="171"/>
      <c r="W57" s="171"/>
      <c r="X57" s="171"/>
      <c r="Y57" s="171"/>
      <c r="Z57" s="171"/>
    </row>
    <row r="58" spans="1:26" ht="13.5" customHeight="1" x14ac:dyDescent="0.25">
      <c r="A58" s="90" t="s">
        <v>234</v>
      </c>
      <c r="B58" s="90" t="s">
        <v>50</v>
      </c>
      <c r="C58" s="91" t="e">
        <f>SUMIFS('Variance Analysis'!C$9:C$24,'Variance Analysis'!$B$9:$B$24,'Variance Analysis'!$B$12,'Variance Analysis'!$A$9:$A$24,'Variance Analysis'!$A$17)</f>
        <v>#REF!</v>
      </c>
      <c r="D58" s="91" t="e">
        <f>SUMIFS('Variance Analysis'!D$9:D$24,'Variance Analysis'!$B$9:$B$24,'Variance Analysis'!$B$12,'Variance Analysis'!$A$9:$A$24,'Variance Analysis'!$A$17)</f>
        <v>#REF!</v>
      </c>
      <c r="E58" s="91" t="e">
        <f>SUMIFS('Variance Analysis'!E$9:E$24,'Variance Analysis'!$B$9:$B$24,'Variance Analysis'!$B$12,'Variance Analysis'!$A$9:$A$24,'Variance Analysis'!$A$17)</f>
        <v>#REF!</v>
      </c>
      <c r="F58" s="91" t="e">
        <f>SUMIFS('Variance Analysis'!F$9:F$24,'Variance Analysis'!$B$9:$B$24,'Variance Analysis'!$B$12,'Variance Analysis'!$A$9:$A$24,'Variance Analysis'!$A$17)</f>
        <v>#REF!</v>
      </c>
      <c r="G58" s="91" t="e">
        <f>SUMIFS('Variance Analysis'!G$9:G$24,'Variance Analysis'!$B$9:$B$24,'Variance Analysis'!$B$12,'Variance Analysis'!$A$9:$A$24,'Variance Analysis'!$A$17)</f>
        <v>#REF!</v>
      </c>
      <c r="H58" s="91" t="e">
        <f>SUMIFS('Variance Analysis'!H$9:H$24,'Variance Analysis'!$B$9:$B$24,'Variance Analysis'!$B$12,'Variance Analysis'!$A$9:$A$24,'Variance Analysis'!$A$17)</f>
        <v>#REF!</v>
      </c>
      <c r="I58" s="91" t="e">
        <f>SUMIFS('Variance Analysis'!I$9:I$24,'Variance Analysis'!$B$9:$B$24,'Variance Analysis'!$B$12,'Variance Analysis'!$A$9:$A$24,'Variance Analysis'!$A$17)</f>
        <v>#REF!</v>
      </c>
      <c r="J58" s="91" t="e">
        <f>SUMIFS('Variance Analysis'!J$9:J$24,'Variance Analysis'!$B$9:$B$24,'Variance Analysis'!$B$12,'Variance Analysis'!$A$9:$A$24,'Variance Analysis'!$A$17)</f>
        <v>#REF!</v>
      </c>
      <c r="K58" s="91" t="e">
        <f>SUMIFS('Variance Analysis'!K$9:K$24,'Variance Analysis'!$B$9:$B$24,'Variance Analysis'!$B$12,'Variance Analysis'!$A$9:$A$24,'Variance Analysis'!$A$17)</f>
        <v>#REF!</v>
      </c>
      <c r="L58" s="91" t="e">
        <f>SUMIFS('Variance Analysis'!L$9:L$24,'Variance Analysis'!$B$9:$B$24,'Variance Analysis'!$B$12,'Variance Analysis'!$A$9:$A$24,'Variance Analysis'!$A$17)</f>
        <v>#REF!</v>
      </c>
      <c r="M58" s="91" t="e">
        <f>SUMIFS('Variance Analysis'!M$9:M$24,'Variance Analysis'!$B$9:$B$24,'Variance Analysis'!$B$12,'Variance Analysis'!$A$9:$A$24,'Variance Analysis'!$A$17)</f>
        <v>#REF!</v>
      </c>
      <c r="N58" s="91" t="e">
        <f>SUMIFS('Variance Analysis'!N$9:N$24,'Variance Analysis'!$B$9:$B$24,'Variance Analysis'!$B$12,'Variance Analysis'!$A$9:$A$24,'Variance Analysis'!$A$17)</f>
        <v>#REF!</v>
      </c>
      <c r="O58" s="7"/>
      <c r="P58" s="7"/>
      <c r="Q58" s="7"/>
      <c r="R58" s="7"/>
      <c r="S58" s="7"/>
      <c r="T58" s="7"/>
      <c r="U58" s="7"/>
      <c r="V58" s="7"/>
      <c r="W58" s="7"/>
      <c r="X58" s="7"/>
      <c r="Y58" s="7"/>
      <c r="Z58" s="7"/>
    </row>
    <row r="59" spans="1:26" ht="13.5" customHeight="1" x14ac:dyDescent="0.25">
      <c r="A59" s="90" t="s">
        <v>235</v>
      </c>
      <c r="B59" s="90" t="s">
        <v>50</v>
      </c>
      <c r="C59" s="91" t="e">
        <f>SUMIFS('Variance Analysis'!C$9:C$24,'Variance Analysis'!$B$9:$B$24,'Variance Analysis'!$B$10,'Variance Analysis'!$A$9:$A$24,'Variance Analysis'!$A$17)</f>
        <v>#REF!</v>
      </c>
      <c r="D59" s="91" t="e">
        <f>SUMIFS('Variance Analysis'!D$9:D$24,'Variance Analysis'!$B$9:$B$24,'Variance Analysis'!$B$10,'Variance Analysis'!$A$9:$A$24,'Variance Analysis'!$A$17)</f>
        <v>#REF!</v>
      </c>
      <c r="E59" s="91" t="e">
        <f>SUMIFS('Variance Analysis'!E$9:E$24,'Variance Analysis'!$B$9:$B$24,'Variance Analysis'!$B$10,'Variance Analysis'!$A$9:$A$24,'Variance Analysis'!$A$17)</f>
        <v>#REF!</v>
      </c>
      <c r="F59" s="91" t="e">
        <f>SUMIFS('Variance Analysis'!F$9:F$24,'Variance Analysis'!$B$9:$B$24,'Variance Analysis'!$B$10,'Variance Analysis'!$A$9:$A$24,'Variance Analysis'!$A$17)</f>
        <v>#REF!</v>
      </c>
      <c r="G59" s="91" t="e">
        <f>SUMIFS('Variance Analysis'!G$9:G$24,'Variance Analysis'!$B$9:$B$24,'Variance Analysis'!$B$10,'Variance Analysis'!$A$9:$A$24,'Variance Analysis'!$A$17)</f>
        <v>#REF!</v>
      </c>
      <c r="H59" s="91" t="e">
        <f>SUMIFS('Variance Analysis'!H$9:H$24,'Variance Analysis'!$B$9:$B$24,'Variance Analysis'!$B$10,'Variance Analysis'!$A$9:$A$24,'Variance Analysis'!$A$17)</f>
        <v>#REF!</v>
      </c>
      <c r="I59" s="91" t="e">
        <f>SUMIFS('Variance Analysis'!I$9:I$24,'Variance Analysis'!$B$9:$B$24,'Variance Analysis'!$B$10,'Variance Analysis'!$A$9:$A$24,'Variance Analysis'!$A$17)</f>
        <v>#REF!</v>
      </c>
      <c r="J59" s="91" t="e">
        <f>SUMIFS('Variance Analysis'!J$9:J$24,'Variance Analysis'!$B$9:$B$24,'Variance Analysis'!$B$10,'Variance Analysis'!$A$9:$A$24,'Variance Analysis'!$A$17)</f>
        <v>#REF!</v>
      </c>
      <c r="K59" s="91" t="e">
        <f>SUMIFS('Variance Analysis'!K$9:K$24,'Variance Analysis'!$B$9:$B$24,'Variance Analysis'!$B$10,'Variance Analysis'!$A$9:$A$24,'Variance Analysis'!$A$17)</f>
        <v>#REF!</v>
      </c>
      <c r="L59" s="91" t="e">
        <f>SUMIFS('Variance Analysis'!L$9:L$24,'Variance Analysis'!$B$9:$B$24,'Variance Analysis'!$B$10,'Variance Analysis'!$A$9:$A$24,'Variance Analysis'!$A$17)</f>
        <v>#REF!</v>
      </c>
      <c r="M59" s="91" t="e">
        <f>SUMIFS('Variance Analysis'!M$9:M$24,'Variance Analysis'!$B$9:$B$24,'Variance Analysis'!$B$10,'Variance Analysis'!$A$9:$A$24,'Variance Analysis'!$A$17)</f>
        <v>#REF!</v>
      </c>
      <c r="N59" s="91" t="e">
        <f>SUMIFS('Variance Analysis'!N$9:N$24,'Variance Analysis'!$B$9:$B$24,'Variance Analysis'!$B$10,'Variance Analysis'!$A$9:$A$24,'Variance Analysis'!$A$17)</f>
        <v>#REF!</v>
      </c>
      <c r="O59" s="7"/>
      <c r="P59" s="7"/>
      <c r="Q59" s="7"/>
      <c r="R59" s="7"/>
      <c r="S59" s="7"/>
      <c r="T59" s="7"/>
      <c r="U59" s="7"/>
      <c r="V59" s="7"/>
      <c r="W59" s="7"/>
      <c r="X59" s="7"/>
      <c r="Y59" s="7"/>
      <c r="Z59" s="7"/>
    </row>
    <row r="60" spans="1:26" ht="13.5" customHeight="1" x14ac:dyDescent="0.25">
      <c r="A60" s="90" t="s">
        <v>236</v>
      </c>
      <c r="B60" s="90" t="s">
        <v>50</v>
      </c>
      <c r="C60" s="91" t="e">
        <f>SUMIFS('Variance Analysis'!C$9:C$24,'Variance Analysis'!$B$9:$B$24,'Variance Analysis'!$B$11,'Variance Analysis'!$A$9:$A$24,'Variance Analysis'!$A$17)</f>
        <v>#REF!</v>
      </c>
      <c r="D60" s="91" t="e">
        <f>SUMIFS('Variance Analysis'!D$9:D$24,'Variance Analysis'!$B$9:$B$24,'Variance Analysis'!$B$11,'Variance Analysis'!$A$9:$A$24,'Variance Analysis'!$A$17)</f>
        <v>#REF!</v>
      </c>
      <c r="E60" s="91" t="e">
        <f>SUMIFS('Variance Analysis'!E$9:E$24,'Variance Analysis'!$B$9:$B$24,'Variance Analysis'!$B$11,'Variance Analysis'!$A$9:$A$24,'Variance Analysis'!$A$17)</f>
        <v>#REF!</v>
      </c>
      <c r="F60" s="91" t="e">
        <f>SUMIFS('Variance Analysis'!F$9:F$24,'Variance Analysis'!$B$9:$B$24,'Variance Analysis'!$B$11,'Variance Analysis'!$A$9:$A$24,'Variance Analysis'!$A$17)</f>
        <v>#REF!</v>
      </c>
      <c r="G60" s="91" t="e">
        <f>SUMIFS('Variance Analysis'!G$9:G$24,'Variance Analysis'!$B$9:$B$24,'Variance Analysis'!$B$11,'Variance Analysis'!$A$9:$A$24,'Variance Analysis'!$A$17)</f>
        <v>#REF!</v>
      </c>
      <c r="H60" s="91" t="e">
        <f>SUMIFS('Variance Analysis'!H$9:H$24,'Variance Analysis'!$B$9:$B$24,'Variance Analysis'!$B$11,'Variance Analysis'!$A$9:$A$24,'Variance Analysis'!$A$17)</f>
        <v>#REF!</v>
      </c>
      <c r="I60" s="91" t="e">
        <f>SUMIFS('Variance Analysis'!I$9:I$24,'Variance Analysis'!$B$9:$B$24,'Variance Analysis'!$B$11,'Variance Analysis'!$A$9:$A$24,'Variance Analysis'!$A$17)</f>
        <v>#REF!</v>
      </c>
      <c r="J60" s="91" t="e">
        <f>SUMIFS('Variance Analysis'!J$9:J$24,'Variance Analysis'!$B$9:$B$24,'Variance Analysis'!$B$11,'Variance Analysis'!$A$9:$A$24,'Variance Analysis'!$A$17)</f>
        <v>#REF!</v>
      </c>
      <c r="K60" s="91" t="e">
        <f>SUMIFS('Variance Analysis'!K$9:K$24,'Variance Analysis'!$B$9:$B$24,'Variance Analysis'!$B$11,'Variance Analysis'!$A$9:$A$24,'Variance Analysis'!$A$17)</f>
        <v>#REF!</v>
      </c>
      <c r="L60" s="91" t="e">
        <f>SUMIFS('Variance Analysis'!L$9:L$24,'Variance Analysis'!$B$9:$B$24,'Variance Analysis'!$B$11,'Variance Analysis'!$A$9:$A$24,'Variance Analysis'!$A$17)</f>
        <v>#REF!</v>
      </c>
      <c r="M60" s="91" t="e">
        <f>SUMIFS('Variance Analysis'!M$9:M$24,'Variance Analysis'!$B$9:$B$24,'Variance Analysis'!$B$11,'Variance Analysis'!$A$9:$A$24,'Variance Analysis'!$A$17)</f>
        <v>#REF!</v>
      </c>
      <c r="N60" s="91" t="e">
        <f>SUMIFS('Variance Analysis'!N$9:N$24,'Variance Analysis'!$B$9:$B$24,'Variance Analysis'!$B$11,'Variance Analysis'!$A$9:$A$24,'Variance Analysis'!$A$17)</f>
        <v>#REF!</v>
      </c>
      <c r="O60" s="7"/>
      <c r="P60" s="7"/>
      <c r="Q60" s="7"/>
      <c r="R60" s="7"/>
      <c r="S60" s="7"/>
      <c r="T60" s="7"/>
      <c r="U60" s="7"/>
      <c r="V60" s="7"/>
      <c r="W60" s="7"/>
      <c r="X60" s="7"/>
      <c r="Y60" s="7"/>
      <c r="Z60" s="7"/>
    </row>
    <row r="61" spans="1:26" ht="13.5" customHeight="1" x14ac:dyDescent="0.25">
      <c r="A61" s="90" t="s">
        <v>218</v>
      </c>
      <c r="B61" s="90" t="s">
        <v>245</v>
      </c>
      <c r="C61" s="92" t="e">
        <f t="shared" ref="C61:N61" si="14">#REF!</f>
        <v>#REF!</v>
      </c>
      <c r="D61" s="92" t="e">
        <f t="shared" si="14"/>
        <v>#REF!</v>
      </c>
      <c r="E61" s="92" t="e">
        <f t="shared" si="14"/>
        <v>#REF!</v>
      </c>
      <c r="F61" s="92" t="e">
        <f t="shared" si="14"/>
        <v>#REF!</v>
      </c>
      <c r="G61" s="92" t="e">
        <f t="shared" si="14"/>
        <v>#REF!</v>
      </c>
      <c r="H61" s="92" t="e">
        <f t="shared" si="14"/>
        <v>#REF!</v>
      </c>
      <c r="I61" s="92" t="e">
        <f t="shared" si="14"/>
        <v>#REF!</v>
      </c>
      <c r="J61" s="92" t="e">
        <f t="shared" si="14"/>
        <v>#REF!</v>
      </c>
      <c r="K61" s="92" t="e">
        <f t="shared" si="14"/>
        <v>#REF!</v>
      </c>
      <c r="L61" s="92" t="e">
        <f t="shared" si="14"/>
        <v>#REF!</v>
      </c>
      <c r="M61" s="92" t="e">
        <f t="shared" si="14"/>
        <v>#REF!</v>
      </c>
      <c r="N61" s="92" t="e">
        <f t="shared" si="14"/>
        <v>#REF!</v>
      </c>
      <c r="O61" s="7"/>
      <c r="P61" s="7"/>
      <c r="Q61" s="7"/>
      <c r="R61" s="7"/>
      <c r="S61" s="7"/>
      <c r="T61" s="7"/>
      <c r="U61" s="7"/>
      <c r="V61" s="7"/>
      <c r="W61" s="7"/>
      <c r="X61" s="7"/>
      <c r="Y61" s="7"/>
      <c r="Z61" s="7"/>
    </row>
    <row r="62" spans="1:26" ht="13.5" customHeight="1" x14ac:dyDescent="0.25">
      <c r="A62" s="93" t="s">
        <v>252</v>
      </c>
      <c r="B62" s="94" t="s">
        <v>247</v>
      </c>
      <c r="C62" s="95" t="e">
        <f t="shared" ref="C62:N62" si="15">SUM($C$58:C60)/(SUM($C$61:C61)*1000)</f>
        <v>#REF!</v>
      </c>
      <c r="D62" s="95" t="e">
        <f t="shared" si="15"/>
        <v>#REF!</v>
      </c>
      <c r="E62" s="95" t="e">
        <f t="shared" si="15"/>
        <v>#REF!</v>
      </c>
      <c r="F62" s="95" t="e">
        <f t="shared" si="15"/>
        <v>#REF!</v>
      </c>
      <c r="G62" s="95" t="e">
        <f t="shared" si="15"/>
        <v>#REF!</v>
      </c>
      <c r="H62" s="95" t="e">
        <f t="shared" si="15"/>
        <v>#REF!</v>
      </c>
      <c r="I62" s="95" t="e">
        <f t="shared" si="15"/>
        <v>#REF!</v>
      </c>
      <c r="J62" s="95" t="e">
        <f t="shared" si="15"/>
        <v>#REF!</v>
      </c>
      <c r="K62" s="95" t="e">
        <f t="shared" si="15"/>
        <v>#REF!</v>
      </c>
      <c r="L62" s="95" t="e">
        <f t="shared" si="15"/>
        <v>#REF!</v>
      </c>
      <c r="M62" s="95" t="e">
        <f t="shared" si="15"/>
        <v>#REF!</v>
      </c>
      <c r="N62" s="95" t="e">
        <f t="shared" si="15"/>
        <v>#REF!</v>
      </c>
      <c r="O62" s="7"/>
      <c r="P62" s="7"/>
      <c r="Q62" s="7"/>
      <c r="R62" s="7"/>
      <c r="S62" s="7"/>
      <c r="T62" s="7"/>
      <c r="U62" s="7"/>
      <c r="V62" s="7"/>
      <c r="W62" s="7"/>
      <c r="X62" s="7"/>
      <c r="Y62" s="7"/>
      <c r="Z62" s="7"/>
    </row>
    <row r="63" spans="1:26" ht="13.5" customHeight="1" x14ac:dyDescent="0.25">
      <c r="A63" s="6"/>
      <c r="B63" s="7"/>
      <c r="C63" s="96"/>
      <c r="D63" s="96"/>
      <c r="E63" s="96"/>
      <c r="F63" s="96"/>
      <c r="G63" s="96"/>
      <c r="H63" s="96"/>
      <c r="I63" s="96"/>
      <c r="J63" s="96"/>
      <c r="K63" s="96"/>
      <c r="L63" s="96"/>
      <c r="M63" s="96"/>
      <c r="N63" s="96"/>
      <c r="O63" s="7"/>
      <c r="P63" s="7"/>
      <c r="Q63" s="7"/>
      <c r="R63" s="7"/>
      <c r="S63" s="7"/>
      <c r="T63" s="7"/>
      <c r="U63" s="7"/>
      <c r="V63" s="7"/>
      <c r="W63" s="7"/>
      <c r="X63" s="7"/>
      <c r="Y63" s="7"/>
      <c r="Z63" s="7"/>
    </row>
    <row r="64" spans="1:26" ht="13.5" customHeight="1" x14ac:dyDescent="0.25">
      <c r="A64" s="171" t="s">
        <v>255</v>
      </c>
      <c r="B64" s="161"/>
      <c r="C64" s="161"/>
      <c r="D64" s="161"/>
      <c r="E64" s="161"/>
      <c r="F64" s="161"/>
      <c r="G64" s="161"/>
      <c r="H64" s="161"/>
      <c r="I64" s="161"/>
      <c r="J64" s="161"/>
      <c r="K64" s="161"/>
      <c r="L64" s="161"/>
      <c r="M64" s="161"/>
      <c r="N64" s="161"/>
      <c r="O64" s="161"/>
      <c r="P64" s="161"/>
      <c r="Q64" s="161"/>
      <c r="R64" s="161"/>
      <c r="S64" s="161"/>
      <c r="T64" s="161"/>
      <c r="U64" s="161"/>
      <c r="V64" s="161"/>
      <c r="W64" s="161"/>
      <c r="X64" s="161"/>
      <c r="Y64" s="161"/>
      <c r="Z64" s="161"/>
    </row>
    <row r="65" spans="1:26" ht="13.5" customHeight="1" x14ac:dyDescent="0.25">
      <c r="A65" s="171" t="s">
        <v>243</v>
      </c>
      <c r="B65" s="171"/>
      <c r="C65" s="75" t="s">
        <v>200</v>
      </c>
      <c r="D65" s="75" t="s">
        <v>201</v>
      </c>
      <c r="E65" s="75" t="s">
        <v>202</v>
      </c>
      <c r="F65" s="75" t="s">
        <v>203</v>
      </c>
      <c r="G65" s="75" t="s">
        <v>204</v>
      </c>
      <c r="H65" s="75" t="s">
        <v>205</v>
      </c>
      <c r="I65" s="75" t="s">
        <v>206</v>
      </c>
      <c r="J65" s="75" t="s">
        <v>207</v>
      </c>
      <c r="K65" s="75" t="s">
        <v>208</v>
      </c>
      <c r="L65" s="75" t="s">
        <v>209</v>
      </c>
      <c r="M65" s="75" t="s">
        <v>210</v>
      </c>
      <c r="N65" s="75" t="s">
        <v>211</v>
      </c>
      <c r="O65" s="157"/>
      <c r="P65" s="157"/>
      <c r="Q65" s="157"/>
      <c r="R65" s="157"/>
      <c r="S65" s="157"/>
      <c r="T65" s="157"/>
      <c r="U65" s="157"/>
      <c r="V65" s="157"/>
      <c r="W65" s="157"/>
      <c r="X65" s="157"/>
      <c r="Y65" s="157"/>
      <c r="Z65" s="157"/>
    </row>
    <row r="66" spans="1:26" ht="13.5" customHeight="1" x14ac:dyDescent="0.25">
      <c r="A66" s="90" t="s">
        <v>234</v>
      </c>
      <c r="B66" s="90" t="s">
        <v>50</v>
      </c>
      <c r="C66" s="91" t="e">
        <f>SUMIFS('Variance Analysis'!C$9:C$24,'Variance Analysis'!$B$9:$B$24,'Variance Analysis'!$B$12,'Variance Analysis'!$A$9:$A$24,'Variance Analysis'!$A$21)</f>
        <v>#REF!</v>
      </c>
      <c r="D66" s="91" t="e">
        <f>SUMIFS('Variance Analysis'!D$9:D$24,'Variance Analysis'!$B$9:$B$24,'Variance Analysis'!$B$12,'Variance Analysis'!$A$9:$A$24,'Variance Analysis'!$A$21)</f>
        <v>#REF!</v>
      </c>
      <c r="E66" s="91" t="e">
        <f>SUMIFS('Variance Analysis'!E$9:E$24,'Variance Analysis'!$B$9:$B$24,'Variance Analysis'!$B$12,'Variance Analysis'!$A$9:$A$24,'Variance Analysis'!$A$21)</f>
        <v>#REF!</v>
      </c>
      <c r="F66" s="91" t="e">
        <f>SUMIFS('Variance Analysis'!F$9:F$24,'Variance Analysis'!$B$9:$B$24,'Variance Analysis'!$B$12,'Variance Analysis'!$A$9:$A$24,'Variance Analysis'!$A$21)</f>
        <v>#REF!</v>
      </c>
      <c r="G66" s="91" t="e">
        <f>SUMIFS('Variance Analysis'!G$9:G$24,'Variance Analysis'!$B$9:$B$24,'Variance Analysis'!$B$12,'Variance Analysis'!$A$9:$A$24,'Variance Analysis'!$A$21)</f>
        <v>#REF!</v>
      </c>
      <c r="H66" s="91" t="e">
        <f>SUMIFS('Variance Analysis'!H$9:H$24,'Variance Analysis'!$B$9:$B$24,'Variance Analysis'!$B$12,'Variance Analysis'!$A$9:$A$24,'Variance Analysis'!$A$21)</f>
        <v>#REF!</v>
      </c>
      <c r="I66" s="91" t="e">
        <f>SUMIFS('Variance Analysis'!I$9:I$24,'Variance Analysis'!$B$9:$B$24,'Variance Analysis'!$B$12,'Variance Analysis'!$A$9:$A$24,'Variance Analysis'!$A$21)</f>
        <v>#REF!</v>
      </c>
      <c r="J66" s="91" t="e">
        <f>SUMIFS('Variance Analysis'!J$9:J$24,'Variance Analysis'!$B$9:$B$24,'Variance Analysis'!$B$12,'Variance Analysis'!$A$9:$A$24,'Variance Analysis'!$A$21)</f>
        <v>#REF!</v>
      </c>
      <c r="K66" s="91" t="e">
        <f>SUMIFS('Variance Analysis'!K$9:K$24,'Variance Analysis'!$B$9:$B$24,'Variance Analysis'!$B$12,'Variance Analysis'!$A$9:$A$24,'Variance Analysis'!$A$21)</f>
        <v>#REF!</v>
      </c>
      <c r="L66" s="91" t="e">
        <f>SUMIFS('Variance Analysis'!L$9:L$24,'Variance Analysis'!$B$9:$B$24,'Variance Analysis'!$B$12,'Variance Analysis'!$A$9:$A$24,'Variance Analysis'!$A$21)</f>
        <v>#REF!</v>
      </c>
      <c r="M66" s="91" t="e">
        <f>SUMIFS('Variance Analysis'!M$9:M$24,'Variance Analysis'!$B$9:$B$24,'Variance Analysis'!$B$12,'Variance Analysis'!$A$9:$A$24,'Variance Analysis'!$A$21)</f>
        <v>#REF!</v>
      </c>
      <c r="N66" s="91" t="e">
        <f>SUMIFS('Variance Analysis'!N$9:N$24,'Variance Analysis'!$B$9:$B$24,'Variance Analysis'!$B$12,'Variance Analysis'!$A$9:$A$24,'Variance Analysis'!$A$21)</f>
        <v>#REF!</v>
      </c>
      <c r="O66" s="7"/>
      <c r="P66" s="7"/>
      <c r="Q66" s="7"/>
      <c r="R66" s="7"/>
      <c r="S66" s="7"/>
      <c r="T66" s="7"/>
      <c r="U66" s="7"/>
      <c r="V66" s="7"/>
      <c r="W66" s="7"/>
      <c r="X66" s="7"/>
      <c r="Y66" s="7"/>
      <c r="Z66" s="7"/>
    </row>
    <row r="67" spans="1:26" ht="13.5" customHeight="1" x14ac:dyDescent="0.25">
      <c r="A67" s="90" t="s">
        <v>235</v>
      </c>
      <c r="B67" s="90" t="s">
        <v>50</v>
      </c>
      <c r="C67" s="91" t="e">
        <f>SUMIFS('Variance Analysis'!C$9:C$24,'Variance Analysis'!$B$9:$B$24,'Variance Analysis'!$B$10,'Variance Analysis'!$A$9:$A$24,'Variance Analysis'!$A$21)</f>
        <v>#REF!</v>
      </c>
      <c r="D67" s="91" t="e">
        <f>SUMIFS('Variance Analysis'!D$9:D$24,'Variance Analysis'!$B$9:$B$24,'Variance Analysis'!$B$10,'Variance Analysis'!$A$9:$A$24,'Variance Analysis'!$A$21)</f>
        <v>#REF!</v>
      </c>
      <c r="E67" s="91" t="e">
        <f>SUMIFS('Variance Analysis'!E$9:E$24,'Variance Analysis'!$B$9:$B$24,'Variance Analysis'!$B$10,'Variance Analysis'!$A$9:$A$24,'Variance Analysis'!$A$21)</f>
        <v>#REF!</v>
      </c>
      <c r="F67" s="91" t="e">
        <f>SUMIFS('Variance Analysis'!F$9:F$24,'Variance Analysis'!$B$9:$B$24,'Variance Analysis'!$B$10,'Variance Analysis'!$A$9:$A$24,'Variance Analysis'!$A$21)</f>
        <v>#REF!</v>
      </c>
      <c r="G67" s="91" t="e">
        <f>SUMIFS('Variance Analysis'!G$9:G$24,'Variance Analysis'!$B$9:$B$24,'Variance Analysis'!$B$10,'Variance Analysis'!$A$9:$A$24,'Variance Analysis'!$A$21)</f>
        <v>#REF!</v>
      </c>
      <c r="H67" s="91" t="e">
        <f>SUMIFS('Variance Analysis'!H$9:H$24,'Variance Analysis'!$B$9:$B$24,'Variance Analysis'!$B$10,'Variance Analysis'!$A$9:$A$24,'Variance Analysis'!$A$21)</f>
        <v>#REF!</v>
      </c>
      <c r="I67" s="91" t="e">
        <f>SUMIFS('Variance Analysis'!I$9:I$24,'Variance Analysis'!$B$9:$B$24,'Variance Analysis'!$B$10,'Variance Analysis'!$A$9:$A$24,'Variance Analysis'!$A$21)</f>
        <v>#REF!</v>
      </c>
      <c r="J67" s="91" t="e">
        <f>SUMIFS('Variance Analysis'!J$9:J$24,'Variance Analysis'!$B$9:$B$24,'Variance Analysis'!$B$10,'Variance Analysis'!$A$9:$A$24,'Variance Analysis'!$A$21)</f>
        <v>#REF!</v>
      </c>
      <c r="K67" s="91" t="e">
        <f>SUMIFS('Variance Analysis'!K$9:K$24,'Variance Analysis'!$B$9:$B$24,'Variance Analysis'!$B$10,'Variance Analysis'!$A$9:$A$24,'Variance Analysis'!$A$21)</f>
        <v>#REF!</v>
      </c>
      <c r="L67" s="91" t="e">
        <f>SUMIFS('Variance Analysis'!L$9:L$24,'Variance Analysis'!$B$9:$B$24,'Variance Analysis'!$B$10,'Variance Analysis'!$A$9:$A$24,'Variance Analysis'!$A$21)</f>
        <v>#REF!</v>
      </c>
      <c r="M67" s="91" t="e">
        <f>SUMIFS('Variance Analysis'!M$9:M$24,'Variance Analysis'!$B$9:$B$24,'Variance Analysis'!$B$10,'Variance Analysis'!$A$9:$A$24,'Variance Analysis'!$A$21)</f>
        <v>#REF!</v>
      </c>
      <c r="N67" s="91" t="e">
        <f>SUMIFS('Variance Analysis'!N$9:N$24,'Variance Analysis'!$B$9:$B$24,'Variance Analysis'!$B$10,'Variance Analysis'!$A$9:$A$24,'Variance Analysis'!$A$21)</f>
        <v>#REF!</v>
      </c>
      <c r="O67" s="7"/>
      <c r="P67" s="7"/>
      <c r="Q67" s="7"/>
      <c r="R67" s="7"/>
      <c r="S67" s="7"/>
      <c r="T67" s="7"/>
      <c r="U67" s="7"/>
      <c r="V67" s="7"/>
      <c r="W67" s="7"/>
      <c r="X67" s="7"/>
      <c r="Y67" s="7"/>
      <c r="Z67" s="7"/>
    </row>
    <row r="68" spans="1:26" ht="13.5" customHeight="1" x14ac:dyDescent="0.25">
      <c r="A68" s="90" t="s">
        <v>236</v>
      </c>
      <c r="B68" s="90" t="s">
        <v>50</v>
      </c>
      <c r="C68" s="91" t="e">
        <f>SUMIFS('Variance Analysis'!C$9:C$24,'Variance Analysis'!$B$9:$B$24,'Variance Analysis'!$B$11,'Variance Analysis'!$A$9:$A$24,'Variance Analysis'!$A$21)</f>
        <v>#REF!</v>
      </c>
      <c r="D68" s="91" t="e">
        <f>SUMIFS('Variance Analysis'!D$9:D$24,'Variance Analysis'!$B$9:$B$24,'Variance Analysis'!$B$11,'Variance Analysis'!$A$9:$A$24,'Variance Analysis'!$A$21)</f>
        <v>#REF!</v>
      </c>
      <c r="E68" s="91" t="e">
        <f>SUMIFS('Variance Analysis'!E$9:E$24,'Variance Analysis'!$B$9:$B$24,'Variance Analysis'!$B$11,'Variance Analysis'!$A$9:$A$24,'Variance Analysis'!$A$21)</f>
        <v>#REF!</v>
      </c>
      <c r="F68" s="91" t="e">
        <f>SUMIFS('Variance Analysis'!F$9:F$24,'Variance Analysis'!$B$9:$B$24,'Variance Analysis'!$B$11,'Variance Analysis'!$A$9:$A$24,'Variance Analysis'!$A$21)</f>
        <v>#REF!</v>
      </c>
      <c r="G68" s="91" t="e">
        <f>SUMIFS('Variance Analysis'!G$9:G$24,'Variance Analysis'!$B$9:$B$24,'Variance Analysis'!$B$11,'Variance Analysis'!$A$9:$A$24,'Variance Analysis'!$A$21)</f>
        <v>#REF!</v>
      </c>
      <c r="H68" s="91" t="e">
        <f>SUMIFS('Variance Analysis'!H$9:H$24,'Variance Analysis'!$B$9:$B$24,'Variance Analysis'!$B$11,'Variance Analysis'!$A$9:$A$24,'Variance Analysis'!$A$21)</f>
        <v>#REF!</v>
      </c>
      <c r="I68" s="91" t="e">
        <f>SUMIFS('Variance Analysis'!I$9:I$24,'Variance Analysis'!$B$9:$B$24,'Variance Analysis'!$B$11,'Variance Analysis'!$A$9:$A$24,'Variance Analysis'!$A$21)</f>
        <v>#REF!</v>
      </c>
      <c r="J68" s="91" t="e">
        <f>SUMIFS('Variance Analysis'!J$9:J$24,'Variance Analysis'!$B$9:$B$24,'Variance Analysis'!$B$11,'Variance Analysis'!$A$9:$A$24,'Variance Analysis'!$A$21)</f>
        <v>#REF!</v>
      </c>
      <c r="K68" s="91" t="e">
        <f>SUMIFS('Variance Analysis'!K$9:K$24,'Variance Analysis'!$B$9:$B$24,'Variance Analysis'!$B$11,'Variance Analysis'!$A$9:$A$24,'Variance Analysis'!$A$21)</f>
        <v>#REF!</v>
      </c>
      <c r="L68" s="91" t="e">
        <f>SUMIFS('Variance Analysis'!L$9:L$24,'Variance Analysis'!$B$9:$B$24,'Variance Analysis'!$B$11,'Variance Analysis'!$A$9:$A$24,'Variance Analysis'!$A$21)</f>
        <v>#REF!</v>
      </c>
      <c r="M68" s="91" t="e">
        <f>SUMIFS('Variance Analysis'!M$9:M$24,'Variance Analysis'!$B$9:$B$24,'Variance Analysis'!$B$11,'Variance Analysis'!$A$9:$A$24,'Variance Analysis'!$A$21)</f>
        <v>#REF!</v>
      </c>
      <c r="N68" s="91" t="e">
        <f>SUMIFS('Variance Analysis'!N$9:N$24,'Variance Analysis'!$B$9:$B$24,'Variance Analysis'!$B$11,'Variance Analysis'!$A$9:$A$24,'Variance Analysis'!$A$21)</f>
        <v>#REF!</v>
      </c>
      <c r="O68" s="7"/>
      <c r="P68" s="7"/>
      <c r="Q68" s="7"/>
      <c r="R68" s="7"/>
      <c r="S68" s="7"/>
      <c r="T68" s="7"/>
      <c r="U68" s="7"/>
      <c r="V68" s="7"/>
      <c r="W68" s="7"/>
      <c r="X68" s="7"/>
      <c r="Y68" s="7"/>
      <c r="Z68" s="7"/>
    </row>
    <row r="69" spans="1:26" ht="13.5" customHeight="1" x14ac:dyDescent="0.25">
      <c r="A69" s="90" t="s">
        <v>212</v>
      </c>
      <c r="B69" s="90" t="s">
        <v>245</v>
      </c>
      <c r="C69" s="92" t="e">
        <f t="shared" ref="C69:N69" si="16">#REF!</f>
        <v>#REF!</v>
      </c>
      <c r="D69" s="92" t="e">
        <f t="shared" si="16"/>
        <v>#REF!</v>
      </c>
      <c r="E69" s="92" t="e">
        <f t="shared" si="16"/>
        <v>#REF!</v>
      </c>
      <c r="F69" s="92" t="e">
        <f t="shared" si="16"/>
        <v>#REF!</v>
      </c>
      <c r="G69" s="92" t="e">
        <f t="shared" si="16"/>
        <v>#REF!</v>
      </c>
      <c r="H69" s="92" t="e">
        <f t="shared" si="16"/>
        <v>#REF!</v>
      </c>
      <c r="I69" s="92" t="e">
        <f t="shared" si="16"/>
        <v>#REF!</v>
      </c>
      <c r="J69" s="92" t="e">
        <f t="shared" si="16"/>
        <v>#REF!</v>
      </c>
      <c r="K69" s="92" t="e">
        <f t="shared" si="16"/>
        <v>#REF!</v>
      </c>
      <c r="L69" s="92" t="e">
        <f t="shared" si="16"/>
        <v>#REF!</v>
      </c>
      <c r="M69" s="92" t="e">
        <f t="shared" si="16"/>
        <v>#REF!</v>
      </c>
      <c r="N69" s="92" t="e">
        <f t="shared" si="16"/>
        <v>#REF!</v>
      </c>
      <c r="O69" s="7"/>
      <c r="P69" s="7"/>
      <c r="Q69" s="7"/>
      <c r="R69" s="7"/>
      <c r="S69" s="7"/>
      <c r="T69" s="7"/>
      <c r="U69" s="7"/>
      <c r="V69" s="7"/>
      <c r="W69" s="7"/>
      <c r="X69" s="7"/>
      <c r="Y69" s="7"/>
      <c r="Z69" s="7"/>
    </row>
    <row r="70" spans="1:26" ht="13.5" customHeight="1" x14ac:dyDescent="0.25">
      <c r="A70" s="90" t="s">
        <v>217</v>
      </c>
      <c r="B70" s="90" t="s">
        <v>245</v>
      </c>
      <c r="C70" s="92" t="e">
        <f t="shared" ref="C70:N70" si="17">#REF!</f>
        <v>#REF!</v>
      </c>
      <c r="D70" s="92" t="e">
        <f t="shared" si="17"/>
        <v>#REF!</v>
      </c>
      <c r="E70" s="92" t="e">
        <f t="shared" si="17"/>
        <v>#REF!</v>
      </c>
      <c r="F70" s="92" t="e">
        <f t="shared" si="17"/>
        <v>#REF!</v>
      </c>
      <c r="G70" s="92" t="e">
        <f t="shared" si="17"/>
        <v>#REF!</v>
      </c>
      <c r="H70" s="92" t="e">
        <f t="shared" si="17"/>
        <v>#REF!</v>
      </c>
      <c r="I70" s="92" t="e">
        <f t="shared" si="17"/>
        <v>#REF!</v>
      </c>
      <c r="J70" s="92" t="e">
        <f t="shared" si="17"/>
        <v>#REF!</v>
      </c>
      <c r="K70" s="92" t="e">
        <f t="shared" si="17"/>
        <v>#REF!</v>
      </c>
      <c r="L70" s="92" t="e">
        <f t="shared" si="17"/>
        <v>#REF!</v>
      </c>
      <c r="M70" s="92" t="e">
        <f t="shared" si="17"/>
        <v>#REF!</v>
      </c>
      <c r="N70" s="92" t="e">
        <f t="shared" si="17"/>
        <v>#REF!</v>
      </c>
      <c r="O70" s="7"/>
      <c r="P70" s="7"/>
      <c r="Q70" s="7"/>
      <c r="R70" s="7"/>
      <c r="S70" s="7"/>
      <c r="T70" s="7"/>
      <c r="U70" s="7"/>
      <c r="V70" s="7"/>
      <c r="W70" s="7"/>
      <c r="X70" s="7"/>
      <c r="Y70" s="7"/>
      <c r="Z70" s="7"/>
    </row>
    <row r="71" spans="1:26" ht="13.5" customHeight="1" x14ac:dyDescent="0.25">
      <c r="A71" s="90" t="s">
        <v>218</v>
      </c>
      <c r="B71" s="90" t="s">
        <v>245</v>
      </c>
      <c r="C71" s="92" t="e">
        <f t="shared" ref="C71:N71" si="18">#REF!</f>
        <v>#REF!</v>
      </c>
      <c r="D71" s="92" t="e">
        <f t="shared" si="18"/>
        <v>#REF!</v>
      </c>
      <c r="E71" s="92" t="e">
        <f t="shared" si="18"/>
        <v>#REF!</v>
      </c>
      <c r="F71" s="92" t="e">
        <f t="shared" si="18"/>
        <v>#REF!</v>
      </c>
      <c r="G71" s="92" t="e">
        <f t="shared" si="18"/>
        <v>#REF!</v>
      </c>
      <c r="H71" s="92" t="e">
        <f t="shared" si="18"/>
        <v>#REF!</v>
      </c>
      <c r="I71" s="92" t="e">
        <f t="shared" si="18"/>
        <v>#REF!</v>
      </c>
      <c r="J71" s="92" t="e">
        <f t="shared" si="18"/>
        <v>#REF!</v>
      </c>
      <c r="K71" s="92" t="e">
        <f t="shared" si="18"/>
        <v>#REF!</v>
      </c>
      <c r="L71" s="92" t="e">
        <f t="shared" si="18"/>
        <v>#REF!</v>
      </c>
      <c r="M71" s="92" t="e">
        <f t="shared" si="18"/>
        <v>#REF!</v>
      </c>
      <c r="N71" s="92" t="e">
        <f t="shared" si="18"/>
        <v>#REF!</v>
      </c>
      <c r="O71" s="7"/>
      <c r="P71" s="7"/>
      <c r="Q71" s="7"/>
      <c r="R71" s="7"/>
      <c r="S71" s="7"/>
      <c r="T71" s="7"/>
      <c r="U71" s="7"/>
      <c r="V71" s="7"/>
      <c r="W71" s="7"/>
      <c r="X71" s="7"/>
      <c r="Y71" s="7"/>
      <c r="Z71" s="7"/>
    </row>
    <row r="72" spans="1:26" ht="13.5" customHeight="1" x14ac:dyDescent="0.25">
      <c r="A72" s="93" t="s">
        <v>252</v>
      </c>
      <c r="B72" s="94" t="s">
        <v>247</v>
      </c>
      <c r="C72" s="95" t="e">
        <f t="shared" ref="C72:N72" si="19">SUM($C$66:C68)/(SUM($C$69:C71)*1000)</f>
        <v>#REF!</v>
      </c>
      <c r="D72" s="95" t="e">
        <f t="shared" si="19"/>
        <v>#REF!</v>
      </c>
      <c r="E72" s="95" t="e">
        <f t="shared" si="19"/>
        <v>#REF!</v>
      </c>
      <c r="F72" s="95" t="e">
        <f t="shared" si="19"/>
        <v>#REF!</v>
      </c>
      <c r="G72" s="95" t="e">
        <f t="shared" si="19"/>
        <v>#REF!</v>
      </c>
      <c r="H72" s="95" t="e">
        <f t="shared" si="19"/>
        <v>#REF!</v>
      </c>
      <c r="I72" s="95" t="e">
        <f t="shared" si="19"/>
        <v>#REF!</v>
      </c>
      <c r="J72" s="95" t="e">
        <f t="shared" si="19"/>
        <v>#REF!</v>
      </c>
      <c r="K72" s="95" t="e">
        <f t="shared" si="19"/>
        <v>#REF!</v>
      </c>
      <c r="L72" s="95" t="e">
        <f t="shared" si="19"/>
        <v>#REF!</v>
      </c>
      <c r="M72" s="95" t="e">
        <f t="shared" si="19"/>
        <v>#REF!</v>
      </c>
      <c r="N72" s="95" t="e">
        <f t="shared" si="19"/>
        <v>#REF!</v>
      </c>
      <c r="O72" s="7"/>
      <c r="P72" s="7"/>
      <c r="Q72" s="7"/>
      <c r="R72" s="7"/>
      <c r="S72" s="7"/>
      <c r="T72" s="7"/>
      <c r="U72" s="7"/>
      <c r="V72" s="7"/>
      <c r="W72" s="7"/>
      <c r="X72" s="7"/>
      <c r="Y72" s="7"/>
      <c r="Z72" s="7"/>
    </row>
    <row r="73" spans="1:26" ht="13.5" customHeight="1" x14ac:dyDescent="0.25">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39.75" customHeight="1" x14ac:dyDescent="0.35">
      <c r="A74" s="173" t="s">
        <v>256</v>
      </c>
      <c r="B74" s="174"/>
      <c r="C74" s="175"/>
      <c r="D74" s="175"/>
      <c r="E74" s="175"/>
      <c r="F74" s="175"/>
      <c r="G74" s="175"/>
      <c r="H74" s="175"/>
      <c r="I74" s="175"/>
      <c r="J74" s="175"/>
      <c r="K74" s="175"/>
      <c r="L74" s="175"/>
      <c r="M74" s="175"/>
      <c r="N74" s="175"/>
      <c r="O74" s="176"/>
      <c r="P74" s="176"/>
      <c r="Q74" s="176"/>
      <c r="R74" s="176"/>
      <c r="S74" s="176"/>
      <c r="T74" s="176"/>
      <c r="U74" s="176"/>
      <c r="V74" s="176"/>
      <c r="W74" s="176"/>
      <c r="X74" s="176"/>
      <c r="Y74" s="176"/>
      <c r="Z74" s="176"/>
    </row>
    <row r="75" spans="1:26" ht="13.5" customHeight="1" x14ac:dyDescent="0.25">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3.5" customHeight="1" x14ac:dyDescent="0.25">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3.5" customHeight="1" x14ac:dyDescent="0.25">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3.5" customHeight="1" x14ac:dyDescent="0.25">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3.5" customHeight="1" x14ac:dyDescent="0.25">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3.5" customHeight="1" x14ac:dyDescent="0.25">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3.5" customHeight="1" x14ac:dyDescent="0.25">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3.5" customHeight="1" x14ac:dyDescent="0.25">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3.5" customHeight="1" x14ac:dyDescent="0.25">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3.5" customHeight="1" x14ac:dyDescent="0.25">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3.5" customHeight="1" x14ac:dyDescent="0.25">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3.5" customHeight="1" x14ac:dyDescent="0.25">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3.5" customHeight="1" x14ac:dyDescent="0.25">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3.5" customHeight="1" x14ac:dyDescent="0.25">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3.5" customHeight="1" x14ac:dyDescent="0.25">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3.5" customHeight="1" x14ac:dyDescent="0.25">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3.5" customHeight="1" x14ac:dyDescent="0.25">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3.5" customHeight="1" x14ac:dyDescent="0.25">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3.5" customHeight="1" x14ac:dyDescent="0.25">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3.5" customHeight="1" x14ac:dyDescent="0.25">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3.5" customHeight="1" x14ac:dyDescent="0.25">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3.5" customHeight="1" x14ac:dyDescent="0.25">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3.5" customHeight="1" x14ac:dyDescent="0.25">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3.5" customHeight="1" x14ac:dyDescent="0.25">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3.5" customHeight="1" x14ac:dyDescent="0.25">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3.5" customHeight="1" x14ac:dyDescent="0.25">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3.5" customHeight="1" x14ac:dyDescent="0.25">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3.5" customHeight="1" x14ac:dyDescent="0.25">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3.5" customHeight="1" x14ac:dyDescent="0.25">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3.5" customHeight="1" x14ac:dyDescent="0.25">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3.5" customHeight="1" x14ac:dyDescent="0.2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3.5" customHeight="1" x14ac:dyDescent="0.25">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3.5" customHeight="1" x14ac:dyDescent="0.25">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3.5" customHeight="1" x14ac:dyDescent="0.25">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3.5" customHeight="1" x14ac:dyDescent="0.25">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3.5" customHeight="1" x14ac:dyDescent="0.25">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3.5" customHeight="1" x14ac:dyDescent="0.25">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3.5" customHeight="1" x14ac:dyDescent="0.25">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3.5" customHeight="1" x14ac:dyDescent="0.25">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3.5" customHeight="1" x14ac:dyDescent="0.25">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3.5" customHeight="1" x14ac:dyDescent="0.2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3.5" customHeight="1" x14ac:dyDescent="0.25">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3.5" customHeight="1" x14ac:dyDescent="0.25">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3.5" customHeight="1" x14ac:dyDescent="0.25">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3.5" customHeight="1" x14ac:dyDescent="0.25">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3.5" customHeight="1" x14ac:dyDescent="0.25">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3.5" customHeight="1" x14ac:dyDescent="0.25">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3.5" customHeight="1" x14ac:dyDescent="0.25">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3.5" customHeight="1" x14ac:dyDescent="0.25">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3.5" customHeight="1" x14ac:dyDescent="0.25">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3.5" customHeight="1" x14ac:dyDescent="0.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3.5" customHeight="1" x14ac:dyDescent="0.25">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3.5" customHeight="1" x14ac:dyDescent="0.25">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3.5" customHeight="1" x14ac:dyDescent="0.25">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3.5" customHeight="1" x14ac:dyDescent="0.25">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3.5" customHeight="1" x14ac:dyDescent="0.25">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3.5" customHeight="1" x14ac:dyDescent="0.25">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3.5" customHeight="1" x14ac:dyDescent="0.25">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3.5" customHeight="1" x14ac:dyDescent="0.25">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3.5" customHeight="1" x14ac:dyDescent="0.25">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3.5" customHeight="1" x14ac:dyDescent="0.2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3.5" customHeight="1" x14ac:dyDescent="0.25">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3.5" customHeight="1" x14ac:dyDescent="0.25">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3.5" customHeight="1" x14ac:dyDescent="0.25">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3.5" customHeight="1" x14ac:dyDescent="0.25">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3.5" customHeight="1" x14ac:dyDescent="0.25">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3.5" customHeight="1" x14ac:dyDescent="0.25">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3.5" customHeight="1" x14ac:dyDescent="0.25">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3.5" customHeight="1" x14ac:dyDescent="0.25">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3.5" customHeight="1" x14ac:dyDescent="0.25">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3.5" customHeight="1" x14ac:dyDescent="0.2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3.5" customHeight="1" x14ac:dyDescent="0.25">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3.5" customHeight="1" x14ac:dyDescent="0.25">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3.5" customHeight="1" x14ac:dyDescent="0.25">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3.5" customHeight="1" x14ac:dyDescent="0.25">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3.5" customHeight="1" x14ac:dyDescent="0.25">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3.5" customHeight="1" x14ac:dyDescent="0.25">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3.5" customHeight="1" x14ac:dyDescent="0.25">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3.5" customHeight="1" x14ac:dyDescent="0.25">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3.5" customHeight="1" x14ac:dyDescent="0.25">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3.5" customHeight="1" x14ac:dyDescent="0.2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3.5" customHeight="1" x14ac:dyDescent="0.25">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3.5" customHeight="1" x14ac:dyDescent="0.25">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3.5" customHeight="1" x14ac:dyDescent="0.25">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3.5" customHeight="1" x14ac:dyDescent="0.25">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3.5" customHeight="1" x14ac:dyDescent="0.25">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3.5" customHeight="1" x14ac:dyDescent="0.25">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3.5" customHeight="1" x14ac:dyDescent="0.25">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3.5" customHeight="1" x14ac:dyDescent="0.25">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3.5" customHeight="1" x14ac:dyDescent="0.25">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3.5" customHeight="1" x14ac:dyDescent="0.2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3.5" customHeight="1" x14ac:dyDescent="0.25">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3.5" customHeight="1" x14ac:dyDescent="0.25">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3.5" customHeight="1" x14ac:dyDescent="0.25">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3.5" customHeight="1" x14ac:dyDescent="0.25">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3.5" customHeight="1" x14ac:dyDescent="0.25">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3.5" customHeight="1" x14ac:dyDescent="0.25">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3.5" customHeight="1" x14ac:dyDescent="0.25">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3.5" customHeight="1" x14ac:dyDescent="0.25">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3.5" customHeight="1" x14ac:dyDescent="0.25">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3.5" customHeight="1" x14ac:dyDescent="0.2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3.5" customHeight="1" x14ac:dyDescent="0.25">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3.5" customHeight="1" x14ac:dyDescent="0.25">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3.5" customHeight="1" x14ac:dyDescent="0.25">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3.5" customHeight="1" x14ac:dyDescent="0.25">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3.5" customHeight="1" x14ac:dyDescent="0.25">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3.5" customHeight="1" x14ac:dyDescent="0.25">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3.5" customHeight="1" x14ac:dyDescent="0.25">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3.5" customHeight="1" x14ac:dyDescent="0.25">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3.5" customHeight="1" x14ac:dyDescent="0.25">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3.5" customHeight="1" x14ac:dyDescent="0.2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3.5" customHeight="1" x14ac:dyDescent="0.25">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3.5" customHeight="1" x14ac:dyDescent="0.25">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3.5" customHeight="1" x14ac:dyDescent="0.25">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3.5" customHeight="1" x14ac:dyDescent="0.25">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3.5" customHeight="1" x14ac:dyDescent="0.25">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3.5" customHeight="1" x14ac:dyDescent="0.25">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3.5" customHeight="1" x14ac:dyDescent="0.25">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3.5" customHeight="1" x14ac:dyDescent="0.25">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3.5" customHeight="1" x14ac:dyDescent="0.25">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3.5" customHeight="1" x14ac:dyDescent="0.2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3.5" customHeight="1" x14ac:dyDescent="0.25">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3.5" customHeight="1" x14ac:dyDescent="0.25">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3.5" customHeight="1" x14ac:dyDescent="0.25">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3.5" customHeight="1" x14ac:dyDescent="0.25">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3.5" customHeight="1" x14ac:dyDescent="0.25">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3.5" customHeight="1" x14ac:dyDescent="0.25">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3.5" customHeight="1" x14ac:dyDescent="0.25">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3.5" customHeight="1" x14ac:dyDescent="0.25">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3.5" customHeight="1" x14ac:dyDescent="0.25">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3.5" customHeight="1" x14ac:dyDescent="0.2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3.5" customHeight="1" x14ac:dyDescent="0.25">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3.5" customHeight="1" x14ac:dyDescent="0.25">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3.5" customHeight="1" x14ac:dyDescent="0.25">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3.5" customHeight="1" x14ac:dyDescent="0.25">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3.5" customHeight="1" x14ac:dyDescent="0.25">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3.5" customHeight="1" x14ac:dyDescent="0.25">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3.5" customHeight="1" x14ac:dyDescent="0.25">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3.5" customHeight="1" x14ac:dyDescent="0.25">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3.5" customHeight="1" x14ac:dyDescent="0.25">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3.5" customHeight="1" x14ac:dyDescent="0.2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3.5" customHeight="1" x14ac:dyDescent="0.25">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3.5" customHeight="1" x14ac:dyDescent="0.25">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3.5" customHeight="1" x14ac:dyDescent="0.25">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3.5" customHeight="1" x14ac:dyDescent="0.25">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3.5" customHeight="1" x14ac:dyDescent="0.25">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3.5" customHeight="1" x14ac:dyDescent="0.25">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3.5" customHeight="1" x14ac:dyDescent="0.25">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3.5" customHeight="1" x14ac:dyDescent="0.25">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3.5" customHeight="1" x14ac:dyDescent="0.25">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3.5" customHeight="1" x14ac:dyDescent="0.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3.5" customHeight="1" x14ac:dyDescent="0.25">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3.5" customHeight="1" x14ac:dyDescent="0.25">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3.5" customHeight="1" x14ac:dyDescent="0.25">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3.5" customHeight="1" x14ac:dyDescent="0.25">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3.5" customHeight="1" x14ac:dyDescent="0.25">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3.5" customHeight="1" x14ac:dyDescent="0.25">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3.5" customHeight="1" x14ac:dyDescent="0.25">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3.5" customHeight="1" x14ac:dyDescent="0.25">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3.5" customHeight="1" x14ac:dyDescent="0.25">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3.5" customHeight="1" x14ac:dyDescent="0.2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3.5" customHeight="1" x14ac:dyDescent="0.25">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3.5" customHeight="1" x14ac:dyDescent="0.25">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3.5" customHeight="1" x14ac:dyDescent="0.25">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3.5" customHeight="1" x14ac:dyDescent="0.25">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3.5" customHeight="1" x14ac:dyDescent="0.25">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3.5" customHeight="1" x14ac:dyDescent="0.25">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3.5" customHeight="1" x14ac:dyDescent="0.25">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3.5" customHeight="1" x14ac:dyDescent="0.25">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3.5" customHeight="1" x14ac:dyDescent="0.25">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3.5" customHeight="1" x14ac:dyDescent="0.2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3.5" customHeight="1" x14ac:dyDescent="0.25">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3.5" customHeight="1" x14ac:dyDescent="0.25">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3.5" customHeight="1" x14ac:dyDescent="0.25">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3.5" customHeight="1" x14ac:dyDescent="0.25">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3.5" customHeight="1" x14ac:dyDescent="0.25">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3.5" customHeight="1" x14ac:dyDescent="0.25">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3.5" customHeight="1" x14ac:dyDescent="0.25">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3.5" customHeight="1" x14ac:dyDescent="0.25">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3.5" customHeight="1" x14ac:dyDescent="0.25">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3.5" customHeight="1" x14ac:dyDescent="0.2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3.5" customHeight="1" x14ac:dyDescent="0.25">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3.5" customHeight="1" x14ac:dyDescent="0.25">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3.5" customHeight="1" x14ac:dyDescent="0.25">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3.5" customHeight="1" x14ac:dyDescent="0.25">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3.5" customHeight="1" x14ac:dyDescent="0.25">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3.5" customHeight="1" x14ac:dyDescent="0.25">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3.5" customHeight="1" x14ac:dyDescent="0.25">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3.5" customHeight="1" x14ac:dyDescent="0.25">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3.5" customHeight="1" x14ac:dyDescent="0.25">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3.5" customHeight="1" x14ac:dyDescent="0.2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3.5" customHeight="1" x14ac:dyDescent="0.25">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3.5" customHeight="1" x14ac:dyDescent="0.25">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3.5" customHeight="1" x14ac:dyDescent="0.25">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3.5" customHeight="1" x14ac:dyDescent="0.25">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3.5" customHeight="1" x14ac:dyDescent="0.25">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3.5" customHeight="1" x14ac:dyDescent="0.25">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3.5" customHeight="1" x14ac:dyDescent="0.25">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3.5" customHeight="1" x14ac:dyDescent="0.25">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3.5" customHeight="1" x14ac:dyDescent="0.25">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x14ac:dyDescent="0.25">
      <c r="A275" s="97"/>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c r="Z275" s="97"/>
    </row>
    <row r="276" spans="1:26" ht="15.75" customHeight="1" x14ac:dyDescent="0.25">
      <c r="A276" s="97"/>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c r="Z276" s="97"/>
    </row>
    <row r="277" spans="1:26" ht="15.75" customHeight="1" x14ac:dyDescent="0.25">
      <c r="A277" s="97"/>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c r="Z277" s="97"/>
    </row>
    <row r="278" spans="1:26" ht="15.75" customHeight="1" x14ac:dyDescent="0.25">
      <c r="A278" s="97"/>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c r="Z278" s="97"/>
    </row>
    <row r="279" spans="1:26" ht="15.75" customHeight="1" x14ac:dyDescent="0.25">
      <c r="A279" s="97"/>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c r="Z279" s="97"/>
    </row>
    <row r="280" spans="1:26" ht="15.75" customHeight="1" x14ac:dyDescent="0.25">
      <c r="A280" s="97"/>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c r="Z280" s="97"/>
    </row>
    <row r="281" spans="1:26" ht="15.75" customHeight="1" x14ac:dyDescent="0.25">
      <c r="A281" s="97"/>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c r="Z281" s="97"/>
    </row>
    <row r="282" spans="1:26" ht="15.75" customHeight="1" x14ac:dyDescent="0.25">
      <c r="A282" s="97"/>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c r="Z282" s="97"/>
    </row>
    <row r="283" spans="1:26" ht="15.75" customHeight="1" x14ac:dyDescent="0.25">
      <c r="A283" s="97"/>
      <c r="B283" s="97"/>
      <c r="C283" s="97"/>
      <c r="D283" s="97"/>
      <c r="E283" s="97"/>
      <c r="F283" s="97"/>
      <c r="G283" s="97"/>
      <c r="H283" s="97"/>
      <c r="I283" s="97"/>
      <c r="J283" s="97"/>
      <c r="K283" s="97"/>
      <c r="L283" s="97"/>
      <c r="M283" s="97"/>
      <c r="N283" s="97"/>
      <c r="O283" s="97"/>
      <c r="P283" s="97"/>
      <c r="Q283" s="97"/>
      <c r="R283" s="97"/>
      <c r="S283" s="97"/>
      <c r="T283" s="97"/>
      <c r="U283" s="97"/>
      <c r="V283" s="97"/>
      <c r="W283" s="97"/>
      <c r="X283" s="97"/>
      <c r="Y283" s="97"/>
      <c r="Z283" s="97"/>
    </row>
    <row r="284" spans="1:26" ht="15.75" customHeight="1" x14ac:dyDescent="0.25">
      <c r="A284" s="97"/>
      <c r="B284" s="97"/>
      <c r="C284" s="97"/>
      <c r="D284" s="97"/>
      <c r="E284" s="97"/>
      <c r="F284" s="97"/>
      <c r="G284" s="97"/>
      <c r="H284" s="97"/>
      <c r="I284" s="97"/>
      <c r="J284" s="97"/>
      <c r="K284" s="97"/>
      <c r="L284" s="97"/>
      <c r="M284" s="97"/>
      <c r="N284" s="97"/>
      <c r="O284" s="97"/>
      <c r="P284" s="97"/>
      <c r="Q284" s="97"/>
      <c r="R284" s="97"/>
      <c r="S284" s="97"/>
      <c r="T284" s="97"/>
      <c r="U284" s="97"/>
      <c r="V284" s="97"/>
      <c r="W284" s="97"/>
      <c r="X284" s="97"/>
      <c r="Y284" s="97"/>
      <c r="Z284" s="97"/>
    </row>
    <row r="285" spans="1:26" ht="15.75" customHeight="1" x14ac:dyDescent="0.25">
      <c r="A285" s="97"/>
      <c r="B285" s="97"/>
      <c r="C285" s="97"/>
      <c r="D285" s="97"/>
      <c r="E285" s="97"/>
      <c r="F285" s="97"/>
      <c r="G285" s="97"/>
      <c r="H285" s="97"/>
      <c r="I285" s="97"/>
      <c r="J285" s="97"/>
      <c r="K285" s="97"/>
      <c r="L285" s="97"/>
      <c r="M285" s="97"/>
      <c r="N285" s="97"/>
      <c r="O285" s="97"/>
      <c r="P285" s="97"/>
      <c r="Q285" s="97"/>
      <c r="R285" s="97"/>
      <c r="S285" s="97"/>
      <c r="T285" s="97"/>
      <c r="U285" s="97"/>
      <c r="V285" s="97"/>
      <c r="W285" s="97"/>
      <c r="X285" s="97"/>
      <c r="Y285" s="97"/>
      <c r="Z285" s="97"/>
    </row>
    <row r="286" spans="1:26" ht="15.75" customHeight="1" x14ac:dyDescent="0.25">
      <c r="A286" s="97"/>
      <c r="B286" s="97"/>
      <c r="C286" s="97"/>
      <c r="D286" s="97"/>
      <c r="E286" s="97"/>
      <c r="F286" s="97"/>
      <c r="G286" s="97"/>
      <c r="H286" s="97"/>
      <c r="I286" s="97"/>
      <c r="J286" s="97"/>
      <c r="K286" s="97"/>
      <c r="L286" s="97"/>
      <c r="M286" s="97"/>
      <c r="N286" s="97"/>
      <c r="O286" s="97"/>
      <c r="P286" s="97"/>
      <c r="Q286" s="97"/>
      <c r="R286" s="97"/>
      <c r="S286" s="97"/>
      <c r="T286" s="97"/>
      <c r="U286" s="97"/>
      <c r="V286" s="97"/>
      <c r="W286" s="97"/>
      <c r="X286" s="97"/>
      <c r="Y286" s="97"/>
      <c r="Z286" s="97"/>
    </row>
    <row r="287" spans="1:26" ht="15.75" customHeight="1" x14ac:dyDescent="0.25">
      <c r="A287" s="97"/>
      <c r="B287" s="97"/>
      <c r="C287" s="97"/>
      <c r="D287" s="97"/>
      <c r="E287" s="97"/>
      <c r="F287" s="97"/>
      <c r="G287" s="97"/>
      <c r="H287" s="97"/>
      <c r="I287" s="97"/>
      <c r="J287" s="97"/>
      <c r="K287" s="97"/>
      <c r="L287" s="97"/>
      <c r="M287" s="97"/>
      <c r="N287" s="97"/>
      <c r="O287" s="97"/>
      <c r="P287" s="97"/>
      <c r="Q287" s="97"/>
      <c r="R287" s="97"/>
      <c r="S287" s="97"/>
      <c r="T287" s="97"/>
      <c r="U287" s="97"/>
      <c r="V287" s="97"/>
      <c r="W287" s="97"/>
      <c r="X287" s="97"/>
      <c r="Y287" s="97"/>
      <c r="Z287" s="97"/>
    </row>
    <row r="288" spans="1:26" ht="15.75" customHeight="1" x14ac:dyDescent="0.25">
      <c r="A288" s="97"/>
      <c r="B288" s="97"/>
      <c r="C288" s="97"/>
      <c r="D288" s="97"/>
      <c r="E288" s="97"/>
      <c r="F288" s="97"/>
      <c r="G288" s="97"/>
      <c r="H288" s="97"/>
      <c r="I288" s="97"/>
      <c r="J288" s="97"/>
      <c r="K288" s="97"/>
      <c r="L288" s="97"/>
      <c r="M288" s="97"/>
      <c r="N288" s="97"/>
      <c r="O288" s="97"/>
      <c r="P288" s="97"/>
      <c r="Q288" s="97"/>
      <c r="R288" s="97"/>
      <c r="S288" s="97"/>
      <c r="T288" s="97"/>
      <c r="U288" s="97"/>
      <c r="V288" s="97"/>
      <c r="W288" s="97"/>
      <c r="X288" s="97"/>
      <c r="Y288" s="97"/>
      <c r="Z288" s="97"/>
    </row>
    <row r="289" spans="1:26" ht="15.75" customHeight="1" x14ac:dyDescent="0.25">
      <c r="A289" s="97"/>
      <c r="B289" s="97"/>
      <c r="C289" s="97"/>
      <c r="D289" s="97"/>
      <c r="E289" s="97"/>
      <c r="F289" s="97"/>
      <c r="G289" s="97"/>
      <c r="H289" s="97"/>
      <c r="I289" s="97"/>
      <c r="J289" s="97"/>
      <c r="K289" s="97"/>
      <c r="L289" s="97"/>
      <c r="M289" s="97"/>
      <c r="N289" s="97"/>
      <c r="O289" s="97"/>
      <c r="P289" s="97"/>
      <c r="Q289" s="97"/>
      <c r="R289" s="97"/>
      <c r="S289" s="97"/>
      <c r="T289" s="97"/>
      <c r="U289" s="97"/>
      <c r="V289" s="97"/>
      <c r="W289" s="97"/>
      <c r="X289" s="97"/>
      <c r="Y289" s="97"/>
      <c r="Z289" s="97"/>
    </row>
    <row r="290" spans="1:26" ht="15.75" customHeight="1" x14ac:dyDescent="0.25">
      <c r="A290" s="97"/>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c r="Z290" s="97"/>
    </row>
    <row r="291" spans="1:26" ht="15.75" customHeight="1" x14ac:dyDescent="0.25">
      <c r="A291" s="97"/>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c r="Z291" s="97"/>
    </row>
    <row r="292" spans="1:26" ht="15.75" customHeight="1" x14ac:dyDescent="0.25">
      <c r="A292" s="97"/>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c r="Z292" s="97"/>
    </row>
    <row r="293" spans="1:26" ht="15.75" customHeight="1" x14ac:dyDescent="0.25">
      <c r="A293" s="97"/>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c r="Z293" s="97"/>
    </row>
    <row r="294" spans="1:26" ht="15.75" customHeight="1" x14ac:dyDescent="0.25">
      <c r="A294" s="97"/>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c r="Z294" s="97"/>
    </row>
    <row r="295" spans="1:26" ht="15.75" customHeight="1" x14ac:dyDescent="0.25">
      <c r="A295" s="97"/>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c r="Z295" s="97"/>
    </row>
    <row r="296" spans="1:26" ht="15.75" customHeight="1" x14ac:dyDescent="0.25">
      <c r="A296" s="97"/>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c r="Z296" s="97"/>
    </row>
    <row r="297" spans="1:26" ht="15.75" customHeight="1" x14ac:dyDescent="0.25">
      <c r="A297" s="97"/>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c r="Z297" s="97"/>
    </row>
    <row r="298" spans="1:26" ht="15.75" customHeight="1" x14ac:dyDescent="0.25">
      <c r="A298" s="97"/>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c r="Z298" s="97"/>
    </row>
    <row r="299" spans="1:26" ht="15.75" customHeight="1" x14ac:dyDescent="0.25">
      <c r="A299" s="97"/>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c r="Z299" s="97"/>
    </row>
    <row r="300" spans="1:26" ht="15.75" customHeight="1" x14ac:dyDescent="0.25">
      <c r="A300" s="97"/>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c r="Z300" s="97"/>
    </row>
    <row r="301" spans="1:26" ht="15.75" customHeight="1" x14ac:dyDescent="0.25">
      <c r="A301" s="97"/>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c r="Z301" s="97"/>
    </row>
    <row r="302" spans="1:26" ht="15.75" customHeight="1" x14ac:dyDescent="0.25">
      <c r="A302" s="97"/>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c r="Z302" s="97"/>
    </row>
    <row r="303" spans="1:26" ht="15.75" customHeight="1" x14ac:dyDescent="0.25">
      <c r="A303" s="97"/>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row>
    <row r="304" spans="1:26" ht="15.75" customHeight="1" x14ac:dyDescent="0.25">
      <c r="A304" s="97"/>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row>
    <row r="305" spans="1:26" ht="15.75" customHeight="1" x14ac:dyDescent="0.25">
      <c r="A305" s="97"/>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c r="Z305" s="97"/>
    </row>
    <row r="306" spans="1:26" ht="15.75" customHeight="1" x14ac:dyDescent="0.25">
      <c r="A306" s="97"/>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c r="Z306" s="97"/>
    </row>
    <row r="307" spans="1:26" ht="15.75" customHeight="1" x14ac:dyDescent="0.25">
      <c r="A307" s="97"/>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c r="Z307" s="97"/>
    </row>
    <row r="308" spans="1:26" ht="15.75" customHeight="1" x14ac:dyDescent="0.25">
      <c r="A308" s="97"/>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c r="Z308" s="97"/>
    </row>
    <row r="309" spans="1:26" ht="15.75" customHeight="1" x14ac:dyDescent="0.25">
      <c r="A309" s="97"/>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c r="Z309" s="97"/>
    </row>
    <row r="310" spans="1:26" ht="15.75" customHeight="1" x14ac:dyDescent="0.25">
      <c r="A310" s="97"/>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c r="Z310" s="97"/>
    </row>
    <row r="311" spans="1:26" ht="15.75" customHeight="1" x14ac:dyDescent="0.25">
      <c r="A311" s="97"/>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c r="Z311" s="97"/>
    </row>
    <row r="312" spans="1:26" ht="15.75" customHeight="1" x14ac:dyDescent="0.25">
      <c r="A312" s="97"/>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c r="Z312" s="97"/>
    </row>
    <row r="313" spans="1:26" ht="15.75" customHeight="1" x14ac:dyDescent="0.25">
      <c r="A313" s="97"/>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row>
    <row r="314" spans="1:26" ht="15.75" customHeight="1" x14ac:dyDescent="0.25">
      <c r="A314" s="97"/>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c r="Z314" s="97"/>
    </row>
    <row r="315" spans="1:26" ht="15.75" customHeight="1" x14ac:dyDescent="0.25">
      <c r="A315" s="97"/>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c r="Z315" s="97"/>
    </row>
    <row r="316" spans="1:26" ht="15.75" customHeight="1" x14ac:dyDescent="0.25">
      <c r="A316" s="97"/>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c r="Z316" s="97"/>
    </row>
    <row r="317" spans="1:26" ht="15.75" customHeight="1" x14ac:dyDescent="0.25">
      <c r="A317" s="97"/>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c r="Z317" s="97"/>
    </row>
    <row r="318" spans="1:26" ht="15.75" customHeight="1" x14ac:dyDescent="0.25">
      <c r="A318" s="97"/>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c r="Z318" s="97"/>
    </row>
    <row r="319" spans="1:26" ht="15.75" customHeight="1" x14ac:dyDescent="0.25">
      <c r="A319" s="97"/>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c r="Z319" s="97"/>
    </row>
    <row r="320" spans="1:26" ht="15.75" customHeight="1" x14ac:dyDescent="0.25">
      <c r="A320" s="97"/>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c r="Z320" s="97"/>
    </row>
    <row r="321" spans="1:26" ht="15.75" customHeight="1" x14ac:dyDescent="0.25">
      <c r="A321" s="97"/>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c r="Z321" s="97"/>
    </row>
    <row r="322" spans="1:26" ht="15.75" customHeight="1" x14ac:dyDescent="0.25">
      <c r="A322" s="97"/>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c r="Z322" s="97"/>
    </row>
    <row r="323" spans="1:26" ht="15.75" customHeight="1" x14ac:dyDescent="0.25">
      <c r="A323" s="97"/>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c r="Z323" s="97"/>
    </row>
    <row r="324" spans="1:26" ht="15.75" customHeight="1" x14ac:dyDescent="0.25">
      <c r="A324" s="97"/>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c r="Z324" s="97"/>
    </row>
    <row r="325" spans="1:26" ht="15.75" customHeight="1" x14ac:dyDescent="0.25">
      <c r="A325" s="97"/>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c r="Z325" s="97"/>
    </row>
    <row r="326" spans="1:26" ht="15.75" customHeight="1" x14ac:dyDescent="0.25">
      <c r="A326" s="97"/>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c r="Z326" s="97"/>
    </row>
    <row r="327" spans="1:26" ht="15.75" customHeight="1" x14ac:dyDescent="0.25">
      <c r="A327" s="97"/>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c r="Z327" s="97"/>
    </row>
    <row r="328" spans="1:26" ht="15.75" customHeight="1" x14ac:dyDescent="0.25">
      <c r="A328" s="97"/>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c r="Z328" s="97"/>
    </row>
    <row r="329" spans="1:26" ht="15.75" customHeight="1" x14ac:dyDescent="0.25">
      <c r="A329" s="97"/>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c r="Z329" s="97"/>
    </row>
    <row r="330" spans="1:26" ht="15.75" customHeight="1" x14ac:dyDescent="0.25">
      <c r="A330" s="97"/>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c r="Z330" s="97"/>
    </row>
    <row r="331" spans="1:26" ht="15.75" customHeight="1" x14ac:dyDescent="0.25">
      <c r="A331" s="97"/>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c r="Z331" s="97"/>
    </row>
    <row r="332" spans="1:26" ht="15.75" customHeight="1" x14ac:dyDescent="0.25">
      <c r="A332" s="97"/>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row>
    <row r="333" spans="1:26" ht="15.75" customHeight="1" x14ac:dyDescent="0.25">
      <c r="A333" s="97"/>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c r="Z333" s="97"/>
    </row>
    <row r="334" spans="1:26" ht="15.75" customHeight="1" x14ac:dyDescent="0.25">
      <c r="A334" s="97"/>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c r="Z334" s="97"/>
    </row>
    <row r="335" spans="1:26" ht="15.75" customHeight="1" x14ac:dyDescent="0.25">
      <c r="A335" s="97"/>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c r="Z335" s="97"/>
    </row>
    <row r="336" spans="1:26" ht="15.75" customHeight="1" x14ac:dyDescent="0.25">
      <c r="A336" s="97"/>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row>
    <row r="337" spans="1:26" ht="15.75" customHeight="1" x14ac:dyDescent="0.25">
      <c r="A337" s="97"/>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c r="Z337" s="97"/>
    </row>
    <row r="338" spans="1:26" ht="15.75" customHeight="1" x14ac:dyDescent="0.25">
      <c r="A338" s="97"/>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c r="Z338" s="97"/>
    </row>
    <row r="339" spans="1:26" ht="15.75" customHeight="1" x14ac:dyDescent="0.25">
      <c r="A339" s="97"/>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c r="Z339" s="97"/>
    </row>
    <row r="340" spans="1:26" ht="15.75" customHeight="1" x14ac:dyDescent="0.25">
      <c r="A340" s="97"/>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row>
    <row r="341" spans="1:26" ht="15.75" customHeight="1" x14ac:dyDescent="0.25">
      <c r="A341" s="97"/>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c r="Z341" s="97"/>
    </row>
    <row r="342" spans="1:26" ht="15.75" customHeight="1" x14ac:dyDescent="0.25">
      <c r="A342" s="97"/>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c r="Z342" s="97"/>
    </row>
    <row r="343" spans="1:26" ht="15.75" customHeight="1" x14ac:dyDescent="0.25">
      <c r="A343" s="97"/>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c r="Z343" s="97"/>
    </row>
    <row r="344" spans="1:26" ht="15.75" customHeight="1" x14ac:dyDescent="0.25">
      <c r="A344" s="97"/>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row>
    <row r="345" spans="1:26" ht="15.75" customHeight="1" x14ac:dyDescent="0.25">
      <c r="A345" s="97"/>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c r="Z345" s="97"/>
    </row>
    <row r="346" spans="1:26" ht="15.75" customHeight="1" x14ac:dyDescent="0.25">
      <c r="A346" s="97"/>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row>
    <row r="347" spans="1:26" ht="15.75" customHeight="1" x14ac:dyDescent="0.25">
      <c r="A347" s="97"/>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c r="Z347" s="97"/>
    </row>
    <row r="348" spans="1:26" ht="15.75" customHeight="1" x14ac:dyDescent="0.25">
      <c r="A348" s="97"/>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c r="Z348" s="97"/>
    </row>
    <row r="349" spans="1:26" ht="15.75" customHeight="1" x14ac:dyDescent="0.25">
      <c r="A349" s="97"/>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c r="Z349" s="97"/>
    </row>
    <row r="350" spans="1:26" ht="15.75" customHeight="1" x14ac:dyDescent="0.25">
      <c r="A350" s="97"/>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c r="Z350" s="97"/>
    </row>
    <row r="351" spans="1:26" ht="15.75" customHeight="1" x14ac:dyDescent="0.25">
      <c r="A351" s="97"/>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c r="Z351" s="97"/>
    </row>
    <row r="352" spans="1:26" ht="15.75" customHeight="1" x14ac:dyDescent="0.25">
      <c r="A352" s="97"/>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c r="Z352" s="97"/>
    </row>
    <row r="353" spans="1:26" ht="15.75" customHeight="1" x14ac:dyDescent="0.25">
      <c r="A353" s="97"/>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c r="Z353" s="97"/>
    </row>
    <row r="354" spans="1:26" ht="15.75" customHeight="1" x14ac:dyDescent="0.25">
      <c r="A354" s="97"/>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c r="Z354" s="97"/>
    </row>
    <row r="355" spans="1:26" ht="15.75" customHeight="1" x14ac:dyDescent="0.25">
      <c r="A355" s="97"/>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c r="Z355" s="97"/>
    </row>
    <row r="356" spans="1:26" ht="15.75" customHeight="1" x14ac:dyDescent="0.25">
      <c r="A356" s="97"/>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c r="Z356" s="97"/>
    </row>
    <row r="357" spans="1:26" ht="15.75" customHeight="1" x14ac:dyDescent="0.25">
      <c r="A357" s="97"/>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c r="Z357" s="97"/>
    </row>
    <row r="358" spans="1:26" ht="15.75" customHeight="1" x14ac:dyDescent="0.25">
      <c r="A358" s="97"/>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c r="Z358" s="97"/>
    </row>
    <row r="359" spans="1:26" ht="15.75" customHeight="1" x14ac:dyDescent="0.25">
      <c r="A359" s="97"/>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c r="Z359" s="97"/>
    </row>
    <row r="360" spans="1:26" ht="15.75" customHeight="1" x14ac:dyDescent="0.25">
      <c r="A360" s="97"/>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c r="Z360" s="97"/>
    </row>
    <row r="361" spans="1:26" ht="15.75" customHeight="1" x14ac:dyDescent="0.25">
      <c r="A361" s="97"/>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c r="Z361" s="97"/>
    </row>
    <row r="362" spans="1:26" ht="15.75" customHeight="1" x14ac:dyDescent="0.25">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row>
    <row r="363" spans="1:26" ht="15.75" customHeight="1" x14ac:dyDescent="0.25">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row>
    <row r="364" spans="1:26" ht="15.75" customHeight="1" x14ac:dyDescent="0.25">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row>
    <row r="365" spans="1:26" ht="15.75" customHeight="1" x14ac:dyDescent="0.25">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row>
    <row r="366" spans="1:26" ht="15.75" customHeight="1" x14ac:dyDescent="0.25">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row>
    <row r="367" spans="1:26" ht="15.75" customHeight="1" x14ac:dyDescent="0.25">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row>
    <row r="368" spans="1:26" ht="15.75" customHeight="1" x14ac:dyDescent="0.25">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row>
    <row r="369" spans="1:26" ht="15.75" customHeight="1" x14ac:dyDescent="0.25">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row>
    <row r="370" spans="1:26" ht="15.75" customHeight="1" x14ac:dyDescent="0.25">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row>
    <row r="371" spans="1:26" ht="15.75" customHeight="1" x14ac:dyDescent="0.25">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row>
    <row r="372" spans="1:26" ht="15.75" customHeight="1" x14ac:dyDescent="0.25">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row>
    <row r="373" spans="1:26" ht="15.75" customHeight="1" x14ac:dyDescent="0.25">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row>
    <row r="374" spans="1:26" ht="15.75" customHeight="1" x14ac:dyDescent="0.25">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row>
    <row r="375" spans="1:26" ht="15.75" customHeight="1" x14ac:dyDescent="0.25">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row>
    <row r="376" spans="1:26" ht="15.75" customHeight="1" x14ac:dyDescent="0.25">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row>
    <row r="377" spans="1:26" ht="15.75" customHeight="1" x14ac:dyDescent="0.25">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row>
    <row r="378" spans="1:26" ht="15.75" customHeight="1" x14ac:dyDescent="0.25">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row>
    <row r="379" spans="1:26" ht="15.75" customHeight="1" x14ac:dyDescent="0.25">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row>
    <row r="380" spans="1:26" ht="15.75" customHeight="1" x14ac:dyDescent="0.25">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row>
    <row r="381" spans="1:26" ht="15.75" customHeight="1" x14ac:dyDescent="0.25">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row>
    <row r="382" spans="1:26" ht="15.75" customHeight="1" x14ac:dyDescent="0.25">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row>
    <row r="383" spans="1:26" ht="15.75" customHeight="1" x14ac:dyDescent="0.25">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row>
    <row r="384" spans="1:26" ht="15.75" customHeight="1" x14ac:dyDescent="0.25">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row>
    <row r="385" spans="1:26" ht="15.75" customHeight="1" x14ac:dyDescent="0.25">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row>
    <row r="386" spans="1:26" ht="15.75" customHeight="1" x14ac:dyDescent="0.25">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row>
    <row r="387" spans="1:26" ht="15.75" customHeight="1" x14ac:dyDescent="0.25">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row>
    <row r="388" spans="1:26" ht="15.75" customHeight="1" x14ac:dyDescent="0.25">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row>
    <row r="389" spans="1:26" ht="15.75" customHeight="1" x14ac:dyDescent="0.25">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row>
    <row r="390" spans="1:26" ht="15.75" customHeight="1" x14ac:dyDescent="0.25">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row>
    <row r="391" spans="1:26" ht="15.75" customHeight="1" x14ac:dyDescent="0.25">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row>
    <row r="392" spans="1:26" ht="15.75" customHeight="1" x14ac:dyDescent="0.25">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row>
    <row r="393" spans="1:26" ht="15.75" customHeight="1" x14ac:dyDescent="0.25">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row>
    <row r="394" spans="1:26" ht="15.75" customHeight="1" x14ac:dyDescent="0.25">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row>
    <row r="395" spans="1:26" ht="15.75" customHeight="1" x14ac:dyDescent="0.25">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row>
    <row r="396" spans="1:26" ht="15.75" customHeight="1" x14ac:dyDescent="0.25">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row>
    <row r="397" spans="1:26" ht="15.75" customHeight="1" x14ac:dyDescent="0.25">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row>
    <row r="398" spans="1:26" ht="15.75" customHeight="1" x14ac:dyDescent="0.25">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row>
    <row r="399" spans="1:26" ht="15.75" customHeight="1" x14ac:dyDescent="0.25">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row>
    <row r="400" spans="1:26" ht="15.75" customHeight="1" x14ac:dyDescent="0.25">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row>
    <row r="401" spans="1:26" ht="15.75" customHeight="1" x14ac:dyDescent="0.25">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row>
    <row r="402" spans="1:26" ht="15.75" customHeight="1" x14ac:dyDescent="0.25">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row>
    <row r="403" spans="1:26" ht="15.75" customHeight="1" x14ac:dyDescent="0.25">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row>
    <row r="404" spans="1:26" ht="15.75" customHeight="1" x14ac:dyDescent="0.25">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row>
    <row r="405" spans="1:26" ht="15.75" customHeight="1" x14ac:dyDescent="0.25">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row>
    <row r="406" spans="1:26" ht="15.75" customHeight="1" x14ac:dyDescent="0.25">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row>
    <row r="407" spans="1:26" ht="15.75" customHeight="1" x14ac:dyDescent="0.25">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row>
    <row r="408" spans="1:26" ht="15.75" customHeight="1" x14ac:dyDescent="0.25">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row>
    <row r="409" spans="1:26" ht="15.75" customHeight="1" x14ac:dyDescent="0.25">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row>
    <row r="410" spans="1:26" ht="15.75" customHeight="1" x14ac:dyDescent="0.25">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row>
    <row r="411" spans="1:26" ht="15.75" customHeight="1" x14ac:dyDescent="0.25">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row>
    <row r="412" spans="1:26" ht="15.75" customHeight="1" x14ac:dyDescent="0.25">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row>
    <row r="413" spans="1:26" ht="15.75" customHeight="1" x14ac:dyDescent="0.25">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row>
    <row r="414" spans="1:26" ht="15.75" customHeight="1" x14ac:dyDescent="0.25">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row>
    <row r="415" spans="1:26" ht="15.75" customHeight="1" x14ac:dyDescent="0.25">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row>
    <row r="416" spans="1:26" ht="15.75" customHeight="1" x14ac:dyDescent="0.25">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row>
    <row r="417" spans="1:26" ht="15.75" customHeight="1" x14ac:dyDescent="0.25">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row>
    <row r="418" spans="1:26" ht="15.75" customHeight="1" x14ac:dyDescent="0.25">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row>
    <row r="419" spans="1:26" ht="15.75" customHeight="1" x14ac:dyDescent="0.25">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row>
    <row r="420" spans="1:26" ht="15.75" customHeight="1" x14ac:dyDescent="0.25">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row>
    <row r="421" spans="1:26" ht="15.75" customHeight="1" x14ac:dyDescent="0.25">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row>
    <row r="422" spans="1:26" ht="15.75" customHeight="1" x14ac:dyDescent="0.25">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row>
    <row r="423" spans="1:26" ht="15.75" customHeight="1" x14ac:dyDescent="0.25">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row>
    <row r="424" spans="1:26" ht="15.75" customHeight="1" x14ac:dyDescent="0.25">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row>
    <row r="425" spans="1:26" ht="15.75" customHeight="1" x14ac:dyDescent="0.25">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row>
    <row r="426" spans="1:26" ht="15.75" customHeight="1" x14ac:dyDescent="0.25">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row>
    <row r="427" spans="1:26" ht="15.75" customHeight="1" x14ac:dyDescent="0.25">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row>
    <row r="428" spans="1:26" ht="15.75" customHeight="1" x14ac:dyDescent="0.25">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row>
    <row r="429" spans="1:26" ht="15.75" customHeight="1" x14ac:dyDescent="0.25">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row>
    <row r="430" spans="1:26" ht="15.75" customHeight="1" x14ac:dyDescent="0.25">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row>
    <row r="431" spans="1:26" ht="15.75" customHeight="1" x14ac:dyDescent="0.25">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row>
    <row r="432" spans="1:26" ht="15.75" customHeight="1" x14ac:dyDescent="0.25">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row>
    <row r="433" spans="1:26" ht="15.75" customHeight="1" x14ac:dyDescent="0.25">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row>
    <row r="434" spans="1:26" ht="15.75" customHeight="1" x14ac:dyDescent="0.25">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row>
    <row r="435" spans="1:26" ht="15.75" customHeight="1" x14ac:dyDescent="0.25">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row>
    <row r="436" spans="1:26" ht="15.75" customHeight="1" x14ac:dyDescent="0.25">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row>
    <row r="437" spans="1:26" ht="15.75" customHeight="1" x14ac:dyDescent="0.25">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row>
    <row r="438" spans="1:26" ht="15.75" customHeight="1" x14ac:dyDescent="0.25">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row>
    <row r="439" spans="1:26" ht="15.75" customHeight="1" x14ac:dyDescent="0.25">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row>
    <row r="440" spans="1:26" ht="15.75" customHeight="1" x14ac:dyDescent="0.25">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row>
    <row r="441" spans="1:26" ht="15.75" customHeight="1" x14ac:dyDescent="0.25">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row>
    <row r="442" spans="1:26" ht="15.75" customHeight="1" x14ac:dyDescent="0.25">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row>
    <row r="443" spans="1:26" ht="15.75" customHeight="1" x14ac:dyDescent="0.25">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row>
    <row r="444" spans="1:26" ht="15.75" customHeight="1" x14ac:dyDescent="0.25">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row>
    <row r="445" spans="1:26" ht="15.75" customHeight="1" x14ac:dyDescent="0.25">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row>
    <row r="446" spans="1:26" ht="15.75" customHeight="1" x14ac:dyDescent="0.25">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row>
    <row r="447" spans="1:26" ht="15.75" customHeight="1" x14ac:dyDescent="0.25">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row>
    <row r="448" spans="1:26" ht="15.75" customHeight="1" x14ac:dyDescent="0.25">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row>
    <row r="449" spans="1:26" ht="15.75" customHeight="1" x14ac:dyDescent="0.25">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row>
    <row r="450" spans="1:26" ht="15.75" customHeight="1" x14ac:dyDescent="0.25">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row>
    <row r="451" spans="1:26" ht="15.75" customHeight="1" x14ac:dyDescent="0.25">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row>
    <row r="452" spans="1:26" ht="15.75" customHeight="1" x14ac:dyDescent="0.25">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row>
    <row r="453" spans="1:26" ht="15.75" customHeight="1" x14ac:dyDescent="0.25">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row>
    <row r="454" spans="1:26" ht="15.75" customHeight="1" x14ac:dyDescent="0.25">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row>
    <row r="455" spans="1:26" ht="15.75" customHeight="1" x14ac:dyDescent="0.25">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row>
    <row r="456" spans="1:26" ht="15.75" customHeight="1" x14ac:dyDescent="0.25">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row>
    <row r="457" spans="1:26" ht="15.75" customHeight="1" x14ac:dyDescent="0.25">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row>
    <row r="458" spans="1:26" ht="15.75" customHeight="1" x14ac:dyDescent="0.25">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row>
    <row r="459" spans="1:26" ht="15.75" customHeight="1" x14ac:dyDescent="0.25">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row>
    <row r="460" spans="1:26" ht="15.75" customHeight="1" x14ac:dyDescent="0.25">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row>
    <row r="461" spans="1:26" ht="15.75" customHeight="1" x14ac:dyDescent="0.25">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row>
    <row r="462" spans="1:26" ht="15.75" customHeight="1" x14ac:dyDescent="0.25">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row>
    <row r="463" spans="1:26" ht="15.75" customHeight="1" x14ac:dyDescent="0.25">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row>
    <row r="464" spans="1:26" ht="15.75" customHeight="1" x14ac:dyDescent="0.25">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row>
    <row r="465" spans="1:26" ht="15.75" customHeight="1" x14ac:dyDescent="0.25">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row>
    <row r="466" spans="1:26" ht="15.75" customHeight="1" x14ac:dyDescent="0.25">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row>
    <row r="467" spans="1:26" ht="15.75" customHeight="1" x14ac:dyDescent="0.25">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row>
    <row r="468" spans="1:26" ht="15.75" customHeight="1" x14ac:dyDescent="0.25">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row>
    <row r="469" spans="1:26" ht="15.75" customHeight="1" x14ac:dyDescent="0.25">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row>
    <row r="470" spans="1:26" ht="15.75" customHeight="1" x14ac:dyDescent="0.25">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row>
    <row r="471" spans="1:26" ht="15.75" customHeight="1" x14ac:dyDescent="0.25">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row>
    <row r="472" spans="1:26" ht="15.75" customHeight="1" x14ac:dyDescent="0.25">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row>
    <row r="473" spans="1:26" ht="15.75" customHeight="1" x14ac:dyDescent="0.25">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row>
    <row r="474" spans="1:26" ht="15.75" customHeight="1" x14ac:dyDescent="0.25">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row>
    <row r="475" spans="1:26" ht="15.75" customHeight="1" x14ac:dyDescent="0.25">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row>
    <row r="476" spans="1:26" ht="15.75" customHeight="1" x14ac:dyDescent="0.25">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row>
    <row r="477" spans="1:26" ht="15.75" customHeight="1" x14ac:dyDescent="0.25">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row>
    <row r="478" spans="1:26" ht="15.75" customHeight="1" x14ac:dyDescent="0.25">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row>
    <row r="479" spans="1:26" ht="15.75" customHeight="1" x14ac:dyDescent="0.25">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row>
    <row r="480" spans="1:26" ht="15.75" customHeight="1" x14ac:dyDescent="0.25">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row>
    <row r="481" spans="1:26" ht="15.75" customHeight="1" x14ac:dyDescent="0.25">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row>
    <row r="482" spans="1:26" ht="15.75" customHeight="1" x14ac:dyDescent="0.25">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row>
    <row r="483" spans="1:26" ht="15.75" customHeight="1" x14ac:dyDescent="0.25">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row>
    <row r="484" spans="1:26" ht="15.75" customHeight="1" x14ac:dyDescent="0.25">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row>
    <row r="485" spans="1:26" ht="15.75" customHeight="1" x14ac:dyDescent="0.25">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row>
    <row r="486" spans="1:26" ht="15.75" customHeight="1" x14ac:dyDescent="0.25">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row>
    <row r="487" spans="1:26" ht="15.75" customHeight="1" x14ac:dyDescent="0.25">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row>
    <row r="488" spans="1:26" ht="15.75" customHeight="1" x14ac:dyDescent="0.25">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row>
    <row r="489" spans="1:26" ht="15.75" customHeight="1" x14ac:dyDescent="0.25">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row>
    <row r="490" spans="1:26" ht="15.75" customHeight="1" x14ac:dyDescent="0.25">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row>
    <row r="491" spans="1:26" ht="15.75" customHeight="1" x14ac:dyDescent="0.25">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row>
    <row r="492" spans="1:26" ht="15.75" customHeight="1" x14ac:dyDescent="0.25">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row>
    <row r="493" spans="1:26" ht="15.75" customHeight="1" x14ac:dyDescent="0.25">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row>
    <row r="494" spans="1:26" ht="15.75" customHeight="1" x14ac:dyDescent="0.25">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row>
    <row r="495" spans="1:26" ht="15.75" customHeight="1" x14ac:dyDescent="0.25">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row>
    <row r="496" spans="1:26" ht="15.75" customHeight="1" x14ac:dyDescent="0.25">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row>
    <row r="497" spans="1:26" ht="15.75" customHeight="1" x14ac:dyDescent="0.25">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row>
    <row r="498" spans="1:26" ht="15.75" customHeight="1" x14ac:dyDescent="0.25">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row>
    <row r="499" spans="1:26" ht="15.75" customHeight="1" x14ac:dyDescent="0.25">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row>
    <row r="500" spans="1:26" ht="15.75" customHeight="1" x14ac:dyDescent="0.25">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row>
    <row r="501" spans="1:26" ht="15.75" customHeight="1" x14ac:dyDescent="0.25">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row>
    <row r="502" spans="1:26" ht="15.75" customHeight="1" x14ac:dyDescent="0.25">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row>
    <row r="503" spans="1:26" ht="15.75" customHeight="1" x14ac:dyDescent="0.25">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row>
    <row r="504" spans="1:26" ht="15.75" customHeight="1" x14ac:dyDescent="0.25">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row>
    <row r="505" spans="1:26" ht="15.75" customHeight="1" x14ac:dyDescent="0.25">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row>
    <row r="506" spans="1:26" ht="15.75" customHeight="1" x14ac:dyDescent="0.25">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row>
    <row r="507" spans="1:26" ht="15.75" customHeight="1" x14ac:dyDescent="0.25">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row>
    <row r="508" spans="1:26" ht="15.75" customHeight="1" x14ac:dyDescent="0.25">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row>
    <row r="509" spans="1:26" ht="15.75" customHeight="1" x14ac:dyDescent="0.25">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row>
    <row r="510" spans="1:26" ht="15.75" customHeight="1" x14ac:dyDescent="0.25">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row>
    <row r="511" spans="1:26" ht="15.75" customHeight="1" x14ac:dyDescent="0.25">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row>
    <row r="512" spans="1:26" ht="15.75" customHeight="1" x14ac:dyDescent="0.25">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row>
    <row r="513" spans="1:26" ht="15.75" customHeight="1" x14ac:dyDescent="0.25">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row>
    <row r="514" spans="1:26" ht="15.75" customHeight="1" x14ac:dyDescent="0.25">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row>
    <row r="515" spans="1:26" ht="15.75" customHeight="1" x14ac:dyDescent="0.25">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row>
    <row r="516" spans="1:26" ht="15.75" customHeight="1" x14ac:dyDescent="0.25">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row>
    <row r="517" spans="1:26" ht="15.75" customHeight="1" x14ac:dyDescent="0.25">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row>
    <row r="518" spans="1:26" ht="15.75" customHeight="1" x14ac:dyDescent="0.25">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row>
    <row r="519" spans="1:26" ht="15.75" customHeight="1" x14ac:dyDescent="0.25">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row>
    <row r="520" spans="1:26" ht="15.75" customHeight="1" x14ac:dyDescent="0.25">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row>
    <row r="521" spans="1:26" ht="15.75" customHeight="1" x14ac:dyDescent="0.25">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row>
    <row r="522" spans="1:26" ht="15.75" customHeight="1" x14ac:dyDescent="0.25">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row>
    <row r="523" spans="1:26" ht="15.75" customHeight="1" x14ac:dyDescent="0.25">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row>
    <row r="524" spans="1:26" ht="15.75" customHeight="1" x14ac:dyDescent="0.25">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row>
    <row r="525" spans="1:26" ht="15.75" customHeight="1" x14ac:dyDescent="0.25">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row>
    <row r="526" spans="1:26" ht="15.75" customHeight="1" x14ac:dyDescent="0.25">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row>
    <row r="527" spans="1:26" ht="15.75" customHeight="1" x14ac:dyDescent="0.25">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row>
    <row r="528" spans="1:26" ht="15.75" customHeight="1" x14ac:dyDescent="0.25">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row>
    <row r="529" spans="1:26" ht="15.75" customHeight="1" x14ac:dyDescent="0.25">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row>
    <row r="530" spans="1:26" ht="15.75" customHeight="1" x14ac:dyDescent="0.25">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row>
    <row r="531" spans="1:26" ht="15.75" customHeight="1" x14ac:dyDescent="0.25">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row>
    <row r="532" spans="1:26" ht="15.75" customHeight="1" x14ac:dyDescent="0.25">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row>
    <row r="533" spans="1:26" ht="15.75" customHeight="1" x14ac:dyDescent="0.25">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row>
    <row r="534" spans="1:26" ht="15.75" customHeight="1" x14ac:dyDescent="0.25">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row>
    <row r="535" spans="1:26" ht="15.75" customHeight="1" x14ac:dyDescent="0.25">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row>
    <row r="536" spans="1:26" ht="15.75" customHeight="1" x14ac:dyDescent="0.25">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row>
    <row r="537" spans="1:26" ht="15.75" customHeight="1" x14ac:dyDescent="0.25">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row>
    <row r="538" spans="1:26" ht="15.75" customHeight="1" x14ac:dyDescent="0.25">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row>
    <row r="539" spans="1:26" ht="15.75" customHeight="1" x14ac:dyDescent="0.25">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row>
    <row r="540" spans="1:26" ht="15.75" customHeight="1" x14ac:dyDescent="0.25">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row>
    <row r="541" spans="1:26" ht="15.75" customHeight="1" x14ac:dyDescent="0.25">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row>
    <row r="542" spans="1:26" ht="15.75" customHeight="1" x14ac:dyDescent="0.25">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row>
    <row r="543" spans="1:26" ht="15.75" customHeight="1" x14ac:dyDescent="0.25">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row>
    <row r="544" spans="1:26" ht="15.75" customHeight="1" x14ac:dyDescent="0.25">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row>
    <row r="545" spans="1:26" ht="15.75" customHeight="1" x14ac:dyDescent="0.25">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row>
    <row r="546" spans="1:26" ht="15.75" customHeight="1" x14ac:dyDescent="0.25">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row>
    <row r="547" spans="1:26" ht="15.75" customHeight="1" x14ac:dyDescent="0.25">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row>
    <row r="548" spans="1:26" ht="15.75" customHeight="1" x14ac:dyDescent="0.25">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row>
    <row r="549" spans="1:26" ht="15.75" customHeight="1" x14ac:dyDescent="0.25">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row>
    <row r="550" spans="1:26" ht="15.75" customHeight="1" x14ac:dyDescent="0.25">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row>
    <row r="551" spans="1:26" ht="15.75" customHeight="1" x14ac:dyDescent="0.25">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row>
    <row r="552" spans="1:26" ht="15.75" customHeight="1" x14ac:dyDescent="0.25">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row>
    <row r="553" spans="1:26" ht="15.75" customHeight="1" x14ac:dyDescent="0.25">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row>
    <row r="554" spans="1:26" ht="15.75" customHeight="1" x14ac:dyDescent="0.25">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row>
    <row r="555" spans="1:26" ht="15.75" customHeight="1" x14ac:dyDescent="0.25">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row>
    <row r="556" spans="1:26" ht="15.75" customHeight="1" x14ac:dyDescent="0.25">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row>
    <row r="557" spans="1:26" ht="15.75" customHeight="1" x14ac:dyDescent="0.25">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row>
    <row r="558" spans="1:26" ht="15.75" customHeight="1" x14ac:dyDescent="0.25">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row>
    <row r="559" spans="1:26" ht="15.75" customHeight="1" x14ac:dyDescent="0.25">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row>
    <row r="560" spans="1:26" ht="15.75" customHeight="1" x14ac:dyDescent="0.25">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row>
    <row r="561" spans="1:26" ht="15.75" customHeight="1" x14ac:dyDescent="0.25">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row>
    <row r="562" spans="1:26" ht="15.75" customHeight="1" x14ac:dyDescent="0.25">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row>
    <row r="563" spans="1:26" ht="15.75" customHeight="1" x14ac:dyDescent="0.25">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row>
    <row r="564" spans="1:26" ht="15.75" customHeight="1" x14ac:dyDescent="0.25">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row>
    <row r="565" spans="1:26" ht="15.75" customHeight="1" x14ac:dyDescent="0.25">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row>
    <row r="566" spans="1:26" ht="15.75" customHeight="1" x14ac:dyDescent="0.25">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row>
    <row r="567" spans="1:26" ht="15.75" customHeight="1" x14ac:dyDescent="0.25">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row>
    <row r="568" spans="1:26" ht="15.75" customHeight="1" x14ac:dyDescent="0.25">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row>
    <row r="569" spans="1:26" ht="15.75" customHeight="1" x14ac:dyDescent="0.25">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row>
    <row r="570" spans="1:26" ht="15.75" customHeight="1" x14ac:dyDescent="0.25">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row>
    <row r="571" spans="1:26" ht="15.75" customHeight="1" x14ac:dyDescent="0.25">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row>
    <row r="572" spans="1:26" ht="15.75" customHeight="1" x14ac:dyDescent="0.25">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row>
    <row r="573" spans="1:26" ht="15.75" customHeight="1" x14ac:dyDescent="0.25">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row>
    <row r="574" spans="1:26" ht="15.75" customHeight="1" x14ac:dyDescent="0.25">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row>
    <row r="575" spans="1:26" ht="15.75" customHeight="1" x14ac:dyDescent="0.25">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row>
    <row r="576" spans="1:26" ht="15.75" customHeight="1" x14ac:dyDescent="0.25">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row>
    <row r="577" spans="1:26" ht="15.75" customHeight="1" x14ac:dyDescent="0.25">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row>
    <row r="578" spans="1:26" ht="15.75" customHeight="1" x14ac:dyDescent="0.25">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row>
    <row r="579" spans="1:26" ht="15.75" customHeight="1" x14ac:dyDescent="0.25">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row>
    <row r="580" spans="1:26" ht="15.75" customHeight="1" x14ac:dyDescent="0.25">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row>
    <row r="581" spans="1:26" ht="15.75" customHeight="1" x14ac:dyDescent="0.25">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row>
    <row r="582" spans="1:26" ht="15.75" customHeight="1" x14ac:dyDescent="0.25">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row>
    <row r="583" spans="1:26" ht="15.75" customHeight="1" x14ac:dyDescent="0.25">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row>
    <row r="584" spans="1:26" ht="15.75" customHeight="1" x14ac:dyDescent="0.25">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row>
    <row r="585" spans="1:26" ht="15.75" customHeight="1" x14ac:dyDescent="0.25">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row>
    <row r="586" spans="1:26" ht="15.75" customHeight="1" x14ac:dyDescent="0.25">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row>
    <row r="587" spans="1:26" ht="15.75" customHeight="1" x14ac:dyDescent="0.25">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row>
    <row r="588" spans="1:26" ht="15.75" customHeight="1" x14ac:dyDescent="0.25">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row>
    <row r="589" spans="1:26" ht="15.75" customHeight="1" x14ac:dyDescent="0.25">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row>
    <row r="590" spans="1:26" ht="15.75" customHeight="1" x14ac:dyDescent="0.25">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row>
    <row r="591" spans="1:26" ht="15.75" customHeight="1" x14ac:dyDescent="0.25">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row>
    <row r="592" spans="1:26" ht="15.75" customHeight="1" x14ac:dyDescent="0.25">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row>
    <row r="593" spans="1:26" ht="15.75" customHeight="1" x14ac:dyDescent="0.25">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row>
    <row r="594" spans="1:26" ht="15.75" customHeight="1" x14ac:dyDescent="0.25">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row>
    <row r="595" spans="1:26" ht="15.75" customHeight="1" x14ac:dyDescent="0.25">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row>
    <row r="596" spans="1:26" ht="15.75" customHeight="1" x14ac:dyDescent="0.25">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row>
    <row r="597" spans="1:26" ht="15.75" customHeight="1" x14ac:dyDescent="0.25">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row>
    <row r="598" spans="1:26" ht="15.75" customHeight="1" x14ac:dyDescent="0.25">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row>
    <row r="599" spans="1:26" ht="15.75" customHeight="1" x14ac:dyDescent="0.25">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row>
    <row r="600" spans="1:26" ht="15.75" customHeight="1" x14ac:dyDescent="0.25">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row>
    <row r="601" spans="1:26" ht="15.75" customHeight="1" x14ac:dyDescent="0.25">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row>
    <row r="602" spans="1:26" ht="15.75" customHeight="1" x14ac:dyDescent="0.25">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row>
    <row r="603" spans="1:26" ht="15.75" customHeight="1" x14ac:dyDescent="0.25">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row>
    <row r="604" spans="1:26" ht="15.75" customHeight="1" x14ac:dyDescent="0.25">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row>
    <row r="605" spans="1:26" ht="15.75" customHeight="1" x14ac:dyDescent="0.25">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row>
    <row r="606" spans="1:26" ht="15.75" customHeight="1" x14ac:dyDescent="0.25">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row>
    <row r="607" spans="1:26" ht="15.75" customHeight="1" x14ac:dyDescent="0.25">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row>
    <row r="608" spans="1:26" ht="15.75" customHeight="1" x14ac:dyDescent="0.25">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row>
    <row r="609" spans="1:26" ht="15.75" customHeight="1" x14ac:dyDescent="0.25">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row>
    <row r="610" spans="1:26" ht="15.75" customHeight="1" x14ac:dyDescent="0.25">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row>
    <row r="611" spans="1:26" ht="15.75" customHeight="1" x14ac:dyDescent="0.25">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row>
    <row r="612" spans="1:26" ht="15.75" customHeight="1" x14ac:dyDescent="0.25">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row>
    <row r="613" spans="1:26" ht="15.75" customHeight="1" x14ac:dyDescent="0.25">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row>
    <row r="614" spans="1:26" ht="15.75" customHeight="1" x14ac:dyDescent="0.25">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row>
    <row r="615" spans="1:26" ht="15.75" customHeight="1" x14ac:dyDescent="0.25">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row>
    <row r="616" spans="1:26" ht="15.75" customHeight="1" x14ac:dyDescent="0.25">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row>
    <row r="617" spans="1:26" ht="15.75" customHeight="1" x14ac:dyDescent="0.25">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row>
    <row r="618" spans="1:26" ht="15.75" customHeight="1" x14ac:dyDescent="0.25">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row>
    <row r="619" spans="1:26" ht="15.75" customHeight="1" x14ac:dyDescent="0.25">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row>
    <row r="620" spans="1:26" ht="15.75" customHeight="1" x14ac:dyDescent="0.25">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row>
    <row r="621" spans="1:26" ht="15.75" customHeight="1" x14ac:dyDescent="0.25">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row>
    <row r="622" spans="1:26" ht="15.75" customHeight="1" x14ac:dyDescent="0.25">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row>
    <row r="623" spans="1:26" ht="15.75" customHeight="1" x14ac:dyDescent="0.25">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row>
    <row r="624" spans="1:26" ht="15.75" customHeight="1" x14ac:dyDescent="0.25">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row>
    <row r="625" spans="1:26" ht="15.75" customHeight="1" x14ac:dyDescent="0.25">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row>
    <row r="626" spans="1:26" ht="15.75" customHeight="1" x14ac:dyDescent="0.25">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row>
    <row r="627" spans="1:26" ht="15.75" customHeight="1" x14ac:dyDescent="0.25">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row>
    <row r="628" spans="1:26" ht="15.75" customHeight="1" x14ac:dyDescent="0.25">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row>
    <row r="629" spans="1:26" ht="15.75" customHeight="1" x14ac:dyDescent="0.25">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row>
    <row r="630" spans="1:26" ht="15.75" customHeight="1" x14ac:dyDescent="0.25">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row>
    <row r="631" spans="1:26" ht="15.75" customHeight="1" x14ac:dyDescent="0.25">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row>
    <row r="632" spans="1:26" ht="15.75" customHeight="1" x14ac:dyDescent="0.25">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row>
    <row r="633" spans="1:26" ht="15.75" customHeight="1" x14ac:dyDescent="0.25">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row>
    <row r="634" spans="1:26" ht="15.75" customHeight="1" x14ac:dyDescent="0.25">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row>
    <row r="635" spans="1:26" ht="15.75" customHeight="1" x14ac:dyDescent="0.25">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row>
    <row r="636" spans="1:26" ht="15.75" customHeight="1" x14ac:dyDescent="0.25">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row>
    <row r="637" spans="1:26" ht="15.75" customHeight="1" x14ac:dyDescent="0.25">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row>
    <row r="638" spans="1:26" ht="15.75" customHeight="1" x14ac:dyDescent="0.25">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row>
    <row r="639" spans="1:26" ht="15.75" customHeight="1" x14ac:dyDescent="0.25">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row>
    <row r="640" spans="1:26" ht="15.75" customHeight="1" x14ac:dyDescent="0.25">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row>
    <row r="641" spans="1:26" ht="15.75" customHeight="1" x14ac:dyDescent="0.25">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row>
    <row r="642" spans="1:26" ht="15.75" customHeight="1" x14ac:dyDescent="0.25">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row>
    <row r="643" spans="1:26" ht="15.75" customHeight="1" x14ac:dyDescent="0.25">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row>
    <row r="644" spans="1:26" ht="15.75" customHeight="1" x14ac:dyDescent="0.25">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row>
    <row r="645" spans="1:26" ht="15.75" customHeight="1" x14ac:dyDescent="0.25">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row>
    <row r="646" spans="1:26" ht="15.75" customHeight="1" x14ac:dyDescent="0.25">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row>
    <row r="647" spans="1:26" ht="15.75" customHeight="1" x14ac:dyDescent="0.25">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row>
    <row r="648" spans="1:26" ht="15.75" customHeight="1" x14ac:dyDescent="0.25">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row>
    <row r="649" spans="1:26" ht="15.75" customHeight="1" x14ac:dyDescent="0.25">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row>
    <row r="650" spans="1:26" ht="15.75" customHeight="1" x14ac:dyDescent="0.25">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row>
    <row r="651" spans="1:26" ht="15.75" customHeight="1" x14ac:dyDescent="0.25">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row>
    <row r="652" spans="1:26" ht="15.75" customHeight="1" x14ac:dyDescent="0.25">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row>
    <row r="653" spans="1:26" ht="15.75" customHeight="1" x14ac:dyDescent="0.25">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row>
    <row r="654" spans="1:26" ht="15.75" customHeight="1" x14ac:dyDescent="0.25">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row>
    <row r="655" spans="1:26" ht="15.75" customHeight="1" x14ac:dyDescent="0.25">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row>
    <row r="656" spans="1:26" ht="15.75" customHeight="1" x14ac:dyDescent="0.25">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row>
    <row r="657" spans="1:26" ht="15.75" customHeight="1" x14ac:dyDescent="0.25">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row>
    <row r="658" spans="1:26" ht="15.75" customHeight="1" x14ac:dyDescent="0.25">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row>
    <row r="659" spans="1:26" ht="15.75" customHeight="1" x14ac:dyDescent="0.25">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row>
    <row r="660" spans="1:26" ht="15.75" customHeight="1" x14ac:dyDescent="0.25">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row>
    <row r="661" spans="1:26" ht="15.75" customHeight="1" x14ac:dyDescent="0.25">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row>
    <row r="662" spans="1:26" ht="15.75" customHeight="1" x14ac:dyDescent="0.25">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row>
    <row r="663" spans="1:26" ht="15.75" customHeight="1" x14ac:dyDescent="0.25">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row>
    <row r="664" spans="1:26" ht="15.75" customHeight="1" x14ac:dyDescent="0.25">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row>
    <row r="665" spans="1:26" ht="15.75" customHeight="1" x14ac:dyDescent="0.25">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row>
    <row r="666" spans="1:26" ht="15.75" customHeight="1" x14ac:dyDescent="0.25">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row>
    <row r="667" spans="1:26" ht="15.75" customHeight="1" x14ac:dyDescent="0.25">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row>
    <row r="668" spans="1:26" ht="15.75" customHeight="1" x14ac:dyDescent="0.25">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row>
    <row r="669" spans="1:26" ht="15.75" customHeight="1" x14ac:dyDescent="0.25">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row>
    <row r="670" spans="1:26" ht="15.75" customHeight="1" x14ac:dyDescent="0.25">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row>
    <row r="671" spans="1:26" ht="15.75" customHeight="1" x14ac:dyDescent="0.25">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row>
    <row r="672" spans="1:26" ht="15.75" customHeight="1" x14ac:dyDescent="0.25">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row>
    <row r="673" spans="1:26" ht="15.75" customHeight="1" x14ac:dyDescent="0.25">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row>
    <row r="674" spans="1:26" ht="15.75" customHeight="1" x14ac:dyDescent="0.25">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row>
    <row r="675" spans="1:26" ht="15.75" customHeight="1" x14ac:dyDescent="0.25">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row>
    <row r="676" spans="1:26" ht="15.75" customHeight="1" x14ac:dyDescent="0.25">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row>
    <row r="677" spans="1:26" ht="15.75" customHeight="1" x14ac:dyDescent="0.25">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row>
    <row r="678" spans="1:26" ht="15.75" customHeight="1" x14ac:dyDescent="0.25">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row>
    <row r="679" spans="1:26" ht="15.75" customHeight="1" x14ac:dyDescent="0.25">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row>
    <row r="680" spans="1:26" ht="15.75" customHeight="1" x14ac:dyDescent="0.25">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row>
    <row r="681" spans="1:26" ht="15.75" customHeight="1" x14ac:dyDescent="0.25">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row>
    <row r="682" spans="1:26" ht="15.75" customHeight="1" x14ac:dyDescent="0.25">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row>
    <row r="683" spans="1:26" ht="15.75" customHeight="1" x14ac:dyDescent="0.25">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row>
    <row r="684" spans="1:26" ht="15.75" customHeight="1" x14ac:dyDescent="0.25">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row>
    <row r="685" spans="1:26" ht="15.75" customHeight="1" x14ac:dyDescent="0.25">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row>
    <row r="686" spans="1:26" ht="15.75" customHeight="1" x14ac:dyDescent="0.25">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row>
    <row r="687" spans="1:26" ht="15.75" customHeight="1" x14ac:dyDescent="0.25">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row>
    <row r="688" spans="1:26" ht="15.75" customHeight="1" x14ac:dyDescent="0.25">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row>
    <row r="689" spans="1:26" ht="15.75" customHeight="1" x14ac:dyDescent="0.25">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row>
    <row r="690" spans="1:26" ht="15.75" customHeight="1" x14ac:dyDescent="0.25">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row>
    <row r="691" spans="1:26" ht="15.75" customHeight="1" x14ac:dyDescent="0.25">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row>
    <row r="692" spans="1:26" ht="15.75" customHeight="1" x14ac:dyDescent="0.25">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row>
    <row r="693" spans="1:26" ht="15.75" customHeight="1" x14ac:dyDescent="0.25">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row>
    <row r="694" spans="1:26" ht="15.75" customHeight="1" x14ac:dyDescent="0.25">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row>
    <row r="695" spans="1:26" ht="15.75" customHeight="1" x14ac:dyDescent="0.25">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row>
    <row r="696" spans="1:26" ht="15.75" customHeight="1" x14ac:dyDescent="0.25">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row>
    <row r="697" spans="1:26" ht="15.75" customHeight="1" x14ac:dyDescent="0.25">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row>
    <row r="698" spans="1:26" ht="15.75" customHeight="1" x14ac:dyDescent="0.25">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row>
    <row r="699" spans="1:26" ht="15.75" customHeight="1" x14ac:dyDescent="0.25">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row>
    <row r="700" spans="1:26" ht="15.75" customHeight="1" x14ac:dyDescent="0.25">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row>
    <row r="701" spans="1:26" ht="15.75" customHeight="1" x14ac:dyDescent="0.25">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row>
    <row r="702" spans="1:26" ht="15.75" customHeight="1" x14ac:dyDescent="0.25">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row>
    <row r="703" spans="1:26" ht="15.75" customHeight="1" x14ac:dyDescent="0.25">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row>
    <row r="704" spans="1:26" ht="15.75" customHeight="1" x14ac:dyDescent="0.25">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row>
    <row r="705" spans="1:26" ht="15.75" customHeight="1" x14ac:dyDescent="0.25">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row>
    <row r="706" spans="1:26" ht="15.75" customHeight="1" x14ac:dyDescent="0.25">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row>
    <row r="707" spans="1:26" ht="15.75" customHeight="1" x14ac:dyDescent="0.25">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row>
    <row r="708" spans="1:26" ht="15.75" customHeight="1" x14ac:dyDescent="0.25">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row>
    <row r="709" spans="1:26" ht="15.75" customHeight="1" x14ac:dyDescent="0.25">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row>
    <row r="710" spans="1:26" ht="15.75" customHeight="1" x14ac:dyDescent="0.25">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row>
    <row r="711" spans="1:26" ht="15.75" customHeight="1" x14ac:dyDescent="0.25">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row>
    <row r="712" spans="1:26" ht="15.75" customHeight="1" x14ac:dyDescent="0.25">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row>
    <row r="713" spans="1:26" ht="15.75" customHeight="1" x14ac:dyDescent="0.25">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row>
    <row r="714" spans="1:26" ht="15.75" customHeight="1" x14ac:dyDescent="0.25">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row>
    <row r="715" spans="1:26" ht="15.75" customHeight="1" x14ac:dyDescent="0.25">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row>
    <row r="716" spans="1:26" ht="15.75" customHeight="1" x14ac:dyDescent="0.25">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row>
    <row r="717" spans="1:26" ht="15.75" customHeight="1" x14ac:dyDescent="0.25">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row>
    <row r="718" spans="1:26" ht="15.75" customHeight="1" x14ac:dyDescent="0.25">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row>
    <row r="719" spans="1:26" ht="15.75" customHeight="1" x14ac:dyDescent="0.25">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row>
    <row r="720" spans="1:26" ht="15.75" customHeight="1" x14ac:dyDescent="0.25">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row>
    <row r="721" spans="1:26" ht="15.75" customHeight="1" x14ac:dyDescent="0.25">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row>
    <row r="722" spans="1:26" ht="15.75" customHeight="1" x14ac:dyDescent="0.25">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row>
    <row r="723" spans="1:26" ht="15.75" customHeight="1" x14ac:dyDescent="0.25">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row>
    <row r="724" spans="1:26" ht="15.75" customHeight="1" x14ac:dyDescent="0.25">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row>
    <row r="725" spans="1:26" ht="15.75" customHeight="1" x14ac:dyDescent="0.25">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row>
    <row r="726" spans="1:26" ht="15.75" customHeight="1" x14ac:dyDescent="0.25">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row>
    <row r="727" spans="1:26" ht="15.75" customHeight="1" x14ac:dyDescent="0.25">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row>
    <row r="728" spans="1:26" ht="15.75" customHeight="1" x14ac:dyDescent="0.25">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row>
    <row r="729" spans="1:26" ht="15.75" customHeight="1" x14ac:dyDescent="0.25">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row>
    <row r="730" spans="1:26" ht="15.75" customHeight="1" x14ac:dyDescent="0.25">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row>
    <row r="731" spans="1:26" ht="15.75" customHeight="1" x14ac:dyDescent="0.25">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row>
    <row r="732" spans="1:26" ht="15.75" customHeight="1" x14ac:dyDescent="0.25">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row>
    <row r="733" spans="1:26" ht="15.75" customHeight="1" x14ac:dyDescent="0.25">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row>
    <row r="734" spans="1:26" ht="15.75" customHeight="1" x14ac:dyDescent="0.25">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row>
    <row r="735" spans="1:26" ht="15.75" customHeight="1" x14ac:dyDescent="0.25">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row>
    <row r="736" spans="1:26" ht="15.75" customHeight="1" x14ac:dyDescent="0.25">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row>
    <row r="737" spans="1:26" ht="15.75" customHeight="1" x14ac:dyDescent="0.25">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row>
    <row r="738" spans="1:26" ht="15.75" customHeight="1" x14ac:dyDescent="0.25">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row>
    <row r="739" spans="1:26" ht="15.75" customHeight="1" x14ac:dyDescent="0.25">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row>
    <row r="740" spans="1:26" ht="15.75" customHeight="1" x14ac:dyDescent="0.25">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row>
    <row r="741" spans="1:26" ht="15.75" customHeight="1" x14ac:dyDescent="0.25">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row>
    <row r="742" spans="1:26" ht="15.75" customHeight="1" x14ac:dyDescent="0.25">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row>
    <row r="743" spans="1:26" ht="15.75" customHeight="1" x14ac:dyDescent="0.25">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row>
    <row r="744" spans="1:26" ht="15.75" customHeight="1" x14ac:dyDescent="0.25">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row>
    <row r="745" spans="1:26" ht="15.75" customHeight="1" x14ac:dyDescent="0.25">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row>
    <row r="746" spans="1:26" ht="15.75" customHeight="1" x14ac:dyDescent="0.25">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row>
    <row r="747" spans="1:26" ht="15.75" customHeight="1" x14ac:dyDescent="0.25">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row>
    <row r="748" spans="1:26" ht="15.75" customHeight="1" x14ac:dyDescent="0.25">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row>
    <row r="749" spans="1:26" ht="15.75" customHeight="1" x14ac:dyDescent="0.25">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row>
    <row r="750" spans="1:26" ht="15.75" customHeight="1" x14ac:dyDescent="0.25">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row>
    <row r="751" spans="1:26" ht="15.75" customHeight="1" x14ac:dyDescent="0.25">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row>
    <row r="752" spans="1:26" ht="15.75" customHeight="1" x14ac:dyDescent="0.25">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row>
    <row r="753" spans="1:26" ht="15.75" customHeight="1" x14ac:dyDescent="0.25">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row>
    <row r="754" spans="1:26" ht="15.75" customHeight="1" x14ac:dyDescent="0.25">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row>
    <row r="755" spans="1:26" ht="15.75" customHeight="1" x14ac:dyDescent="0.25">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row>
    <row r="756" spans="1:26" ht="15.75" customHeight="1" x14ac:dyDescent="0.25">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row>
    <row r="757" spans="1:26" ht="15.75" customHeight="1" x14ac:dyDescent="0.25">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row>
    <row r="758" spans="1:26" ht="15.75" customHeight="1" x14ac:dyDescent="0.25">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row>
    <row r="759" spans="1:26" ht="15.75" customHeight="1" x14ac:dyDescent="0.25">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row>
    <row r="760" spans="1:26" ht="15.75" customHeight="1" x14ac:dyDescent="0.25">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row>
    <row r="761" spans="1:26" ht="15.75" customHeight="1" x14ac:dyDescent="0.25">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row>
    <row r="762" spans="1:26" ht="15.75" customHeight="1" x14ac:dyDescent="0.25">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row>
    <row r="763" spans="1:26" ht="15.75" customHeight="1" x14ac:dyDescent="0.25">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row>
    <row r="764" spans="1:26" ht="15.75" customHeight="1" x14ac:dyDescent="0.25">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row>
    <row r="765" spans="1:26" ht="15.75" customHeight="1" x14ac:dyDescent="0.25">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row>
    <row r="766" spans="1:26" ht="15.75" customHeight="1" x14ac:dyDescent="0.25">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row>
    <row r="767" spans="1:26" ht="15.75" customHeight="1" x14ac:dyDescent="0.25">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row>
    <row r="768" spans="1:26" ht="15.75" customHeight="1" x14ac:dyDescent="0.25">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row>
    <row r="769" spans="1:26" ht="15.75" customHeight="1" x14ac:dyDescent="0.25">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row>
    <row r="770" spans="1:26" ht="15.75" customHeight="1" x14ac:dyDescent="0.25">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row>
    <row r="771" spans="1:26" ht="15.75" customHeight="1" x14ac:dyDescent="0.25">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row>
    <row r="772" spans="1:26" ht="15.75" customHeight="1" x14ac:dyDescent="0.25">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row>
    <row r="773" spans="1:26" ht="15.75" customHeight="1" x14ac:dyDescent="0.25">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row>
    <row r="774" spans="1:26" ht="15.75" customHeight="1" x14ac:dyDescent="0.25">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row>
    <row r="775" spans="1:26" ht="15.75" customHeight="1" x14ac:dyDescent="0.25">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row>
    <row r="776" spans="1:26" ht="15.75" customHeight="1" x14ac:dyDescent="0.25">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row>
    <row r="777" spans="1:26" ht="15.75" customHeight="1" x14ac:dyDescent="0.25">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row>
    <row r="778" spans="1:26" ht="15.75" customHeight="1" x14ac:dyDescent="0.25">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row>
    <row r="779" spans="1:26" ht="15.75" customHeight="1" x14ac:dyDescent="0.25">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row>
    <row r="780" spans="1:26" ht="15.75" customHeight="1" x14ac:dyDescent="0.25">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row>
    <row r="781" spans="1:26" ht="15.75" customHeight="1" x14ac:dyDescent="0.25">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row>
    <row r="782" spans="1:26" ht="15.75" customHeight="1" x14ac:dyDescent="0.25">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row>
    <row r="783" spans="1:26" ht="15.75" customHeight="1" x14ac:dyDescent="0.25">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row>
    <row r="784" spans="1:26" ht="15.75" customHeight="1" x14ac:dyDescent="0.25">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row>
    <row r="785" spans="1:26" ht="15.75" customHeight="1" x14ac:dyDescent="0.25">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row>
    <row r="786" spans="1:26" ht="15.75" customHeight="1" x14ac:dyDescent="0.25">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row>
    <row r="787" spans="1:26" ht="15.75" customHeight="1" x14ac:dyDescent="0.25">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row>
    <row r="788" spans="1:26" ht="15.75" customHeight="1" x14ac:dyDescent="0.25">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row>
    <row r="789" spans="1:26" ht="15.75" customHeight="1" x14ac:dyDescent="0.25">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row>
    <row r="790" spans="1:26" ht="15.75" customHeight="1" x14ac:dyDescent="0.25">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row>
    <row r="791" spans="1:26" ht="15.75" customHeight="1" x14ac:dyDescent="0.25">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row>
    <row r="792" spans="1:26" ht="15.75" customHeight="1" x14ac:dyDescent="0.25">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row>
    <row r="793" spans="1:26" ht="15.75" customHeight="1" x14ac:dyDescent="0.25">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row>
    <row r="794" spans="1:26" ht="15.75" customHeight="1" x14ac:dyDescent="0.25">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row>
    <row r="795" spans="1:26" ht="15.75" customHeight="1" x14ac:dyDescent="0.25">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row>
    <row r="796" spans="1:26" ht="15.75" customHeight="1" x14ac:dyDescent="0.25">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row>
    <row r="797" spans="1:26" ht="15.75" customHeight="1" x14ac:dyDescent="0.25">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row>
    <row r="798" spans="1:26" ht="15.75" customHeight="1" x14ac:dyDescent="0.25">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row>
    <row r="799" spans="1:26" ht="15.75" customHeight="1" x14ac:dyDescent="0.25">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row>
    <row r="800" spans="1:26" ht="15.75" customHeight="1" x14ac:dyDescent="0.25">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row>
    <row r="801" spans="1:26" ht="15.75" customHeight="1" x14ac:dyDescent="0.25">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row>
    <row r="802" spans="1:26" ht="15.75" customHeight="1" x14ac:dyDescent="0.25">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row>
    <row r="803" spans="1:26" ht="15.75" customHeight="1" x14ac:dyDescent="0.25">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row>
    <row r="804" spans="1:26" ht="15.75" customHeight="1" x14ac:dyDescent="0.25">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row>
    <row r="805" spans="1:26" ht="15.75" customHeight="1" x14ac:dyDescent="0.25">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row>
    <row r="806" spans="1:26" ht="15.75" customHeight="1" x14ac:dyDescent="0.25">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row>
    <row r="807" spans="1:26" ht="15.75" customHeight="1" x14ac:dyDescent="0.25">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row>
    <row r="808" spans="1:26" ht="15.75" customHeight="1" x14ac:dyDescent="0.25">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row>
    <row r="809" spans="1:26" ht="15.75" customHeight="1" x14ac:dyDescent="0.25">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row>
    <row r="810" spans="1:26" ht="15.75" customHeight="1" x14ac:dyDescent="0.25">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row>
    <row r="811" spans="1:26" ht="15.75" customHeight="1" x14ac:dyDescent="0.25">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row>
    <row r="812" spans="1:26" ht="15.75" customHeight="1" x14ac:dyDescent="0.25">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row>
    <row r="813" spans="1:26" ht="15.75" customHeight="1" x14ac:dyDescent="0.25">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row>
    <row r="814" spans="1:26" ht="15.75" customHeight="1" x14ac:dyDescent="0.25">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row>
    <row r="815" spans="1:26" ht="15.75" customHeight="1" x14ac:dyDescent="0.25">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row>
    <row r="816" spans="1:26" ht="15.75" customHeight="1" x14ac:dyDescent="0.25">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row>
    <row r="817" spans="1:26" ht="15.75" customHeight="1" x14ac:dyDescent="0.25">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row>
    <row r="818" spans="1:26" ht="15.75" customHeight="1" x14ac:dyDescent="0.25">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row>
    <row r="819" spans="1:26" ht="15.75" customHeight="1" x14ac:dyDescent="0.25">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row>
    <row r="820" spans="1:26" ht="15.75" customHeight="1" x14ac:dyDescent="0.25">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row>
    <row r="821" spans="1:26" ht="15.75" customHeight="1" x14ac:dyDescent="0.25">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row>
    <row r="822" spans="1:26" ht="15.75" customHeight="1" x14ac:dyDescent="0.25">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row>
    <row r="823" spans="1:26" ht="15.75" customHeight="1" x14ac:dyDescent="0.25">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row>
    <row r="824" spans="1:26" ht="15.75" customHeight="1" x14ac:dyDescent="0.25">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row>
    <row r="825" spans="1:26" ht="15.75" customHeight="1" x14ac:dyDescent="0.25">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row>
    <row r="826" spans="1:26" ht="15.75" customHeight="1" x14ac:dyDescent="0.25">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row>
    <row r="827" spans="1:26" ht="15.75" customHeight="1" x14ac:dyDescent="0.25">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row>
    <row r="828" spans="1:26" ht="15.75" customHeight="1" x14ac:dyDescent="0.25">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row>
    <row r="829" spans="1:26" ht="15.75" customHeight="1" x14ac:dyDescent="0.25">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row>
    <row r="830" spans="1:26" ht="15.75" customHeight="1" x14ac:dyDescent="0.25">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row>
    <row r="831" spans="1:26" ht="15.75" customHeight="1" x14ac:dyDescent="0.25">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row>
    <row r="832" spans="1:26" ht="15.75" customHeight="1" x14ac:dyDescent="0.25">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row>
    <row r="833" spans="1:26" ht="15.75" customHeight="1" x14ac:dyDescent="0.25">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row>
    <row r="834" spans="1:26" ht="15.75" customHeight="1" x14ac:dyDescent="0.25">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row>
    <row r="835" spans="1:26" ht="15.75" customHeight="1" x14ac:dyDescent="0.25">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row>
    <row r="836" spans="1:26" ht="15.75" customHeight="1" x14ac:dyDescent="0.25">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row>
    <row r="837" spans="1:26" ht="15.75" customHeight="1" x14ac:dyDescent="0.25">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row>
    <row r="838" spans="1:26" ht="15.75" customHeight="1" x14ac:dyDescent="0.25">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row>
    <row r="839" spans="1:26" ht="15.75" customHeight="1" x14ac:dyDescent="0.25">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row>
    <row r="840" spans="1:26" ht="15.75" customHeight="1" x14ac:dyDescent="0.25">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row>
    <row r="841" spans="1:26" ht="15.75" customHeight="1" x14ac:dyDescent="0.25">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row>
    <row r="842" spans="1:26" ht="15.75" customHeight="1" x14ac:dyDescent="0.25">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row>
    <row r="843" spans="1:26" ht="15.75" customHeight="1" x14ac:dyDescent="0.25">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row>
    <row r="844" spans="1:26" ht="15.75" customHeight="1" x14ac:dyDescent="0.25">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row>
    <row r="845" spans="1:26" ht="15.75" customHeight="1" x14ac:dyDescent="0.25">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row>
    <row r="846" spans="1:26" ht="15.75" customHeight="1" x14ac:dyDescent="0.25">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row>
    <row r="847" spans="1:26" ht="15.75" customHeight="1" x14ac:dyDescent="0.25">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row>
    <row r="848" spans="1:26" ht="15.75" customHeight="1" x14ac:dyDescent="0.25">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row>
    <row r="849" spans="1:26" ht="15.75" customHeight="1" x14ac:dyDescent="0.25">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row>
    <row r="850" spans="1:26" ht="15.75" customHeight="1" x14ac:dyDescent="0.25">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row>
    <row r="851" spans="1:26" ht="15.75" customHeight="1" x14ac:dyDescent="0.25">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row>
    <row r="852" spans="1:26" ht="15.75" customHeight="1" x14ac:dyDescent="0.25">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row>
    <row r="853" spans="1:26" ht="15.75" customHeight="1" x14ac:dyDescent="0.25">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row>
    <row r="854" spans="1:26" ht="15.75" customHeight="1" x14ac:dyDescent="0.25">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row>
    <row r="855" spans="1:26" ht="15.75" customHeight="1" x14ac:dyDescent="0.25">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row>
    <row r="856" spans="1:26" ht="15.75" customHeight="1" x14ac:dyDescent="0.25">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row>
    <row r="857" spans="1:26" ht="15.75" customHeight="1" x14ac:dyDescent="0.25">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row>
    <row r="858" spans="1:26" ht="15.75" customHeight="1" x14ac:dyDescent="0.25">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row>
    <row r="859" spans="1:26" ht="15.75" customHeight="1" x14ac:dyDescent="0.25">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row>
    <row r="860" spans="1:26" ht="15.75" customHeight="1" x14ac:dyDescent="0.25">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row>
    <row r="861" spans="1:26" ht="15.75" customHeight="1" x14ac:dyDescent="0.25">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row>
    <row r="862" spans="1:26" ht="15.75" customHeight="1" x14ac:dyDescent="0.25">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row>
    <row r="863" spans="1:26" ht="15.75" customHeight="1" x14ac:dyDescent="0.25">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row>
    <row r="864" spans="1:26" ht="15.75" customHeight="1" x14ac:dyDescent="0.25">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row>
    <row r="865" spans="1:26" ht="15.75" customHeight="1" x14ac:dyDescent="0.25">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row>
    <row r="866" spans="1:26" ht="15.75" customHeight="1" x14ac:dyDescent="0.25">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row>
    <row r="867" spans="1:26" ht="15.75" customHeight="1" x14ac:dyDescent="0.25">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row>
    <row r="868" spans="1:26" ht="15.75" customHeight="1" x14ac:dyDescent="0.25">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row>
    <row r="869" spans="1:26" ht="15.75" customHeight="1" x14ac:dyDescent="0.25">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row>
    <row r="870" spans="1:26" ht="15.75" customHeight="1" x14ac:dyDescent="0.25">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row>
    <row r="871" spans="1:26" ht="15.75" customHeight="1" x14ac:dyDescent="0.25">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row>
    <row r="872" spans="1:26" ht="15.75" customHeight="1" x14ac:dyDescent="0.25">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row>
    <row r="873" spans="1:26" ht="15.75" customHeight="1" x14ac:dyDescent="0.25">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row>
    <row r="874" spans="1:26" ht="15.75" customHeight="1" x14ac:dyDescent="0.25">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row>
    <row r="875" spans="1:26" ht="15.75" customHeight="1" x14ac:dyDescent="0.25">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row>
    <row r="876" spans="1:26" ht="15.75" customHeight="1" x14ac:dyDescent="0.25">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row>
    <row r="877" spans="1:26" ht="15.75" customHeight="1" x14ac:dyDescent="0.25">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row>
    <row r="878" spans="1:26" ht="15.75" customHeight="1" x14ac:dyDescent="0.25">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row>
    <row r="879" spans="1:26" ht="15.75" customHeight="1" x14ac:dyDescent="0.25">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row>
    <row r="880" spans="1:26" ht="15.75" customHeight="1" x14ac:dyDescent="0.25">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row>
    <row r="881" spans="1:26" ht="15.75" customHeight="1" x14ac:dyDescent="0.25">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row>
    <row r="882" spans="1:26" ht="15.75" customHeight="1" x14ac:dyDescent="0.25">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row>
    <row r="883" spans="1:26" ht="15.75" customHeight="1" x14ac:dyDescent="0.25">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row>
    <row r="884" spans="1:26" ht="15.75" customHeight="1" x14ac:dyDescent="0.25">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row>
    <row r="885" spans="1:26" ht="15.75" customHeight="1" x14ac:dyDescent="0.25">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row>
    <row r="886" spans="1:26" ht="15.75" customHeight="1" x14ac:dyDescent="0.25">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row>
    <row r="887" spans="1:26" ht="15.75" customHeight="1" x14ac:dyDescent="0.25">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row>
    <row r="888" spans="1:26" ht="15.75" customHeight="1" x14ac:dyDescent="0.25">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row>
    <row r="889" spans="1:26" ht="15.75" customHeight="1" x14ac:dyDescent="0.25">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row>
    <row r="890" spans="1:26" ht="15.75" customHeight="1" x14ac:dyDescent="0.25">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row>
    <row r="891" spans="1:26" ht="15.75" customHeight="1" x14ac:dyDescent="0.25">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row>
    <row r="892" spans="1:26" ht="15.75" customHeight="1" x14ac:dyDescent="0.25">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row>
    <row r="893" spans="1:26" ht="15.75" customHeight="1" x14ac:dyDescent="0.25">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row>
    <row r="894" spans="1:26" ht="15.75" customHeight="1" x14ac:dyDescent="0.25">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row>
    <row r="895" spans="1:26" ht="15.75" customHeight="1" x14ac:dyDescent="0.25">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row>
    <row r="896" spans="1:26" ht="15.75" customHeight="1" x14ac:dyDescent="0.25">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row>
    <row r="897" spans="1:26" ht="15.75" customHeight="1" x14ac:dyDescent="0.25">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row>
    <row r="898" spans="1:26" ht="15.75" customHeight="1" x14ac:dyDescent="0.25">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row>
    <row r="899" spans="1:26" ht="15.75" customHeight="1" x14ac:dyDescent="0.25">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row>
    <row r="900" spans="1:26" ht="15.75" customHeight="1" x14ac:dyDescent="0.25">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row>
    <row r="901" spans="1:26" ht="15.75" customHeight="1" x14ac:dyDescent="0.25">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row>
    <row r="902" spans="1:26" ht="15.75" customHeight="1" x14ac:dyDescent="0.25">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row>
    <row r="903" spans="1:26" ht="15.75" customHeight="1" x14ac:dyDescent="0.25">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row>
    <row r="904" spans="1:26" ht="15.75" customHeight="1" x14ac:dyDescent="0.25">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row>
    <row r="905" spans="1:26" ht="15.75" customHeight="1" x14ac:dyDescent="0.25">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row>
    <row r="906" spans="1:26" ht="15.75" customHeight="1" x14ac:dyDescent="0.25">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row>
    <row r="907" spans="1:26" ht="15.75" customHeight="1" x14ac:dyDescent="0.25">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row>
    <row r="908" spans="1:26" ht="15.75" customHeight="1" x14ac:dyDescent="0.25">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row>
    <row r="909" spans="1:26" ht="15.75" customHeight="1" x14ac:dyDescent="0.25">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row>
    <row r="910" spans="1:26" ht="15.75" customHeight="1" x14ac:dyDescent="0.25">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row>
    <row r="911" spans="1:26" ht="15.75" customHeight="1" x14ac:dyDescent="0.25">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row>
    <row r="912" spans="1:26" ht="15.75" customHeight="1" x14ac:dyDescent="0.25">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row>
    <row r="913" spans="1:26" ht="15.75" customHeight="1" x14ac:dyDescent="0.25">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row>
    <row r="914" spans="1:26" ht="15.75" customHeight="1" x14ac:dyDescent="0.25">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row>
    <row r="915" spans="1:26" ht="15.75" customHeight="1" x14ac:dyDescent="0.25">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row>
    <row r="916" spans="1:26" ht="15.75" customHeight="1" x14ac:dyDescent="0.25">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row>
    <row r="917" spans="1:26" ht="15.75" customHeight="1" x14ac:dyDescent="0.25">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row>
    <row r="918" spans="1:26" ht="15.75" customHeight="1" x14ac:dyDescent="0.25">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row>
    <row r="919" spans="1:26" ht="15.75" customHeight="1" x14ac:dyDescent="0.25">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row>
    <row r="920" spans="1:26" ht="15.75" customHeight="1" x14ac:dyDescent="0.25">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row>
    <row r="921" spans="1:26" ht="15.75" customHeight="1" x14ac:dyDescent="0.25">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row>
    <row r="922" spans="1:26" ht="15.75" customHeight="1" x14ac:dyDescent="0.25">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row>
    <row r="923" spans="1:26" ht="15.75" customHeight="1" x14ac:dyDescent="0.25">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row>
    <row r="924" spans="1:26" ht="15.75" customHeight="1" x14ac:dyDescent="0.25">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row>
    <row r="925" spans="1:26" ht="15.75" customHeight="1" x14ac:dyDescent="0.25">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row>
    <row r="926" spans="1:26" ht="15.75" customHeight="1" x14ac:dyDescent="0.25">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row>
    <row r="927" spans="1:26" ht="15.75" customHeight="1" x14ac:dyDescent="0.25">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row>
    <row r="928" spans="1:26" ht="15.75" customHeight="1" x14ac:dyDescent="0.25">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row>
    <row r="929" spans="1:26" ht="15.75" customHeight="1" x14ac:dyDescent="0.25">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row>
    <row r="930" spans="1:26" ht="15.75" customHeight="1" x14ac:dyDescent="0.25">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row>
    <row r="931" spans="1:26" ht="15.75" customHeight="1" x14ac:dyDescent="0.25">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row>
    <row r="932" spans="1:26" ht="15.75" customHeight="1" x14ac:dyDescent="0.25">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row>
    <row r="933" spans="1:26" ht="15.75" customHeight="1" x14ac:dyDescent="0.25">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row>
    <row r="934" spans="1:26" ht="15.75" customHeight="1" x14ac:dyDescent="0.25">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row>
    <row r="935" spans="1:26" ht="15.75" customHeight="1" x14ac:dyDescent="0.25">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row>
    <row r="936" spans="1:26" ht="15.75" customHeight="1" x14ac:dyDescent="0.25">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row>
    <row r="937" spans="1:26" ht="15.75" customHeight="1" x14ac:dyDescent="0.25">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row>
    <row r="938" spans="1:26" ht="15.75" customHeight="1" x14ac:dyDescent="0.25">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row>
    <row r="939" spans="1:26" ht="15.75" customHeight="1" x14ac:dyDescent="0.25">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row>
    <row r="940" spans="1:26" ht="15.75" customHeight="1" x14ac:dyDescent="0.25">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row>
    <row r="941" spans="1:26" ht="15.75" customHeight="1" x14ac:dyDescent="0.25">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row>
    <row r="942" spans="1:26" ht="15.75" customHeight="1" x14ac:dyDescent="0.25">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row>
    <row r="943" spans="1:26" ht="15.75" customHeight="1" x14ac:dyDescent="0.25">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row>
    <row r="944" spans="1:26" ht="15.75" customHeight="1" x14ac:dyDescent="0.25">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row>
    <row r="945" spans="1:26" ht="15.75" customHeight="1" x14ac:dyDescent="0.25">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row>
    <row r="946" spans="1:26" ht="15.75" customHeight="1" x14ac:dyDescent="0.25">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row>
    <row r="947" spans="1:26" ht="15.75" customHeight="1" x14ac:dyDescent="0.25">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row>
    <row r="948" spans="1:26" ht="15.75" customHeight="1" x14ac:dyDescent="0.25">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row>
    <row r="949" spans="1:26" ht="15.75" customHeight="1" x14ac:dyDescent="0.25">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row>
    <row r="950" spans="1:26" ht="15.75" customHeight="1" x14ac:dyDescent="0.25">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row>
    <row r="951" spans="1:26" ht="15.75" customHeight="1" x14ac:dyDescent="0.25">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row>
    <row r="952" spans="1:26" ht="15.75" customHeight="1" x14ac:dyDescent="0.25">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row>
    <row r="953" spans="1:26" ht="15.75" customHeight="1" x14ac:dyDescent="0.25">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row>
    <row r="954" spans="1:26" ht="15.75" customHeight="1" x14ac:dyDescent="0.25">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row>
    <row r="955" spans="1:26" ht="15.75" customHeight="1" x14ac:dyDescent="0.25">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row>
    <row r="956" spans="1:26" ht="15.75" customHeight="1" x14ac:dyDescent="0.25">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row>
    <row r="957" spans="1:26" ht="15.75" customHeight="1" x14ac:dyDescent="0.25">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row>
    <row r="958" spans="1:26" ht="15.75" customHeight="1" x14ac:dyDescent="0.25">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row>
    <row r="959" spans="1:26" ht="15.75" customHeight="1" x14ac:dyDescent="0.25">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row>
    <row r="960" spans="1:26" ht="15.75" customHeight="1" x14ac:dyDescent="0.25">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row>
    <row r="961" spans="1:26" ht="15.75" customHeight="1" x14ac:dyDescent="0.25">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row>
    <row r="962" spans="1:26" ht="15.75" customHeight="1" x14ac:dyDescent="0.25">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row>
    <row r="963" spans="1:26" ht="15.75" customHeight="1" x14ac:dyDescent="0.25">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row>
    <row r="964" spans="1:26" ht="15.75" customHeight="1" x14ac:dyDescent="0.25">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row>
    <row r="965" spans="1:26" ht="15.75" customHeight="1" x14ac:dyDescent="0.25">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row>
    <row r="966" spans="1:26" ht="15.75" customHeight="1" x14ac:dyDescent="0.25">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row>
    <row r="967" spans="1:26" ht="15.75" customHeight="1" x14ac:dyDescent="0.25">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row>
    <row r="968" spans="1:26" ht="15.75" customHeight="1" x14ac:dyDescent="0.25">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row>
    <row r="969" spans="1:26" ht="15.75" customHeight="1" x14ac:dyDescent="0.25">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row>
    <row r="970" spans="1:26" ht="15.75" customHeight="1" x14ac:dyDescent="0.25">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row>
    <row r="971" spans="1:26" ht="15.75" customHeight="1" x14ac:dyDescent="0.25">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row>
    <row r="972" spans="1:26" ht="15.75" customHeight="1" x14ac:dyDescent="0.25">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row>
    <row r="973" spans="1:26" ht="15.75" customHeight="1" x14ac:dyDescent="0.25">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row>
    <row r="974" spans="1:26" ht="15.75" customHeight="1" x14ac:dyDescent="0.25">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row>
    <row r="975" spans="1:26" ht="15.75" customHeight="1" x14ac:dyDescent="0.25">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row>
    <row r="976" spans="1:26" ht="15.75" customHeight="1" x14ac:dyDescent="0.25">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row>
    <row r="977" spans="1:26" ht="15.75" customHeight="1" x14ac:dyDescent="0.25">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row>
    <row r="978" spans="1:26" ht="15.75" customHeight="1" x14ac:dyDescent="0.25">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row>
    <row r="979" spans="1:26" ht="15.75" customHeight="1" x14ac:dyDescent="0.25">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row>
    <row r="980" spans="1:26" ht="15.75" customHeight="1" x14ac:dyDescent="0.25">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row>
    <row r="981" spans="1:26" ht="15.75" customHeight="1" x14ac:dyDescent="0.25">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row>
    <row r="982" spans="1:26" ht="15.75" customHeight="1" x14ac:dyDescent="0.25">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row>
    <row r="983" spans="1:26" ht="15.75" customHeight="1" x14ac:dyDescent="0.25">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row>
    <row r="984" spans="1:26" ht="15.75" customHeight="1" x14ac:dyDescent="0.25">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c r="Z984" s="97"/>
    </row>
    <row r="985" spans="1:26" ht="15.75" customHeight="1" x14ac:dyDescent="0.25">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c r="Z985" s="97"/>
    </row>
    <row r="986" spans="1:26" ht="15.75" customHeight="1" x14ac:dyDescent="0.25">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c r="Z986" s="97"/>
    </row>
    <row r="987" spans="1:26" ht="15.75" customHeight="1" x14ac:dyDescent="0.25">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c r="Z987" s="97"/>
    </row>
    <row r="988" spans="1:26" ht="15.75" customHeight="1" x14ac:dyDescent="0.25">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c r="Z988" s="97"/>
    </row>
    <row r="989" spans="1:26" ht="15.75" customHeight="1" x14ac:dyDescent="0.25">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c r="Z989" s="97"/>
    </row>
    <row r="990" spans="1:26" ht="15.75" customHeight="1" x14ac:dyDescent="0.25">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row>
    <row r="991" spans="1:26" ht="15.75" customHeight="1" x14ac:dyDescent="0.25">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row>
    <row r="992" spans="1:26" ht="15.75" customHeight="1" x14ac:dyDescent="0.25">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row>
    <row r="993" spans="1:26" ht="15.75" customHeight="1" x14ac:dyDescent="0.25">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row>
    <row r="994" spans="1:26" ht="15.75" customHeight="1" x14ac:dyDescent="0.25">
      <c r="A994" s="97"/>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c r="Z994" s="97"/>
    </row>
    <row r="995" spans="1:26" ht="15.75" customHeight="1" x14ac:dyDescent="0.25">
      <c r="A995" s="97"/>
      <c r="B995" s="97"/>
      <c r="C995" s="97"/>
      <c r="D995" s="97"/>
      <c r="E995" s="97"/>
      <c r="F995" s="97"/>
      <c r="G995" s="97"/>
      <c r="H995" s="97"/>
      <c r="I995" s="97"/>
      <c r="J995" s="97"/>
      <c r="K995" s="97"/>
      <c r="L995" s="97"/>
      <c r="M995" s="97"/>
      <c r="N995" s="97"/>
      <c r="O995" s="97"/>
      <c r="P995" s="97"/>
      <c r="Q995" s="97"/>
      <c r="R995" s="97"/>
      <c r="S995" s="97"/>
      <c r="T995" s="97"/>
      <c r="U995" s="97"/>
      <c r="V995" s="97"/>
      <c r="W995" s="97"/>
      <c r="X995" s="97"/>
      <c r="Y995" s="97"/>
      <c r="Z995" s="97"/>
    </row>
    <row r="996" spans="1:26" ht="15.75" customHeight="1" x14ac:dyDescent="0.25">
      <c r="A996" s="97"/>
      <c r="B996" s="97"/>
      <c r="C996" s="97"/>
      <c r="D996" s="97"/>
      <c r="E996" s="97"/>
      <c r="F996" s="97"/>
      <c r="G996" s="97"/>
      <c r="H996" s="97"/>
      <c r="I996" s="97"/>
      <c r="J996" s="97"/>
      <c r="K996" s="97"/>
      <c r="L996" s="97"/>
      <c r="M996" s="97"/>
      <c r="N996" s="97"/>
      <c r="O996" s="97"/>
      <c r="P996" s="97"/>
      <c r="Q996" s="97"/>
      <c r="R996" s="97"/>
      <c r="S996" s="97"/>
      <c r="T996" s="97"/>
      <c r="U996" s="97"/>
      <c r="V996" s="97"/>
      <c r="W996" s="97"/>
      <c r="X996" s="97"/>
      <c r="Y996" s="97"/>
      <c r="Z996" s="97"/>
    </row>
    <row r="997" spans="1:26" ht="15.75" customHeight="1" x14ac:dyDescent="0.25">
      <c r="A997" s="97"/>
      <c r="B997" s="97"/>
      <c r="C997" s="97"/>
      <c r="D997" s="97"/>
      <c r="E997" s="97"/>
      <c r="F997" s="97"/>
      <c r="G997" s="97"/>
      <c r="H997" s="97"/>
      <c r="I997" s="97"/>
      <c r="J997" s="97"/>
      <c r="K997" s="97"/>
      <c r="L997" s="97"/>
      <c r="M997" s="97"/>
      <c r="N997" s="97"/>
      <c r="O997" s="97"/>
      <c r="P997" s="97"/>
      <c r="Q997" s="97"/>
      <c r="R997" s="97"/>
      <c r="S997" s="97"/>
      <c r="T997" s="97"/>
      <c r="U997" s="97"/>
      <c r="V997" s="97"/>
      <c r="W997" s="97"/>
      <c r="X997" s="97"/>
      <c r="Y997" s="97"/>
      <c r="Z997" s="97"/>
    </row>
    <row r="998" spans="1:26" ht="15.75" customHeight="1" x14ac:dyDescent="0.25">
      <c r="A998" s="97"/>
      <c r="B998" s="97"/>
      <c r="C998" s="97"/>
      <c r="D998" s="97"/>
      <c r="E998" s="97"/>
      <c r="F998" s="97"/>
      <c r="G998" s="97"/>
      <c r="H998" s="97"/>
      <c r="I998" s="97"/>
      <c r="J998" s="97"/>
      <c r="K998" s="97"/>
      <c r="L998" s="97"/>
      <c r="M998" s="97"/>
      <c r="N998" s="97"/>
      <c r="O998" s="97"/>
      <c r="P998" s="97"/>
      <c r="Q998" s="97"/>
      <c r="R998" s="97"/>
      <c r="S998" s="97"/>
      <c r="T998" s="97"/>
      <c r="U998" s="97"/>
      <c r="V998" s="97"/>
      <c r="W998" s="97"/>
      <c r="X998" s="97"/>
      <c r="Y998" s="97"/>
      <c r="Z998" s="97"/>
    </row>
    <row r="999" spans="1:26" ht="15.75" customHeight="1" x14ac:dyDescent="0.25">
      <c r="A999" s="97"/>
      <c r="B999" s="97"/>
      <c r="C999" s="97"/>
      <c r="D999" s="97"/>
      <c r="E999" s="97"/>
      <c r="F999" s="97"/>
      <c r="G999" s="97"/>
      <c r="H999" s="97"/>
      <c r="I999" s="97"/>
      <c r="J999" s="97"/>
      <c r="K999" s="97"/>
      <c r="L999" s="97"/>
      <c r="M999" s="97"/>
      <c r="N999" s="97"/>
      <c r="O999" s="97"/>
      <c r="P999" s="97"/>
      <c r="Q999" s="97"/>
      <c r="R999" s="97"/>
      <c r="S999" s="97"/>
      <c r="T999" s="97"/>
      <c r="U999" s="97"/>
      <c r="V999" s="97"/>
      <c r="W999" s="97"/>
      <c r="X999" s="97"/>
      <c r="Y999" s="97"/>
      <c r="Z999" s="97"/>
    </row>
    <row r="1000" spans="1:26" ht="15.75" customHeight="1" x14ac:dyDescent="0.25">
      <c r="A1000" s="97"/>
      <c r="B1000" s="97"/>
      <c r="C1000" s="97"/>
      <c r="D1000" s="97"/>
      <c r="E1000" s="97"/>
      <c r="F1000" s="97"/>
      <c r="G1000" s="97"/>
      <c r="H1000" s="97"/>
      <c r="I1000" s="97"/>
      <c r="J1000" s="97"/>
      <c r="K1000" s="97"/>
      <c r="L1000" s="97"/>
      <c r="M1000" s="97"/>
      <c r="N1000" s="97"/>
      <c r="O1000" s="97"/>
      <c r="P1000" s="97"/>
      <c r="Q1000" s="97"/>
      <c r="R1000" s="97"/>
      <c r="S1000" s="97"/>
      <c r="T1000" s="97"/>
      <c r="U1000" s="97"/>
      <c r="V1000" s="97"/>
      <c r="W1000" s="97"/>
      <c r="X1000" s="97"/>
      <c r="Y1000" s="97"/>
      <c r="Z1000" s="97"/>
    </row>
  </sheetData>
  <mergeCells count="2">
    <mergeCell ref="A1:K2"/>
    <mergeCell ref="A5:L5"/>
  </mergeCells>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sheetPr>
  <dimension ref="A1:Z1000"/>
  <sheetViews>
    <sheetView showGridLines="0" workbookViewId="0"/>
  </sheetViews>
  <sheetFormatPr defaultColWidth="14.42578125" defaultRowHeight="15" customHeight="1" x14ac:dyDescent="0.25"/>
  <cols>
    <col min="1" max="1" width="28.28515625" customWidth="1"/>
    <col min="2" max="2" width="16.140625" customWidth="1"/>
    <col min="3" max="14" width="15.140625" customWidth="1"/>
    <col min="15" max="20" width="8.7109375" customWidth="1"/>
  </cols>
  <sheetData>
    <row r="1" spans="1:26" ht="147.75" customHeight="1" x14ac:dyDescent="0.3">
      <c r="A1" s="222" t="s">
        <v>257</v>
      </c>
      <c r="B1" s="206"/>
      <c r="C1" s="206"/>
      <c r="D1" s="206"/>
      <c r="E1" s="206"/>
      <c r="F1" s="206"/>
      <c r="G1" s="206"/>
      <c r="H1" s="206"/>
      <c r="I1" s="206"/>
      <c r="J1" s="206"/>
      <c r="K1" s="206"/>
      <c r="L1" s="206"/>
      <c r="M1" s="206"/>
      <c r="N1" s="206"/>
      <c r="O1" s="206"/>
      <c r="P1" s="206"/>
      <c r="Q1" s="206"/>
      <c r="R1" s="206"/>
      <c r="S1" s="206"/>
      <c r="T1" s="206"/>
      <c r="U1" s="174"/>
      <c r="V1" s="174"/>
      <c r="W1" s="174"/>
      <c r="X1" s="174"/>
      <c r="Y1" s="174"/>
      <c r="Z1" s="174"/>
    </row>
    <row r="2" spans="1:26" ht="40.5" customHeight="1" x14ac:dyDescent="0.3">
      <c r="A2" s="159" t="s">
        <v>258</v>
      </c>
      <c r="B2" s="174"/>
      <c r="C2" s="174"/>
      <c r="D2" s="174"/>
      <c r="E2" s="174"/>
      <c r="F2" s="174"/>
      <c r="G2" s="174"/>
      <c r="H2" s="174"/>
      <c r="I2" s="174"/>
      <c r="J2" s="174"/>
      <c r="K2" s="174"/>
      <c r="L2" s="174"/>
      <c r="M2" s="174"/>
      <c r="N2" s="174"/>
      <c r="O2" s="174"/>
      <c r="P2" s="174"/>
      <c r="Q2" s="174"/>
      <c r="R2" s="174"/>
      <c r="S2" s="174"/>
      <c r="T2" s="174"/>
      <c r="U2" s="174"/>
      <c r="V2" s="174"/>
      <c r="W2" s="174"/>
      <c r="X2" s="174"/>
      <c r="Y2" s="174"/>
      <c r="Z2" s="174"/>
    </row>
    <row r="3" spans="1:26" ht="19.5" customHeight="1" x14ac:dyDescent="0.3">
      <c r="A3" s="159"/>
      <c r="B3" s="174"/>
      <c r="C3" s="174"/>
      <c r="D3" s="174"/>
      <c r="E3" s="174"/>
      <c r="F3" s="174"/>
      <c r="G3" s="174"/>
      <c r="H3" s="174"/>
      <c r="I3" s="174"/>
      <c r="J3" s="174"/>
      <c r="K3" s="174"/>
      <c r="L3" s="174"/>
      <c r="M3" s="174"/>
      <c r="N3" s="174"/>
      <c r="O3" s="174"/>
      <c r="P3" s="174"/>
      <c r="Q3" s="174"/>
      <c r="R3" s="174"/>
      <c r="S3" s="174"/>
      <c r="T3" s="174"/>
      <c r="U3" s="174"/>
      <c r="V3" s="174"/>
      <c r="W3" s="174"/>
      <c r="X3" s="174"/>
      <c r="Y3" s="174"/>
      <c r="Z3" s="174"/>
    </row>
    <row r="4" spans="1:26" ht="21" customHeight="1" x14ac:dyDescent="0.3">
      <c r="A4" s="159" t="s">
        <v>259</v>
      </c>
      <c r="B4" s="174"/>
      <c r="C4" s="174"/>
      <c r="D4" s="174"/>
      <c r="E4" s="174"/>
      <c r="F4" s="174"/>
      <c r="G4" s="174"/>
      <c r="H4" s="174"/>
      <c r="I4" s="174"/>
      <c r="J4" s="174"/>
      <c r="K4" s="174"/>
      <c r="L4" s="174"/>
      <c r="M4" s="174"/>
      <c r="N4" s="174"/>
      <c r="O4" s="174"/>
      <c r="P4" s="174"/>
      <c r="Q4" s="174"/>
      <c r="R4" s="174"/>
      <c r="S4" s="174"/>
      <c r="T4" s="174"/>
      <c r="U4" s="174"/>
      <c r="V4" s="174"/>
      <c r="W4" s="174"/>
      <c r="X4" s="174"/>
      <c r="Y4" s="174"/>
      <c r="Z4" s="174"/>
    </row>
    <row r="5" spans="1:26" ht="21.75" customHeight="1" x14ac:dyDescent="0.3">
      <c r="A5" s="159" t="s">
        <v>46</v>
      </c>
      <c r="B5" s="174"/>
      <c r="C5" s="174"/>
      <c r="D5" s="174"/>
      <c r="E5" s="174"/>
      <c r="F5" s="174"/>
      <c r="G5" s="174"/>
      <c r="H5" s="174"/>
      <c r="I5" s="174"/>
      <c r="J5" s="174"/>
      <c r="K5" s="174"/>
      <c r="L5" s="174"/>
      <c r="M5" s="174"/>
      <c r="N5" s="174"/>
      <c r="O5" s="174"/>
      <c r="P5" s="174"/>
      <c r="Q5" s="174"/>
      <c r="R5" s="174"/>
      <c r="S5" s="174"/>
      <c r="T5" s="174"/>
      <c r="U5" s="174"/>
      <c r="V5" s="174"/>
      <c r="W5" s="174"/>
      <c r="X5" s="174"/>
      <c r="Y5" s="174"/>
      <c r="Z5" s="174"/>
    </row>
    <row r="6" spans="1:26" ht="14.25" customHeight="1" x14ac:dyDescent="0.25">
      <c r="A6" s="171" t="s">
        <v>260</v>
      </c>
      <c r="B6" s="171" t="s">
        <v>244</v>
      </c>
      <c r="C6" s="75" t="s">
        <v>200</v>
      </c>
      <c r="D6" s="75" t="s">
        <v>201</v>
      </c>
      <c r="E6" s="75" t="s">
        <v>202</v>
      </c>
      <c r="F6" s="75" t="s">
        <v>203</v>
      </c>
      <c r="G6" s="75" t="s">
        <v>204</v>
      </c>
      <c r="H6" s="75" t="s">
        <v>205</v>
      </c>
      <c r="I6" s="75" t="s">
        <v>206</v>
      </c>
      <c r="J6" s="75" t="s">
        <v>207</v>
      </c>
      <c r="K6" s="75" t="s">
        <v>208</v>
      </c>
      <c r="L6" s="75" t="s">
        <v>209</v>
      </c>
      <c r="M6" s="75" t="s">
        <v>210</v>
      </c>
      <c r="N6" s="75" t="s">
        <v>211</v>
      </c>
      <c r="O6" s="177"/>
      <c r="P6" s="177"/>
      <c r="Q6" s="177"/>
      <c r="R6" s="177"/>
      <c r="S6" s="177"/>
      <c r="T6" s="177"/>
      <c r="U6" s="177"/>
      <c r="V6" s="177"/>
      <c r="W6" s="177"/>
      <c r="X6" s="177"/>
      <c r="Y6" s="177"/>
      <c r="Z6" s="177"/>
    </row>
    <row r="7" spans="1:26" ht="14.25" customHeight="1" x14ac:dyDescent="0.25">
      <c r="A7" s="90" t="s">
        <v>261</v>
      </c>
      <c r="B7" s="90" t="s">
        <v>50</v>
      </c>
      <c r="C7" s="91" t="e">
        <f>SUMIFS('Variance Analysis'!C$30:C$45,'Variance Analysis'!$B$30:$B$45,'Variance Analysis'!$B$33,'Variance Analysis'!$A$30:$A$45,'Variance Analysis'!$A$33)</f>
        <v>#REF!</v>
      </c>
      <c r="D7" s="91" t="e">
        <f>SUMIFS('Variance Analysis'!D$30:D$45,'Variance Analysis'!$B$30:$B$45,'Variance Analysis'!$B$33,'Variance Analysis'!$A$30:$A$45,'Variance Analysis'!$A$33)</f>
        <v>#REF!</v>
      </c>
      <c r="E7" s="91" t="e">
        <f>SUMIFS('Variance Analysis'!E$30:E$45,'Variance Analysis'!$B$30:$B$45,'Variance Analysis'!$B$33,'Variance Analysis'!$A$30:$A$45,'Variance Analysis'!$A$33)</f>
        <v>#REF!</v>
      </c>
      <c r="F7" s="91" t="e">
        <f>SUMIFS('Variance Analysis'!F$30:F$45,'Variance Analysis'!$B$30:$B$45,'Variance Analysis'!$B$33,'Variance Analysis'!$A$30:$A$45,'Variance Analysis'!$A$33)</f>
        <v>#REF!</v>
      </c>
      <c r="G7" s="91" t="e">
        <f>SUMIFS('Variance Analysis'!G$30:G$45,'Variance Analysis'!$B$30:$B$45,'Variance Analysis'!$B$33,'Variance Analysis'!$A$30:$A$45,'Variance Analysis'!$A$33)</f>
        <v>#REF!</v>
      </c>
      <c r="H7" s="91" t="e">
        <f>SUMIFS('Variance Analysis'!H$30:H$45,'Variance Analysis'!$B$30:$B$45,'Variance Analysis'!$B$33,'Variance Analysis'!$A$30:$A$45,'Variance Analysis'!$A$33)</f>
        <v>#REF!</v>
      </c>
      <c r="I7" s="91" t="e">
        <f>SUMIFS('Variance Analysis'!I$30:I$45,'Variance Analysis'!$B$30:$B$45,'Variance Analysis'!$B$33,'Variance Analysis'!$A$30:$A$45,'Variance Analysis'!$A$33)</f>
        <v>#REF!</v>
      </c>
      <c r="J7" s="91" t="e">
        <f>SUMIFS('Variance Analysis'!J$30:J$45,'Variance Analysis'!$B$30:$B$45,'Variance Analysis'!$B$33,'Variance Analysis'!$A$30:$A$45,'Variance Analysis'!$A$33)</f>
        <v>#REF!</v>
      </c>
      <c r="K7" s="91" t="e">
        <f>SUMIFS('Variance Analysis'!K$30:K$45,'Variance Analysis'!$B$30:$B$45,'Variance Analysis'!$B$33,'Variance Analysis'!$A$30:$A$45,'Variance Analysis'!$A$33)</f>
        <v>#REF!</v>
      </c>
      <c r="L7" s="91" t="e">
        <f>SUMIFS('Variance Analysis'!L$30:L$45,'Variance Analysis'!$B$30:$B$45,'Variance Analysis'!$B$33,'Variance Analysis'!$A$30:$A$45,'Variance Analysis'!$A$33)</f>
        <v>#REF!</v>
      </c>
      <c r="M7" s="91" t="e">
        <f>SUMIFS('Variance Analysis'!M$30:M$45,'Variance Analysis'!$B$30:$B$45,'Variance Analysis'!$B$33,'Variance Analysis'!$A$30:$A$45,'Variance Analysis'!$A$33)</f>
        <v>#REF!</v>
      </c>
      <c r="N7" s="91" t="e">
        <f>SUMIFS('Variance Analysis'!N$30:N$45,'Variance Analysis'!$B$30:$B$45,'Variance Analysis'!$B$33,'Variance Analysis'!$A$30:$A$45,'Variance Analysis'!$A$33)</f>
        <v>#REF!</v>
      </c>
    </row>
    <row r="8" spans="1:26" ht="14.25" customHeight="1" x14ac:dyDescent="0.25">
      <c r="A8" s="90" t="s">
        <v>262</v>
      </c>
      <c r="B8" s="90" t="s">
        <v>50</v>
      </c>
      <c r="C8" s="91" t="e">
        <f>SUMIFS('Variance Analysis'!C$30:C$45,'Variance Analysis'!$B$30:$B$45,'Variance Analysis'!$B$31,'Variance Analysis'!$A$30:$A$45,'Variance Analysis'!$A$33)</f>
        <v>#REF!</v>
      </c>
      <c r="D8" s="91" t="e">
        <f>SUMIFS('Variance Analysis'!D$30:D$45,'Variance Analysis'!$B$30:$B$45,'Variance Analysis'!$B$31,'Variance Analysis'!$A$30:$A$45,'Variance Analysis'!$A$33)</f>
        <v>#REF!</v>
      </c>
      <c r="E8" s="91" t="e">
        <f>SUMIFS('Variance Analysis'!E$30:E$45,'Variance Analysis'!$B$30:$B$45,'Variance Analysis'!$B$31,'Variance Analysis'!$A$30:$A$45,'Variance Analysis'!$A$33)</f>
        <v>#REF!</v>
      </c>
      <c r="F8" s="91" t="e">
        <f>SUMIFS('Variance Analysis'!F$30:F$45,'Variance Analysis'!$B$30:$B$45,'Variance Analysis'!$B$31,'Variance Analysis'!$A$30:$A$45,'Variance Analysis'!$A$33)</f>
        <v>#REF!</v>
      </c>
      <c r="G8" s="91" t="e">
        <f>SUMIFS('Variance Analysis'!G$30:G$45,'Variance Analysis'!$B$30:$B$45,'Variance Analysis'!$B$31,'Variance Analysis'!$A$30:$A$45,'Variance Analysis'!$A$33)</f>
        <v>#REF!</v>
      </c>
      <c r="H8" s="91" t="e">
        <f>SUMIFS('Variance Analysis'!H$30:H$45,'Variance Analysis'!$B$30:$B$45,'Variance Analysis'!$B$31,'Variance Analysis'!$A$30:$A$45,'Variance Analysis'!$A$33)</f>
        <v>#REF!</v>
      </c>
      <c r="I8" s="91" t="e">
        <f>SUMIFS('Variance Analysis'!I$30:I$45,'Variance Analysis'!$B$30:$B$45,'Variance Analysis'!$B$31,'Variance Analysis'!$A$30:$A$45,'Variance Analysis'!$A$33)</f>
        <v>#REF!</v>
      </c>
      <c r="J8" s="91" t="e">
        <f>SUMIFS('Variance Analysis'!J$30:J$45,'Variance Analysis'!$B$30:$B$45,'Variance Analysis'!$B$31,'Variance Analysis'!$A$30:$A$45,'Variance Analysis'!$A$33)</f>
        <v>#REF!</v>
      </c>
      <c r="K8" s="91" t="e">
        <f>SUMIFS('Variance Analysis'!K$30:K$45,'Variance Analysis'!$B$30:$B$45,'Variance Analysis'!$B$31,'Variance Analysis'!$A$30:$A$45,'Variance Analysis'!$A$33)</f>
        <v>#REF!</v>
      </c>
      <c r="L8" s="91" t="e">
        <f>SUMIFS('Variance Analysis'!L$30:L$45,'Variance Analysis'!$B$30:$B$45,'Variance Analysis'!$B$31,'Variance Analysis'!$A$30:$A$45,'Variance Analysis'!$A$33)</f>
        <v>#REF!</v>
      </c>
      <c r="M8" s="91" t="e">
        <f>SUMIFS('Variance Analysis'!M$30:M$45,'Variance Analysis'!$B$30:$B$45,'Variance Analysis'!$B$31,'Variance Analysis'!$A$30:$A$45,'Variance Analysis'!$A$33)</f>
        <v>#REF!</v>
      </c>
      <c r="N8" s="91" t="e">
        <f>SUMIFS('Variance Analysis'!N$30:N$45,'Variance Analysis'!$B$30:$B$45,'Variance Analysis'!$B$31,'Variance Analysis'!$A$30:$A$45,'Variance Analysis'!$A$33)</f>
        <v>#REF!</v>
      </c>
    </row>
    <row r="9" spans="1:26" ht="14.25" customHeight="1" x14ac:dyDescent="0.25">
      <c r="A9" s="90" t="s">
        <v>263</v>
      </c>
      <c r="B9" s="90" t="s">
        <v>50</v>
      </c>
      <c r="C9" s="91" t="e">
        <f>SUMIFS('Variance Analysis'!C$30:C$45,'Variance Analysis'!$B$30:$B$45,'Variance Analysis'!$B$32,'Variance Analysis'!$A$30:$A$45,'Variance Analysis'!$A$33)</f>
        <v>#REF!</v>
      </c>
      <c r="D9" s="91" t="e">
        <f>SUMIFS('Variance Analysis'!D$30:D$45,'Variance Analysis'!$B$30:$B$45,'Variance Analysis'!$B$32,'Variance Analysis'!$A$30:$A$45,'Variance Analysis'!$A$33)</f>
        <v>#REF!</v>
      </c>
      <c r="E9" s="91" t="e">
        <f>SUMIFS('Variance Analysis'!E$30:E$45,'Variance Analysis'!$B$30:$B$45,'Variance Analysis'!$B$32,'Variance Analysis'!$A$30:$A$45,'Variance Analysis'!$A$33)</f>
        <v>#REF!</v>
      </c>
      <c r="F9" s="91" t="e">
        <f>SUMIFS('Variance Analysis'!F$30:F$45,'Variance Analysis'!$B$30:$B$45,'Variance Analysis'!$B$32,'Variance Analysis'!$A$30:$A$45,'Variance Analysis'!$A$33)</f>
        <v>#REF!</v>
      </c>
      <c r="G9" s="91" t="e">
        <f>SUMIFS('Variance Analysis'!G$30:G$45,'Variance Analysis'!$B$30:$B$45,'Variance Analysis'!$B$32,'Variance Analysis'!$A$30:$A$45,'Variance Analysis'!$A$33)</f>
        <v>#REF!</v>
      </c>
      <c r="H9" s="91" t="e">
        <f>SUMIFS('Variance Analysis'!H$30:H$45,'Variance Analysis'!$B$30:$B$45,'Variance Analysis'!$B$32,'Variance Analysis'!$A$30:$A$45,'Variance Analysis'!$A$33)</f>
        <v>#REF!</v>
      </c>
      <c r="I9" s="91" t="e">
        <f>SUMIFS('Variance Analysis'!I$30:I$45,'Variance Analysis'!$B$30:$B$45,'Variance Analysis'!$B$32,'Variance Analysis'!$A$30:$A$45,'Variance Analysis'!$A$33)</f>
        <v>#REF!</v>
      </c>
      <c r="J9" s="91" t="e">
        <f>SUMIFS('Variance Analysis'!J$30:J$45,'Variance Analysis'!$B$30:$B$45,'Variance Analysis'!$B$32,'Variance Analysis'!$A$30:$A$45,'Variance Analysis'!$A$33)</f>
        <v>#REF!</v>
      </c>
      <c r="K9" s="91" t="e">
        <f>SUMIFS('Variance Analysis'!K$30:K$45,'Variance Analysis'!$B$30:$B$45,'Variance Analysis'!$B$32,'Variance Analysis'!$A$30:$A$45,'Variance Analysis'!$A$33)</f>
        <v>#REF!</v>
      </c>
      <c r="L9" s="91" t="e">
        <f>SUMIFS('Variance Analysis'!L$30:L$45,'Variance Analysis'!$B$30:$B$45,'Variance Analysis'!$B$32,'Variance Analysis'!$A$30:$A$45,'Variance Analysis'!$A$33)</f>
        <v>#REF!</v>
      </c>
      <c r="M9" s="91" t="e">
        <f>SUMIFS('Variance Analysis'!M$30:M$45,'Variance Analysis'!$B$30:$B$45,'Variance Analysis'!$B$32,'Variance Analysis'!$A$30:$A$45,'Variance Analysis'!$A$33)</f>
        <v>#REF!</v>
      </c>
      <c r="N9" s="91" t="e">
        <f>SUMIFS('Variance Analysis'!N$30:N$45,'Variance Analysis'!$B$30:$B$45,'Variance Analysis'!$B$32,'Variance Analysis'!$A$30:$A$45,'Variance Analysis'!$A$33)</f>
        <v>#REF!</v>
      </c>
    </row>
    <row r="10" spans="1:26" ht="14.25" customHeight="1" x14ac:dyDescent="0.25">
      <c r="A10" s="98" t="s">
        <v>213</v>
      </c>
      <c r="B10" s="98" t="s">
        <v>50</v>
      </c>
      <c r="C10" s="91" t="e">
        <f>SUMIFS('Variance Analysis'!C$30:C$45,'Variance Analysis'!$B$30:$B$45,'Variance Analysis'!$B$30,'Variance Analysis'!$A$30:$A$45,'Variance Analysis'!$A$33)</f>
        <v>#REF!</v>
      </c>
      <c r="D10" s="91" t="e">
        <f>SUMIFS('Variance Analysis'!D$30:D$45,'Variance Analysis'!$B$30:$B$45,'Variance Analysis'!$B$30,'Variance Analysis'!$A$30:$A$45,'Variance Analysis'!$A$33)</f>
        <v>#REF!</v>
      </c>
      <c r="E10" s="91" t="e">
        <f>SUMIFS('Variance Analysis'!E$30:E$45,'Variance Analysis'!$B$30:$B$45,'Variance Analysis'!$B$30,'Variance Analysis'!$A$30:$A$45,'Variance Analysis'!$A$33)</f>
        <v>#REF!</v>
      </c>
      <c r="F10" s="91" t="e">
        <f>SUMIFS('Variance Analysis'!F$30:F$45,'Variance Analysis'!$B$30:$B$45,'Variance Analysis'!$B$30,'Variance Analysis'!$A$30:$A$45,'Variance Analysis'!$A$33)</f>
        <v>#REF!</v>
      </c>
      <c r="G10" s="91" t="e">
        <f>SUMIFS('Variance Analysis'!G$30:G$45,'Variance Analysis'!$B$30:$B$45,'Variance Analysis'!$B$30,'Variance Analysis'!$A$30:$A$45,'Variance Analysis'!$A$33)</f>
        <v>#REF!</v>
      </c>
      <c r="H10" s="91" t="e">
        <f>SUMIFS('Variance Analysis'!H$30:H$45,'Variance Analysis'!$B$30:$B$45,'Variance Analysis'!$B$30,'Variance Analysis'!$A$30:$A$45,'Variance Analysis'!$A$33)</f>
        <v>#REF!</v>
      </c>
      <c r="I10" s="91" t="e">
        <f>SUMIFS('Variance Analysis'!I$30:I$45,'Variance Analysis'!$B$30:$B$45,'Variance Analysis'!$B$30,'Variance Analysis'!$A$30:$A$45,'Variance Analysis'!$A$33)</f>
        <v>#REF!</v>
      </c>
      <c r="J10" s="91" t="e">
        <f>SUMIFS('Variance Analysis'!J$30:J$45,'Variance Analysis'!$B$30:$B$45,'Variance Analysis'!$B$30,'Variance Analysis'!$A$30:$A$45,'Variance Analysis'!$A$33)</f>
        <v>#REF!</v>
      </c>
      <c r="K10" s="91" t="e">
        <f>SUMIFS('Variance Analysis'!K$30:K$45,'Variance Analysis'!$B$30:$B$45,'Variance Analysis'!$B$30,'Variance Analysis'!$A$30:$A$45,'Variance Analysis'!$A$33)</f>
        <v>#REF!</v>
      </c>
      <c r="L10" s="91" t="e">
        <f>SUMIFS('Variance Analysis'!L$30:L$45,'Variance Analysis'!$B$30:$B$45,'Variance Analysis'!$B$30,'Variance Analysis'!$A$30:$A$45,'Variance Analysis'!$A$33)</f>
        <v>#REF!</v>
      </c>
      <c r="M10" s="91" t="e">
        <f>SUMIFS('Variance Analysis'!M$30:M$45,'Variance Analysis'!$B$30:$B$45,'Variance Analysis'!$B$30,'Variance Analysis'!$A$30:$A$45,'Variance Analysis'!$A$33)</f>
        <v>#REF!</v>
      </c>
      <c r="N10" s="91" t="e">
        <f>SUMIFS('Variance Analysis'!N$30:N$45,'Variance Analysis'!$B$30:$B$45,'Variance Analysis'!$B$30,'Variance Analysis'!$A$30:$A$45,'Variance Analysis'!$A$33)</f>
        <v>#REF!</v>
      </c>
    </row>
    <row r="11" spans="1:26" ht="14.25" customHeight="1" x14ac:dyDescent="0.25">
      <c r="A11" s="93" t="s">
        <v>264</v>
      </c>
      <c r="B11" s="94" t="s">
        <v>50</v>
      </c>
      <c r="C11" s="95" t="e">
        <f t="shared" ref="C11:N11" si="0">ABS(C10)-SUM(C7:C9)</f>
        <v>#REF!</v>
      </c>
      <c r="D11" s="95" t="e">
        <f t="shared" si="0"/>
        <v>#REF!</v>
      </c>
      <c r="E11" s="95" t="e">
        <f t="shared" si="0"/>
        <v>#REF!</v>
      </c>
      <c r="F11" s="95" t="e">
        <f t="shared" si="0"/>
        <v>#REF!</v>
      </c>
      <c r="G11" s="95" t="e">
        <f t="shared" si="0"/>
        <v>#REF!</v>
      </c>
      <c r="H11" s="95" t="e">
        <f t="shared" si="0"/>
        <v>#REF!</v>
      </c>
      <c r="I11" s="95" t="e">
        <f t="shared" si="0"/>
        <v>#REF!</v>
      </c>
      <c r="J11" s="95" t="e">
        <f t="shared" si="0"/>
        <v>#REF!</v>
      </c>
      <c r="K11" s="95" t="e">
        <f t="shared" si="0"/>
        <v>#REF!</v>
      </c>
      <c r="L11" s="95" t="e">
        <f t="shared" si="0"/>
        <v>#REF!</v>
      </c>
      <c r="M11" s="95" t="e">
        <f t="shared" si="0"/>
        <v>#REF!</v>
      </c>
      <c r="N11" s="95" t="e">
        <f t="shared" si="0"/>
        <v>#REF!</v>
      </c>
    </row>
    <row r="12" spans="1:26" ht="26.25" customHeight="1" x14ac:dyDescent="0.25">
      <c r="A12" s="159" t="s">
        <v>54</v>
      </c>
      <c r="B12" s="178"/>
      <c r="C12" s="179"/>
      <c r="D12" s="179"/>
      <c r="E12" s="179"/>
      <c r="F12" s="179"/>
      <c r="G12" s="179"/>
      <c r="H12" s="179"/>
      <c r="I12" s="179"/>
      <c r="J12" s="179"/>
      <c r="K12" s="179"/>
      <c r="L12" s="179"/>
      <c r="M12" s="179"/>
      <c r="N12" s="179"/>
      <c r="O12" s="180"/>
      <c r="P12" s="180"/>
      <c r="Q12" s="180"/>
      <c r="R12" s="180"/>
      <c r="S12" s="180"/>
      <c r="T12" s="180"/>
      <c r="U12" s="180"/>
      <c r="V12" s="180"/>
      <c r="W12" s="180"/>
      <c r="X12" s="180"/>
      <c r="Y12" s="180"/>
      <c r="Z12" s="180"/>
    </row>
    <row r="13" spans="1:26" ht="14.25" customHeight="1" x14ac:dyDescent="0.25">
      <c r="A13" s="171" t="s">
        <v>260</v>
      </c>
      <c r="B13" s="171" t="s">
        <v>244</v>
      </c>
      <c r="C13" s="75" t="s">
        <v>200</v>
      </c>
      <c r="D13" s="75" t="s">
        <v>201</v>
      </c>
      <c r="E13" s="75" t="s">
        <v>202</v>
      </c>
      <c r="F13" s="75" t="s">
        <v>203</v>
      </c>
      <c r="G13" s="75" t="s">
        <v>204</v>
      </c>
      <c r="H13" s="75" t="s">
        <v>205</v>
      </c>
      <c r="I13" s="75" t="s">
        <v>206</v>
      </c>
      <c r="J13" s="75" t="s">
        <v>207</v>
      </c>
      <c r="K13" s="75" t="s">
        <v>208</v>
      </c>
      <c r="L13" s="75" t="s">
        <v>209</v>
      </c>
      <c r="M13" s="75" t="s">
        <v>210</v>
      </c>
      <c r="N13" s="75" t="s">
        <v>211</v>
      </c>
      <c r="O13" s="181"/>
      <c r="P13" s="181"/>
      <c r="Q13" s="181"/>
      <c r="R13" s="181"/>
      <c r="S13" s="181"/>
      <c r="T13" s="181"/>
      <c r="U13" s="181"/>
      <c r="V13" s="181"/>
      <c r="W13" s="181"/>
      <c r="X13" s="181"/>
      <c r="Y13" s="181"/>
      <c r="Z13" s="181"/>
    </row>
    <row r="14" spans="1:26" ht="14.25" customHeight="1" x14ac:dyDescent="0.25">
      <c r="A14" s="90" t="s">
        <v>261</v>
      </c>
      <c r="B14" s="90" t="s">
        <v>50</v>
      </c>
      <c r="C14" s="91" t="e">
        <f>SUMIFS('Variance Analysis'!C$30:C$45,'Variance Analysis'!$B$30:$B$45,'Variance Analysis'!$B$33,'Variance Analysis'!$A$30:$A$45,'Variance Analysis'!$A$34)</f>
        <v>#REF!</v>
      </c>
      <c r="D14" s="91" t="e">
        <f>SUMIFS('Variance Analysis'!D$30:D$45,'Variance Analysis'!$B$30:$B$45,'Variance Analysis'!$B$33,'Variance Analysis'!$A$30:$A$45,'Variance Analysis'!$A$34)</f>
        <v>#REF!</v>
      </c>
      <c r="E14" s="91" t="e">
        <f>SUMIFS('Variance Analysis'!E$30:E$45,'Variance Analysis'!$B$30:$B$45,'Variance Analysis'!$B$33,'Variance Analysis'!$A$30:$A$45,'Variance Analysis'!$A$34)</f>
        <v>#REF!</v>
      </c>
      <c r="F14" s="91" t="e">
        <f>SUMIFS('Variance Analysis'!F$30:F$45,'Variance Analysis'!$B$30:$B$45,'Variance Analysis'!$B$33,'Variance Analysis'!$A$30:$A$45,'Variance Analysis'!$A$34)</f>
        <v>#REF!</v>
      </c>
      <c r="G14" s="91" t="e">
        <f>SUMIFS('Variance Analysis'!G$30:G$45,'Variance Analysis'!$B$30:$B$45,'Variance Analysis'!$B$33,'Variance Analysis'!$A$30:$A$45,'Variance Analysis'!$A$34)</f>
        <v>#REF!</v>
      </c>
      <c r="H14" s="91" t="e">
        <f>SUMIFS('Variance Analysis'!H$30:H$45,'Variance Analysis'!$B$30:$B$45,'Variance Analysis'!$B$33,'Variance Analysis'!$A$30:$A$45,'Variance Analysis'!$A$34)</f>
        <v>#REF!</v>
      </c>
      <c r="I14" s="91" t="e">
        <f>SUMIFS('Variance Analysis'!I$30:I$45,'Variance Analysis'!$B$30:$B$45,'Variance Analysis'!$B$33,'Variance Analysis'!$A$30:$A$45,'Variance Analysis'!$A$34)</f>
        <v>#REF!</v>
      </c>
      <c r="J14" s="91" t="e">
        <f>SUMIFS('Variance Analysis'!J$30:J$45,'Variance Analysis'!$B$30:$B$45,'Variance Analysis'!$B$33,'Variance Analysis'!$A$30:$A$45,'Variance Analysis'!$A$34)</f>
        <v>#REF!</v>
      </c>
      <c r="K14" s="91" t="e">
        <f>SUMIFS('Variance Analysis'!K$30:K$45,'Variance Analysis'!$B$30:$B$45,'Variance Analysis'!$B$33,'Variance Analysis'!$A$30:$A$45,'Variance Analysis'!$A$34)</f>
        <v>#REF!</v>
      </c>
      <c r="L14" s="91" t="e">
        <f>SUMIFS('Variance Analysis'!L$30:L$45,'Variance Analysis'!$B$30:$B$45,'Variance Analysis'!$B$33,'Variance Analysis'!$A$30:$A$45,'Variance Analysis'!$A$34)</f>
        <v>#REF!</v>
      </c>
      <c r="M14" s="91" t="e">
        <f>SUMIFS('Variance Analysis'!M$30:M$45,'Variance Analysis'!$B$30:$B$45,'Variance Analysis'!$B$33,'Variance Analysis'!$A$30:$A$45,'Variance Analysis'!$A$34)</f>
        <v>#REF!</v>
      </c>
      <c r="N14" s="91" t="e">
        <f>SUMIFS('Variance Analysis'!N$30:N$45,'Variance Analysis'!$B$30:$B$45,'Variance Analysis'!$B$33,'Variance Analysis'!$A$30:$A$45,'Variance Analysis'!$A$34)</f>
        <v>#REF!</v>
      </c>
    </row>
    <row r="15" spans="1:26" ht="14.25" customHeight="1" x14ac:dyDescent="0.25">
      <c r="A15" s="90" t="s">
        <v>262</v>
      </c>
      <c r="B15" s="90" t="s">
        <v>50</v>
      </c>
      <c r="C15" s="91" t="e">
        <f>SUMIFS('Variance Analysis'!C$30:C$45,'Variance Analysis'!$B$30:$B$45,'Variance Analysis'!$B$31,'Variance Analysis'!$A$30:$A$45,'Variance Analysis'!$A$34)</f>
        <v>#REF!</v>
      </c>
      <c r="D15" s="91" t="e">
        <f>SUMIFS('Variance Analysis'!D$30:D$45,'Variance Analysis'!$B$30:$B$45,'Variance Analysis'!$B$31,'Variance Analysis'!$A$30:$A$45,'Variance Analysis'!$A$34)</f>
        <v>#REF!</v>
      </c>
      <c r="E15" s="91" t="e">
        <f>SUMIFS('Variance Analysis'!E$30:E$45,'Variance Analysis'!$B$30:$B$45,'Variance Analysis'!$B$31,'Variance Analysis'!$A$30:$A$45,'Variance Analysis'!$A$34)</f>
        <v>#REF!</v>
      </c>
      <c r="F15" s="91" t="e">
        <f>SUMIFS('Variance Analysis'!F$30:F$45,'Variance Analysis'!$B$30:$B$45,'Variance Analysis'!$B$31,'Variance Analysis'!$A$30:$A$45,'Variance Analysis'!$A$34)</f>
        <v>#REF!</v>
      </c>
      <c r="G15" s="91" t="e">
        <f>SUMIFS('Variance Analysis'!G$30:G$45,'Variance Analysis'!$B$30:$B$45,'Variance Analysis'!$B$31,'Variance Analysis'!$A$30:$A$45,'Variance Analysis'!$A$34)</f>
        <v>#REF!</v>
      </c>
      <c r="H15" s="91" t="e">
        <f>SUMIFS('Variance Analysis'!H$30:H$45,'Variance Analysis'!$B$30:$B$45,'Variance Analysis'!$B$31,'Variance Analysis'!$A$30:$A$45,'Variance Analysis'!$A$34)</f>
        <v>#REF!</v>
      </c>
      <c r="I15" s="91" t="e">
        <f>SUMIFS('Variance Analysis'!I$30:I$45,'Variance Analysis'!$B$30:$B$45,'Variance Analysis'!$B$31,'Variance Analysis'!$A$30:$A$45,'Variance Analysis'!$A$34)</f>
        <v>#REF!</v>
      </c>
      <c r="J15" s="91" t="e">
        <f>SUMIFS('Variance Analysis'!J$30:J$45,'Variance Analysis'!$B$30:$B$45,'Variance Analysis'!$B$31,'Variance Analysis'!$A$30:$A$45,'Variance Analysis'!$A$34)</f>
        <v>#REF!</v>
      </c>
      <c r="K15" s="91" t="e">
        <f>SUMIFS('Variance Analysis'!K$30:K$45,'Variance Analysis'!$B$30:$B$45,'Variance Analysis'!$B$31,'Variance Analysis'!$A$30:$A$45,'Variance Analysis'!$A$34)</f>
        <v>#REF!</v>
      </c>
      <c r="L15" s="91" t="e">
        <f>SUMIFS('Variance Analysis'!L$30:L$45,'Variance Analysis'!$B$30:$B$45,'Variance Analysis'!$B$31,'Variance Analysis'!$A$30:$A$45,'Variance Analysis'!$A$34)</f>
        <v>#REF!</v>
      </c>
      <c r="M15" s="91" t="e">
        <f>SUMIFS('Variance Analysis'!M$30:M$45,'Variance Analysis'!$B$30:$B$45,'Variance Analysis'!$B$31,'Variance Analysis'!$A$30:$A$45,'Variance Analysis'!$A$34)</f>
        <v>#REF!</v>
      </c>
      <c r="N15" s="91" t="e">
        <f>SUMIFS('Variance Analysis'!N$30:N$45,'Variance Analysis'!$B$30:$B$45,'Variance Analysis'!$B$31,'Variance Analysis'!$A$30:$A$45,'Variance Analysis'!$A$34)</f>
        <v>#REF!</v>
      </c>
    </row>
    <row r="16" spans="1:26" ht="14.25" customHeight="1" x14ac:dyDescent="0.25">
      <c r="A16" s="90" t="s">
        <v>263</v>
      </c>
      <c r="B16" s="90" t="s">
        <v>50</v>
      </c>
      <c r="C16" s="91" t="e">
        <f>SUMIFS('Variance Analysis'!C$30:C$45,'Variance Analysis'!$B$30:$B$45,'Variance Analysis'!$B$32,'Variance Analysis'!$A$30:$A$45,'Variance Analysis'!$A$34)</f>
        <v>#REF!</v>
      </c>
      <c r="D16" s="91" t="e">
        <f>SUMIFS('Variance Analysis'!D$30:D$45,'Variance Analysis'!$B$30:$B$45,'Variance Analysis'!$B$32,'Variance Analysis'!$A$30:$A$45,'Variance Analysis'!$A$34)</f>
        <v>#REF!</v>
      </c>
      <c r="E16" s="91" t="e">
        <f>SUMIFS('Variance Analysis'!E$30:E$45,'Variance Analysis'!$B$30:$B$45,'Variance Analysis'!$B$32,'Variance Analysis'!$A$30:$A$45,'Variance Analysis'!$A$34)</f>
        <v>#REF!</v>
      </c>
      <c r="F16" s="91" t="e">
        <f>SUMIFS('Variance Analysis'!F$30:F$45,'Variance Analysis'!$B$30:$B$45,'Variance Analysis'!$B$32,'Variance Analysis'!$A$30:$A$45,'Variance Analysis'!$A$34)</f>
        <v>#REF!</v>
      </c>
      <c r="G16" s="91" t="e">
        <f>SUMIFS('Variance Analysis'!G$30:G$45,'Variance Analysis'!$B$30:$B$45,'Variance Analysis'!$B$32,'Variance Analysis'!$A$30:$A$45,'Variance Analysis'!$A$34)</f>
        <v>#REF!</v>
      </c>
      <c r="H16" s="91" t="e">
        <f>SUMIFS('Variance Analysis'!H$30:H$45,'Variance Analysis'!$B$30:$B$45,'Variance Analysis'!$B$32,'Variance Analysis'!$A$30:$A$45,'Variance Analysis'!$A$34)</f>
        <v>#REF!</v>
      </c>
      <c r="I16" s="91" t="e">
        <f>SUMIFS('Variance Analysis'!I$30:I$45,'Variance Analysis'!$B$30:$B$45,'Variance Analysis'!$B$32,'Variance Analysis'!$A$30:$A$45,'Variance Analysis'!$A$34)</f>
        <v>#REF!</v>
      </c>
      <c r="J16" s="91" t="e">
        <f>SUMIFS('Variance Analysis'!J$30:J$45,'Variance Analysis'!$B$30:$B$45,'Variance Analysis'!$B$32,'Variance Analysis'!$A$30:$A$45,'Variance Analysis'!$A$34)</f>
        <v>#REF!</v>
      </c>
      <c r="K16" s="91" t="e">
        <f>SUMIFS('Variance Analysis'!K$30:K$45,'Variance Analysis'!$B$30:$B$45,'Variance Analysis'!$B$32,'Variance Analysis'!$A$30:$A$45,'Variance Analysis'!$A$34)</f>
        <v>#REF!</v>
      </c>
      <c r="L16" s="91" t="e">
        <f>SUMIFS('Variance Analysis'!L$30:L$45,'Variance Analysis'!$B$30:$B$45,'Variance Analysis'!$B$32,'Variance Analysis'!$A$30:$A$45,'Variance Analysis'!$A$34)</f>
        <v>#REF!</v>
      </c>
      <c r="M16" s="91" t="e">
        <f>SUMIFS('Variance Analysis'!M$30:M$45,'Variance Analysis'!$B$30:$B$45,'Variance Analysis'!$B$32,'Variance Analysis'!$A$30:$A$45,'Variance Analysis'!$A$34)</f>
        <v>#REF!</v>
      </c>
      <c r="N16" s="91" t="e">
        <f>SUMIFS('Variance Analysis'!N$30:N$45,'Variance Analysis'!$B$30:$B$45,'Variance Analysis'!$B$32,'Variance Analysis'!$A$30:$A$45,'Variance Analysis'!$A$34)</f>
        <v>#REF!</v>
      </c>
    </row>
    <row r="17" spans="1:26" ht="14.25" customHeight="1" x14ac:dyDescent="0.25">
      <c r="A17" s="98" t="s">
        <v>213</v>
      </c>
      <c r="B17" s="98" t="s">
        <v>50</v>
      </c>
      <c r="C17" s="91" t="e">
        <f>SUMIFS('Variance Analysis'!C$30:C$45,'Variance Analysis'!$B$30:$B$45,'Variance Analysis'!$B$30,'Variance Analysis'!$A$30:$A$45,'Variance Analysis'!$A$34)</f>
        <v>#REF!</v>
      </c>
      <c r="D17" s="91" t="e">
        <f>SUMIFS('Variance Analysis'!D$30:D$45,'Variance Analysis'!$B$30:$B$45,'Variance Analysis'!$B$30,'Variance Analysis'!$A$30:$A$45,'Variance Analysis'!$A$34)</f>
        <v>#REF!</v>
      </c>
      <c r="E17" s="91" t="e">
        <f>SUMIFS('Variance Analysis'!E$30:E$45,'Variance Analysis'!$B$30:$B$45,'Variance Analysis'!$B$30,'Variance Analysis'!$A$30:$A$45,'Variance Analysis'!$A$34)</f>
        <v>#REF!</v>
      </c>
      <c r="F17" s="91" t="e">
        <f>SUMIFS('Variance Analysis'!F$30:F$45,'Variance Analysis'!$B$30:$B$45,'Variance Analysis'!$B$30,'Variance Analysis'!$A$30:$A$45,'Variance Analysis'!$A$34)</f>
        <v>#REF!</v>
      </c>
      <c r="G17" s="91" t="e">
        <f>SUMIFS('Variance Analysis'!G$30:G$45,'Variance Analysis'!$B$30:$B$45,'Variance Analysis'!$B$30,'Variance Analysis'!$A$30:$A$45,'Variance Analysis'!$A$34)</f>
        <v>#REF!</v>
      </c>
      <c r="H17" s="91" t="e">
        <f>SUMIFS('Variance Analysis'!H$30:H$45,'Variance Analysis'!$B$30:$B$45,'Variance Analysis'!$B$30,'Variance Analysis'!$A$30:$A$45,'Variance Analysis'!$A$34)</f>
        <v>#REF!</v>
      </c>
      <c r="I17" s="91" t="e">
        <f>SUMIFS('Variance Analysis'!I$30:I$45,'Variance Analysis'!$B$30:$B$45,'Variance Analysis'!$B$30,'Variance Analysis'!$A$30:$A$45,'Variance Analysis'!$A$34)</f>
        <v>#REF!</v>
      </c>
      <c r="J17" s="91" t="e">
        <f>SUMIFS('Variance Analysis'!J$30:J$45,'Variance Analysis'!$B$30:$B$45,'Variance Analysis'!$B$30,'Variance Analysis'!$A$30:$A$45,'Variance Analysis'!$A$34)</f>
        <v>#REF!</v>
      </c>
      <c r="K17" s="91" t="e">
        <f>SUMIFS('Variance Analysis'!K$30:K$45,'Variance Analysis'!$B$30:$B$45,'Variance Analysis'!$B$30,'Variance Analysis'!$A$30:$A$45,'Variance Analysis'!$A$34)</f>
        <v>#REF!</v>
      </c>
      <c r="L17" s="91" t="e">
        <f>SUMIFS('Variance Analysis'!L$30:L$45,'Variance Analysis'!$B$30:$B$45,'Variance Analysis'!$B$30,'Variance Analysis'!$A$30:$A$45,'Variance Analysis'!$A$34)</f>
        <v>#REF!</v>
      </c>
      <c r="M17" s="91" t="e">
        <f>SUMIFS('Variance Analysis'!M$30:M$45,'Variance Analysis'!$B$30:$B$45,'Variance Analysis'!$B$30,'Variance Analysis'!$A$30:$A$45,'Variance Analysis'!$A$34)</f>
        <v>#REF!</v>
      </c>
      <c r="N17" s="91" t="e">
        <f>SUMIFS('Variance Analysis'!N$30:N$45,'Variance Analysis'!$B$30:$B$45,'Variance Analysis'!$B$30,'Variance Analysis'!$A$30:$A$45,'Variance Analysis'!$A$34)</f>
        <v>#REF!</v>
      </c>
    </row>
    <row r="18" spans="1:26" ht="14.25" customHeight="1" x14ac:dyDescent="0.25">
      <c r="A18" s="93" t="s">
        <v>264</v>
      </c>
      <c r="B18" s="94" t="s">
        <v>50</v>
      </c>
      <c r="C18" s="95" t="e">
        <f t="shared" ref="C18:N18" si="1">ABS(C17)-SUM(C14:C16)</f>
        <v>#REF!</v>
      </c>
      <c r="D18" s="95" t="e">
        <f t="shared" si="1"/>
        <v>#REF!</v>
      </c>
      <c r="E18" s="95" t="e">
        <f t="shared" si="1"/>
        <v>#REF!</v>
      </c>
      <c r="F18" s="95" t="e">
        <f t="shared" si="1"/>
        <v>#REF!</v>
      </c>
      <c r="G18" s="95" t="e">
        <f t="shared" si="1"/>
        <v>#REF!</v>
      </c>
      <c r="H18" s="95" t="e">
        <f t="shared" si="1"/>
        <v>#REF!</v>
      </c>
      <c r="I18" s="95" t="e">
        <f t="shared" si="1"/>
        <v>#REF!</v>
      </c>
      <c r="J18" s="95" t="e">
        <f t="shared" si="1"/>
        <v>#REF!</v>
      </c>
      <c r="K18" s="95" t="e">
        <f t="shared" si="1"/>
        <v>#REF!</v>
      </c>
      <c r="L18" s="95" t="e">
        <f t="shared" si="1"/>
        <v>#REF!</v>
      </c>
      <c r="M18" s="95" t="e">
        <f t="shared" si="1"/>
        <v>#REF!</v>
      </c>
      <c r="N18" s="95" t="e">
        <f t="shared" si="1"/>
        <v>#REF!</v>
      </c>
    </row>
    <row r="19" spans="1:26" ht="26.25" customHeight="1" x14ac:dyDescent="0.25">
      <c r="A19" s="159" t="s">
        <v>55</v>
      </c>
      <c r="B19" s="178"/>
      <c r="C19" s="179"/>
      <c r="D19" s="179"/>
      <c r="E19" s="179"/>
      <c r="F19" s="179"/>
      <c r="G19" s="179"/>
      <c r="H19" s="179"/>
      <c r="I19" s="179"/>
      <c r="J19" s="179"/>
      <c r="K19" s="179"/>
      <c r="L19" s="179"/>
      <c r="M19" s="179"/>
      <c r="N19" s="179"/>
      <c r="O19" s="180"/>
      <c r="P19" s="180"/>
      <c r="Q19" s="180"/>
      <c r="R19" s="180"/>
      <c r="S19" s="180"/>
      <c r="T19" s="180"/>
      <c r="U19" s="180"/>
      <c r="V19" s="180"/>
      <c r="W19" s="180"/>
      <c r="X19" s="180"/>
      <c r="Y19" s="180"/>
      <c r="Z19" s="180"/>
    </row>
    <row r="20" spans="1:26" ht="14.25" customHeight="1" x14ac:dyDescent="0.25">
      <c r="A20" s="171" t="s">
        <v>260</v>
      </c>
      <c r="B20" s="171" t="s">
        <v>244</v>
      </c>
      <c r="C20" s="75" t="s">
        <v>200</v>
      </c>
      <c r="D20" s="75" t="s">
        <v>201</v>
      </c>
      <c r="E20" s="75" t="s">
        <v>202</v>
      </c>
      <c r="F20" s="75" t="s">
        <v>203</v>
      </c>
      <c r="G20" s="75" t="s">
        <v>204</v>
      </c>
      <c r="H20" s="75" t="s">
        <v>205</v>
      </c>
      <c r="I20" s="75" t="s">
        <v>206</v>
      </c>
      <c r="J20" s="75" t="s">
        <v>207</v>
      </c>
      <c r="K20" s="75" t="s">
        <v>208</v>
      </c>
      <c r="L20" s="75" t="s">
        <v>209</v>
      </c>
      <c r="M20" s="75" t="s">
        <v>210</v>
      </c>
      <c r="N20" s="75" t="s">
        <v>211</v>
      </c>
      <c r="O20" s="181"/>
      <c r="P20" s="181"/>
      <c r="Q20" s="181"/>
      <c r="R20" s="181"/>
      <c r="S20" s="181"/>
      <c r="T20" s="181"/>
      <c r="U20" s="181"/>
      <c r="V20" s="181"/>
      <c r="W20" s="181"/>
      <c r="X20" s="181"/>
      <c r="Y20" s="181"/>
      <c r="Z20" s="181"/>
    </row>
    <row r="21" spans="1:26" ht="14.25" customHeight="1" x14ac:dyDescent="0.25">
      <c r="A21" s="90" t="s">
        <v>261</v>
      </c>
      <c r="B21" s="90" t="s">
        <v>50</v>
      </c>
      <c r="C21" s="91" t="e">
        <f>SUMIFS('Variance Analysis'!C$30:C$45,'Variance Analysis'!$B$30:$B$45,'Variance Analysis'!$B$33,'Variance Analysis'!$A$30:$A$45,'Variance Analysis'!$A$38)</f>
        <v>#REF!</v>
      </c>
      <c r="D21" s="91" t="e">
        <f>SUMIFS('Variance Analysis'!D$30:D$45,'Variance Analysis'!$B$30:$B$45,'Variance Analysis'!$B$33,'Variance Analysis'!$A$30:$A$45,'Variance Analysis'!$A$38)</f>
        <v>#REF!</v>
      </c>
      <c r="E21" s="91" t="e">
        <f>SUMIFS('Variance Analysis'!E$30:E$45,'Variance Analysis'!$B$30:$B$45,'Variance Analysis'!$B$33,'Variance Analysis'!$A$30:$A$45,'Variance Analysis'!$A$38)</f>
        <v>#REF!</v>
      </c>
      <c r="F21" s="91" t="e">
        <f>SUMIFS('Variance Analysis'!F$30:F$45,'Variance Analysis'!$B$30:$B$45,'Variance Analysis'!$B$33,'Variance Analysis'!$A$30:$A$45,'Variance Analysis'!$A$38)</f>
        <v>#REF!</v>
      </c>
      <c r="G21" s="91" t="e">
        <f>SUMIFS('Variance Analysis'!G$30:G$45,'Variance Analysis'!$B$30:$B$45,'Variance Analysis'!$B$33,'Variance Analysis'!$A$30:$A$45,'Variance Analysis'!$A$38)</f>
        <v>#REF!</v>
      </c>
      <c r="H21" s="91" t="e">
        <f>SUMIFS('Variance Analysis'!H$30:H$45,'Variance Analysis'!$B$30:$B$45,'Variance Analysis'!$B$33,'Variance Analysis'!$A$30:$A$45,'Variance Analysis'!$A$38)</f>
        <v>#REF!</v>
      </c>
      <c r="I21" s="91" t="e">
        <f>SUMIFS('Variance Analysis'!I$30:I$45,'Variance Analysis'!$B$30:$B$45,'Variance Analysis'!$B$33,'Variance Analysis'!$A$30:$A$45,'Variance Analysis'!$A$38)</f>
        <v>#REF!</v>
      </c>
      <c r="J21" s="91" t="e">
        <f>SUMIFS('Variance Analysis'!J$30:J$45,'Variance Analysis'!$B$30:$B$45,'Variance Analysis'!$B$33,'Variance Analysis'!$A$30:$A$45,'Variance Analysis'!$A$38)</f>
        <v>#REF!</v>
      </c>
      <c r="K21" s="91" t="e">
        <f>SUMIFS('Variance Analysis'!K$30:K$45,'Variance Analysis'!$B$30:$B$45,'Variance Analysis'!$B$33,'Variance Analysis'!$A$30:$A$45,'Variance Analysis'!$A$38)</f>
        <v>#REF!</v>
      </c>
      <c r="L21" s="91" t="e">
        <f>SUMIFS('Variance Analysis'!L$30:L$45,'Variance Analysis'!$B$30:$B$45,'Variance Analysis'!$B$33,'Variance Analysis'!$A$30:$A$45,'Variance Analysis'!$A$38)</f>
        <v>#REF!</v>
      </c>
      <c r="M21" s="91" t="e">
        <f>SUMIFS('Variance Analysis'!M$30:M$45,'Variance Analysis'!$B$30:$B$45,'Variance Analysis'!$B$33,'Variance Analysis'!$A$30:$A$45,'Variance Analysis'!$A$38)</f>
        <v>#REF!</v>
      </c>
      <c r="N21" s="91" t="e">
        <f>SUMIFS('Variance Analysis'!N$30:N$45,'Variance Analysis'!$B$30:$B$45,'Variance Analysis'!$B$33,'Variance Analysis'!$A$30:$A$45,'Variance Analysis'!$A$38)</f>
        <v>#REF!</v>
      </c>
    </row>
    <row r="22" spans="1:26" ht="14.25" customHeight="1" x14ac:dyDescent="0.25">
      <c r="A22" s="90" t="s">
        <v>262</v>
      </c>
      <c r="B22" s="90" t="s">
        <v>50</v>
      </c>
      <c r="C22" s="91" t="e">
        <f>SUMIFS('Variance Analysis'!C$30:C$45,'Variance Analysis'!$B$30:$B$45,'Variance Analysis'!$B$31,'Variance Analysis'!$A$30:$A$45,'Variance Analysis'!$A$38)</f>
        <v>#REF!</v>
      </c>
      <c r="D22" s="91" t="e">
        <f>SUMIFS('Variance Analysis'!D$30:D$45,'Variance Analysis'!$B$30:$B$45,'Variance Analysis'!$B$31,'Variance Analysis'!$A$30:$A$45,'Variance Analysis'!$A$38)</f>
        <v>#REF!</v>
      </c>
      <c r="E22" s="91" t="e">
        <f>SUMIFS('Variance Analysis'!E$30:E$45,'Variance Analysis'!$B$30:$B$45,'Variance Analysis'!$B$31,'Variance Analysis'!$A$30:$A$45,'Variance Analysis'!$A$38)</f>
        <v>#REF!</v>
      </c>
      <c r="F22" s="91" t="e">
        <f>SUMIFS('Variance Analysis'!F$30:F$45,'Variance Analysis'!$B$30:$B$45,'Variance Analysis'!$B$31,'Variance Analysis'!$A$30:$A$45,'Variance Analysis'!$A$38)</f>
        <v>#REF!</v>
      </c>
      <c r="G22" s="91" t="e">
        <f>SUMIFS('Variance Analysis'!G$30:G$45,'Variance Analysis'!$B$30:$B$45,'Variance Analysis'!$B$31,'Variance Analysis'!$A$30:$A$45,'Variance Analysis'!$A$38)</f>
        <v>#REF!</v>
      </c>
      <c r="H22" s="91" t="e">
        <f>SUMIFS('Variance Analysis'!H$30:H$45,'Variance Analysis'!$B$30:$B$45,'Variance Analysis'!$B$31,'Variance Analysis'!$A$30:$A$45,'Variance Analysis'!$A$38)</f>
        <v>#REF!</v>
      </c>
      <c r="I22" s="91" t="e">
        <f>SUMIFS('Variance Analysis'!I$30:I$45,'Variance Analysis'!$B$30:$B$45,'Variance Analysis'!$B$31,'Variance Analysis'!$A$30:$A$45,'Variance Analysis'!$A$38)</f>
        <v>#REF!</v>
      </c>
      <c r="J22" s="91" t="e">
        <f>SUMIFS('Variance Analysis'!J$30:J$45,'Variance Analysis'!$B$30:$B$45,'Variance Analysis'!$B$31,'Variance Analysis'!$A$30:$A$45,'Variance Analysis'!$A$38)</f>
        <v>#REF!</v>
      </c>
      <c r="K22" s="91" t="e">
        <f>SUMIFS('Variance Analysis'!K$30:K$45,'Variance Analysis'!$B$30:$B$45,'Variance Analysis'!$B$31,'Variance Analysis'!$A$30:$A$45,'Variance Analysis'!$A$38)</f>
        <v>#REF!</v>
      </c>
      <c r="L22" s="91" t="e">
        <f>SUMIFS('Variance Analysis'!L$30:L$45,'Variance Analysis'!$B$30:$B$45,'Variance Analysis'!$B$31,'Variance Analysis'!$A$30:$A$45,'Variance Analysis'!$A$38)</f>
        <v>#REF!</v>
      </c>
      <c r="M22" s="91" t="e">
        <f>SUMIFS('Variance Analysis'!M$30:M$45,'Variance Analysis'!$B$30:$B$45,'Variance Analysis'!$B$31,'Variance Analysis'!$A$30:$A$45,'Variance Analysis'!$A$38)</f>
        <v>#REF!</v>
      </c>
      <c r="N22" s="91" t="e">
        <f>SUMIFS('Variance Analysis'!N$30:N$45,'Variance Analysis'!$B$30:$B$45,'Variance Analysis'!$B$31,'Variance Analysis'!$A$30:$A$45,'Variance Analysis'!$A$38)</f>
        <v>#REF!</v>
      </c>
    </row>
    <row r="23" spans="1:26" ht="14.25" customHeight="1" x14ac:dyDescent="0.25">
      <c r="A23" s="90" t="s">
        <v>263</v>
      </c>
      <c r="B23" s="90" t="s">
        <v>50</v>
      </c>
      <c r="C23" s="91" t="e">
        <f>SUMIFS('Variance Analysis'!C$30:C$45,'Variance Analysis'!$B$30:$B$45,'Variance Analysis'!$B$32,'Variance Analysis'!$A$30:$A$45,'Variance Analysis'!$A$38)</f>
        <v>#REF!</v>
      </c>
      <c r="D23" s="91" t="e">
        <f>SUMIFS('Variance Analysis'!D$30:D$45,'Variance Analysis'!$B$30:$B$45,'Variance Analysis'!$B$32,'Variance Analysis'!$A$30:$A$45,'Variance Analysis'!$A$38)</f>
        <v>#REF!</v>
      </c>
      <c r="E23" s="91" t="e">
        <f>SUMIFS('Variance Analysis'!E$30:E$45,'Variance Analysis'!$B$30:$B$45,'Variance Analysis'!$B$32,'Variance Analysis'!$A$30:$A$45,'Variance Analysis'!$A$38)</f>
        <v>#REF!</v>
      </c>
      <c r="F23" s="91" t="e">
        <f>SUMIFS('Variance Analysis'!F$30:F$45,'Variance Analysis'!$B$30:$B$45,'Variance Analysis'!$B$32,'Variance Analysis'!$A$30:$A$45,'Variance Analysis'!$A$38)</f>
        <v>#REF!</v>
      </c>
      <c r="G23" s="91" t="e">
        <f>SUMIFS('Variance Analysis'!G$30:G$45,'Variance Analysis'!$B$30:$B$45,'Variance Analysis'!$B$32,'Variance Analysis'!$A$30:$A$45,'Variance Analysis'!$A$38)</f>
        <v>#REF!</v>
      </c>
      <c r="H23" s="91" t="e">
        <f>SUMIFS('Variance Analysis'!H$30:H$45,'Variance Analysis'!$B$30:$B$45,'Variance Analysis'!$B$32,'Variance Analysis'!$A$30:$A$45,'Variance Analysis'!$A$38)</f>
        <v>#REF!</v>
      </c>
      <c r="I23" s="91" t="e">
        <f>SUMIFS('Variance Analysis'!I$30:I$45,'Variance Analysis'!$B$30:$B$45,'Variance Analysis'!$B$32,'Variance Analysis'!$A$30:$A$45,'Variance Analysis'!$A$38)</f>
        <v>#REF!</v>
      </c>
      <c r="J23" s="91" t="e">
        <f>SUMIFS('Variance Analysis'!J$30:J$45,'Variance Analysis'!$B$30:$B$45,'Variance Analysis'!$B$32,'Variance Analysis'!$A$30:$A$45,'Variance Analysis'!$A$38)</f>
        <v>#REF!</v>
      </c>
      <c r="K23" s="91" t="e">
        <f>SUMIFS('Variance Analysis'!K$30:K$45,'Variance Analysis'!$B$30:$B$45,'Variance Analysis'!$B$32,'Variance Analysis'!$A$30:$A$45,'Variance Analysis'!$A$38)</f>
        <v>#REF!</v>
      </c>
      <c r="L23" s="91" t="e">
        <f>SUMIFS('Variance Analysis'!L$30:L$45,'Variance Analysis'!$B$30:$B$45,'Variance Analysis'!$B$32,'Variance Analysis'!$A$30:$A$45,'Variance Analysis'!$A$38)</f>
        <v>#REF!</v>
      </c>
      <c r="M23" s="91" t="e">
        <f>SUMIFS('Variance Analysis'!M$30:M$45,'Variance Analysis'!$B$30:$B$45,'Variance Analysis'!$B$32,'Variance Analysis'!$A$30:$A$45,'Variance Analysis'!$A$38)</f>
        <v>#REF!</v>
      </c>
      <c r="N23" s="91" t="e">
        <f>SUMIFS('Variance Analysis'!N$30:N$45,'Variance Analysis'!$B$30:$B$45,'Variance Analysis'!$B$32,'Variance Analysis'!$A$30:$A$45,'Variance Analysis'!$A$38)</f>
        <v>#REF!</v>
      </c>
    </row>
    <row r="24" spans="1:26" ht="14.25" customHeight="1" x14ac:dyDescent="0.25">
      <c r="A24" s="98" t="s">
        <v>213</v>
      </c>
      <c r="B24" s="98" t="s">
        <v>50</v>
      </c>
      <c r="C24" s="91" t="e">
        <f>SUMIFS('Variance Analysis'!C$30:C$45,'Variance Analysis'!$B$30:$B$45,'Variance Analysis'!$B$30,'Variance Analysis'!$A$30:$A$45,'Variance Analysis'!$A$38)</f>
        <v>#REF!</v>
      </c>
      <c r="D24" s="91" t="e">
        <f>SUMIFS('Variance Analysis'!D$30:D$45,'Variance Analysis'!$B$30:$B$45,'Variance Analysis'!$B$30,'Variance Analysis'!$A$30:$A$45,'Variance Analysis'!$A$38)</f>
        <v>#REF!</v>
      </c>
      <c r="E24" s="91" t="e">
        <f>SUMIFS('Variance Analysis'!E$30:E$45,'Variance Analysis'!$B$30:$B$45,'Variance Analysis'!$B$30,'Variance Analysis'!$A$30:$A$45,'Variance Analysis'!$A$38)</f>
        <v>#REF!</v>
      </c>
      <c r="F24" s="91" t="e">
        <f>SUMIFS('Variance Analysis'!F$30:F$45,'Variance Analysis'!$B$30:$B$45,'Variance Analysis'!$B$30,'Variance Analysis'!$A$30:$A$45,'Variance Analysis'!$A$38)</f>
        <v>#REF!</v>
      </c>
      <c r="G24" s="91" t="e">
        <f>SUMIFS('Variance Analysis'!G$30:G$45,'Variance Analysis'!$B$30:$B$45,'Variance Analysis'!$B$30,'Variance Analysis'!$A$30:$A$45,'Variance Analysis'!$A$38)</f>
        <v>#REF!</v>
      </c>
      <c r="H24" s="91" t="e">
        <f>SUMIFS('Variance Analysis'!H$30:H$45,'Variance Analysis'!$B$30:$B$45,'Variance Analysis'!$B$30,'Variance Analysis'!$A$30:$A$45,'Variance Analysis'!$A$38)</f>
        <v>#REF!</v>
      </c>
      <c r="I24" s="91" t="e">
        <f>SUMIFS('Variance Analysis'!I$30:I$45,'Variance Analysis'!$B$30:$B$45,'Variance Analysis'!$B$30,'Variance Analysis'!$A$30:$A$45,'Variance Analysis'!$A$38)</f>
        <v>#REF!</v>
      </c>
      <c r="J24" s="91" t="e">
        <f>SUMIFS('Variance Analysis'!J$30:J$45,'Variance Analysis'!$B$30:$B$45,'Variance Analysis'!$B$30,'Variance Analysis'!$A$30:$A$45,'Variance Analysis'!$A$38)</f>
        <v>#REF!</v>
      </c>
      <c r="K24" s="91" t="e">
        <f>SUMIFS('Variance Analysis'!K$30:K$45,'Variance Analysis'!$B$30:$B$45,'Variance Analysis'!$B$30,'Variance Analysis'!$A$30:$A$45,'Variance Analysis'!$A$38)</f>
        <v>#REF!</v>
      </c>
      <c r="L24" s="91" t="e">
        <f>SUMIFS('Variance Analysis'!L$30:L$45,'Variance Analysis'!$B$30:$B$45,'Variance Analysis'!$B$30,'Variance Analysis'!$A$30:$A$45,'Variance Analysis'!$A$38)</f>
        <v>#REF!</v>
      </c>
      <c r="M24" s="91" t="e">
        <f>SUMIFS('Variance Analysis'!M$30:M$45,'Variance Analysis'!$B$30:$B$45,'Variance Analysis'!$B$30,'Variance Analysis'!$A$30:$A$45,'Variance Analysis'!$A$38)</f>
        <v>#REF!</v>
      </c>
      <c r="N24" s="91" t="e">
        <f>SUMIFS('Variance Analysis'!N$30:N$45,'Variance Analysis'!$B$30:$B$45,'Variance Analysis'!$B$30,'Variance Analysis'!$A$30:$A$45,'Variance Analysis'!$A$38)</f>
        <v>#REF!</v>
      </c>
    </row>
    <row r="25" spans="1:26" ht="14.25" customHeight="1" x14ac:dyDescent="0.25">
      <c r="A25" s="93" t="s">
        <v>264</v>
      </c>
      <c r="B25" s="94" t="s">
        <v>50</v>
      </c>
      <c r="C25" s="96" t="e">
        <f t="shared" ref="C25:N25" si="2">ABS(C24)-SUM(C21:C23)</f>
        <v>#REF!</v>
      </c>
      <c r="D25" s="96" t="e">
        <f t="shared" si="2"/>
        <v>#REF!</v>
      </c>
      <c r="E25" s="96" t="e">
        <f t="shared" si="2"/>
        <v>#REF!</v>
      </c>
      <c r="F25" s="96" t="e">
        <f t="shared" si="2"/>
        <v>#REF!</v>
      </c>
      <c r="G25" s="96" t="e">
        <f t="shared" si="2"/>
        <v>#REF!</v>
      </c>
      <c r="H25" s="96" t="e">
        <f t="shared" si="2"/>
        <v>#REF!</v>
      </c>
      <c r="I25" s="96" t="e">
        <f t="shared" si="2"/>
        <v>#REF!</v>
      </c>
      <c r="J25" s="96" t="e">
        <f t="shared" si="2"/>
        <v>#REF!</v>
      </c>
      <c r="K25" s="96" t="e">
        <f t="shared" si="2"/>
        <v>#REF!</v>
      </c>
      <c r="L25" s="96" t="e">
        <f t="shared" si="2"/>
        <v>#REF!</v>
      </c>
      <c r="M25" s="96" t="e">
        <f t="shared" si="2"/>
        <v>#REF!</v>
      </c>
      <c r="N25" s="96" t="e">
        <f t="shared" si="2"/>
        <v>#REF!</v>
      </c>
    </row>
    <row r="26" spans="1:26" ht="26.25" customHeight="1" x14ac:dyDescent="0.25">
      <c r="A26" s="159" t="s">
        <v>265</v>
      </c>
      <c r="B26" s="178"/>
      <c r="C26" s="179"/>
      <c r="D26" s="179"/>
      <c r="E26" s="179"/>
      <c r="F26" s="179"/>
      <c r="G26" s="179"/>
      <c r="H26" s="179"/>
      <c r="I26" s="179"/>
      <c r="J26" s="179"/>
      <c r="K26" s="179"/>
      <c r="L26" s="179"/>
      <c r="M26" s="179"/>
      <c r="N26" s="179"/>
      <c r="O26" s="180"/>
      <c r="P26" s="180"/>
      <c r="Q26" s="180"/>
      <c r="R26" s="180"/>
      <c r="S26" s="180"/>
      <c r="T26" s="180"/>
      <c r="U26" s="180"/>
      <c r="V26" s="180"/>
      <c r="W26" s="180"/>
      <c r="X26" s="180"/>
      <c r="Y26" s="180"/>
      <c r="Z26" s="180"/>
    </row>
    <row r="27" spans="1:26" ht="14.25" customHeight="1" x14ac:dyDescent="0.25">
      <c r="A27" s="171" t="s">
        <v>260</v>
      </c>
      <c r="B27" s="171" t="s">
        <v>244</v>
      </c>
      <c r="C27" s="75" t="s">
        <v>200</v>
      </c>
      <c r="D27" s="75" t="s">
        <v>201</v>
      </c>
      <c r="E27" s="75" t="s">
        <v>202</v>
      </c>
      <c r="F27" s="75" t="s">
        <v>203</v>
      </c>
      <c r="G27" s="75" t="s">
        <v>204</v>
      </c>
      <c r="H27" s="75" t="s">
        <v>205</v>
      </c>
      <c r="I27" s="75" t="s">
        <v>206</v>
      </c>
      <c r="J27" s="75" t="s">
        <v>207</v>
      </c>
      <c r="K27" s="75" t="s">
        <v>208</v>
      </c>
      <c r="L27" s="75" t="s">
        <v>209</v>
      </c>
      <c r="M27" s="75" t="s">
        <v>210</v>
      </c>
      <c r="N27" s="75" t="s">
        <v>211</v>
      </c>
      <c r="O27" s="181"/>
      <c r="P27" s="181"/>
      <c r="Q27" s="181"/>
      <c r="R27" s="181"/>
      <c r="S27" s="181"/>
      <c r="T27" s="181"/>
      <c r="U27" s="181"/>
      <c r="V27" s="181"/>
      <c r="W27" s="181"/>
      <c r="X27" s="181"/>
      <c r="Y27" s="181"/>
      <c r="Z27" s="181"/>
    </row>
    <row r="28" spans="1:26" ht="14.25" customHeight="1" x14ac:dyDescent="0.25">
      <c r="A28" s="90" t="s">
        <v>261</v>
      </c>
      <c r="B28" s="90" t="s">
        <v>50</v>
      </c>
      <c r="C28" s="91" t="e">
        <f>SUMIFS('Variance Analysis'!C$30:C$45,'Variance Analysis'!$B$30:$B$45,'Variance Analysis'!$B$33,'Variance Analysis'!$A$30:$A$45,'Variance Analysis'!$A$42)</f>
        <v>#REF!</v>
      </c>
      <c r="D28" s="91" t="e">
        <f>SUMIFS('Variance Analysis'!D$30:D$45,'Variance Analysis'!$B$30:$B$45,'Variance Analysis'!$B$33,'Variance Analysis'!$A$30:$A$45,'Variance Analysis'!$A$42)</f>
        <v>#REF!</v>
      </c>
      <c r="E28" s="91" t="e">
        <f>SUMIFS('Variance Analysis'!E$30:E$45,'Variance Analysis'!$B$30:$B$45,'Variance Analysis'!$B$33,'Variance Analysis'!$A$30:$A$45,'Variance Analysis'!$A$42)</f>
        <v>#REF!</v>
      </c>
      <c r="F28" s="91" t="e">
        <f>SUMIFS('Variance Analysis'!F$30:F$45,'Variance Analysis'!$B$30:$B$45,'Variance Analysis'!$B$33,'Variance Analysis'!$A$30:$A$45,'Variance Analysis'!$A$42)</f>
        <v>#REF!</v>
      </c>
      <c r="G28" s="91" t="e">
        <f>SUMIFS('Variance Analysis'!G$30:G$45,'Variance Analysis'!$B$30:$B$45,'Variance Analysis'!$B$33,'Variance Analysis'!$A$30:$A$45,'Variance Analysis'!$A$42)</f>
        <v>#REF!</v>
      </c>
      <c r="H28" s="91" t="e">
        <f>SUMIFS('Variance Analysis'!H$30:H$45,'Variance Analysis'!$B$30:$B$45,'Variance Analysis'!$B$33,'Variance Analysis'!$A$30:$A$45,'Variance Analysis'!$A$42)</f>
        <v>#REF!</v>
      </c>
      <c r="I28" s="91" t="e">
        <f>SUMIFS('Variance Analysis'!I$30:I$45,'Variance Analysis'!$B$30:$B$45,'Variance Analysis'!$B$33,'Variance Analysis'!$A$30:$A$45,'Variance Analysis'!$A$42)</f>
        <v>#REF!</v>
      </c>
      <c r="J28" s="91" t="e">
        <f>SUMIFS('Variance Analysis'!J$30:J$45,'Variance Analysis'!$B$30:$B$45,'Variance Analysis'!$B$33,'Variance Analysis'!$A$30:$A$45,'Variance Analysis'!$A$42)</f>
        <v>#REF!</v>
      </c>
      <c r="K28" s="91" t="e">
        <f>SUMIFS('Variance Analysis'!K$30:K$45,'Variance Analysis'!$B$30:$B$45,'Variance Analysis'!$B$33,'Variance Analysis'!$A$30:$A$45,'Variance Analysis'!$A$42)</f>
        <v>#REF!</v>
      </c>
      <c r="L28" s="91" t="e">
        <f>SUMIFS('Variance Analysis'!L$30:L$45,'Variance Analysis'!$B$30:$B$45,'Variance Analysis'!$B$33,'Variance Analysis'!$A$30:$A$45,'Variance Analysis'!$A$42)</f>
        <v>#REF!</v>
      </c>
      <c r="M28" s="91" t="e">
        <f>SUMIFS('Variance Analysis'!M$30:M$45,'Variance Analysis'!$B$30:$B$45,'Variance Analysis'!$B$33,'Variance Analysis'!$A$30:$A$45,'Variance Analysis'!$A$42)</f>
        <v>#REF!</v>
      </c>
      <c r="N28" s="91" t="e">
        <f>SUMIFS('Variance Analysis'!N$30:N$45,'Variance Analysis'!$B$30:$B$45,'Variance Analysis'!$B$33,'Variance Analysis'!$A$30:$A$45,'Variance Analysis'!$A$42)</f>
        <v>#REF!</v>
      </c>
    </row>
    <row r="29" spans="1:26" ht="14.25" customHeight="1" x14ac:dyDescent="0.25">
      <c r="A29" s="90" t="s">
        <v>262</v>
      </c>
      <c r="B29" s="90" t="s">
        <v>50</v>
      </c>
      <c r="C29" s="91" t="e">
        <f>SUMIFS('Variance Analysis'!C$30:C$45,'Variance Analysis'!$B$30:$B$45,'Variance Analysis'!$B$31,'Variance Analysis'!$A$30:$A$45,'Variance Analysis'!$A$42)</f>
        <v>#REF!</v>
      </c>
      <c r="D29" s="91" t="e">
        <f>SUMIFS('Variance Analysis'!D$30:D$45,'Variance Analysis'!$B$30:$B$45,'Variance Analysis'!$B$31,'Variance Analysis'!$A$30:$A$45,'Variance Analysis'!$A$42)</f>
        <v>#REF!</v>
      </c>
      <c r="E29" s="91" t="e">
        <f>SUMIFS('Variance Analysis'!E$30:E$45,'Variance Analysis'!$B$30:$B$45,'Variance Analysis'!$B$31,'Variance Analysis'!$A$30:$A$45,'Variance Analysis'!$A$42)</f>
        <v>#REF!</v>
      </c>
      <c r="F29" s="91" t="e">
        <f>SUMIFS('Variance Analysis'!F$30:F$45,'Variance Analysis'!$B$30:$B$45,'Variance Analysis'!$B$31,'Variance Analysis'!$A$30:$A$45,'Variance Analysis'!$A$42)</f>
        <v>#REF!</v>
      </c>
      <c r="G29" s="91" t="e">
        <f>SUMIFS('Variance Analysis'!G$30:G$45,'Variance Analysis'!$B$30:$B$45,'Variance Analysis'!$B$31,'Variance Analysis'!$A$30:$A$45,'Variance Analysis'!$A$42)</f>
        <v>#REF!</v>
      </c>
      <c r="H29" s="91" t="e">
        <f>SUMIFS('Variance Analysis'!H$30:H$45,'Variance Analysis'!$B$30:$B$45,'Variance Analysis'!$B$31,'Variance Analysis'!$A$30:$A$45,'Variance Analysis'!$A$42)</f>
        <v>#REF!</v>
      </c>
      <c r="I29" s="91" t="e">
        <f>SUMIFS('Variance Analysis'!I$30:I$45,'Variance Analysis'!$B$30:$B$45,'Variance Analysis'!$B$31,'Variance Analysis'!$A$30:$A$45,'Variance Analysis'!$A$42)</f>
        <v>#REF!</v>
      </c>
      <c r="J29" s="91" t="e">
        <f>SUMIFS('Variance Analysis'!J$30:J$45,'Variance Analysis'!$B$30:$B$45,'Variance Analysis'!$B$31,'Variance Analysis'!$A$30:$A$45,'Variance Analysis'!$A$42)</f>
        <v>#REF!</v>
      </c>
      <c r="K29" s="91" t="e">
        <f>SUMIFS('Variance Analysis'!K$30:K$45,'Variance Analysis'!$B$30:$B$45,'Variance Analysis'!$B$31,'Variance Analysis'!$A$30:$A$45,'Variance Analysis'!$A$42)</f>
        <v>#REF!</v>
      </c>
      <c r="L29" s="91" t="e">
        <f>SUMIFS('Variance Analysis'!L$30:L$45,'Variance Analysis'!$B$30:$B$45,'Variance Analysis'!$B$31,'Variance Analysis'!$A$30:$A$45,'Variance Analysis'!$A$42)</f>
        <v>#REF!</v>
      </c>
      <c r="M29" s="91" t="e">
        <f>SUMIFS('Variance Analysis'!M$30:M$45,'Variance Analysis'!$B$30:$B$45,'Variance Analysis'!$B$31,'Variance Analysis'!$A$30:$A$45,'Variance Analysis'!$A$42)</f>
        <v>#REF!</v>
      </c>
      <c r="N29" s="91" t="e">
        <f>SUMIFS('Variance Analysis'!N$30:N$45,'Variance Analysis'!$B$30:$B$45,'Variance Analysis'!$B$31,'Variance Analysis'!$A$30:$A$45,'Variance Analysis'!$A$42)</f>
        <v>#REF!</v>
      </c>
    </row>
    <row r="30" spans="1:26" ht="14.25" customHeight="1" x14ac:dyDescent="0.25">
      <c r="A30" s="90" t="s">
        <v>263</v>
      </c>
      <c r="B30" s="90" t="s">
        <v>50</v>
      </c>
      <c r="C30" s="91" t="e">
        <f>SUMIFS('Variance Analysis'!C$30:C$45,'Variance Analysis'!$B$30:$B$45,'Variance Analysis'!$B$32,'Variance Analysis'!$A$30:$A$45,'Variance Analysis'!$A$42)</f>
        <v>#REF!</v>
      </c>
      <c r="D30" s="91" t="e">
        <f>SUMIFS('Variance Analysis'!D$30:D$45,'Variance Analysis'!$B$30:$B$45,'Variance Analysis'!$B$32,'Variance Analysis'!$A$30:$A$45,'Variance Analysis'!$A$42)</f>
        <v>#REF!</v>
      </c>
      <c r="E30" s="91" t="e">
        <f>SUMIFS('Variance Analysis'!E$30:E$45,'Variance Analysis'!$B$30:$B$45,'Variance Analysis'!$B$32,'Variance Analysis'!$A$30:$A$45,'Variance Analysis'!$A$42)</f>
        <v>#REF!</v>
      </c>
      <c r="F30" s="91" t="e">
        <f>SUMIFS('Variance Analysis'!F$30:F$45,'Variance Analysis'!$B$30:$B$45,'Variance Analysis'!$B$32,'Variance Analysis'!$A$30:$A$45,'Variance Analysis'!$A$42)</f>
        <v>#REF!</v>
      </c>
      <c r="G30" s="91" t="e">
        <f>SUMIFS('Variance Analysis'!G$30:G$45,'Variance Analysis'!$B$30:$B$45,'Variance Analysis'!$B$32,'Variance Analysis'!$A$30:$A$45,'Variance Analysis'!$A$42)</f>
        <v>#REF!</v>
      </c>
      <c r="H30" s="91" t="e">
        <f>SUMIFS('Variance Analysis'!H$30:H$45,'Variance Analysis'!$B$30:$B$45,'Variance Analysis'!$B$32,'Variance Analysis'!$A$30:$A$45,'Variance Analysis'!$A$42)</f>
        <v>#REF!</v>
      </c>
      <c r="I30" s="91" t="e">
        <f>SUMIFS('Variance Analysis'!I$30:I$45,'Variance Analysis'!$B$30:$B$45,'Variance Analysis'!$B$32,'Variance Analysis'!$A$30:$A$45,'Variance Analysis'!$A$42)</f>
        <v>#REF!</v>
      </c>
      <c r="J30" s="91" t="e">
        <f>SUMIFS('Variance Analysis'!J$30:J$45,'Variance Analysis'!$B$30:$B$45,'Variance Analysis'!$B$32,'Variance Analysis'!$A$30:$A$45,'Variance Analysis'!$A$42)</f>
        <v>#REF!</v>
      </c>
      <c r="K30" s="91" t="e">
        <f>SUMIFS('Variance Analysis'!K$30:K$45,'Variance Analysis'!$B$30:$B$45,'Variance Analysis'!$B$32,'Variance Analysis'!$A$30:$A$45,'Variance Analysis'!$A$42)</f>
        <v>#REF!</v>
      </c>
      <c r="L30" s="91" t="e">
        <f>SUMIFS('Variance Analysis'!L$30:L$45,'Variance Analysis'!$B$30:$B$45,'Variance Analysis'!$B$32,'Variance Analysis'!$A$30:$A$45,'Variance Analysis'!$A$42)</f>
        <v>#REF!</v>
      </c>
      <c r="M30" s="91" t="e">
        <f>SUMIFS('Variance Analysis'!M$30:M$45,'Variance Analysis'!$B$30:$B$45,'Variance Analysis'!$B$32,'Variance Analysis'!$A$30:$A$45,'Variance Analysis'!$A$42)</f>
        <v>#REF!</v>
      </c>
      <c r="N30" s="91" t="e">
        <f>SUMIFS('Variance Analysis'!N$30:N$45,'Variance Analysis'!$B$30:$B$45,'Variance Analysis'!$B$32,'Variance Analysis'!$A$30:$A$45,'Variance Analysis'!$A$42)</f>
        <v>#REF!</v>
      </c>
    </row>
    <row r="31" spans="1:26" ht="14.25" customHeight="1" x14ac:dyDescent="0.25">
      <c r="A31" s="98" t="s">
        <v>213</v>
      </c>
      <c r="B31" s="98" t="s">
        <v>50</v>
      </c>
      <c r="C31" s="91" t="e">
        <f>SUMIFS('Variance Analysis'!C$30:C$45,'Variance Analysis'!$B$30:$B$45,'Variance Analysis'!$B$30,'Variance Analysis'!$A$30:$A$45,'Variance Analysis'!$A$42)</f>
        <v>#REF!</v>
      </c>
      <c r="D31" s="91" t="e">
        <f>SUMIFS('Variance Analysis'!D$30:D$45,'Variance Analysis'!$B$30:$B$45,'Variance Analysis'!$B$30,'Variance Analysis'!$A$30:$A$45,'Variance Analysis'!$A$42)</f>
        <v>#REF!</v>
      </c>
      <c r="E31" s="91" t="e">
        <f>SUMIFS('Variance Analysis'!E$30:E$45,'Variance Analysis'!$B$30:$B$45,'Variance Analysis'!$B$30,'Variance Analysis'!$A$30:$A$45,'Variance Analysis'!$A$42)</f>
        <v>#REF!</v>
      </c>
      <c r="F31" s="91" t="e">
        <f>SUMIFS('Variance Analysis'!F$30:F$45,'Variance Analysis'!$B$30:$B$45,'Variance Analysis'!$B$30,'Variance Analysis'!$A$30:$A$45,'Variance Analysis'!$A$42)</f>
        <v>#REF!</v>
      </c>
      <c r="G31" s="91" t="e">
        <f>SUMIFS('Variance Analysis'!G$30:G$45,'Variance Analysis'!$B$30:$B$45,'Variance Analysis'!$B$30,'Variance Analysis'!$A$30:$A$45,'Variance Analysis'!$A$42)</f>
        <v>#REF!</v>
      </c>
      <c r="H31" s="91" t="e">
        <f>SUMIFS('Variance Analysis'!H$30:H$45,'Variance Analysis'!$B$30:$B$45,'Variance Analysis'!$B$30,'Variance Analysis'!$A$30:$A$45,'Variance Analysis'!$A$42)</f>
        <v>#REF!</v>
      </c>
      <c r="I31" s="91" t="e">
        <f>SUMIFS('Variance Analysis'!I$30:I$45,'Variance Analysis'!$B$30:$B$45,'Variance Analysis'!$B$30,'Variance Analysis'!$A$30:$A$45,'Variance Analysis'!$A$42)</f>
        <v>#REF!</v>
      </c>
      <c r="J31" s="91" t="e">
        <f>SUMIFS('Variance Analysis'!J$30:J$45,'Variance Analysis'!$B$30:$B$45,'Variance Analysis'!$B$30,'Variance Analysis'!$A$30:$A$45,'Variance Analysis'!$A$42)</f>
        <v>#REF!</v>
      </c>
      <c r="K31" s="91" t="e">
        <f>SUMIFS('Variance Analysis'!K$30:K$45,'Variance Analysis'!$B$30:$B$45,'Variance Analysis'!$B$30,'Variance Analysis'!$A$30:$A$45,'Variance Analysis'!$A$42)</f>
        <v>#REF!</v>
      </c>
      <c r="L31" s="91" t="e">
        <f>SUMIFS('Variance Analysis'!L$30:L$45,'Variance Analysis'!$B$30:$B$45,'Variance Analysis'!$B$30,'Variance Analysis'!$A$30:$A$45,'Variance Analysis'!$A$42)</f>
        <v>#REF!</v>
      </c>
      <c r="M31" s="91" t="e">
        <f>SUMIFS('Variance Analysis'!M$30:M$45,'Variance Analysis'!$B$30:$B$45,'Variance Analysis'!$B$30,'Variance Analysis'!$A$30:$A$45,'Variance Analysis'!$A$42)</f>
        <v>#REF!</v>
      </c>
      <c r="N31" s="91" t="e">
        <f>SUMIFS('Variance Analysis'!N$30:N$45,'Variance Analysis'!$B$30:$B$45,'Variance Analysis'!$B$30,'Variance Analysis'!$A$30:$A$45,'Variance Analysis'!$A$42)</f>
        <v>#REF!</v>
      </c>
    </row>
    <row r="32" spans="1:26" ht="14.25" customHeight="1" x14ac:dyDescent="0.25">
      <c r="A32" s="93" t="s">
        <v>264</v>
      </c>
      <c r="B32" s="94" t="s">
        <v>50</v>
      </c>
      <c r="C32" s="96" t="e">
        <f t="shared" ref="C32:N32" si="3">ABS(C31)-SUM(C28:C30)</f>
        <v>#REF!</v>
      </c>
      <c r="D32" s="96" t="e">
        <f t="shared" si="3"/>
        <v>#REF!</v>
      </c>
      <c r="E32" s="96" t="e">
        <f t="shared" si="3"/>
        <v>#REF!</v>
      </c>
      <c r="F32" s="96" t="e">
        <f t="shared" si="3"/>
        <v>#REF!</v>
      </c>
      <c r="G32" s="96" t="e">
        <f t="shared" si="3"/>
        <v>#REF!</v>
      </c>
      <c r="H32" s="96" t="e">
        <f t="shared" si="3"/>
        <v>#REF!</v>
      </c>
      <c r="I32" s="96" t="e">
        <f t="shared" si="3"/>
        <v>#REF!</v>
      </c>
      <c r="J32" s="96" t="e">
        <f t="shared" si="3"/>
        <v>#REF!</v>
      </c>
      <c r="K32" s="96" t="e">
        <f t="shared" si="3"/>
        <v>#REF!</v>
      </c>
      <c r="L32" s="96" t="e">
        <f t="shared" si="3"/>
        <v>#REF!</v>
      </c>
      <c r="M32" s="96" t="e">
        <f t="shared" si="3"/>
        <v>#REF!</v>
      </c>
      <c r="N32" s="96" t="e">
        <f t="shared" si="3"/>
        <v>#REF!</v>
      </c>
    </row>
    <row r="33" spans="1:26" ht="36.75" customHeight="1" x14ac:dyDescent="0.25">
      <c r="A33" s="182" t="s">
        <v>266</v>
      </c>
      <c r="B33" s="183"/>
      <c r="C33" s="184"/>
      <c r="D33" s="184"/>
      <c r="E33" s="184"/>
      <c r="F33" s="184"/>
      <c r="G33" s="184"/>
      <c r="H33" s="184"/>
      <c r="I33" s="184"/>
      <c r="J33" s="184"/>
      <c r="K33" s="184"/>
      <c r="L33" s="184"/>
      <c r="M33" s="184"/>
      <c r="N33" s="184"/>
      <c r="O33" s="158"/>
      <c r="P33" s="158"/>
      <c r="Q33" s="158"/>
      <c r="R33" s="158"/>
      <c r="S33" s="158"/>
      <c r="T33" s="158"/>
      <c r="U33" s="158"/>
      <c r="V33" s="158"/>
      <c r="W33" s="158"/>
      <c r="X33" s="158"/>
      <c r="Y33" s="158"/>
      <c r="Z33" s="158"/>
    </row>
    <row r="34" spans="1:26" ht="14.25" customHeight="1" x14ac:dyDescent="0.25">
      <c r="A34" s="183"/>
      <c r="B34" s="183"/>
      <c r="C34" s="184"/>
      <c r="D34" s="184"/>
      <c r="E34" s="184"/>
      <c r="F34" s="184"/>
      <c r="G34" s="184"/>
      <c r="H34" s="184"/>
      <c r="I34" s="184"/>
      <c r="J34" s="184"/>
      <c r="K34" s="184"/>
      <c r="L34" s="184"/>
      <c r="M34" s="184"/>
      <c r="N34" s="184"/>
      <c r="O34" s="158"/>
      <c r="P34" s="158"/>
      <c r="Q34" s="158"/>
      <c r="R34" s="158"/>
      <c r="S34" s="158"/>
      <c r="T34" s="158"/>
      <c r="U34" s="158"/>
      <c r="V34" s="158"/>
      <c r="W34" s="158"/>
      <c r="X34" s="158"/>
      <c r="Y34" s="158"/>
      <c r="Z34" s="158"/>
    </row>
    <row r="35" spans="1:26" ht="15.75" customHeight="1" x14ac:dyDescent="0.3">
      <c r="A35" s="173" t="s">
        <v>46</v>
      </c>
      <c r="B35" s="171" t="s">
        <v>244</v>
      </c>
      <c r="C35" s="75" t="s">
        <v>200</v>
      </c>
      <c r="D35" s="75" t="s">
        <v>201</v>
      </c>
      <c r="E35" s="75" t="s">
        <v>202</v>
      </c>
      <c r="F35" s="75" t="s">
        <v>203</v>
      </c>
      <c r="G35" s="75" t="s">
        <v>204</v>
      </c>
      <c r="H35" s="75" t="s">
        <v>205</v>
      </c>
      <c r="I35" s="75" t="s">
        <v>206</v>
      </c>
      <c r="J35" s="75" t="s">
        <v>207</v>
      </c>
      <c r="K35" s="75" t="s">
        <v>208</v>
      </c>
      <c r="L35" s="75" t="s">
        <v>209</v>
      </c>
      <c r="M35" s="75" t="s">
        <v>210</v>
      </c>
      <c r="N35" s="75" t="s">
        <v>211</v>
      </c>
      <c r="O35" s="177"/>
      <c r="P35" s="177"/>
      <c r="Q35" s="177"/>
      <c r="R35" s="177"/>
      <c r="S35" s="177"/>
      <c r="T35" s="177"/>
      <c r="U35" s="177"/>
      <c r="V35" s="177"/>
      <c r="W35" s="177"/>
      <c r="X35" s="177"/>
      <c r="Y35" s="177"/>
      <c r="Z35" s="177"/>
    </row>
    <row r="36" spans="1:26" ht="14.25" customHeight="1" x14ac:dyDescent="0.25">
      <c r="A36" s="90" t="s">
        <v>261</v>
      </c>
      <c r="B36" s="90" t="s">
        <v>50</v>
      </c>
      <c r="C36" s="99" t="e">
        <f>SUMIFS('Variance Analysis'!C$9:C$24,'Variance Analysis'!$B$9:$B$24,'Variance Analysis'!$B$12,'Variance Analysis'!$A$9:$A$24,'Variance Analysis'!$A$12)</f>
        <v>#REF!</v>
      </c>
      <c r="D36" s="99" t="e">
        <f>SUMIFS('Variance Analysis'!D$9:D$24,'Variance Analysis'!$B$9:$B$24,'Variance Analysis'!$B$12,'Variance Analysis'!$A$9:$A$24,'Variance Analysis'!$A$12)</f>
        <v>#REF!</v>
      </c>
      <c r="E36" s="99" t="e">
        <f>SUMIFS('Variance Analysis'!E$9:E$24,'Variance Analysis'!$B$9:$B$24,'Variance Analysis'!$B$12,'Variance Analysis'!$A$9:$A$24,'Variance Analysis'!$A$12)</f>
        <v>#REF!</v>
      </c>
      <c r="F36" s="99" t="e">
        <f>SUMIFS('Variance Analysis'!F$9:F$24,'Variance Analysis'!$B$9:$B$24,'Variance Analysis'!$B$12,'Variance Analysis'!$A$9:$A$24,'Variance Analysis'!$A$12)</f>
        <v>#REF!</v>
      </c>
      <c r="G36" s="99" t="e">
        <f>SUMIFS('Variance Analysis'!G$9:G$24,'Variance Analysis'!$B$9:$B$24,'Variance Analysis'!$B$12,'Variance Analysis'!$A$9:$A$24,'Variance Analysis'!$A$12)</f>
        <v>#REF!</v>
      </c>
      <c r="H36" s="99" t="e">
        <f>SUMIFS('Variance Analysis'!H$9:H$24,'Variance Analysis'!$B$9:$B$24,'Variance Analysis'!$B$12,'Variance Analysis'!$A$9:$A$24,'Variance Analysis'!$A$12)</f>
        <v>#REF!</v>
      </c>
      <c r="I36" s="99" t="e">
        <f>SUMIFS('Variance Analysis'!I$9:I$24,'Variance Analysis'!$B$9:$B$24,'Variance Analysis'!$B$12,'Variance Analysis'!$A$9:$A$24,'Variance Analysis'!$A$12)</f>
        <v>#REF!</v>
      </c>
      <c r="J36" s="99" t="e">
        <f>SUMIFS('Variance Analysis'!J$9:J$24,'Variance Analysis'!$B$9:$B$24,'Variance Analysis'!$B$12,'Variance Analysis'!$A$9:$A$24,'Variance Analysis'!$A$12)</f>
        <v>#REF!</v>
      </c>
      <c r="K36" s="99" t="e">
        <f>SUMIFS('Variance Analysis'!K$9:K$24,'Variance Analysis'!$B$9:$B$24,'Variance Analysis'!$B$12,'Variance Analysis'!$A$9:$A$24,'Variance Analysis'!$A$12)</f>
        <v>#REF!</v>
      </c>
      <c r="L36" s="99" t="e">
        <f>SUMIFS('Variance Analysis'!L$9:L$24,'Variance Analysis'!$B$9:$B$24,'Variance Analysis'!$B$12,'Variance Analysis'!$A$9:$A$24,'Variance Analysis'!$A$12)</f>
        <v>#REF!</v>
      </c>
      <c r="M36" s="99" t="e">
        <f>SUMIFS('Variance Analysis'!M$9:M$24,'Variance Analysis'!$B$9:$B$24,'Variance Analysis'!$B$12,'Variance Analysis'!$A$9:$A$24,'Variance Analysis'!$A$12)</f>
        <v>#REF!</v>
      </c>
      <c r="N36" s="99" t="e">
        <f>SUMIFS('Variance Analysis'!N$9:N$24,'Variance Analysis'!$B$9:$B$24,'Variance Analysis'!$B$12,'Variance Analysis'!$A$9:$A$24,'Variance Analysis'!$A$12)</f>
        <v>#REF!</v>
      </c>
    </row>
    <row r="37" spans="1:26" ht="14.25" customHeight="1" x14ac:dyDescent="0.25">
      <c r="A37" s="90" t="s">
        <v>222</v>
      </c>
      <c r="B37" s="90" t="s">
        <v>50</v>
      </c>
      <c r="C37" s="99" t="e">
        <f>SUMIFS('Variance Analysis'!C$9:C$24,'Variance Analysis'!$B$9:$B$24,'Variance Analysis'!$B$10,'Variance Analysis'!$A$9:$A$24,'Variance Analysis'!$A$12)</f>
        <v>#REF!</v>
      </c>
      <c r="D37" s="99" t="e">
        <f>SUMIFS('Variance Analysis'!D$9:D$24,'Variance Analysis'!$B$9:$B$24,'Variance Analysis'!$B$10,'Variance Analysis'!$A$9:$A$24,'Variance Analysis'!$A$12)</f>
        <v>#REF!</v>
      </c>
      <c r="E37" s="99" t="e">
        <f>SUMIFS('Variance Analysis'!E$9:E$24,'Variance Analysis'!$B$9:$B$24,'Variance Analysis'!$B$10,'Variance Analysis'!$A$9:$A$24,'Variance Analysis'!$A$12)</f>
        <v>#REF!</v>
      </c>
      <c r="F37" s="99" t="e">
        <f>SUMIFS('Variance Analysis'!F$9:F$24,'Variance Analysis'!$B$9:$B$24,'Variance Analysis'!$B$10,'Variance Analysis'!$A$9:$A$24,'Variance Analysis'!$A$12)</f>
        <v>#REF!</v>
      </c>
      <c r="G37" s="99" t="e">
        <f>SUMIFS('Variance Analysis'!G$9:G$24,'Variance Analysis'!$B$9:$B$24,'Variance Analysis'!$B$10,'Variance Analysis'!$A$9:$A$24,'Variance Analysis'!$A$12)</f>
        <v>#REF!</v>
      </c>
      <c r="H37" s="99" t="e">
        <f>SUMIFS('Variance Analysis'!H$9:H$24,'Variance Analysis'!$B$9:$B$24,'Variance Analysis'!$B$10,'Variance Analysis'!$A$9:$A$24,'Variance Analysis'!$A$12)</f>
        <v>#REF!</v>
      </c>
      <c r="I37" s="99" t="e">
        <f>SUMIFS('Variance Analysis'!I$9:I$24,'Variance Analysis'!$B$9:$B$24,'Variance Analysis'!$B$10,'Variance Analysis'!$A$9:$A$24,'Variance Analysis'!$A$12)</f>
        <v>#REF!</v>
      </c>
      <c r="J37" s="99" t="e">
        <f>SUMIFS('Variance Analysis'!J$9:J$24,'Variance Analysis'!$B$9:$B$24,'Variance Analysis'!$B$10,'Variance Analysis'!$A$9:$A$24,'Variance Analysis'!$A$12)</f>
        <v>#REF!</v>
      </c>
      <c r="K37" s="99" t="e">
        <f>SUMIFS('Variance Analysis'!K$9:K$24,'Variance Analysis'!$B$9:$B$24,'Variance Analysis'!$B$10,'Variance Analysis'!$A$9:$A$24,'Variance Analysis'!$A$12)</f>
        <v>#REF!</v>
      </c>
      <c r="L37" s="99" t="e">
        <f>SUMIFS('Variance Analysis'!L$9:L$24,'Variance Analysis'!$B$9:$B$24,'Variance Analysis'!$B$10,'Variance Analysis'!$A$9:$A$24,'Variance Analysis'!$A$12)</f>
        <v>#REF!</v>
      </c>
      <c r="M37" s="99" t="e">
        <f>SUMIFS('Variance Analysis'!M$9:M$24,'Variance Analysis'!$B$9:$B$24,'Variance Analysis'!$B$10,'Variance Analysis'!$A$9:$A$24,'Variance Analysis'!$A$12)</f>
        <v>#REF!</v>
      </c>
      <c r="N37" s="99" t="e">
        <f>SUMIFS('Variance Analysis'!N$9:N$24,'Variance Analysis'!$B$9:$B$24,'Variance Analysis'!$B$10,'Variance Analysis'!$A$9:$A$24,'Variance Analysis'!$A$12)</f>
        <v>#REF!</v>
      </c>
    </row>
    <row r="38" spans="1:26" ht="14.25" customHeight="1" x14ac:dyDescent="0.25">
      <c r="A38" s="90" t="s">
        <v>223</v>
      </c>
      <c r="B38" s="90" t="s">
        <v>50</v>
      </c>
      <c r="C38" s="99" t="e">
        <f>SUMIFS('Variance Analysis'!C$9:C$24,'Variance Analysis'!$B$9:$B$24,'Variance Analysis'!$B$11,'Variance Analysis'!$A$9:$A$24,'Variance Analysis'!$A$12)</f>
        <v>#REF!</v>
      </c>
      <c r="D38" s="99" t="e">
        <f>SUMIFS('Variance Analysis'!D$9:D$24,'Variance Analysis'!$B$9:$B$24,'Variance Analysis'!$B$11,'Variance Analysis'!$A$9:$A$24,'Variance Analysis'!$A$12)</f>
        <v>#REF!</v>
      </c>
      <c r="E38" s="99" t="e">
        <f>SUMIFS('Variance Analysis'!E$9:E$24,'Variance Analysis'!$B$9:$B$24,'Variance Analysis'!$B$11,'Variance Analysis'!$A$9:$A$24,'Variance Analysis'!$A$12)</f>
        <v>#REF!</v>
      </c>
      <c r="F38" s="99" t="e">
        <f>SUMIFS('Variance Analysis'!F$9:F$24,'Variance Analysis'!$B$9:$B$24,'Variance Analysis'!$B$11,'Variance Analysis'!$A$9:$A$24,'Variance Analysis'!$A$12)</f>
        <v>#REF!</v>
      </c>
      <c r="G38" s="99" t="e">
        <f>SUMIFS('Variance Analysis'!G$9:G$24,'Variance Analysis'!$B$9:$B$24,'Variance Analysis'!$B$11,'Variance Analysis'!$A$9:$A$24,'Variance Analysis'!$A$12)</f>
        <v>#REF!</v>
      </c>
      <c r="H38" s="99" t="e">
        <f>SUMIFS('Variance Analysis'!H$9:H$24,'Variance Analysis'!$B$9:$B$24,'Variance Analysis'!$B$11,'Variance Analysis'!$A$9:$A$24,'Variance Analysis'!$A$12)</f>
        <v>#REF!</v>
      </c>
      <c r="I38" s="99" t="e">
        <f>SUMIFS('Variance Analysis'!I$9:I$24,'Variance Analysis'!$B$9:$B$24,'Variance Analysis'!$B$11,'Variance Analysis'!$A$9:$A$24,'Variance Analysis'!$A$12)</f>
        <v>#REF!</v>
      </c>
      <c r="J38" s="99" t="e">
        <f>SUMIFS('Variance Analysis'!J$9:J$24,'Variance Analysis'!$B$9:$B$24,'Variance Analysis'!$B$11,'Variance Analysis'!$A$9:$A$24,'Variance Analysis'!$A$12)</f>
        <v>#REF!</v>
      </c>
      <c r="K38" s="99" t="e">
        <f>SUMIFS('Variance Analysis'!K$9:K$24,'Variance Analysis'!$B$9:$B$24,'Variance Analysis'!$B$11,'Variance Analysis'!$A$9:$A$24,'Variance Analysis'!$A$12)</f>
        <v>#REF!</v>
      </c>
      <c r="L38" s="99" t="e">
        <f>SUMIFS('Variance Analysis'!L$9:L$24,'Variance Analysis'!$B$9:$B$24,'Variance Analysis'!$B$11,'Variance Analysis'!$A$9:$A$24,'Variance Analysis'!$A$12)</f>
        <v>#REF!</v>
      </c>
      <c r="M38" s="99" t="e">
        <f>SUMIFS('Variance Analysis'!M$9:M$24,'Variance Analysis'!$B$9:$B$24,'Variance Analysis'!$B$11,'Variance Analysis'!$A$9:$A$24,'Variance Analysis'!$A$12)</f>
        <v>#REF!</v>
      </c>
      <c r="N38" s="99" t="e">
        <f>SUMIFS('Variance Analysis'!N$9:N$24,'Variance Analysis'!$B$9:$B$24,'Variance Analysis'!$B$11,'Variance Analysis'!$A$9:$A$24,'Variance Analysis'!$A$12)</f>
        <v>#REF!</v>
      </c>
    </row>
    <row r="39" spans="1:26" ht="14.25" customHeight="1" x14ac:dyDescent="0.25">
      <c r="A39" s="90" t="s">
        <v>213</v>
      </c>
      <c r="B39" s="90" t="s">
        <v>50</v>
      </c>
      <c r="C39" s="99" t="e">
        <f>SUMIFS('Variance Analysis'!C$9:C$24,'Variance Analysis'!$B$9:$B$24,'Variance Analysis'!$B$9,'Variance Analysis'!$A$9:$A$24,'Variance Analysis'!$A$12)</f>
        <v>#REF!</v>
      </c>
      <c r="D39" s="99" t="e">
        <f>SUMIFS('Variance Analysis'!D$9:D$24,'Variance Analysis'!$B$9:$B$24,'Variance Analysis'!$B$9,'Variance Analysis'!$A$9:$A$24,'Variance Analysis'!$A$12)</f>
        <v>#REF!</v>
      </c>
      <c r="E39" s="99" t="e">
        <f>SUMIFS('Variance Analysis'!E$9:E$24,'Variance Analysis'!$B$9:$B$24,'Variance Analysis'!$B$9,'Variance Analysis'!$A$9:$A$24,'Variance Analysis'!$A$12)</f>
        <v>#REF!</v>
      </c>
      <c r="F39" s="99" t="e">
        <f>SUMIFS('Variance Analysis'!F$9:F$24,'Variance Analysis'!$B$9:$B$24,'Variance Analysis'!$B$9,'Variance Analysis'!$A$9:$A$24,'Variance Analysis'!$A$12)</f>
        <v>#REF!</v>
      </c>
      <c r="G39" s="99" t="e">
        <f>SUMIFS('Variance Analysis'!G$9:G$24,'Variance Analysis'!$B$9:$B$24,'Variance Analysis'!$B$9,'Variance Analysis'!$A$9:$A$24,'Variance Analysis'!$A$12)</f>
        <v>#REF!</v>
      </c>
      <c r="H39" s="99" t="e">
        <f>SUMIFS('Variance Analysis'!H$9:H$24,'Variance Analysis'!$B$9:$B$24,'Variance Analysis'!$B$9,'Variance Analysis'!$A$9:$A$24,'Variance Analysis'!$A$12)</f>
        <v>#REF!</v>
      </c>
      <c r="I39" s="99" t="e">
        <f>SUMIFS('Variance Analysis'!I$9:I$24,'Variance Analysis'!$B$9:$B$24,'Variance Analysis'!$B$9,'Variance Analysis'!$A$9:$A$24,'Variance Analysis'!$A$12)</f>
        <v>#REF!</v>
      </c>
      <c r="J39" s="99" t="e">
        <f>SUMIFS('Variance Analysis'!J$9:J$24,'Variance Analysis'!$B$9:$B$24,'Variance Analysis'!$B$9,'Variance Analysis'!$A$9:$A$24,'Variance Analysis'!$A$12)</f>
        <v>#REF!</v>
      </c>
      <c r="K39" s="99" t="e">
        <f>SUMIFS('Variance Analysis'!K$9:K$24,'Variance Analysis'!$B$9:$B$24,'Variance Analysis'!$B$9,'Variance Analysis'!$A$9:$A$24,'Variance Analysis'!$A$12)</f>
        <v>#REF!</v>
      </c>
      <c r="L39" s="99" t="e">
        <f>SUMIFS('Variance Analysis'!L$9:L$24,'Variance Analysis'!$B$9:$B$24,'Variance Analysis'!$B$9,'Variance Analysis'!$A$9:$A$24,'Variance Analysis'!$A$12)</f>
        <v>#REF!</v>
      </c>
      <c r="M39" s="99" t="e">
        <f>SUMIFS('Variance Analysis'!M$9:M$24,'Variance Analysis'!$B$9:$B$24,'Variance Analysis'!$B$9,'Variance Analysis'!$A$9:$A$24,'Variance Analysis'!$A$12)</f>
        <v>#REF!</v>
      </c>
      <c r="N39" s="99" t="e">
        <f>SUMIFS('Variance Analysis'!N$9:N$24,'Variance Analysis'!$B$9:$B$24,'Variance Analysis'!$B$9,'Variance Analysis'!$A$9:$A$24,'Variance Analysis'!$A$12)</f>
        <v>#REF!</v>
      </c>
    </row>
    <row r="40" spans="1:26" ht="14.25" customHeight="1" x14ac:dyDescent="0.25">
      <c r="A40" s="93" t="s">
        <v>264</v>
      </c>
      <c r="B40" s="94" t="s">
        <v>50</v>
      </c>
      <c r="C40" s="100" t="e">
        <f t="shared" ref="C40:N40" si="4">ABS(C39)-SUM(C36:C38)</f>
        <v>#REF!</v>
      </c>
      <c r="D40" s="100" t="e">
        <f t="shared" si="4"/>
        <v>#REF!</v>
      </c>
      <c r="E40" s="100" t="e">
        <f t="shared" si="4"/>
        <v>#REF!</v>
      </c>
      <c r="F40" s="100" t="e">
        <f t="shared" si="4"/>
        <v>#REF!</v>
      </c>
      <c r="G40" s="100" t="e">
        <f t="shared" si="4"/>
        <v>#REF!</v>
      </c>
      <c r="H40" s="100" t="e">
        <f t="shared" si="4"/>
        <v>#REF!</v>
      </c>
      <c r="I40" s="100" t="e">
        <f t="shared" si="4"/>
        <v>#REF!</v>
      </c>
      <c r="J40" s="100" t="e">
        <f t="shared" si="4"/>
        <v>#REF!</v>
      </c>
      <c r="K40" s="100" t="e">
        <f t="shared" si="4"/>
        <v>#REF!</v>
      </c>
      <c r="L40" s="100" t="e">
        <f t="shared" si="4"/>
        <v>#REF!</v>
      </c>
      <c r="M40" s="100" t="e">
        <f t="shared" si="4"/>
        <v>#REF!</v>
      </c>
      <c r="N40" s="100" t="e">
        <f t="shared" si="4"/>
        <v>#REF!</v>
      </c>
    </row>
    <row r="41" spans="1:26" ht="14.25" customHeight="1" x14ac:dyDescent="0.25">
      <c r="A41" s="6"/>
      <c r="B41" s="7"/>
      <c r="C41" s="40"/>
      <c r="D41" s="40"/>
      <c r="E41" s="40"/>
      <c r="F41" s="40"/>
      <c r="G41" s="40"/>
      <c r="H41" s="40"/>
      <c r="I41" s="40"/>
      <c r="J41" s="40"/>
      <c r="K41" s="40"/>
      <c r="L41" s="40"/>
      <c r="M41" s="40"/>
      <c r="N41" s="40"/>
    </row>
    <row r="42" spans="1:26" ht="14.25" customHeight="1" x14ac:dyDescent="0.25">
      <c r="A42" s="6"/>
      <c r="B42" s="7"/>
      <c r="C42" s="40"/>
      <c r="D42" s="40"/>
      <c r="E42" s="40"/>
      <c r="F42" s="40"/>
      <c r="G42" s="40"/>
      <c r="H42" s="40"/>
      <c r="I42" s="40"/>
      <c r="J42" s="40"/>
      <c r="K42" s="40"/>
      <c r="L42" s="40"/>
      <c r="M42" s="40"/>
      <c r="N42" s="40"/>
    </row>
    <row r="43" spans="1:26" ht="33" customHeight="1" x14ac:dyDescent="0.3">
      <c r="A43" s="173" t="s">
        <v>54</v>
      </c>
      <c r="B43" s="171" t="s">
        <v>244</v>
      </c>
      <c r="C43" s="75" t="s">
        <v>200</v>
      </c>
      <c r="D43" s="75" t="s">
        <v>201</v>
      </c>
      <c r="E43" s="75" t="s">
        <v>202</v>
      </c>
      <c r="F43" s="75" t="s">
        <v>203</v>
      </c>
      <c r="G43" s="75" t="s">
        <v>204</v>
      </c>
      <c r="H43" s="75" t="s">
        <v>205</v>
      </c>
      <c r="I43" s="75" t="s">
        <v>206</v>
      </c>
      <c r="J43" s="75" t="s">
        <v>207</v>
      </c>
      <c r="K43" s="75" t="s">
        <v>208</v>
      </c>
      <c r="L43" s="75" t="s">
        <v>209</v>
      </c>
      <c r="M43" s="75" t="s">
        <v>210</v>
      </c>
      <c r="N43" s="75" t="s">
        <v>211</v>
      </c>
      <c r="O43" s="177"/>
      <c r="P43" s="177"/>
      <c r="Q43" s="177"/>
      <c r="R43" s="177"/>
      <c r="S43" s="177"/>
      <c r="T43" s="177"/>
      <c r="U43" s="177"/>
      <c r="V43" s="177"/>
      <c r="W43" s="177"/>
      <c r="X43" s="177"/>
      <c r="Y43" s="177"/>
      <c r="Z43" s="177"/>
    </row>
    <row r="44" spans="1:26" ht="14.25" customHeight="1" x14ac:dyDescent="0.25">
      <c r="A44" s="90" t="s">
        <v>261</v>
      </c>
      <c r="B44" s="90" t="s">
        <v>50</v>
      </c>
      <c r="C44" s="99" t="e">
        <f>SUMIFS('Variance Analysis'!C$9:C$24,'Variance Analysis'!$B$9:$B$24,'Variance Analysis'!$B$12,'Variance Analysis'!$A$9:$A$24,'Variance Analysis'!$A$13)</f>
        <v>#REF!</v>
      </c>
      <c r="D44" s="99" t="e">
        <f>SUMIFS('Variance Analysis'!D$9:D$24,'Variance Analysis'!$B$9:$B$24,'Variance Analysis'!$B$12,'Variance Analysis'!$A$9:$A$24,'Variance Analysis'!$A$13)</f>
        <v>#REF!</v>
      </c>
      <c r="E44" s="99" t="e">
        <f>SUMIFS('Variance Analysis'!E$9:E$24,'Variance Analysis'!$B$9:$B$24,'Variance Analysis'!$B$12,'Variance Analysis'!$A$9:$A$24,'Variance Analysis'!$A$13)</f>
        <v>#REF!</v>
      </c>
      <c r="F44" s="99" t="e">
        <f>SUMIFS('Variance Analysis'!F$9:F$24,'Variance Analysis'!$B$9:$B$24,'Variance Analysis'!$B$12,'Variance Analysis'!$A$9:$A$24,'Variance Analysis'!$A$13)</f>
        <v>#REF!</v>
      </c>
      <c r="G44" s="99" t="e">
        <f>SUMIFS('Variance Analysis'!G$9:G$24,'Variance Analysis'!$B$9:$B$24,'Variance Analysis'!$B$12,'Variance Analysis'!$A$9:$A$24,'Variance Analysis'!$A$13)</f>
        <v>#REF!</v>
      </c>
      <c r="H44" s="99" t="e">
        <f>SUMIFS('Variance Analysis'!H$9:H$24,'Variance Analysis'!$B$9:$B$24,'Variance Analysis'!$B$12,'Variance Analysis'!$A$9:$A$24,'Variance Analysis'!$A$13)</f>
        <v>#REF!</v>
      </c>
      <c r="I44" s="99" t="e">
        <f>SUMIFS('Variance Analysis'!I$9:I$24,'Variance Analysis'!$B$9:$B$24,'Variance Analysis'!$B$12,'Variance Analysis'!$A$9:$A$24,'Variance Analysis'!$A$13)</f>
        <v>#REF!</v>
      </c>
      <c r="J44" s="99" t="e">
        <f>SUMIFS('Variance Analysis'!J$9:J$24,'Variance Analysis'!$B$9:$B$24,'Variance Analysis'!$B$12,'Variance Analysis'!$A$9:$A$24,'Variance Analysis'!$A$13)</f>
        <v>#REF!</v>
      </c>
      <c r="K44" s="99" t="e">
        <f>SUMIFS('Variance Analysis'!K$9:K$24,'Variance Analysis'!$B$9:$B$24,'Variance Analysis'!$B$12,'Variance Analysis'!$A$9:$A$24,'Variance Analysis'!$A$13)</f>
        <v>#REF!</v>
      </c>
      <c r="L44" s="99" t="e">
        <f>SUMIFS('Variance Analysis'!L$9:L$24,'Variance Analysis'!$B$9:$B$24,'Variance Analysis'!$B$12,'Variance Analysis'!$A$9:$A$24,'Variance Analysis'!$A$13)</f>
        <v>#REF!</v>
      </c>
      <c r="M44" s="99" t="e">
        <f>SUMIFS('Variance Analysis'!M$9:M$24,'Variance Analysis'!$B$9:$B$24,'Variance Analysis'!$B$12,'Variance Analysis'!$A$9:$A$24,'Variance Analysis'!$A$13)</f>
        <v>#REF!</v>
      </c>
      <c r="N44" s="99" t="e">
        <f>SUMIFS('Variance Analysis'!N$9:N$24,'Variance Analysis'!$B$9:$B$24,'Variance Analysis'!$B$12,'Variance Analysis'!$A$9:$A$24,'Variance Analysis'!$A$13)</f>
        <v>#REF!</v>
      </c>
    </row>
    <row r="45" spans="1:26" ht="14.25" customHeight="1" x14ac:dyDescent="0.25">
      <c r="A45" s="90" t="s">
        <v>222</v>
      </c>
      <c r="B45" s="90" t="s">
        <v>50</v>
      </c>
      <c r="C45" s="99" t="e">
        <f>SUMIFS('Variance Analysis'!C$9:C$24,'Variance Analysis'!$B$9:$B$24,'Variance Analysis'!$B$10,'Variance Analysis'!$A$9:$A$24,'Variance Analysis'!$A$13)</f>
        <v>#REF!</v>
      </c>
      <c r="D45" s="99" t="e">
        <f>SUMIFS('Variance Analysis'!D$9:D$24,'Variance Analysis'!$B$9:$B$24,'Variance Analysis'!$B$10,'Variance Analysis'!$A$9:$A$24,'Variance Analysis'!$A$13)</f>
        <v>#REF!</v>
      </c>
      <c r="E45" s="99" t="e">
        <f>SUMIFS('Variance Analysis'!E$9:E$24,'Variance Analysis'!$B$9:$B$24,'Variance Analysis'!$B$10,'Variance Analysis'!$A$9:$A$24,'Variance Analysis'!$A$13)</f>
        <v>#REF!</v>
      </c>
      <c r="F45" s="99" t="e">
        <f>SUMIFS('Variance Analysis'!F$9:F$24,'Variance Analysis'!$B$9:$B$24,'Variance Analysis'!$B$10,'Variance Analysis'!$A$9:$A$24,'Variance Analysis'!$A$13)</f>
        <v>#REF!</v>
      </c>
      <c r="G45" s="99" t="e">
        <f>SUMIFS('Variance Analysis'!G$9:G$24,'Variance Analysis'!$B$9:$B$24,'Variance Analysis'!$B$10,'Variance Analysis'!$A$9:$A$24,'Variance Analysis'!$A$13)</f>
        <v>#REF!</v>
      </c>
      <c r="H45" s="99" t="e">
        <f>SUMIFS('Variance Analysis'!H$9:H$24,'Variance Analysis'!$B$9:$B$24,'Variance Analysis'!$B$10,'Variance Analysis'!$A$9:$A$24,'Variance Analysis'!$A$13)</f>
        <v>#REF!</v>
      </c>
      <c r="I45" s="99" t="e">
        <f>SUMIFS('Variance Analysis'!I$9:I$24,'Variance Analysis'!$B$9:$B$24,'Variance Analysis'!$B$10,'Variance Analysis'!$A$9:$A$24,'Variance Analysis'!$A$13)</f>
        <v>#REF!</v>
      </c>
      <c r="J45" s="99" t="e">
        <f>SUMIFS('Variance Analysis'!J$9:J$24,'Variance Analysis'!$B$9:$B$24,'Variance Analysis'!$B$10,'Variance Analysis'!$A$9:$A$24,'Variance Analysis'!$A$13)</f>
        <v>#REF!</v>
      </c>
      <c r="K45" s="99" t="e">
        <f>SUMIFS('Variance Analysis'!K$9:K$24,'Variance Analysis'!$B$9:$B$24,'Variance Analysis'!$B$10,'Variance Analysis'!$A$9:$A$24,'Variance Analysis'!$A$13)</f>
        <v>#REF!</v>
      </c>
      <c r="L45" s="99" t="e">
        <f>SUMIFS('Variance Analysis'!L$9:L$24,'Variance Analysis'!$B$9:$B$24,'Variance Analysis'!$B$10,'Variance Analysis'!$A$9:$A$24,'Variance Analysis'!$A$13)</f>
        <v>#REF!</v>
      </c>
      <c r="M45" s="99" t="e">
        <f>SUMIFS('Variance Analysis'!M$9:M$24,'Variance Analysis'!$B$9:$B$24,'Variance Analysis'!$B$10,'Variance Analysis'!$A$9:$A$24,'Variance Analysis'!$A$13)</f>
        <v>#REF!</v>
      </c>
      <c r="N45" s="99" t="e">
        <f>SUMIFS('Variance Analysis'!N$9:N$24,'Variance Analysis'!$B$9:$B$24,'Variance Analysis'!$B$10,'Variance Analysis'!$A$9:$A$24,'Variance Analysis'!$A$13)</f>
        <v>#REF!</v>
      </c>
    </row>
    <row r="46" spans="1:26" ht="14.25" customHeight="1" x14ac:dyDescent="0.25">
      <c r="A46" s="90" t="s">
        <v>223</v>
      </c>
      <c r="B46" s="90" t="s">
        <v>50</v>
      </c>
      <c r="C46" s="99" t="e">
        <f>SUMIFS('Variance Analysis'!C$9:C$24,'Variance Analysis'!$B$9:$B$24,'Variance Analysis'!$B$11,'Variance Analysis'!$A$9:$A$24,'Variance Analysis'!$A$13)</f>
        <v>#REF!</v>
      </c>
      <c r="D46" s="99" t="e">
        <f>SUMIFS('Variance Analysis'!D$9:D$24,'Variance Analysis'!$B$9:$B$24,'Variance Analysis'!$B$11,'Variance Analysis'!$A$9:$A$24,'Variance Analysis'!$A$13)</f>
        <v>#REF!</v>
      </c>
      <c r="E46" s="99" t="e">
        <f>SUMIFS('Variance Analysis'!E$9:E$24,'Variance Analysis'!$B$9:$B$24,'Variance Analysis'!$B$11,'Variance Analysis'!$A$9:$A$24,'Variance Analysis'!$A$13)</f>
        <v>#REF!</v>
      </c>
      <c r="F46" s="99" t="e">
        <f>SUMIFS('Variance Analysis'!F$9:F$24,'Variance Analysis'!$B$9:$B$24,'Variance Analysis'!$B$11,'Variance Analysis'!$A$9:$A$24,'Variance Analysis'!$A$13)</f>
        <v>#REF!</v>
      </c>
      <c r="G46" s="99" t="e">
        <f>SUMIFS('Variance Analysis'!G$9:G$24,'Variance Analysis'!$B$9:$B$24,'Variance Analysis'!$B$11,'Variance Analysis'!$A$9:$A$24,'Variance Analysis'!$A$13)</f>
        <v>#REF!</v>
      </c>
      <c r="H46" s="99" t="e">
        <f>SUMIFS('Variance Analysis'!H$9:H$24,'Variance Analysis'!$B$9:$B$24,'Variance Analysis'!$B$11,'Variance Analysis'!$A$9:$A$24,'Variance Analysis'!$A$13)</f>
        <v>#REF!</v>
      </c>
      <c r="I46" s="99" t="e">
        <f>SUMIFS('Variance Analysis'!I$9:I$24,'Variance Analysis'!$B$9:$B$24,'Variance Analysis'!$B$11,'Variance Analysis'!$A$9:$A$24,'Variance Analysis'!$A$13)</f>
        <v>#REF!</v>
      </c>
      <c r="J46" s="99" t="e">
        <f>SUMIFS('Variance Analysis'!J$9:J$24,'Variance Analysis'!$B$9:$B$24,'Variance Analysis'!$B$11,'Variance Analysis'!$A$9:$A$24,'Variance Analysis'!$A$13)</f>
        <v>#REF!</v>
      </c>
      <c r="K46" s="99" t="e">
        <f>SUMIFS('Variance Analysis'!K$9:K$24,'Variance Analysis'!$B$9:$B$24,'Variance Analysis'!$B$11,'Variance Analysis'!$A$9:$A$24,'Variance Analysis'!$A$13)</f>
        <v>#REF!</v>
      </c>
      <c r="L46" s="99" t="e">
        <f>SUMIFS('Variance Analysis'!L$9:L$24,'Variance Analysis'!$B$9:$B$24,'Variance Analysis'!$B$11,'Variance Analysis'!$A$9:$A$24,'Variance Analysis'!$A$13)</f>
        <v>#REF!</v>
      </c>
      <c r="M46" s="99" t="e">
        <f>SUMIFS('Variance Analysis'!M$9:M$24,'Variance Analysis'!$B$9:$B$24,'Variance Analysis'!$B$11,'Variance Analysis'!$A$9:$A$24,'Variance Analysis'!$A$13)</f>
        <v>#REF!</v>
      </c>
      <c r="N46" s="99" t="e">
        <f>SUMIFS('Variance Analysis'!N$9:N$24,'Variance Analysis'!$B$9:$B$24,'Variance Analysis'!$B$11,'Variance Analysis'!$A$9:$A$24,'Variance Analysis'!$A$13)</f>
        <v>#REF!</v>
      </c>
    </row>
    <row r="47" spans="1:26" ht="14.25" customHeight="1" x14ac:dyDescent="0.25">
      <c r="A47" s="90" t="s">
        <v>213</v>
      </c>
      <c r="B47" s="90" t="s">
        <v>50</v>
      </c>
      <c r="C47" s="99" t="e">
        <f>SUMIFS('Variance Analysis'!C$9:C$24,'Variance Analysis'!$B$9:$B$24,'Variance Analysis'!$B$9,'Variance Analysis'!$A$9:$A$24,'Variance Analysis'!$A$13)</f>
        <v>#REF!</v>
      </c>
      <c r="D47" s="99" t="e">
        <f>SUMIFS('Variance Analysis'!D$9:D$24,'Variance Analysis'!$B$9:$B$24,'Variance Analysis'!$B$9,'Variance Analysis'!$A$9:$A$24,'Variance Analysis'!$A$13)</f>
        <v>#REF!</v>
      </c>
      <c r="E47" s="99" t="e">
        <f>SUMIFS('Variance Analysis'!E$9:E$24,'Variance Analysis'!$B$9:$B$24,'Variance Analysis'!$B$9,'Variance Analysis'!$A$9:$A$24,'Variance Analysis'!$A$13)</f>
        <v>#REF!</v>
      </c>
      <c r="F47" s="99" t="e">
        <f>SUMIFS('Variance Analysis'!F$9:F$24,'Variance Analysis'!$B$9:$B$24,'Variance Analysis'!$B$9,'Variance Analysis'!$A$9:$A$24,'Variance Analysis'!$A$13)</f>
        <v>#REF!</v>
      </c>
      <c r="G47" s="99" t="e">
        <f>SUMIFS('Variance Analysis'!G$9:G$24,'Variance Analysis'!$B$9:$B$24,'Variance Analysis'!$B$9,'Variance Analysis'!$A$9:$A$24,'Variance Analysis'!$A$13)</f>
        <v>#REF!</v>
      </c>
      <c r="H47" s="99" t="e">
        <f>SUMIFS('Variance Analysis'!H$9:H$24,'Variance Analysis'!$B$9:$B$24,'Variance Analysis'!$B$9,'Variance Analysis'!$A$9:$A$24,'Variance Analysis'!$A$13)</f>
        <v>#REF!</v>
      </c>
      <c r="I47" s="99" t="e">
        <f>SUMIFS('Variance Analysis'!I$9:I$24,'Variance Analysis'!$B$9:$B$24,'Variance Analysis'!$B$9,'Variance Analysis'!$A$9:$A$24,'Variance Analysis'!$A$13)</f>
        <v>#REF!</v>
      </c>
      <c r="J47" s="99" t="e">
        <f>SUMIFS('Variance Analysis'!J$9:J$24,'Variance Analysis'!$B$9:$B$24,'Variance Analysis'!$B$9,'Variance Analysis'!$A$9:$A$24,'Variance Analysis'!$A$13)</f>
        <v>#REF!</v>
      </c>
      <c r="K47" s="99" t="e">
        <f>SUMIFS('Variance Analysis'!K$9:K$24,'Variance Analysis'!$B$9:$B$24,'Variance Analysis'!$B$9,'Variance Analysis'!$A$9:$A$24,'Variance Analysis'!$A$13)</f>
        <v>#REF!</v>
      </c>
      <c r="L47" s="99" t="e">
        <f>SUMIFS('Variance Analysis'!L$9:L$24,'Variance Analysis'!$B$9:$B$24,'Variance Analysis'!$B$9,'Variance Analysis'!$A$9:$A$24,'Variance Analysis'!$A$13)</f>
        <v>#REF!</v>
      </c>
      <c r="M47" s="99" t="e">
        <f>SUMIFS('Variance Analysis'!M$9:M$24,'Variance Analysis'!$B$9:$B$24,'Variance Analysis'!$B$9,'Variance Analysis'!$A$9:$A$24,'Variance Analysis'!$A$13)</f>
        <v>#REF!</v>
      </c>
      <c r="N47" s="99" t="e">
        <f>SUMIFS('Variance Analysis'!N$9:N$24,'Variance Analysis'!$B$9:$B$24,'Variance Analysis'!$B$9,'Variance Analysis'!$A$9:$A$24,'Variance Analysis'!$A$13)</f>
        <v>#REF!</v>
      </c>
    </row>
    <row r="48" spans="1:26" ht="14.25" customHeight="1" x14ac:dyDescent="0.25">
      <c r="A48" s="93" t="s">
        <v>264</v>
      </c>
      <c r="B48" s="94" t="s">
        <v>50</v>
      </c>
      <c r="C48" s="100" t="e">
        <f t="shared" ref="C48:N48" si="5">ABS(C47)-SUM(C44:C46)</f>
        <v>#REF!</v>
      </c>
      <c r="D48" s="100" t="e">
        <f t="shared" si="5"/>
        <v>#REF!</v>
      </c>
      <c r="E48" s="100" t="e">
        <f t="shared" si="5"/>
        <v>#REF!</v>
      </c>
      <c r="F48" s="100" t="e">
        <f t="shared" si="5"/>
        <v>#REF!</v>
      </c>
      <c r="G48" s="100" t="e">
        <f t="shared" si="5"/>
        <v>#REF!</v>
      </c>
      <c r="H48" s="100" t="e">
        <f t="shared" si="5"/>
        <v>#REF!</v>
      </c>
      <c r="I48" s="100" t="e">
        <f t="shared" si="5"/>
        <v>#REF!</v>
      </c>
      <c r="J48" s="100" t="e">
        <f t="shared" si="5"/>
        <v>#REF!</v>
      </c>
      <c r="K48" s="100" t="e">
        <f t="shared" si="5"/>
        <v>#REF!</v>
      </c>
      <c r="L48" s="100" t="e">
        <f t="shared" si="5"/>
        <v>#REF!</v>
      </c>
      <c r="M48" s="100" t="e">
        <f t="shared" si="5"/>
        <v>#REF!</v>
      </c>
      <c r="N48" s="100" t="e">
        <f t="shared" si="5"/>
        <v>#REF!</v>
      </c>
    </row>
    <row r="49" spans="1:26" ht="14.25" customHeight="1" x14ac:dyDescent="0.25">
      <c r="A49" s="6"/>
      <c r="B49" s="7"/>
      <c r="C49" s="40"/>
      <c r="D49" s="40"/>
      <c r="E49" s="40"/>
      <c r="F49" s="40"/>
      <c r="G49" s="40"/>
      <c r="H49" s="40"/>
      <c r="I49" s="40"/>
      <c r="J49" s="40"/>
      <c r="K49" s="40"/>
      <c r="L49" s="40"/>
      <c r="M49" s="40"/>
      <c r="N49" s="40"/>
    </row>
    <row r="50" spans="1:26" ht="14.25" customHeight="1" x14ac:dyDescent="0.25">
      <c r="A50" s="6"/>
      <c r="B50" s="7"/>
      <c r="C50" s="40"/>
      <c r="D50" s="40"/>
      <c r="E50" s="40"/>
      <c r="F50" s="40"/>
      <c r="G50" s="40"/>
      <c r="H50" s="40"/>
      <c r="I50" s="40"/>
      <c r="J50" s="40"/>
      <c r="K50" s="40"/>
      <c r="L50" s="40"/>
      <c r="M50" s="40"/>
      <c r="N50" s="40"/>
    </row>
    <row r="51" spans="1:26" ht="33" customHeight="1" x14ac:dyDescent="0.3">
      <c r="A51" s="173" t="s">
        <v>55</v>
      </c>
      <c r="B51" s="171" t="s">
        <v>244</v>
      </c>
      <c r="C51" s="75" t="s">
        <v>200</v>
      </c>
      <c r="D51" s="75" t="s">
        <v>201</v>
      </c>
      <c r="E51" s="75" t="s">
        <v>202</v>
      </c>
      <c r="F51" s="75" t="s">
        <v>203</v>
      </c>
      <c r="G51" s="75" t="s">
        <v>204</v>
      </c>
      <c r="H51" s="75" t="s">
        <v>205</v>
      </c>
      <c r="I51" s="75" t="s">
        <v>206</v>
      </c>
      <c r="J51" s="75" t="s">
        <v>207</v>
      </c>
      <c r="K51" s="75" t="s">
        <v>208</v>
      </c>
      <c r="L51" s="75" t="s">
        <v>209</v>
      </c>
      <c r="M51" s="75" t="s">
        <v>210</v>
      </c>
      <c r="N51" s="75" t="s">
        <v>211</v>
      </c>
      <c r="O51" s="177"/>
      <c r="P51" s="177"/>
      <c r="Q51" s="177"/>
      <c r="R51" s="177"/>
      <c r="S51" s="177"/>
      <c r="T51" s="177"/>
      <c r="U51" s="177"/>
      <c r="V51" s="177"/>
      <c r="W51" s="177"/>
      <c r="X51" s="177"/>
      <c r="Y51" s="177"/>
      <c r="Z51" s="177"/>
    </row>
    <row r="52" spans="1:26" ht="14.25" customHeight="1" x14ac:dyDescent="0.25">
      <c r="A52" s="90" t="s">
        <v>261</v>
      </c>
      <c r="B52" s="90" t="s">
        <v>50</v>
      </c>
      <c r="C52" s="99" t="e">
        <f>SUMIFS('Variance Analysis'!C$9:C$24,'Variance Analysis'!$B$9:$B$24,'Variance Analysis'!$B$12,'Variance Analysis'!$A$9:$A$24,'Variance Analysis'!$A$17)</f>
        <v>#REF!</v>
      </c>
      <c r="D52" s="99" t="e">
        <f>SUMIFS('Variance Analysis'!D$9:D$24,'Variance Analysis'!$B$9:$B$24,'Variance Analysis'!$B$12,'Variance Analysis'!$A$9:$A$24,'Variance Analysis'!$A$17)</f>
        <v>#REF!</v>
      </c>
      <c r="E52" s="99" t="e">
        <f>SUMIFS('Variance Analysis'!E$9:E$24,'Variance Analysis'!$B$9:$B$24,'Variance Analysis'!$B$12,'Variance Analysis'!$A$9:$A$24,'Variance Analysis'!$A$17)</f>
        <v>#REF!</v>
      </c>
      <c r="F52" s="99" t="e">
        <f>SUMIFS('Variance Analysis'!F$9:F$24,'Variance Analysis'!$B$9:$B$24,'Variance Analysis'!$B$12,'Variance Analysis'!$A$9:$A$24,'Variance Analysis'!$A$17)</f>
        <v>#REF!</v>
      </c>
      <c r="G52" s="99" t="e">
        <f>SUMIFS('Variance Analysis'!G$9:G$24,'Variance Analysis'!$B$9:$B$24,'Variance Analysis'!$B$12,'Variance Analysis'!$A$9:$A$24,'Variance Analysis'!$A$17)</f>
        <v>#REF!</v>
      </c>
      <c r="H52" s="99" t="e">
        <f>SUMIFS('Variance Analysis'!H$9:H$24,'Variance Analysis'!$B$9:$B$24,'Variance Analysis'!$B$12,'Variance Analysis'!$A$9:$A$24,'Variance Analysis'!$A$17)</f>
        <v>#REF!</v>
      </c>
      <c r="I52" s="99" t="e">
        <f>SUMIFS('Variance Analysis'!I$9:I$24,'Variance Analysis'!$B$9:$B$24,'Variance Analysis'!$B$12,'Variance Analysis'!$A$9:$A$24,'Variance Analysis'!$A$17)</f>
        <v>#REF!</v>
      </c>
      <c r="J52" s="99" t="e">
        <f>SUMIFS('Variance Analysis'!J$9:J$24,'Variance Analysis'!$B$9:$B$24,'Variance Analysis'!$B$12,'Variance Analysis'!$A$9:$A$24,'Variance Analysis'!$A$17)</f>
        <v>#REF!</v>
      </c>
      <c r="K52" s="99" t="e">
        <f>SUMIFS('Variance Analysis'!K$9:K$24,'Variance Analysis'!$B$9:$B$24,'Variance Analysis'!$B$12,'Variance Analysis'!$A$9:$A$24,'Variance Analysis'!$A$17)</f>
        <v>#REF!</v>
      </c>
      <c r="L52" s="99" t="e">
        <f>SUMIFS('Variance Analysis'!L$9:L$24,'Variance Analysis'!$B$9:$B$24,'Variance Analysis'!$B$12,'Variance Analysis'!$A$9:$A$24,'Variance Analysis'!$A$17)</f>
        <v>#REF!</v>
      </c>
      <c r="M52" s="99" t="e">
        <f>SUMIFS('Variance Analysis'!M$9:M$24,'Variance Analysis'!$B$9:$B$24,'Variance Analysis'!$B$12,'Variance Analysis'!$A$9:$A$24,'Variance Analysis'!$A$17)</f>
        <v>#REF!</v>
      </c>
      <c r="N52" s="99" t="e">
        <f>SUMIFS('Variance Analysis'!N$9:N$24,'Variance Analysis'!$B$9:$B$24,'Variance Analysis'!$B$12,'Variance Analysis'!$A$9:$A$24,'Variance Analysis'!$A$17)</f>
        <v>#REF!</v>
      </c>
    </row>
    <row r="53" spans="1:26" ht="14.25" customHeight="1" x14ac:dyDescent="0.25">
      <c r="A53" s="90" t="s">
        <v>222</v>
      </c>
      <c r="B53" s="90" t="s">
        <v>50</v>
      </c>
      <c r="C53" s="99" t="e">
        <f>SUMIFS('Variance Analysis'!C$9:C$24,'Variance Analysis'!$B$9:$B$24,'Variance Analysis'!$B$10,'Variance Analysis'!$A$9:$A$24,'Variance Analysis'!$A$17)</f>
        <v>#REF!</v>
      </c>
      <c r="D53" s="99" t="e">
        <f>SUMIFS('Variance Analysis'!D$9:D$24,'Variance Analysis'!$B$9:$B$24,'Variance Analysis'!$B$10,'Variance Analysis'!$A$9:$A$24,'Variance Analysis'!$A$17)</f>
        <v>#REF!</v>
      </c>
      <c r="E53" s="99" t="e">
        <f>SUMIFS('Variance Analysis'!E$9:E$24,'Variance Analysis'!$B$9:$B$24,'Variance Analysis'!$B$10,'Variance Analysis'!$A$9:$A$24,'Variance Analysis'!$A$17)</f>
        <v>#REF!</v>
      </c>
      <c r="F53" s="99" t="e">
        <f>SUMIFS('Variance Analysis'!F$9:F$24,'Variance Analysis'!$B$9:$B$24,'Variance Analysis'!$B$10,'Variance Analysis'!$A$9:$A$24,'Variance Analysis'!$A$17)</f>
        <v>#REF!</v>
      </c>
      <c r="G53" s="99" t="e">
        <f>SUMIFS('Variance Analysis'!G$9:G$24,'Variance Analysis'!$B$9:$B$24,'Variance Analysis'!$B$10,'Variance Analysis'!$A$9:$A$24,'Variance Analysis'!$A$17)</f>
        <v>#REF!</v>
      </c>
      <c r="H53" s="99" t="e">
        <f>SUMIFS('Variance Analysis'!H$9:H$24,'Variance Analysis'!$B$9:$B$24,'Variance Analysis'!$B$10,'Variance Analysis'!$A$9:$A$24,'Variance Analysis'!$A$17)</f>
        <v>#REF!</v>
      </c>
      <c r="I53" s="99" t="e">
        <f>SUMIFS('Variance Analysis'!I$9:I$24,'Variance Analysis'!$B$9:$B$24,'Variance Analysis'!$B$10,'Variance Analysis'!$A$9:$A$24,'Variance Analysis'!$A$17)</f>
        <v>#REF!</v>
      </c>
      <c r="J53" s="99" t="e">
        <f>SUMIFS('Variance Analysis'!J$9:J$24,'Variance Analysis'!$B$9:$B$24,'Variance Analysis'!$B$10,'Variance Analysis'!$A$9:$A$24,'Variance Analysis'!$A$17)</f>
        <v>#REF!</v>
      </c>
      <c r="K53" s="99" t="e">
        <f>SUMIFS('Variance Analysis'!K$9:K$24,'Variance Analysis'!$B$9:$B$24,'Variance Analysis'!$B$10,'Variance Analysis'!$A$9:$A$24,'Variance Analysis'!$A$17)</f>
        <v>#REF!</v>
      </c>
      <c r="L53" s="99" t="e">
        <f>SUMIFS('Variance Analysis'!L$9:L$24,'Variance Analysis'!$B$9:$B$24,'Variance Analysis'!$B$10,'Variance Analysis'!$A$9:$A$24,'Variance Analysis'!$A$17)</f>
        <v>#REF!</v>
      </c>
      <c r="M53" s="99" t="e">
        <f>SUMIFS('Variance Analysis'!M$9:M$24,'Variance Analysis'!$B$9:$B$24,'Variance Analysis'!$B$10,'Variance Analysis'!$A$9:$A$24,'Variance Analysis'!$A$17)</f>
        <v>#REF!</v>
      </c>
      <c r="N53" s="99" t="e">
        <f>SUMIFS('Variance Analysis'!N$9:N$24,'Variance Analysis'!$B$9:$B$24,'Variance Analysis'!$B$10,'Variance Analysis'!$A$9:$A$24,'Variance Analysis'!$A$17)</f>
        <v>#REF!</v>
      </c>
    </row>
    <row r="54" spans="1:26" ht="14.25" customHeight="1" x14ac:dyDescent="0.25">
      <c r="A54" s="90" t="s">
        <v>223</v>
      </c>
      <c r="B54" s="90" t="s">
        <v>50</v>
      </c>
      <c r="C54" s="99" t="e">
        <f>SUMIFS('Variance Analysis'!C$9:C$24,'Variance Analysis'!$B$9:$B$24,'Variance Analysis'!$B$11,'Variance Analysis'!$A$9:$A$24,'Variance Analysis'!$A$17)</f>
        <v>#REF!</v>
      </c>
      <c r="D54" s="99" t="e">
        <f>SUMIFS('Variance Analysis'!D$9:D$24,'Variance Analysis'!$B$9:$B$24,'Variance Analysis'!$B$11,'Variance Analysis'!$A$9:$A$24,'Variance Analysis'!$A$17)</f>
        <v>#REF!</v>
      </c>
      <c r="E54" s="99" t="e">
        <f>SUMIFS('Variance Analysis'!E$9:E$24,'Variance Analysis'!$B$9:$B$24,'Variance Analysis'!$B$11,'Variance Analysis'!$A$9:$A$24,'Variance Analysis'!$A$17)</f>
        <v>#REF!</v>
      </c>
      <c r="F54" s="99" t="e">
        <f>SUMIFS('Variance Analysis'!F$9:F$24,'Variance Analysis'!$B$9:$B$24,'Variance Analysis'!$B$11,'Variance Analysis'!$A$9:$A$24,'Variance Analysis'!$A$17)</f>
        <v>#REF!</v>
      </c>
      <c r="G54" s="99" t="e">
        <f>SUMIFS('Variance Analysis'!G$9:G$24,'Variance Analysis'!$B$9:$B$24,'Variance Analysis'!$B$11,'Variance Analysis'!$A$9:$A$24,'Variance Analysis'!$A$17)</f>
        <v>#REF!</v>
      </c>
      <c r="H54" s="99" t="e">
        <f>SUMIFS('Variance Analysis'!H$9:H$24,'Variance Analysis'!$B$9:$B$24,'Variance Analysis'!$B$11,'Variance Analysis'!$A$9:$A$24,'Variance Analysis'!$A$17)</f>
        <v>#REF!</v>
      </c>
      <c r="I54" s="99" t="e">
        <f>SUMIFS('Variance Analysis'!I$9:I$24,'Variance Analysis'!$B$9:$B$24,'Variance Analysis'!$B$11,'Variance Analysis'!$A$9:$A$24,'Variance Analysis'!$A$17)</f>
        <v>#REF!</v>
      </c>
      <c r="J54" s="99" t="e">
        <f>SUMIFS('Variance Analysis'!J$9:J$24,'Variance Analysis'!$B$9:$B$24,'Variance Analysis'!$B$11,'Variance Analysis'!$A$9:$A$24,'Variance Analysis'!$A$17)</f>
        <v>#REF!</v>
      </c>
      <c r="K54" s="99" t="e">
        <f>SUMIFS('Variance Analysis'!K$9:K$24,'Variance Analysis'!$B$9:$B$24,'Variance Analysis'!$B$11,'Variance Analysis'!$A$9:$A$24,'Variance Analysis'!$A$17)</f>
        <v>#REF!</v>
      </c>
      <c r="L54" s="99" t="e">
        <f>SUMIFS('Variance Analysis'!L$9:L$24,'Variance Analysis'!$B$9:$B$24,'Variance Analysis'!$B$11,'Variance Analysis'!$A$9:$A$24,'Variance Analysis'!$A$17)</f>
        <v>#REF!</v>
      </c>
      <c r="M54" s="99" t="e">
        <f>SUMIFS('Variance Analysis'!M$9:M$24,'Variance Analysis'!$B$9:$B$24,'Variance Analysis'!$B$11,'Variance Analysis'!$A$9:$A$24,'Variance Analysis'!$A$17)</f>
        <v>#REF!</v>
      </c>
      <c r="N54" s="99" t="e">
        <f>SUMIFS('Variance Analysis'!N$9:N$24,'Variance Analysis'!$B$9:$B$24,'Variance Analysis'!$B$11,'Variance Analysis'!$A$9:$A$24,'Variance Analysis'!$A$17)</f>
        <v>#REF!</v>
      </c>
    </row>
    <row r="55" spans="1:26" ht="14.25" customHeight="1" x14ac:dyDescent="0.25">
      <c r="A55" s="90" t="s">
        <v>213</v>
      </c>
      <c r="B55" s="90" t="s">
        <v>50</v>
      </c>
      <c r="C55" s="99" t="e">
        <f>SUMIFS('Variance Analysis'!C$9:C$24,'Variance Analysis'!$B$9:$B$24,'Variance Analysis'!$B$9,'Variance Analysis'!$A$9:$A$24,'Variance Analysis'!$A$17)</f>
        <v>#REF!</v>
      </c>
      <c r="D55" s="99" t="e">
        <f>SUMIFS('Variance Analysis'!D$9:D$24,'Variance Analysis'!$B$9:$B$24,'Variance Analysis'!$B$9,'Variance Analysis'!$A$9:$A$24,'Variance Analysis'!$A$17)</f>
        <v>#REF!</v>
      </c>
      <c r="E55" s="99" t="e">
        <f>SUMIFS('Variance Analysis'!E$9:E$24,'Variance Analysis'!$B$9:$B$24,'Variance Analysis'!$B$9,'Variance Analysis'!$A$9:$A$24,'Variance Analysis'!$A$17)</f>
        <v>#REF!</v>
      </c>
      <c r="F55" s="99" t="e">
        <f>SUMIFS('Variance Analysis'!F$9:F$24,'Variance Analysis'!$B$9:$B$24,'Variance Analysis'!$B$9,'Variance Analysis'!$A$9:$A$24,'Variance Analysis'!$A$17)</f>
        <v>#REF!</v>
      </c>
      <c r="G55" s="99" t="e">
        <f>SUMIFS('Variance Analysis'!G$9:G$24,'Variance Analysis'!$B$9:$B$24,'Variance Analysis'!$B$9,'Variance Analysis'!$A$9:$A$24,'Variance Analysis'!$A$17)</f>
        <v>#REF!</v>
      </c>
      <c r="H55" s="99" t="e">
        <f>SUMIFS('Variance Analysis'!H$9:H$24,'Variance Analysis'!$B$9:$B$24,'Variance Analysis'!$B$9,'Variance Analysis'!$A$9:$A$24,'Variance Analysis'!$A$17)</f>
        <v>#REF!</v>
      </c>
      <c r="I55" s="99" t="e">
        <f>SUMIFS('Variance Analysis'!I$9:I$24,'Variance Analysis'!$B$9:$B$24,'Variance Analysis'!$B$9,'Variance Analysis'!$A$9:$A$24,'Variance Analysis'!$A$17)</f>
        <v>#REF!</v>
      </c>
      <c r="J55" s="99" t="e">
        <f>SUMIFS('Variance Analysis'!J$9:J$24,'Variance Analysis'!$B$9:$B$24,'Variance Analysis'!$B$9,'Variance Analysis'!$A$9:$A$24,'Variance Analysis'!$A$17)</f>
        <v>#REF!</v>
      </c>
      <c r="K55" s="99" t="e">
        <f>SUMIFS('Variance Analysis'!K$9:K$24,'Variance Analysis'!$B$9:$B$24,'Variance Analysis'!$B$9,'Variance Analysis'!$A$9:$A$24,'Variance Analysis'!$A$17)</f>
        <v>#REF!</v>
      </c>
      <c r="L55" s="99" t="e">
        <f>SUMIFS('Variance Analysis'!L$9:L$24,'Variance Analysis'!$B$9:$B$24,'Variance Analysis'!$B$9,'Variance Analysis'!$A$9:$A$24,'Variance Analysis'!$A$17)</f>
        <v>#REF!</v>
      </c>
      <c r="M55" s="99" t="e">
        <f>SUMIFS('Variance Analysis'!M$9:M$24,'Variance Analysis'!$B$9:$B$24,'Variance Analysis'!$B$9,'Variance Analysis'!$A$9:$A$24,'Variance Analysis'!$A$17)</f>
        <v>#REF!</v>
      </c>
      <c r="N55" s="99" t="e">
        <f>SUMIFS('Variance Analysis'!N$9:N$24,'Variance Analysis'!$B$9:$B$24,'Variance Analysis'!$B$9,'Variance Analysis'!$A$9:$A$24,'Variance Analysis'!$A$17)</f>
        <v>#REF!</v>
      </c>
    </row>
    <row r="56" spans="1:26" ht="14.25" customHeight="1" x14ac:dyDescent="0.25">
      <c r="A56" s="93" t="s">
        <v>264</v>
      </c>
      <c r="B56" s="94" t="s">
        <v>50</v>
      </c>
      <c r="C56" s="100" t="e">
        <f t="shared" ref="C56:N56" si="6">ABS(C55)-SUM(C52:C54)</f>
        <v>#REF!</v>
      </c>
      <c r="D56" s="100" t="e">
        <f t="shared" si="6"/>
        <v>#REF!</v>
      </c>
      <c r="E56" s="100" t="e">
        <f t="shared" si="6"/>
        <v>#REF!</v>
      </c>
      <c r="F56" s="100" t="e">
        <f t="shared" si="6"/>
        <v>#REF!</v>
      </c>
      <c r="G56" s="100" t="e">
        <f t="shared" si="6"/>
        <v>#REF!</v>
      </c>
      <c r="H56" s="100" t="e">
        <f t="shared" si="6"/>
        <v>#REF!</v>
      </c>
      <c r="I56" s="100" t="e">
        <f t="shared" si="6"/>
        <v>#REF!</v>
      </c>
      <c r="J56" s="100" t="e">
        <f t="shared" si="6"/>
        <v>#REF!</v>
      </c>
      <c r="K56" s="100" t="e">
        <f t="shared" si="6"/>
        <v>#REF!</v>
      </c>
      <c r="L56" s="100" t="e">
        <f t="shared" si="6"/>
        <v>#REF!</v>
      </c>
      <c r="M56" s="100" t="e">
        <f t="shared" si="6"/>
        <v>#REF!</v>
      </c>
      <c r="N56" s="100" t="e">
        <f t="shared" si="6"/>
        <v>#REF!</v>
      </c>
    </row>
    <row r="57" spans="1:26" ht="14.25" customHeight="1" x14ac:dyDescent="0.25">
      <c r="A57" s="6"/>
      <c r="B57" s="7"/>
      <c r="C57" s="40"/>
      <c r="D57" s="40"/>
      <c r="E57" s="40"/>
      <c r="F57" s="40"/>
      <c r="G57" s="40"/>
      <c r="H57" s="40"/>
      <c r="I57" s="40"/>
      <c r="J57" s="40"/>
      <c r="K57" s="40"/>
      <c r="L57" s="40"/>
      <c r="M57" s="40"/>
      <c r="N57" s="40"/>
    </row>
    <row r="58" spans="1:26" ht="33" customHeight="1" x14ac:dyDescent="0.3">
      <c r="A58" s="173" t="s">
        <v>265</v>
      </c>
      <c r="B58" s="171" t="s">
        <v>244</v>
      </c>
      <c r="C58" s="75" t="s">
        <v>200</v>
      </c>
      <c r="D58" s="75" t="s">
        <v>201</v>
      </c>
      <c r="E58" s="75" t="s">
        <v>202</v>
      </c>
      <c r="F58" s="75" t="s">
        <v>203</v>
      </c>
      <c r="G58" s="75" t="s">
        <v>204</v>
      </c>
      <c r="H58" s="75" t="s">
        <v>205</v>
      </c>
      <c r="I58" s="75" t="s">
        <v>206</v>
      </c>
      <c r="J58" s="75" t="s">
        <v>207</v>
      </c>
      <c r="K58" s="75" t="s">
        <v>208</v>
      </c>
      <c r="L58" s="75" t="s">
        <v>209</v>
      </c>
      <c r="M58" s="75" t="s">
        <v>210</v>
      </c>
      <c r="N58" s="75" t="s">
        <v>211</v>
      </c>
      <c r="O58" s="177"/>
      <c r="P58" s="177"/>
      <c r="Q58" s="177"/>
      <c r="R58" s="177"/>
      <c r="S58" s="177"/>
      <c r="T58" s="177"/>
      <c r="U58" s="177"/>
      <c r="V58" s="177"/>
      <c r="W58" s="177"/>
      <c r="X58" s="177"/>
      <c r="Y58" s="177"/>
      <c r="Z58" s="177"/>
    </row>
    <row r="59" spans="1:26" ht="14.25" customHeight="1" x14ac:dyDescent="0.25">
      <c r="A59" s="90" t="s">
        <v>261</v>
      </c>
      <c r="B59" s="90" t="s">
        <v>50</v>
      </c>
      <c r="C59" s="99" t="e">
        <f>SUMIFS('Variance Analysis'!C$9:C$24,'Variance Analysis'!$B$9:$B$24,'Variance Analysis'!$B$12,'Variance Analysis'!$A$9:$A$24,'Variance Analysis'!$A$21)</f>
        <v>#REF!</v>
      </c>
      <c r="D59" s="99" t="e">
        <f>SUMIFS('Variance Analysis'!D$9:D$24,'Variance Analysis'!$B$9:$B$24,'Variance Analysis'!$B$12,'Variance Analysis'!$A$9:$A$24,'Variance Analysis'!$A$21)</f>
        <v>#REF!</v>
      </c>
      <c r="E59" s="99" t="e">
        <f>SUMIFS('Variance Analysis'!E$9:E$24,'Variance Analysis'!$B$9:$B$24,'Variance Analysis'!$B$12,'Variance Analysis'!$A$9:$A$24,'Variance Analysis'!$A$21)</f>
        <v>#REF!</v>
      </c>
      <c r="F59" s="99" t="e">
        <f>SUMIFS('Variance Analysis'!F$9:F$24,'Variance Analysis'!$B$9:$B$24,'Variance Analysis'!$B$12,'Variance Analysis'!$A$9:$A$24,'Variance Analysis'!$A$21)</f>
        <v>#REF!</v>
      </c>
      <c r="G59" s="99" t="e">
        <f>SUMIFS('Variance Analysis'!G$9:G$24,'Variance Analysis'!$B$9:$B$24,'Variance Analysis'!$B$12,'Variance Analysis'!$A$9:$A$24,'Variance Analysis'!$A$21)</f>
        <v>#REF!</v>
      </c>
      <c r="H59" s="99" t="e">
        <f>SUMIFS('Variance Analysis'!H$9:H$24,'Variance Analysis'!$B$9:$B$24,'Variance Analysis'!$B$12,'Variance Analysis'!$A$9:$A$24,'Variance Analysis'!$A$21)</f>
        <v>#REF!</v>
      </c>
      <c r="I59" s="99" t="e">
        <f>SUMIFS('Variance Analysis'!I$9:I$24,'Variance Analysis'!$B$9:$B$24,'Variance Analysis'!$B$12,'Variance Analysis'!$A$9:$A$24,'Variance Analysis'!$A$21)</f>
        <v>#REF!</v>
      </c>
      <c r="J59" s="99" t="e">
        <f>SUMIFS('Variance Analysis'!J$9:J$24,'Variance Analysis'!$B$9:$B$24,'Variance Analysis'!$B$12,'Variance Analysis'!$A$9:$A$24,'Variance Analysis'!$A$21)</f>
        <v>#REF!</v>
      </c>
      <c r="K59" s="99" t="e">
        <f>SUMIFS('Variance Analysis'!K$9:K$24,'Variance Analysis'!$B$9:$B$24,'Variance Analysis'!$B$12,'Variance Analysis'!$A$9:$A$24,'Variance Analysis'!$A$21)</f>
        <v>#REF!</v>
      </c>
      <c r="L59" s="99" t="e">
        <f>SUMIFS('Variance Analysis'!L$9:L$24,'Variance Analysis'!$B$9:$B$24,'Variance Analysis'!$B$12,'Variance Analysis'!$A$9:$A$24,'Variance Analysis'!$A$21)</f>
        <v>#REF!</v>
      </c>
      <c r="M59" s="99" t="e">
        <f>SUMIFS('Variance Analysis'!M$9:M$24,'Variance Analysis'!$B$9:$B$24,'Variance Analysis'!$B$12,'Variance Analysis'!$A$9:$A$24,'Variance Analysis'!$A$21)</f>
        <v>#REF!</v>
      </c>
      <c r="N59" s="99" t="e">
        <f>SUMIFS('Variance Analysis'!N$9:N$24,'Variance Analysis'!$B$9:$B$24,'Variance Analysis'!$B$12,'Variance Analysis'!$A$9:$A$24,'Variance Analysis'!$A$21)</f>
        <v>#REF!</v>
      </c>
    </row>
    <row r="60" spans="1:26" ht="14.25" customHeight="1" x14ac:dyDescent="0.25">
      <c r="A60" s="90" t="s">
        <v>222</v>
      </c>
      <c r="B60" s="90" t="s">
        <v>50</v>
      </c>
      <c r="C60" s="99" t="e">
        <f>SUMIFS('Variance Analysis'!C$9:C$24,'Variance Analysis'!$B$9:$B$24,'Variance Analysis'!$B$10,'Variance Analysis'!$A$9:$A$24,'Variance Analysis'!$A$21)</f>
        <v>#REF!</v>
      </c>
      <c r="D60" s="99" t="e">
        <f>SUMIFS('Variance Analysis'!D$9:D$24,'Variance Analysis'!$B$9:$B$24,'Variance Analysis'!$B$10,'Variance Analysis'!$A$9:$A$24,'Variance Analysis'!$A$21)</f>
        <v>#REF!</v>
      </c>
      <c r="E60" s="99" t="e">
        <f>SUMIFS('Variance Analysis'!E$9:E$24,'Variance Analysis'!$B$9:$B$24,'Variance Analysis'!$B$10,'Variance Analysis'!$A$9:$A$24,'Variance Analysis'!$A$21)</f>
        <v>#REF!</v>
      </c>
      <c r="F60" s="99" t="e">
        <f>SUMIFS('Variance Analysis'!F$9:F$24,'Variance Analysis'!$B$9:$B$24,'Variance Analysis'!$B$10,'Variance Analysis'!$A$9:$A$24,'Variance Analysis'!$A$21)</f>
        <v>#REF!</v>
      </c>
      <c r="G60" s="99" t="e">
        <f>SUMIFS('Variance Analysis'!G$9:G$24,'Variance Analysis'!$B$9:$B$24,'Variance Analysis'!$B$10,'Variance Analysis'!$A$9:$A$24,'Variance Analysis'!$A$21)</f>
        <v>#REF!</v>
      </c>
      <c r="H60" s="99" t="e">
        <f>SUMIFS('Variance Analysis'!H$9:H$24,'Variance Analysis'!$B$9:$B$24,'Variance Analysis'!$B$10,'Variance Analysis'!$A$9:$A$24,'Variance Analysis'!$A$21)</f>
        <v>#REF!</v>
      </c>
      <c r="I60" s="99" t="e">
        <f>SUMIFS('Variance Analysis'!I$9:I$24,'Variance Analysis'!$B$9:$B$24,'Variance Analysis'!$B$10,'Variance Analysis'!$A$9:$A$24,'Variance Analysis'!$A$21)</f>
        <v>#REF!</v>
      </c>
      <c r="J60" s="99" t="e">
        <f>SUMIFS('Variance Analysis'!J$9:J$24,'Variance Analysis'!$B$9:$B$24,'Variance Analysis'!$B$10,'Variance Analysis'!$A$9:$A$24,'Variance Analysis'!$A$21)</f>
        <v>#REF!</v>
      </c>
      <c r="K60" s="99" t="e">
        <f>SUMIFS('Variance Analysis'!K$9:K$24,'Variance Analysis'!$B$9:$B$24,'Variance Analysis'!$B$10,'Variance Analysis'!$A$9:$A$24,'Variance Analysis'!$A$21)</f>
        <v>#REF!</v>
      </c>
      <c r="L60" s="99" t="e">
        <f>SUMIFS('Variance Analysis'!L$9:L$24,'Variance Analysis'!$B$9:$B$24,'Variance Analysis'!$B$10,'Variance Analysis'!$A$9:$A$24,'Variance Analysis'!$A$21)</f>
        <v>#REF!</v>
      </c>
      <c r="M60" s="99" t="e">
        <f>SUMIFS('Variance Analysis'!M$9:M$24,'Variance Analysis'!$B$9:$B$24,'Variance Analysis'!$B$10,'Variance Analysis'!$A$9:$A$24,'Variance Analysis'!$A$21)</f>
        <v>#REF!</v>
      </c>
      <c r="N60" s="99" t="e">
        <f>SUMIFS('Variance Analysis'!N$9:N$24,'Variance Analysis'!$B$9:$B$24,'Variance Analysis'!$B$10,'Variance Analysis'!$A$9:$A$24,'Variance Analysis'!$A$21)</f>
        <v>#REF!</v>
      </c>
    </row>
    <row r="61" spans="1:26" ht="14.25" customHeight="1" x14ac:dyDescent="0.25">
      <c r="A61" s="90" t="s">
        <v>223</v>
      </c>
      <c r="B61" s="90" t="s">
        <v>50</v>
      </c>
      <c r="C61" s="99" t="e">
        <f>SUMIFS('Variance Analysis'!C$9:C$24,'Variance Analysis'!$B$9:$B$24,'Variance Analysis'!$B$11,'Variance Analysis'!$A$9:$A$24,'Variance Analysis'!$A$21)</f>
        <v>#REF!</v>
      </c>
      <c r="D61" s="99" t="e">
        <f>SUMIFS('Variance Analysis'!D$9:D$24,'Variance Analysis'!$B$9:$B$24,'Variance Analysis'!$B$11,'Variance Analysis'!$A$9:$A$24,'Variance Analysis'!$A$21)</f>
        <v>#REF!</v>
      </c>
      <c r="E61" s="99" t="e">
        <f>SUMIFS('Variance Analysis'!E$9:E$24,'Variance Analysis'!$B$9:$B$24,'Variance Analysis'!$B$11,'Variance Analysis'!$A$9:$A$24,'Variance Analysis'!$A$21)</f>
        <v>#REF!</v>
      </c>
      <c r="F61" s="99" t="e">
        <f>SUMIFS('Variance Analysis'!F$9:F$24,'Variance Analysis'!$B$9:$B$24,'Variance Analysis'!$B$11,'Variance Analysis'!$A$9:$A$24,'Variance Analysis'!$A$21)</f>
        <v>#REF!</v>
      </c>
      <c r="G61" s="99" t="e">
        <f>SUMIFS('Variance Analysis'!G$9:G$24,'Variance Analysis'!$B$9:$B$24,'Variance Analysis'!$B$11,'Variance Analysis'!$A$9:$A$24,'Variance Analysis'!$A$21)</f>
        <v>#REF!</v>
      </c>
      <c r="H61" s="99" t="e">
        <f>SUMIFS('Variance Analysis'!H$9:H$24,'Variance Analysis'!$B$9:$B$24,'Variance Analysis'!$B$11,'Variance Analysis'!$A$9:$A$24,'Variance Analysis'!$A$21)</f>
        <v>#REF!</v>
      </c>
      <c r="I61" s="99" t="e">
        <f>SUMIFS('Variance Analysis'!I$9:I$24,'Variance Analysis'!$B$9:$B$24,'Variance Analysis'!$B$11,'Variance Analysis'!$A$9:$A$24,'Variance Analysis'!$A$21)</f>
        <v>#REF!</v>
      </c>
      <c r="J61" s="99" t="e">
        <f>SUMIFS('Variance Analysis'!J$9:J$24,'Variance Analysis'!$B$9:$B$24,'Variance Analysis'!$B$11,'Variance Analysis'!$A$9:$A$24,'Variance Analysis'!$A$21)</f>
        <v>#REF!</v>
      </c>
      <c r="K61" s="99" t="e">
        <f>SUMIFS('Variance Analysis'!K$9:K$24,'Variance Analysis'!$B$9:$B$24,'Variance Analysis'!$B$11,'Variance Analysis'!$A$9:$A$24,'Variance Analysis'!$A$21)</f>
        <v>#REF!</v>
      </c>
      <c r="L61" s="99" t="e">
        <f>SUMIFS('Variance Analysis'!L$9:L$24,'Variance Analysis'!$B$9:$B$24,'Variance Analysis'!$B$11,'Variance Analysis'!$A$9:$A$24,'Variance Analysis'!$A$21)</f>
        <v>#REF!</v>
      </c>
      <c r="M61" s="99" t="e">
        <f>SUMIFS('Variance Analysis'!M$9:M$24,'Variance Analysis'!$B$9:$B$24,'Variance Analysis'!$B$11,'Variance Analysis'!$A$9:$A$24,'Variance Analysis'!$A$21)</f>
        <v>#REF!</v>
      </c>
      <c r="N61" s="99" t="e">
        <f>SUMIFS('Variance Analysis'!N$9:N$24,'Variance Analysis'!$B$9:$B$24,'Variance Analysis'!$B$11,'Variance Analysis'!$A$9:$A$24,'Variance Analysis'!$A$21)</f>
        <v>#REF!</v>
      </c>
    </row>
    <row r="62" spans="1:26" ht="14.25" customHeight="1" x14ac:dyDescent="0.25">
      <c r="A62" s="90" t="s">
        <v>213</v>
      </c>
      <c r="B62" s="90" t="s">
        <v>50</v>
      </c>
      <c r="C62" s="99" t="e">
        <f>SUMIFS('Variance Analysis'!C$9:C$24,'Variance Analysis'!$B$9:$B$24,'Variance Analysis'!$B$9,'Variance Analysis'!$A$9:$A$24,'Variance Analysis'!$A$21)</f>
        <v>#REF!</v>
      </c>
      <c r="D62" s="99" t="e">
        <f>SUMIFS('Variance Analysis'!D$9:D$24,'Variance Analysis'!$B$9:$B$24,'Variance Analysis'!$B$9,'Variance Analysis'!$A$9:$A$24,'Variance Analysis'!$A$21)</f>
        <v>#REF!</v>
      </c>
      <c r="E62" s="99" t="e">
        <f>SUMIFS('Variance Analysis'!E$9:E$24,'Variance Analysis'!$B$9:$B$24,'Variance Analysis'!$B$9,'Variance Analysis'!$A$9:$A$24,'Variance Analysis'!$A$21)</f>
        <v>#REF!</v>
      </c>
      <c r="F62" s="99" t="e">
        <f>SUMIFS('Variance Analysis'!F$9:F$24,'Variance Analysis'!$B$9:$B$24,'Variance Analysis'!$B$9,'Variance Analysis'!$A$9:$A$24,'Variance Analysis'!$A$21)</f>
        <v>#REF!</v>
      </c>
      <c r="G62" s="99" t="e">
        <f>SUMIFS('Variance Analysis'!G$9:G$24,'Variance Analysis'!$B$9:$B$24,'Variance Analysis'!$B$9,'Variance Analysis'!$A$9:$A$24,'Variance Analysis'!$A$21)</f>
        <v>#REF!</v>
      </c>
      <c r="H62" s="99" t="e">
        <f>SUMIFS('Variance Analysis'!H$9:H$24,'Variance Analysis'!$B$9:$B$24,'Variance Analysis'!$B$9,'Variance Analysis'!$A$9:$A$24,'Variance Analysis'!$A$21)</f>
        <v>#REF!</v>
      </c>
      <c r="I62" s="99" t="e">
        <f>SUMIFS('Variance Analysis'!I$9:I$24,'Variance Analysis'!$B$9:$B$24,'Variance Analysis'!$B$9,'Variance Analysis'!$A$9:$A$24,'Variance Analysis'!$A$21)</f>
        <v>#REF!</v>
      </c>
      <c r="J62" s="99" t="e">
        <f>SUMIFS('Variance Analysis'!J$9:J$24,'Variance Analysis'!$B$9:$B$24,'Variance Analysis'!$B$9,'Variance Analysis'!$A$9:$A$24,'Variance Analysis'!$A$21)</f>
        <v>#REF!</v>
      </c>
      <c r="K62" s="99" t="e">
        <f>SUMIFS('Variance Analysis'!K$9:K$24,'Variance Analysis'!$B$9:$B$24,'Variance Analysis'!$B$9,'Variance Analysis'!$A$9:$A$24,'Variance Analysis'!$A$21)</f>
        <v>#REF!</v>
      </c>
      <c r="L62" s="99" t="e">
        <f>SUMIFS('Variance Analysis'!L$9:L$24,'Variance Analysis'!$B$9:$B$24,'Variance Analysis'!$B$9,'Variance Analysis'!$A$9:$A$24,'Variance Analysis'!$A$21)</f>
        <v>#REF!</v>
      </c>
      <c r="M62" s="99" t="e">
        <f>SUMIFS('Variance Analysis'!M$9:M$24,'Variance Analysis'!$B$9:$B$24,'Variance Analysis'!$B$9,'Variance Analysis'!$A$9:$A$24,'Variance Analysis'!$A$21)</f>
        <v>#REF!</v>
      </c>
      <c r="N62" s="99" t="e">
        <f>SUMIFS('Variance Analysis'!N$9:N$24,'Variance Analysis'!$B$9:$B$24,'Variance Analysis'!$B$9,'Variance Analysis'!$A$9:$A$24,'Variance Analysis'!$A$21)</f>
        <v>#REF!</v>
      </c>
    </row>
    <row r="63" spans="1:26" ht="14.25" customHeight="1" x14ac:dyDescent="0.25">
      <c r="A63" s="93" t="s">
        <v>264</v>
      </c>
      <c r="B63" s="94" t="s">
        <v>50</v>
      </c>
      <c r="C63" s="100" t="e">
        <f t="shared" ref="C63:N63" si="7">ABS(C62)-SUM(C59:C61)</f>
        <v>#REF!</v>
      </c>
      <c r="D63" s="100" t="e">
        <f t="shared" si="7"/>
        <v>#REF!</v>
      </c>
      <c r="E63" s="100" t="e">
        <f t="shared" si="7"/>
        <v>#REF!</v>
      </c>
      <c r="F63" s="100" t="e">
        <f t="shared" si="7"/>
        <v>#REF!</v>
      </c>
      <c r="G63" s="100" t="e">
        <f t="shared" si="7"/>
        <v>#REF!</v>
      </c>
      <c r="H63" s="100" t="e">
        <f t="shared" si="7"/>
        <v>#REF!</v>
      </c>
      <c r="I63" s="100" t="e">
        <f t="shared" si="7"/>
        <v>#REF!</v>
      </c>
      <c r="J63" s="100" t="e">
        <f t="shared" si="7"/>
        <v>#REF!</v>
      </c>
      <c r="K63" s="100" t="e">
        <f t="shared" si="7"/>
        <v>#REF!</v>
      </c>
      <c r="L63" s="100" t="e">
        <f t="shared" si="7"/>
        <v>#REF!</v>
      </c>
      <c r="M63" s="100" t="e">
        <f t="shared" si="7"/>
        <v>#REF!</v>
      </c>
      <c r="N63" s="100" t="e">
        <f t="shared" si="7"/>
        <v>#REF!</v>
      </c>
    </row>
    <row r="64" spans="1:26" ht="14.25" customHeight="1" x14ac:dyDescent="0.25">
      <c r="A64" s="6"/>
      <c r="B64" s="7"/>
      <c r="C64" s="40"/>
      <c r="D64" s="40"/>
      <c r="E64" s="40"/>
      <c r="F64" s="40"/>
      <c r="G64" s="40"/>
      <c r="H64" s="40"/>
      <c r="I64" s="40"/>
      <c r="J64" s="40"/>
      <c r="K64" s="40"/>
      <c r="L64" s="40"/>
      <c r="M64" s="40"/>
      <c r="N64" s="40"/>
    </row>
    <row r="65" spans="1:26" ht="39.75" customHeight="1" x14ac:dyDescent="0.35">
      <c r="A65" s="173" t="s">
        <v>267</v>
      </c>
      <c r="B65" s="174"/>
      <c r="C65" s="175"/>
      <c r="D65" s="175"/>
      <c r="E65" s="175"/>
      <c r="F65" s="175"/>
      <c r="G65" s="175"/>
      <c r="H65" s="175"/>
      <c r="I65" s="175"/>
      <c r="J65" s="175"/>
      <c r="K65" s="175"/>
      <c r="L65" s="175"/>
      <c r="M65" s="175"/>
      <c r="N65" s="175"/>
      <c r="O65" s="176"/>
      <c r="P65" s="176"/>
      <c r="Q65" s="176"/>
      <c r="R65" s="176"/>
      <c r="S65" s="176"/>
      <c r="T65" s="176"/>
      <c r="U65" s="176"/>
      <c r="V65" s="176"/>
      <c r="W65" s="176"/>
      <c r="X65" s="176"/>
      <c r="Y65" s="176"/>
      <c r="Z65" s="176"/>
    </row>
    <row r="66" spans="1:26" ht="14.25" customHeight="1" x14ac:dyDescent="0.25">
      <c r="A66" s="6" t="s">
        <v>268</v>
      </c>
      <c r="B66" s="7"/>
      <c r="C66" s="40"/>
      <c r="D66" s="40"/>
      <c r="E66" s="40"/>
      <c r="F66" s="40"/>
      <c r="G66" s="40"/>
      <c r="H66" s="40"/>
      <c r="I66" s="40"/>
      <c r="J66" s="40"/>
      <c r="K66" s="40"/>
      <c r="L66" s="40"/>
      <c r="M66" s="40"/>
      <c r="N66" s="40"/>
    </row>
    <row r="67" spans="1:26" ht="14.25" customHeight="1" x14ac:dyDescent="0.25">
      <c r="A67" s="6" t="s">
        <v>269</v>
      </c>
      <c r="B67" s="7"/>
      <c r="C67" s="40"/>
      <c r="D67" s="40"/>
      <c r="E67" s="40"/>
      <c r="F67" s="40"/>
      <c r="G67" s="40"/>
      <c r="H67" s="40"/>
      <c r="I67" s="40"/>
      <c r="J67" s="40"/>
      <c r="K67" s="40"/>
      <c r="L67" s="40"/>
      <c r="M67" s="40"/>
      <c r="N67" s="40"/>
    </row>
    <row r="68" spans="1:26" ht="14.25" customHeight="1" x14ac:dyDescent="0.25">
      <c r="A68" s="6" t="s">
        <v>270</v>
      </c>
      <c r="B68" s="7"/>
      <c r="C68" s="40"/>
      <c r="D68" s="40"/>
      <c r="E68" s="40"/>
      <c r="F68" s="40"/>
      <c r="G68" s="40"/>
      <c r="H68" s="40"/>
      <c r="I68" s="40"/>
      <c r="J68" s="40"/>
      <c r="K68" s="40"/>
      <c r="L68" s="40"/>
      <c r="M68" s="40"/>
      <c r="N68" s="40"/>
    </row>
    <row r="69" spans="1:26" ht="14.25" customHeight="1" x14ac:dyDescent="0.25">
      <c r="A69" s="6"/>
      <c r="B69" s="7"/>
      <c r="C69" s="40"/>
      <c r="D69" s="40"/>
      <c r="E69" s="40"/>
      <c r="F69" s="40"/>
      <c r="G69" s="40"/>
      <c r="H69" s="40"/>
      <c r="I69" s="40"/>
      <c r="J69" s="40"/>
      <c r="K69" s="40"/>
      <c r="L69" s="40"/>
      <c r="M69" s="40"/>
      <c r="N69" s="40"/>
    </row>
    <row r="70" spans="1:26" ht="14.25" customHeight="1" x14ac:dyDescent="0.25"/>
    <row r="71" spans="1:26" ht="14.25" customHeight="1" x14ac:dyDescent="0.25"/>
    <row r="72" spans="1:26" ht="14.25" customHeight="1" x14ac:dyDescent="0.25"/>
    <row r="73" spans="1:26" ht="14.25" customHeight="1" x14ac:dyDescent="0.25"/>
    <row r="74" spans="1:26" ht="14.25" customHeight="1" x14ac:dyDescent="0.25"/>
    <row r="75" spans="1:26" ht="14.25" customHeight="1" x14ac:dyDescent="0.25"/>
    <row r="76" spans="1:26" ht="14.25" customHeight="1" x14ac:dyDescent="0.25"/>
    <row r="77" spans="1:26" ht="14.25" customHeight="1" x14ac:dyDescent="0.25"/>
    <row r="78" spans="1:26" ht="14.25" customHeight="1" x14ac:dyDescent="0.25"/>
    <row r="79" spans="1:26" ht="14.25" customHeight="1" x14ac:dyDescent="0.25"/>
    <row r="80" spans="1:26"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T1"/>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 Me</vt:lpstr>
      <vt:lpstr>Data Repository Table</vt:lpstr>
      <vt:lpstr>Water Trading Repository Table</vt:lpstr>
      <vt:lpstr>Economic Market Analysis</vt:lpstr>
      <vt:lpstr>What-If Analysis</vt:lpstr>
      <vt:lpstr>Economic Cost Analysis</vt:lpstr>
      <vt:lpstr>Variance Analysis</vt:lpstr>
      <vt:lpstr>Cost to Produce</vt:lpstr>
      <vt:lpstr>EBIT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Christopher H</dc:creator>
  <cp:keywords/>
  <dc:description/>
  <cp:lastModifiedBy>Darien Evans</cp:lastModifiedBy>
  <cp:revision/>
  <dcterms:created xsi:type="dcterms:W3CDTF">2019-05-26T11:59:56Z</dcterms:created>
  <dcterms:modified xsi:type="dcterms:W3CDTF">2025-11-25T00:37:18Z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7c7b3fc-4128-41ae-86b4-e4b1b1ae5e15_Enabled">
    <vt:lpwstr>True</vt:lpwstr>
  </property>
  <property fmtid="{D5CDD505-2E9C-101B-9397-08002B2CF9AE}" pid="3" name="MSIP_Label_97c7b3fc-4128-41ae-86b4-e4b1b1ae5e15_SiteId">
    <vt:lpwstr>97160e56-eb00-44fe-b31d-0d6d351c636d</vt:lpwstr>
  </property>
  <property fmtid="{D5CDD505-2E9C-101B-9397-08002B2CF9AE}" pid="4" name="MSIP_Label_97c7b3fc-4128-41ae-86b4-e4b1b1ae5e15_Owner">
    <vt:lpwstr>Chris.Hui@origin.com.au</vt:lpwstr>
  </property>
  <property fmtid="{D5CDD505-2E9C-101B-9397-08002B2CF9AE}" pid="5" name="MSIP_Label_97c7b3fc-4128-41ae-86b4-e4b1b1ae5e15_SetDate">
    <vt:lpwstr>2019-09-14T08:39:43.2195742Z</vt:lpwstr>
  </property>
  <property fmtid="{D5CDD505-2E9C-101B-9397-08002B2CF9AE}" pid="6" name="MSIP_Label_97c7b3fc-4128-41ae-86b4-e4b1b1ae5e15_Name">
    <vt:lpwstr>General</vt:lpwstr>
  </property>
  <property fmtid="{D5CDD505-2E9C-101B-9397-08002B2CF9AE}" pid="7" name="MSIP_Label_97c7b3fc-4128-41ae-86b4-e4b1b1ae5e15_Application">
    <vt:lpwstr>Microsoft Azure Information Protection</vt:lpwstr>
  </property>
  <property fmtid="{D5CDD505-2E9C-101B-9397-08002B2CF9AE}" pid="8" name="MSIP_Label_97c7b3fc-4128-41ae-86b4-e4b1b1ae5e15_ActionId">
    <vt:lpwstr>459f6ffd-e1cd-453a-979a-da48b16233cc</vt:lpwstr>
  </property>
  <property fmtid="{D5CDD505-2E9C-101B-9397-08002B2CF9AE}" pid="9" name="MSIP_Label_97c7b3fc-4128-41ae-86b4-e4b1b1ae5e15_Extended_MSFT_Method">
    <vt:lpwstr>Automatic</vt:lpwstr>
  </property>
  <property fmtid="{D5CDD505-2E9C-101B-9397-08002B2CF9AE}" pid="10" name="Sensitivity">
    <vt:lpwstr>General</vt:lpwstr>
  </property>
</Properties>
</file>