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hidePivotFieldList="1" checkCompatibility="1"/>
  <mc:AlternateContent xmlns:mc="http://schemas.openxmlformats.org/markup-compatibility/2006">
    <mc:Choice Requires="x15">
      <x15ac:absPath xmlns:x15ac="http://schemas.microsoft.com/office/spreadsheetml/2010/11/ac" url="C:\Users\USER\Documents\MODELOS DE RIESGO\"/>
    </mc:Choice>
  </mc:AlternateContent>
  <xr:revisionPtr revIDLastSave="0" documentId="13_ncr:1_{73CA4BA0-B80A-4DE3-8A24-6317011F35B9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all" sheetId="15" state="hidden" r:id="rId1"/>
    <sheet name="Performance_BM" sheetId="26" state="hidden" r:id="rId2"/>
    <sheet name="Gains Chart" sheetId="27" r:id="rId3"/>
    <sheet name="Performance_Total" sheetId="30" state="hidden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6" l="1"/>
  <c r="E4" i="26"/>
  <c r="F4" i="26"/>
  <c r="G4" i="26"/>
  <c r="D5" i="26"/>
  <c r="E5" i="26"/>
  <c r="F5" i="26"/>
  <c r="G5" i="26"/>
  <c r="D6" i="26"/>
  <c r="E6" i="26"/>
  <c r="F6" i="26"/>
  <c r="G6" i="26"/>
  <c r="D7" i="26"/>
  <c r="E7" i="26"/>
  <c r="F7" i="26"/>
  <c r="G7" i="26"/>
  <c r="D8" i="26"/>
  <c r="E8" i="26"/>
  <c r="F8" i="26"/>
  <c r="G8" i="26"/>
  <c r="D9" i="26"/>
  <c r="E9" i="26"/>
  <c r="F9" i="26"/>
  <c r="G9" i="26"/>
  <c r="D10" i="26"/>
  <c r="E10" i="26"/>
  <c r="F10" i="26"/>
  <c r="G10" i="26"/>
  <c r="D11" i="26"/>
  <c r="E11" i="26"/>
  <c r="F11" i="26"/>
  <c r="G11" i="26"/>
  <c r="D12" i="26"/>
  <c r="E12" i="26"/>
  <c r="F12" i="26"/>
  <c r="G12" i="26"/>
  <c r="D13" i="26"/>
  <c r="E13" i="26"/>
  <c r="F13" i="26"/>
  <c r="G13" i="26"/>
  <c r="D14" i="26"/>
  <c r="E14" i="26"/>
  <c r="V14" i="26" s="1"/>
  <c r="F14" i="26"/>
  <c r="AD14" i="26" s="1"/>
  <c r="G14" i="26"/>
  <c r="D15" i="26"/>
  <c r="E15" i="26"/>
  <c r="V15" i="26" s="1"/>
  <c r="F15" i="26"/>
  <c r="AD15" i="26" s="1"/>
  <c r="G15" i="26"/>
  <c r="D16" i="26"/>
  <c r="E16" i="26"/>
  <c r="V16" i="26" s="1"/>
  <c r="F16" i="26"/>
  <c r="AD16" i="26" s="1"/>
  <c r="G16" i="26"/>
  <c r="D17" i="26"/>
  <c r="E17" i="26"/>
  <c r="V17" i="26" s="1"/>
  <c r="F17" i="26"/>
  <c r="AD17" i="26" s="1"/>
  <c r="G17" i="26"/>
  <c r="D18" i="26"/>
  <c r="E18" i="26"/>
  <c r="V18" i="26" s="1"/>
  <c r="F18" i="26"/>
  <c r="AD18" i="26" s="1"/>
  <c r="G18" i="26"/>
  <c r="D19" i="26"/>
  <c r="E19" i="26"/>
  <c r="V19" i="26" s="1"/>
  <c r="F19" i="26"/>
  <c r="G19" i="26"/>
  <c r="D20" i="26"/>
  <c r="E20" i="26"/>
  <c r="F20" i="26"/>
  <c r="G20" i="26"/>
  <c r="D21" i="26"/>
  <c r="E21" i="26"/>
  <c r="F21" i="26"/>
  <c r="G21" i="26"/>
  <c r="D22" i="26"/>
  <c r="E22" i="26"/>
  <c r="F22" i="26"/>
  <c r="G22" i="26"/>
  <c r="G3" i="26"/>
  <c r="F3" i="26"/>
  <c r="E3" i="26"/>
  <c r="D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3" i="26"/>
  <c r="R10" i="26" l="1"/>
  <c r="R9" i="26"/>
  <c r="R8" i="26"/>
  <c r="AH8" i="26" s="1"/>
  <c r="R7" i="26"/>
  <c r="AH7" i="26" s="1"/>
  <c r="C3" i="26"/>
  <c r="C21" i="26"/>
  <c r="C13" i="26"/>
  <c r="C9" i="26"/>
  <c r="C5" i="26"/>
  <c r="C22" i="26"/>
  <c r="C20" i="26"/>
  <c r="C19" i="26"/>
  <c r="C18" i="26"/>
  <c r="C16" i="26"/>
  <c r="C15" i="26"/>
  <c r="C14" i="26"/>
  <c r="C12" i="26"/>
  <c r="C11" i="26"/>
  <c r="C10" i="26"/>
  <c r="C8" i="26"/>
  <c r="C7" i="26"/>
  <c r="C6" i="26"/>
  <c r="C4" i="26"/>
  <c r="C17" i="26"/>
  <c r="B14" i="27"/>
  <c r="V13" i="26"/>
  <c r="R13" i="26"/>
  <c r="AH13" i="26" s="1"/>
  <c r="B15" i="27"/>
  <c r="B16" i="27"/>
  <c r="B17" i="27"/>
  <c r="B18" i="27"/>
  <c r="B19" i="27"/>
  <c r="B20" i="27"/>
  <c r="B21" i="27"/>
  <c r="B22" i="27"/>
  <c r="B23" i="27"/>
  <c r="A14" i="27"/>
  <c r="A15" i="27"/>
  <c r="A16" i="27"/>
  <c r="A17" i="27"/>
  <c r="A18" i="27"/>
  <c r="A19" i="27"/>
  <c r="A20" i="27"/>
  <c r="A21" i="27"/>
  <c r="A22" i="27"/>
  <c r="A23" i="27"/>
  <c r="R5" i="26"/>
  <c r="AH5" i="26" s="1"/>
  <c r="R3" i="26"/>
  <c r="AH3" i="26" s="1"/>
  <c r="R12" i="26"/>
  <c r="AH12" i="26" s="1"/>
  <c r="AJ12" i="26" s="1"/>
  <c r="R16" i="26"/>
  <c r="AH16" i="26" s="1"/>
  <c r="AJ16" i="26" s="1"/>
  <c r="R20" i="26"/>
  <c r="AH20" i="26" s="1"/>
  <c r="R22" i="26"/>
  <c r="AH22" i="26" s="1"/>
  <c r="B11" i="27"/>
  <c r="B25" i="27"/>
  <c r="A9" i="27"/>
  <c r="A12" i="27"/>
  <c r="A13" i="27"/>
  <c r="A26" i="27"/>
  <c r="AC3" i="26"/>
  <c r="AD22" i="26"/>
  <c r="AD21" i="26" s="1"/>
  <c r="F23" i="26"/>
  <c r="AE9" i="26" s="1"/>
  <c r="AD12" i="26"/>
  <c r="AD13" i="26"/>
  <c r="U3" i="26"/>
  <c r="U4" i="26" s="1"/>
  <c r="M3" i="26"/>
  <c r="V22" i="26"/>
  <c r="N22" i="26"/>
  <c r="N21" i="26" s="1"/>
  <c r="V12" i="26"/>
  <c r="V7" i="26"/>
  <c r="V6" i="26" s="1"/>
  <c r="V5" i="26" s="1"/>
  <c r="I7" i="27"/>
  <c r="F7" i="27"/>
  <c r="G23" i="26"/>
  <c r="B28" i="27"/>
  <c r="B27" i="27"/>
  <c r="B26" i="27"/>
  <c r="B24" i="27"/>
  <c r="B13" i="27"/>
  <c r="B12" i="27"/>
  <c r="B10" i="27"/>
  <c r="A27" i="27"/>
  <c r="A25" i="27"/>
  <c r="A24" i="27"/>
  <c r="A11" i="27"/>
  <c r="A10" i="27"/>
  <c r="W32" i="15"/>
  <c r="A3" i="15"/>
  <c r="A39" i="15" s="1"/>
  <c r="B3" i="15"/>
  <c r="B39" i="15" s="1"/>
  <c r="C3" i="15"/>
  <c r="D3" i="15" s="1"/>
  <c r="C4" i="15"/>
  <c r="C5" i="15"/>
  <c r="C41" i="15" s="1"/>
  <c r="C6" i="15"/>
  <c r="C42" i="15" s="1"/>
  <c r="C7" i="15"/>
  <c r="C8" i="15"/>
  <c r="C44" i="15" s="1"/>
  <c r="C9" i="15"/>
  <c r="C45" i="15" s="1"/>
  <c r="C10" i="15"/>
  <c r="C46" i="15" s="1"/>
  <c r="C11" i="15"/>
  <c r="C47" i="15" s="1"/>
  <c r="C12" i="15"/>
  <c r="E12" i="15" s="1"/>
  <c r="I3" i="15"/>
  <c r="J3" i="15" s="1"/>
  <c r="I4" i="15"/>
  <c r="X4" i="15" s="1"/>
  <c r="I5" i="15"/>
  <c r="I6" i="15"/>
  <c r="I7" i="15"/>
  <c r="I8" i="15"/>
  <c r="R8" i="15"/>
  <c r="AA8" i="15"/>
  <c r="I9" i="15"/>
  <c r="I10" i="15"/>
  <c r="I11" i="15"/>
  <c r="I12" i="15"/>
  <c r="X12" i="15" s="1"/>
  <c r="K12" i="15"/>
  <c r="K11" i="15" s="1"/>
  <c r="R3" i="15"/>
  <c r="R4" i="15"/>
  <c r="R5" i="15"/>
  <c r="R6" i="15"/>
  <c r="O6" i="15" s="1"/>
  <c r="R7" i="15"/>
  <c r="AA7" i="15"/>
  <c r="R9" i="15"/>
  <c r="R10" i="15"/>
  <c r="R11" i="15"/>
  <c r="R12" i="15"/>
  <c r="T12" i="15"/>
  <c r="AA3" i="15"/>
  <c r="AB3" i="15" s="1"/>
  <c r="AG3" i="15"/>
  <c r="AH3" i="15"/>
  <c r="AI3" i="15"/>
  <c r="AA4" i="15"/>
  <c r="AA11" i="15"/>
  <c r="A4" i="15"/>
  <c r="A40" i="15" s="1"/>
  <c r="B4" i="15"/>
  <c r="B40" i="15" s="1"/>
  <c r="AG4" i="15"/>
  <c r="AH4" i="15"/>
  <c r="AI4" i="15"/>
  <c r="A5" i="15"/>
  <c r="A41" i="15" s="1"/>
  <c r="B5" i="15"/>
  <c r="B41" i="15" s="1"/>
  <c r="AA5" i="15"/>
  <c r="AG5" i="15"/>
  <c r="AH5" i="15"/>
  <c r="AI5" i="15"/>
  <c r="A6" i="15"/>
  <c r="A42" i="15" s="1"/>
  <c r="B6" i="15"/>
  <c r="B42" i="15" s="1"/>
  <c r="AA6" i="15"/>
  <c r="AG6" i="15"/>
  <c r="AJ6" i="15" s="1"/>
  <c r="AH6" i="15"/>
  <c r="AI6" i="15"/>
  <c r="A7" i="15"/>
  <c r="A43" i="15" s="1"/>
  <c r="B7" i="15"/>
  <c r="B43" i="15" s="1"/>
  <c r="AG7" i="15"/>
  <c r="AH7" i="15"/>
  <c r="AI7" i="15"/>
  <c r="A8" i="15"/>
  <c r="A44" i="15" s="1"/>
  <c r="B8" i="15"/>
  <c r="B44" i="15" s="1"/>
  <c r="AG8" i="15"/>
  <c r="AH8" i="15"/>
  <c r="AI8" i="15"/>
  <c r="A9" i="15"/>
  <c r="A45" i="15" s="1"/>
  <c r="B9" i="15"/>
  <c r="AA9" i="15"/>
  <c r="AG9" i="15"/>
  <c r="AH9" i="15"/>
  <c r="AI9" i="15"/>
  <c r="A10" i="15"/>
  <c r="A46" i="15"/>
  <c r="B10" i="15"/>
  <c r="B46" i="15" s="1"/>
  <c r="AA10" i="15"/>
  <c r="AG10" i="15"/>
  <c r="AH10" i="15"/>
  <c r="AH11" i="15"/>
  <c r="AH12" i="15"/>
  <c r="AI10" i="15"/>
  <c r="A11" i="15"/>
  <c r="A47" i="15" s="1"/>
  <c r="B11" i="15"/>
  <c r="B47" i="15" s="1"/>
  <c r="AG11" i="15"/>
  <c r="AI11" i="15"/>
  <c r="A12" i="15"/>
  <c r="A48" i="15" s="1"/>
  <c r="B12" i="15"/>
  <c r="B48" i="15" s="1"/>
  <c r="AA12" i="15"/>
  <c r="AG12" i="15"/>
  <c r="AI12" i="15"/>
  <c r="AE22" i="15"/>
  <c r="AF22" i="15" s="1"/>
  <c r="AG22" i="15"/>
  <c r="AG23" i="15" s="1"/>
  <c r="AE23" i="15"/>
  <c r="AF23" i="15" s="1"/>
  <c r="AE24" i="15"/>
  <c r="AF24" i="15" s="1"/>
  <c r="AE25" i="15"/>
  <c r="AF25" i="15" s="1"/>
  <c r="AE26" i="15"/>
  <c r="AF26" i="15" s="1"/>
  <c r="AE27" i="15"/>
  <c r="AF27" i="15" s="1"/>
  <c r="AE28" i="15"/>
  <c r="AF28" i="15" s="1"/>
  <c r="AE29" i="15"/>
  <c r="AF29" i="15" s="1"/>
  <c r="AE30" i="15"/>
  <c r="AF30" i="15" s="1"/>
  <c r="AE31" i="15"/>
  <c r="AF31" i="15" s="1"/>
  <c r="L32" i="15"/>
  <c r="M32" i="15"/>
  <c r="N32" i="15"/>
  <c r="O32" i="15"/>
  <c r="P32" i="15"/>
  <c r="Q32" i="15"/>
  <c r="R32" i="15"/>
  <c r="X32" i="15"/>
  <c r="Y32" i="15"/>
  <c r="AB32" i="15"/>
  <c r="C40" i="15"/>
  <c r="B45" i="15"/>
  <c r="O45" i="15"/>
  <c r="C43" i="15"/>
  <c r="X11" i="15"/>
  <c r="G9" i="30"/>
  <c r="D10" i="30"/>
  <c r="E11" i="30"/>
  <c r="E9" i="30"/>
  <c r="A12" i="30"/>
  <c r="D5" i="30"/>
  <c r="B8" i="30"/>
  <c r="G12" i="30"/>
  <c r="F8" i="30"/>
  <c r="B4" i="30"/>
  <c r="G6" i="30"/>
  <c r="F7" i="30"/>
  <c r="B6" i="30"/>
  <c r="G3" i="30"/>
  <c r="A4" i="30"/>
  <c r="A8" i="30"/>
  <c r="F5" i="30"/>
  <c r="A5" i="30"/>
  <c r="E6" i="30"/>
  <c r="A7" i="30"/>
  <c r="F6" i="30"/>
  <c r="B7" i="30"/>
  <c r="A10" i="30"/>
  <c r="D3" i="30"/>
  <c r="D6" i="30"/>
  <c r="E3" i="30"/>
  <c r="A11" i="30"/>
  <c r="G8" i="30"/>
  <c r="B10" i="30"/>
  <c r="A3" i="30"/>
  <c r="B9" i="30"/>
  <c r="E4" i="30"/>
  <c r="B11" i="30"/>
  <c r="A9" i="30"/>
  <c r="D7" i="30"/>
  <c r="D11" i="30"/>
  <c r="G10" i="30"/>
  <c r="F9" i="30"/>
  <c r="F12" i="30"/>
  <c r="D9" i="30"/>
  <c r="F11" i="30"/>
  <c r="B5" i="30"/>
  <c r="B12" i="30"/>
  <c r="E12" i="30"/>
  <c r="D4" i="30"/>
  <c r="G7" i="30"/>
  <c r="D8" i="30"/>
  <c r="A6" i="30"/>
  <c r="G4" i="30"/>
  <c r="D12" i="30"/>
  <c r="E8" i="30"/>
  <c r="G5" i="30"/>
  <c r="E7" i="30"/>
  <c r="E10" i="30"/>
  <c r="E5" i="30"/>
  <c r="F10" i="30"/>
  <c r="F4" i="30"/>
  <c r="F3" i="30"/>
  <c r="G11" i="30"/>
  <c r="B3" i="30"/>
  <c r="C23" i="27" l="1"/>
  <c r="C25" i="27"/>
  <c r="C10" i="27"/>
  <c r="C26" i="27"/>
  <c r="C28" i="27"/>
  <c r="C14" i="27"/>
  <c r="C15" i="27"/>
  <c r="C16" i="27"/>
  <c r="C19" i="27"/>
  <c r="C13" i="27"/>
  <c r="C27" i="27"/>
  <c r="C18" i="27"/>
  <c r="H3" i="26"/>
  <c r="C20" i="27"/>
  <c r="C22" i="27"/>
  <c r="C24" i="27"/>
  <c r="I13" i="15"/>
  <c r="X9" i="15"/>
  <c r="AK6" i="15"/>
  <c r="AH13" i="15"/>
  <c r="O11" i="15"/>
  <c r="O3" i="15"/>
  <c r="O4" i="15"/>
  <c r="AH22" i="15"/>
  <c r="AI22" i="15" s="1"/>
  <c r="P33" i="15"/>
  <c r="J4" i="15"/>
  <c r="J5" i="15" s="1"/>
  <c r="J6" i="15" s="1"/>
  <c r="C9" i="27"/>
  <c r="M33" i="15"/>
  <c r="X10" i="15"/>
  <c r="X3" i="15"/>
  <c r="O12" i="15"/>
  <c r="AG13" i="15"/>
  <c r="X5" i="15"/>
  <c r="AI13" i="15"/>
  <c r="AJ12" i="15"/>
  <c r="AJ8" i="15"/>
  <c r="AQ8" i="15" s="1"/>
  <c r="AJ5" i="15"/>
  <c r="AQ5" i="15" s="1"/>
  <c r="AJ10" i="15"/>
  <c r="O5" i="15"/>
  <c r="AJ11" i="15"/>
  <c r="O10" i="15"/>
  <c r="AJ7" i="15"/>
  <c r="T11" i="15"/>
  <c r="T10" i="15" s="1"/>
  <c r="S3" i="15"/>
  <c r="P3" i="15" s="1"/>
  <c r="O8" i="15"/>
  <c r="H4" i="26"/>
  <c r="H5" i="26" s="1"/>
  <c r="H6" i="26" s="1"/>
  <c r="H7" i="26" s="1"/>
  <c r="H8" i="26" s="1"/>
  <c r="H9" i="26" s="1"/>
  <c r="AE4" i="26"/>
  <c r="N11" i="15"/>
  <c r="K10" i="15"/>
  <c r="L6" i="15"/>
  <c r="L10" i="15"/>
  <c r="M3" i="15"/>
  <c r="L3" i="15"/>
  <c r="L4" i="15"/>
  <c r="L5" i="15"/>
  <c r="L8" i="15"/>
  <c r="L9" i="15"/>
  <c r="Z12" i="15"/>
  <c r="AK8" i="15"/>
  <c r="I22" i="26"/>
  <c r="I21" i="26" s="1"/>
  <c r="I20" i="26" s="1"/>
  <c r="I19" i="26" s="1"/>
  <c r="I18" i="26" s="1"/>
  <c r="AQ11" i="15"/>
  <c r="AW11" i="15" s="1"/>
  <c r="K47" i="15" s="1"/>
  <c r="L7" i="15"/>
  <c r="M4" i="15"/>
  <c r="R13" i="15"/>
  <c r="W11" i="15" s="1"/>
  <c r="AH23" i="15"/>
  <c r="AH24" i="15" s="1"/>
  <c r="AH25" i="15" s="1"/>
  <c r="AH26" i="15" s="1"/>
  <c r="AH27" i="15" s="1"/>
  <c r="AH28" i="15" s="1"/>
  <c r="AH29" i="15" s="1"/>
  <c r="AH30" i="15" s="1"/>
  <c r="AH31" i="15" s="1"/>
  <c r="O7" i="15"/>
  <c r="AK7" i="15" s="1"/>
  <c r="S4" i="15"/>
  <c r="O9" i="15"/>
  <c r="AK9" i="15" s="1"/>
  <c r="X8" i="15"/>
  <c r="AJ3" i="15"/>
  <c r="AA13" i="15"/>
  <c r="AD7" i="15" s="1"/>
  <c r="E11" i="15"/>
  <c r="X7" i="15"/>
  <c r="AQ7" i="15" s="1"/>
  <c r="C48" i="15"/>
  <c r="X6" i="15"/>
  <c r="AQ6" i="15" s="1"/>
  <c r="AW6" i="15" s="1"/>
  <c r="K42" i="15" s="1"/>
  <c r="U10" i="15"/>
  <c r="L12" i="15"/>
  <c r="L11" i="15"/>
  <c r="AC12" i="15"/>
  <c r="Q12" i="15" s="1"/>
  <c r="X34" i="15"/>
  <c r="Y35" i="15" s="1"/>
  <c r="N12" i="15"/>
  <c r="AD10" i="15"/>
  <c r="C39" i="15"/>
  <c r="C13" i="15"/>
  <c r="H12" i="15" s="1"/>
  <c r="AJ4" i="15"/>
  <c r="AB4" i="15"/>
  <c r="AE4" i="15" s="1"/>
  <c r="AJ9" i="15"/>
  <c r="AQ9" i="15" s="1"/>
  <c r="AE5" i="26"/>
  <c r="C23" i="26"/>
  <c r="J5" i="26" s="1"/>
  <c r="AE16" i="26"/>
  <c r="AE19" i="26"/>
  <c r="T22" i="26"/>
  <c r="AE3" i="26"/>
  <c r="AE20" i="26"/>
  <c r="V11" i="26"/>
  <c r="AE12" i="26"/>
  <c r="AF3" i="26"/>
  <c r="AE18" i="26"/>
  <c r="AE22" i="26"/>
  <c r="AB22" i="26"/>
  <c r="AE14" i="26"/>
  <c r="AE10" i="26"/>
  <c r="AE6" i="26"/>
  <c r="AE7" i="26"/>
  <c r="AG16" i="26"/>
  <c r="AG14" i="26"/>
  <c r="AG12" i="26"/>
  <c r="AC4" i="26"/>
  <c r="AE21" i="26"/>
  <c r="AG17" i="26"/>
  <c r="M4" i="26"/>
  <c r="M5" i="26" s="1"/>
  <c r="M6" i="26" s="1"/>
  <c r="M7" i="26" s="1"/>
  <c r="C11" i="27"/>
  <c r="AD20" i="26"/>
  <c r="AG21" i="26"/>
  <c r="N20" i="26"/>
  <c r="R21" i="26"/>
  <c r="AH21" i="26" s="1"/>
  <c r="Z21" i="26"/>
  <c r="AN21" i="26" s="1"/>
  <c r="Z19" i="26"/>
  <c r="AN19" i="26" s="1"/>
  <c r="Z17" i="26"/>
  <c r="AN17" i="26" s="1"/>
  <c r="Z13" i="26"/>
  <c r="AN13" i="26" s="1"/>
  <c r="Z9" i="26"/>
  <c r="Z8" i="26"/>
  <c r="AG22" i="26"/>
  <c r="C12" i="27"/>
  <c r="D23" i="26"/>
  <c r="O15" i="26" s="1"/>
  <c r="AE17" i="26"/>
  <c r="S3" i="26"/>
  <c r="AG15" i="26"/>
  <c r="AG13" i="26"/>
  <c r="AD11" i="26"/>
  <c r="AG11" i="26" s="1"/>
  <c r="Z22" i="26"/>
  <c r="AN22" i="26" s="1"/>
  <c r="Z20" i="26"/>
  <c r="AN20" i="26" s="1"/>
  <c r="Z16" i="26"/>
  <c r="AN16" i="26" s="1"/>
  <c r="Z12" i="26"/>
  <c r="AN12" i="26" s="1"/>
  <c r="Z7" i="26"/>
  <c r="AN7" i="26" s="1"/>
  <c r="Z5" i="26"/>
  <c r="AN5" i="26" s="1"/>
  <c r="Z3" i="26"/>
  <c r="AN3" i="26" s="1"/>
  <c r="U5" i="26"/>
  <c r="AA3" i="26"/>
  <c r="C3" i="30"/>
  <c r="D13" i="30"/>
  <c r="O9" i="30" s="1"/>
  <c r="R3" i="30"/>
  <c r="M3" i="30"/>
  <c r="C5" i="30"/>
  <c r="R5" i="30"/>
  <c r="AH5" i="30" s="1"/>
  <c r="C7" i="30"/>
  <c r="R7" i="30"/>
  <c r="AH7" i="30" s="1"/>
  <c r="C9" i="30"/>
  <c r="R9" i="30"/>
  <c r="AH9" i="30" s="1"/>
  <c r="C11" i="30"/>
  <c r="R11" i="30"/>
  <c r="AH11" i="30" s="1"/>
  <c r="Z3" i="30"/>
  <c r="AN3" i="30" s="1"/>
  <c r="E13" i="30"/>
  <c r="W5" i="30" s="1"/>
  <c r="U3" i="30"/>
  <c r="U4" i="30" s="1"/>
  <c r="Z5" i="30"/>
  <c r="AN5" i="30" s="1"/>
  <c r="Z7" i="30"/>
  <c r="AN7" i="30" s="1"/>
  <c r="Z9" i="30"/>
  <c r="AN9" i="30" s="1"/>
  <c r="Z11" i="30"/>
  <c r="AN11" i="30" s="1"/>
  <c r="AD12" i="30"/>
  <c r="AD11" i="30" s="1"/>
  <c r="AH3" i="30"/>
  <c r="G13" i="30"/>
  <c r="C4" i="30"/>
  <c r="O4" i="30"/>
  <c r="R4" i="30"/>
  <c r="AH4" i="30" s="1"/>
  <c r="C6" i="30"/>
  <c r="R6" i="30"/>
  <c r="AH6" i="30" s="1"/>
  <c r="C8" i="30"/>
  <c r="R8" i="30"/>
  <c r="AH8" i="30" s="1"/>
  <c r="C10" i="30"/>
  <c r="R10" i="30"/>
  <c r="AH10" i="30" s="1"/>
  <c r="C12" i="30"/>
  <c r="R12" i="30"/>
  <c r="AH12" i="30" s="1"/>
  <c r="N12" i="30"/>
  <c r="N11" i="30" s="1"/>
  <c r="N10" i="30" s="1"/>
  <c r="AC3" i="30"/>
  <c r="F13" i="30"/>
  <c r="AE9" i="30" s="1"/>
  <c r="Z4" i="30"/>
  <c r="AN4" i="30" s="1"/>
  <c r="Z6" i="30"/>
  <c r="AN6" i="30" s="1"/>
  <c r="Z8" i="30"/>
  <c r="AN8" i="30" s="1"/>
  <c r="Z10" i="30"/>
  <c r="AN10" i="30" s="1"/>
  <c r="Z12" i="30"/>
  <c r="AN12" i="30" s="1"/>
  <c r="V12" i="30"/>
  <c r="V4" i="26"/>
  <c r="AQ12" i="15"/>
  <c r="G3" i="15"/>
  <c r="D4" i="15"/>
  <c r="AG24" i="15"/>
  <c r="M6" i="15"/>
  <c r="J7" i="15"/>
  <c r="M5" i="15"/>
  <c r="AJ22" i="26"/>
  <c r="AI3" i="26"/>
  <c r="AJ13" i="26"/>
  <c r="Z15" i="26"/>
  <c r="AN15" i="26" s="1"/>
  <c r="R15" i="26"/>
  <c r="AH15" i="26" s="1"/>
  <c r="AJ15" i="26" s="1"/>
  <c r="Z11" i="26"/>
  <c r="AN11" i="26" s="1"/>
  <c r="R11" i="26"/>
  <c r="AH11" i="26" s="1"/>
  <c r="Z6" i="26"/>
  <c r="AN6" i="26" s="1"/>
  <c r="R6" i="26"/>
  <c r="AH6" i="26" s="1"/>
  <c r="Z4" i="26"/>
  <c r="AN4" i="26" s="1"/>
  <c r="R4" i="26"/>
  <c r="AH4" i="26" s="1"/>
  <c r="C21" i="27"/>
  <c r="C17" i="27"/>
  <c r="E23" i="26"/>
  <c r="V21" i="26"/>
  <c r="AE15" i="26"/>
  <c r="AE11" i="26"/>
  <c r="AD10" i="26"/>
  <c r="AG10" i="26" s="1"/>
  <c r="AE8" i="26"/>
  <c r="R19" i="26"/>
  <c r="AH19" i="26" s="1"/>
  <c r="R17" i="26"/>
  <c r="AH17" i="26" s="1"/>
  <c r="AJ17" i="26" s="1"/>
  <c r="AH9" i="26"/>
  <c r="Z18" i="26"/>
  <c r="AN18" i="26" s="1"/>
  <c r="R18" i="26"/>
  <c r="AH18" i="26" s="1"/>
  <c r="AJ18" i="26" s="1"/>
  <c r="Z14" i="26"/>
  <c r="AN14" i="26" s="1"/>
  <c r="R14" i="26"/>
  <c r="AH14" i="26" s="1"/>
  <c r="AJ14" i="26" s="1"/>
  <c r="Z10" i="26"/>
  <c r="AN10" i="26" s="1"/>
  <c r="AH10" i="26"/>
  <c r="AE13" i="26"/>
  <c r="AP17" i="26" l="1"/>
  <c r="AP14" i="26"/>
  <c r="AP18" i="26"/>
  <c r="AV18" i="26" s="1"/>
  <c r="F10" i="27"/>
  <c r="F9" i="27"/>
  <c r="D11" i="27"/>
  <c r="F11" i="27"/>
  <c r="AT7" i="26"/>
  <c r="I13" i="27" s="1"/>
  <c r="AP12" i="26"/>
  <c r="AP15" i="26"/>
  <c r="AP16" i="26"/>
  <c r="AP13" i="26"/>
  <c r="AK11" i="15"/>
  <c r="AQ10" i="15"/>
  <c r="AK10" i="15"/>
  <c r="G42" i="15"/>
  <c r="AI23" i="15"/>
  <c r="AK5" i="15"/>
  <c r="W10" i="15"/>
  <c r="AK12" i="15"/>
  <c r="AB5" i="15"/>
  <c r="U7" i="15"/>
  <c r="Y3" i="15"/>
  <c r="AK4" i="15"/>
  <c r="AK3" i="15"/>
  <c r="AL3" i="15" s="1"/>
  <c r="AN8" i="26"/>
  <c r="F12" i="27"/>
  <c r="AN9" i="26"/>
  <c r="O10" i="30"/>
  <c r="U9" i="15"/>
  <c r="O8" i="30"/>
  <c r="W8" i="30"/>
  <c r="O12" i="30"/>
  <c r="O6" i="30"/>
  <c r="O5" i="30"/>
  <c r="AQ4" i="15"/>
  <c r="O11" i="30"/>
  <c r="J10" i="26"/>
  <c r="J12" i="26"/>
  <c r="J11" i="26"/>
  <c r="J7" i="26"/>
  <c r="J8" i="26"/>
  <c r="J22" i="26"/>
  <c r="K8" i="26"/>
  <c r="K3" i="26"/>
  <c r="J20" i="26"/>
  <c r="F19" i="27"/>
  <c r="K4" i="26"/>
  <c r="AW7" i="15"/>
  <c r="K43" i="15" s="1"/>
  <c r="G43" i="15"/>
  <c r="J3" i="26"/>
  <c r="J4" i="26"/>
  <c r="AD4" i="15"/>
  <c r="AW5" i="15"/>
  <c r="K41" i="15" s="1"/>
  <c r="G41" i="15"/>
  <c r="S5" i="15"/>
  <c r="V4" i="15"/>
  <c r="G44" i="15"/>
  <c r="AW8" i="15"/>
  <c r="K44" i="15" s="1"/>
  <c r="H11" i="15"/>
  <c r="E10" i="15"/>
  <c r="T9" i="15"/>
  <c r="F3" i="15"/>
  <c r="F9" i="15"/>
  <c r="AT16" i="26"/>
  <c r="J17" i="26"/>
  <c r="J21" i="26"/>
  <c r="AD3" i="15"/>
  <c r="AD5" i="15"/>
  <c r="AD11" i="15"/>
  <c r="AE3" i="15"/>
  <c r="AD6" i="15"/>
  <c r="AD8" i="15"/>
  <c r="F10" i="15"/>
  <c r="F4" i="15"/>
  <c r="K9" i="15"/>
  <c r="N10" i="15"/>
  <c r="F5" i="15"/>
  <c r="AJ13" i="15"/>
  <c r="J19" i="26"/>
  <c r="AT12" i="26"/>
  <c r="J16" i="26"/>
  <c r="J13" i="26"/>
  <c r="P4" i="15"/>
  <c r="J18" i="26"/>
  <c r="V3" i="15"/>
  <c r="U11" i="15"/>
  <c r="U12" i="15"/>
  <c r="W12" i="15"/>
  <c r="U6" i="15"/>
  <c r="U5" i="15"/>
  <c r="U3" i="15"/>
  <c r="U4" i="15"/>
  <c r="U8" i="15"/>
  <c r="F6" i="15"/>
  <c r="C49" i="15"/>
  <c r="F11" i="15"/>
  <c r="F8" i="15"/>
  <c r="F7" i="15"/>
  <c r="F22" i="27"/>
  <c r="G47" i="15"/>
  <c r="J15" i="26"/>
  <c r="K7" i="26"/>
  <c r="L22" i="26"/>
  <c r="Y4" i="15"/>
  <c r="J14" i="26"/>
  <c r="F18" i="27"/>
  <c r="J9" i="26"/>
  <c r="K6" i="26"/>
  <c r="F12" i="15"/>
  <c r="AC11" i="15"/>
  <c r="AF12" i="15"/>
  <c r="AD12" i="15"/>
  <c r="AQ3" i="15"/>
  <c r="AD9" i="15"/>
  <c r="L21" i="26"/>
  <c r="K5" i="26"/>
  <c r="J6" i="26"/>
  <c r="L19" i="26"/>
  <c r="O4" i="26"/>
  <c r="AT13" i="26"/>
  <c r="L20" i="26"/>
  <c r="N19" i="26"/>
  <c r="Q19" i="26" s="1"/>
  <c r="O11" i="26"/>
  <c r="Q20" i="26"/>
  <c r="O14" i="26"/>
  <c r="O10" i="26"/>
  <c r="O16" i="26"/>
  <c r="M8" i="26"/>
  <c r="P7" i="26"/>
  <c r="O18" i="26"/>
  <c r="O6" i="26"/>
  <c r="Q22" i="26"/>
  <c r="O20" i="26"/>
  <c r="O7" i="26"/>
  <c r="P5" i="26"/>
  <c r="O9" i="26"/>
  <c r="AT17" i="26"/>
  <c r="F23" i="27"/>
  <c r="O12" i="26"/>
  <c r="S4" i="26"/>
  <c r="O17" i="26"/>
  <c r="P4" i="26"/>
  <c r="AC5" i="26"/>
  <c r="AA5" i="26" s="1"/>
  <c r="AF4" i="26"/>
  <c r="AA4" i="26"/>
  <c r="O21" i="26"/>
  <c r="O22" i="26"/>
  <c r="O13" i="26"/>
  <c r="AG11" i="30"/>
  <c r="AE5" i="30"/>
  <c r="O19" i="26"/>
  <c r="F13" i="27"/>
  <c r="AT22" i="26"/>
  <c r="AP22" i="26"/>
  <c r="AP11" i="26" s="1"/>
  <c r="F28" i="27"/>
  <c r="F25" i="27"/>
  <c r="AT19" i="26"/>
  <c r="AG20" i="26"/>
  <c r="AD19" i="26"/>
  <c r="AD9" i="26"/>
  <c r="AG9" i="26" s="1"/>
  <c r="F27" i="27"/>
  <c r="AT21" i="26"/>
  <c r="Q21" i="26"/>
  <c r="AO3" i="26"/>
  <c r="AU3" i="26" s="1"/>
  <c r="AT3" i="26"/>
  <c r="I17" i="26"/>
  <c r="AV17" i="26" s="1"/>
  <c r="L18" i="26"/>
  <c r="AT5" i="26"/>
  <c r="AT20" i="26"/>
  <c r="F26" i="27"/>
  <c r="O8" i="26"/>
  <c r="O3" i="26"/>
  <c r="P3" i="26"/>
  <c r="O5" i="26"/>
  <c r="P6" i="26"/>
  <c r="U6" i="26"/>
  <c r="X6" i="26" s="1"/>
  <c r="O7" i="30"/>
  <c r="O3" i="30"/>
  <c r="AF3" i="30"/>
  <c r="AE12" i="30"/>
  <c r="AE4" i="30"/>
  <c r="AE3" i="30"/>
  <c r="AE6" i="30"/>
  <c r="AE11" i="30"/>
  <c r="AE7" i="30"/>
  <c r="AD10" i="30"/>
  <c r="AG10" i="30" s="1"/>
  <c r="AT10" i="30"/>
  <c r="AJ12" i="30"/>
  <c r="AT12" i="30"/>
  <c r="AP12" i="30"/>
  <c r="AP11" i="30" s="1"/>
  <c r="AT4" i="30"/>
  <c r="AT15" i="26"/>
  <c r="F21" i="27"/>
  <c r="AE5" i="15"/>
  <c r="AB6" i="15"/>
  <c r="Y12" i="30"/>
  <c r="AB12" i="30"/>
  <c r="X4" i="30"/>
  <c r="AT6" i="30"/>
  <c r="W11" i="26"/>
  <c r="W8" i="26"/>
  <c r="Y11" i="26"/>
  <c r="W12" i="26"/>
  <c r="W14" i="26"/>
  <c r="Y15" i="26"/>
  <c r="W16" i="26"/>
  <c r="Y17" i="26"/>
  <c r="W9" i="26"/>
  <c r="Y12" i="26"/>
  <c r="W13" i="26"/>
  <c r="W18" i="26"/>
  <c r="W10" i="26"/>
  <c r="Y14" i="26"/>
  <c r="W15" i="26"/>
  <c r="Y16" i="26"/>
  <c r="W17" i="26"/>
  <c r="W6" i="26"/>
  <c r="W3" i="26"/>
  <c r="W4" i="26"/>
  <c r="W22" i="26"/>
  <c r="W7" i="26"/>
  <c r="W19" i="26"/>
  <c r="W21" i="26"/>
  <c r="W5" i="26"/>
  <c r="W20" i="26"/>
  <c r="Y22" i="26"/>
  <c r="X3" i="26"/>
  <c r="Y6" i="26"/>
  <c r="X4" i="26"/>
  <c r="Y7" i="26"/>
  <c r="X5" i="26"/>
  <c r="D5" i="15"/>
  <c r="G4" i="15"/>
  <c r="AT18" i="26"/>
  <c r="F24" i="27"/>
  <c r="AW12" i="15"/>
  <c r="K48" i="15" s="1"/>
  <c r="G48" i="15"/>
  <c r="AS12" i="15"/>
  <c r="W10" i="30"/>
  <c r="Q10" i="30"/>
  <c r="AT5" i="30"/>
  <c r="AN13" i="30"/>
  <c r="AQ6" i="30" s="1"/>
  <c r="AO3" i="30"/>
  <c r="AT3" i="30"/>
  <c r="W11" i="30"/>
  <c r="W9" i="30"/>
  <c r="W3" i="30"/>
  <c r="Q11" i="30"/>
  <c r="AT8" i="30"/>
  <c r="S3" i="30"/>
  <c r="P3" i="30"/>
  <c r="H3" i="30"/>
  <c r="H4" i="30" s="1"/>
  <c r="C13" i="30"/>
  <c r="J8" i="30" s="1"/>
  <c r="AT11" i="30"/>
  <c r="C29" i="27"/>
  <c r="AJ11" i="26"/>
  <c r="AH23" i="26"/>
  <c r="AM22" i="26" s="1"/>
  <c r="Y13" i="26"/>
  <c r="G40" i="15"/>
  <c r="AW4" i="15"/>
  <c r="K40" i="15" s="1"/>
  <c r="AG25" i="15"/>
  <c r="AI24" i="15"/>
  <c r="AM12" i="15"/>
  <c r="W12" i="30"/>
  <c r="AD9" i="30"/>
  <c r="W4" i="30"/>
  <c r="T12" i="30"/>
  <c r="Q12" i="30"/>
  <c r="I12" i="30"/>
  <c r="I11" i="30" s="1"/>
  <c r="AT7" i="30"/>
  <c r="J4" i="30"/>
  <c r="V11" i="30"/>
  <c r="AE10" i="30"/>
  <c r="AE8" i="30"/>
  <c r="U5" i="30"/>
  <c r="AC4" i="30"/>
  <c r="F16" i="27"/>
  <c r="AT10" i="26"/>
  <c r="AN23" i="26"/>
  <c r="AQ18" i="26" s="1"/>
  <c r="AT4" i="26"/>
  <c r="K9" i="26"/>
  <c r="H10" i="26"/>
  <c r="AL4" i="15"/>
  <c r="AK13" i="15"/>
  <c r="AN12" i="15" s="1"/>
  <c r="AI3" i="30"/>
  <c r="AH13" i="30"/>
  <c r="AK6" i="30" s="1"/>
  <c r="F20" i="27"/>
  <c r="AT14" i="26"/>
  <c r="G45" i="15"/>
  <c r="AW9" i="15"/>
  <c r="K45" i="15" s="1"/>
  <c r="AT6" i="26"/>
  <c r="V20" i="26"/>
  <c r="T20" i="26" s="1"/>
  <c r="V10" i="26"/>
  <c r="Y21" i="26"/>
  <c r="T21" i="26"/>
  <c r="AB21" i="26"/>
  <c r="AI4" i="26"/>
  <c r="AT11" i="26"/>
  <c r="F17" i="27"/>
  <c r="AJ21" i="26"/>
  <c r="AJ10" i="26" s="1"/>
  <c r="Y18" i="26"/>
  <c r="J8" i="15"/>
  <c r="M7" i="15"/>
  <c r="Y4" i="26"/>
  <c r="V3" i="26"/>
  <c r="Y5" i="26"/>
  <c r="W6" i="30"/>
  <c r="AT9" i="30"/>
  <c r="M4" i="30"/>
  <c r="AG12" i="30"/>
  <c r="W7" i="30"/>
  <c r="AA3" i="30"/>
  <c r="X3" i="30"/>
  <c r="N9" i="30"/>
  <c r="D22" i="27" l="1"/>
  <c r="D26" i="27"/>
  <c r="I24" i="27"/>
  <c r="I27" i="27"/>
  <c r="E11" i="27"/>
  <c r="I18" i="27"/>
  <c r="E9" i="27"/>
  <c r="D25" i="27"/>
  <c r="E14" i="27"/>
  <c r="I23" i="27"/>
  <c r="J9" i="27"/>
  <c r="D12" i="27"/>
  <c r="E15" i="27"/>
  <c r="I10" i="27"/>
  <c r="E13" i="27"/>
  <c r="D27" i="27"/>
  <c r="D28" i="27"/>
  <c r="I12" i="27"/>
  <c r="G24" i="27"/>
  <c r="D21" i="27"/>
  <c r="D14" i="27"/>
  <c r="D19" i="27"/>
  <c r="D20" i="27"/>
  <c r="D23" i="27"/>
  <c r="I16" i="27"/>
  <c r="I22" i="27"/>
  <c r="D13" i="27"/>
  <c r="F15" i="27"/>
  <c r="D9" i="27"/>
  <c r="D18" i="27"/>
  <c r="I26" i="27"/>
  <c r="I11" i="27"/>
  <c r="D16" i="27"/>
  <c r="I25" i="27"/>
  <c r="D17" i="27"/>
  <c r="I20" i="27"/>
  <c r="I21" i="27"/>
  <c r="F14" i="27"/>
  <c r="E12" i="27"/>
  <c r="D24" i="27"/>
  <c r="D10" i="27"/>
  <c r="I17" i="27"/>
  <c r="I19" i="27"/>
  <c r="I9" i="27"/>
  <c r="I28" i="27"/>
  <c r="D15" i="27"/>
  <c r="E10" i="27"/>
  <c r="AN4" i="15"/>
  <c r="AT8" i="26"/>
  <c r="G46" i="15"/>
  <c r="AW10" i="15"/>
  <c r="K46" i="15" s="1"/>
  <c r="AT9" i="26"/>
  <c r="J12" i="30"/>
  <c r="AQ11" i="30"/>
  <c r="Z11" i="15"/>
  <c r="AF11" i="15"/>
  <c r="Q11" i="15"/>
  <c r="AC10" i="15"/>
  <c r="S6" i="15"/>
  <c r="P6" i="15" s="1"/>
  <c r="V5" i="15"/>
  <c r="T8" i="15"/>
  <c r="W9" i="15"/>
  <c r="K8" i="15"/>
  <c r="N9" i="15"/>
  <c r="AW3" i="15"/>
  <c r="K39" i="15" s="1"/>
  <c r="AQ13" i="15"/>
  <c r="G39" i="15"/>
  <c r="AR3" i="15"/>
  <c r="H10" i="15"/>
  <c r="E9" i="15"/>
  <c r="AQ9" i="30"/>
  <c r="P5" i="15"/>
  <c r="AO4" i="26"/>
  <c r="AR4" i="26" s="1"/>
  <c r="Y5" i="15"/>
  <c r="AM13" i="26"/>
  <c r="N18" i="26"/>
  <c r="T18" i="26" s="1"/>
  <c r="S5" i="26"/>
  <c r="AS14" i="26"/>
  <c r="AS17" i="26"/>
  <c r="AS16" i="26"/>
  <c r="AS15" i="26"/>
  <c r="T19" i="26"/>
  <c r="AS18" i="26"/>
  <c r="M9" i="26"/>
  <c r="P8" i="26"/>
  <c r="AL3" i="26"/>
  <c r="AK9" i="26"/>
  <c r="AK17" i="26"/>
  <c r="AM15" i="26"/>
  <c r="AM10" i="26"/>
  <c r="AM17" i="26"/>
  <c r="AC6" i="26"/>
  <c r="AF5" i="26"/>
  <c r="AK15" i="26"/>
  <c r="AK4" i="26"/>
  <c r="AK10" i="26"/>
  <c r="AQ14" i="26"/>
  <c r="AK3" i="30"/>
  <c r="L17" i="26"/>
  <c r="I16" i="26"/>
  <c r="AV16" i="26" s="1"/>
  <c r="AD8" i="26"/>
  <c r="AG8" i="26" s="1"/>
  <c r="AG19" i="26"/>
  <c r="AV22" i="26"/>
  <c r="AP21" i="26"/>
  <c r="AK11" i="26"/>
  <c r="AQ6" i="26"/>
  <c r="AQ4" i="26"/>
  <c r="AQ11" i="26"/>
  <c r="F29" i="27"/>
  <c r="U7" i="26"/>
  <c r="AQ8" i="30"/>
  <c r="J6" i="30"/>
  <c r="K4" i="30"/>
  <c r="AQ5" i="30"/>
  <c r="AQ7" i="30"/>
  <c r="J9" i="30"/>
  <c r="AL3" i="30"/>
  <c r="J7" i="30"/>
  <c r="L11" i="30"/>
  <c r="I10" i="30"/>
  <c r="AO4" i="15"/>
  <c r="AL5" i="15"/>
  <c r="AY12" i="15"/>
  <c r="M48" i="15" s="1"/>
  <c r="AS11" i="15"/>
  <c r="AQ4" i="30"/>
  <c r="AK7" i="30"/>
  <c r="AI4" i="30"/>
  <c r="AQ12" i="30"/>
  <c r="AK12" i="30"/>
  <c r="K10" i="26"/>
  <c r="H11" i="26"/>
  <c r="AF4" i="30"/>
  <c r="AC5" i="30"/>
  <c r="Y11" i="30"/>
  <c r="AB11" i="30"/>
  <c r="V10" i="30"/>
  <c r="K3" i="30"/>
  <c r="J5" i="30"/>
  <c r="T11" i="30"/>
  <c r="AR3" i="30"/>
  <c r="AU3" i="30"/>
  <c r="D6" i="15"/>
  <c r="G5" i="15"/>
  <c r="AM14" i="26"/>
  <c r="AK9" i="30"/>
  <c r="AQ10" i="30"/>
  <c r="V9" i="26"/>
  <c r="Y20" i="26"/>
  <c r="AB20" i="26"/>
  <c r="Q9" i="30"/>
  <c r="N8" i="30"/>
  <c r="M8" i="15"/>
  <c r="J9" i="15"/>
  <c r="X5" i="30"/>
  <c r="U6" i="30"/>
  <c r="AG9" i="30"/>
  <c r="AD8" i="30"/>
  <c r="AG26" i="15"/>
  <c r="AI25" i="15"/>
  <c r="AK8" i="26"/>
  <c r="AK12" i="26"/>
  <c r="AK16" i="26"/>
  <c r="AM12" i="26"/>
  <c r="AM16" i="26"/>
  <c r="AK3" i="26"/>
  <c r="AK22" i="26"/>
  <c r="AK20" i="26"/>
  <c r="AK5" i="26"/>
  <c r="AK7" i="26"/>
  <c r="AK21" i="26"/>
  <c r="AK13" i="26"/>
  <c r="AK19" i="26"/>
  <c r="AS11" i="30"/>
  <c r="AV11" i="30"/>
  <c r="J3" i="30"/>
  <c r="J10" i="30"/>
  <c r="J11" i="30"/>
  <c r="AE6" i="15"/>
  <c r="AB7" i="15"/>
  <c r="AK11" i="30"/>
  <c r="AM12" i="30"/>
  <c r="AS11" i="26"/>
  <c r="S4" i="30"/>
  <c r="P4" i="30"/>
  <c r="M5" i="30"/>
  <c r="Y3" i="26"/>
  <c r="AJ20" i="26"/>
  <c r="AM21" i="26"/>
  <c r="AL4" i="26"/>
  <c r="AI5" i="26"/>
  <c r="Y10" i="26"/>
  <c r="AN7" i="15"/>
  <c r="AN3" i="15"/>
  <c r="AN5" i="15"/>
  <c r="AN8" i="15"/>
  <c r="AO3" i="15"/>
  <c r="AN10" i="15"/>
  <c r="AN6" i="15"/>
  <c r="AN11" i="15"/>
  <c r="AS12" i="26"/>
  <c r="AQ9" i="26"/>
  <c r="AQ22" i="26"/>
  <c r="AQ19" i="26"/>
  <c r="AQ3" i="26"/>
  <c r="AQ5" i="26"/>
  <c r="AR3" i="26"/>
  <c r="AQ20" i="26"/>
  <c r="AQ21" i="26"/>
  <c r="AQ7" i="26"/>
  <c r="AS13" i="26"/>
  <c r="AQ16" i="26"/>
  <c r="AQ13" i="26"/>
  <c r="AQ17" i="26"/>
  <c r="AQ8" i="26"/>
  <c r="AQ12" i="26"/>
  <c r="AS22" i="26"/>
  <c r="AW22" i="26" s="1"/>
  <c r="AQ10" i="26"/>
  <c r="L12" i="30"/>
  <c r="AP12" i="15"/>
  <c r="AM11" i="15"/>
  <c r="AN9" i="15"/>
  <c r="AM11" i="26"/>
  <c r="AK6" i="26"/>
  <c r="AK18" i="26"/>
  <c r="H5" i="30"/>
  <c r="AK10" i="30"/>
  <c r="AQ3" i="30"/>
  <c r="AK5" i="30"/>
  <c r="AK14" i="26"/>
  <c r="AK8" i="30"/>
  <c r="AA4" i="30"/>
  <c r="AQ15" i="26"/>
  <c r="AO4" i="30"/>
  <c r="AK4" i="30"/>
  <c r="AS12" i="30"/>
  <c r="AV12" i="30"/>
  <c r="AJ11" i="30"/>
  <c r="AP10" i="30"/>
  <c r="I14" i="27" l="1"/>
  <c r="G9" i="27"/>
  <c r="G17" i="27"/>
  <c r="G20" i="27"/>
  <c r="G18" i="27"/>
  <c r="E16" i="27"/>
  <c r="G22" i="27"/>
  <c r="G12" i="27"/>
  <c r="G16" i="27"/>
  <c r="H10" i="27"/>
  <c r="G25" i="27"/>
  <c r="G14" i="27"/>
  <c r="G15" i="27"/>
  <c r="G13" i="27"/>
  <c r="G28" i="27"/>
  <c r="G19" i="27"/>
  <c r="G21" i="27"/>
  <c r="G27" i="27"/>
  <c r="I15" i="27"/>
  <c r="G10" i="27"/>
  <c r="G11" i="27"/>
  <c r="G23" i="27"/>
  <c r="G26" i="27"/>
  <c r="H9" i="27"/>
  <c r="AX14" i="26"/>
  <c r="AU4" i="26"/>
  <c r="AW13" i="26"/>
  <c r="AW14" i="26"/>
  <c r="Y6" i="15"/>
  <c r="E8" i="15"/>
  <c r="H9" i="15"/>
  <c r="AO5" i="26"/>
  <c r="T7" i="15"/>
  <c r="W8" i="15"/>
  <c r="AU3" i="15"/>
  <c r="I39" i="15" s="1"/>
  <c r="AR4" i="15"/>
  <c r="AX3" i="15"/>
  <c r="L39" i="15" s="1"/>
  <c r="Q18" i="26"/>
  <c r="V6" i="15"/>
  <c r="S7" i="15"/>
  <c r="P7" i="15" s="1"/>
  <c r="AT3" i="15"/>
  <c r="H39" i="15" s="1"/>
  <c r="AT7" i="15"/>
  <c r="H43" i="15" s="1"/>
  <c r="AT8" i="15"/>
  <c r="H44" i="15" s="1"/>
  <c r="G49" i="15"/>
  <c r="AT10" i="15"/>
  <c r="H46" i="15" s="1"/>
  <c r="AT5" i="15"/>
  <c r="H41" i="15" s="1"/>
  <c r="AT11" i="15"/>
  <c r="H47" i="15" s="1"/>
  <c r="AT6" i="15"/>
  <c r="H42" i="15" s="1"/>
  <c r="AT4" i="15"/>
  <c r="H40" i="15" s="1"/>
  <c r="AT12" i="15"/>
  <c r="H48" i="15" s="1"/>
  <c r="AT9" i="15"/>
  <c r="H45" i="15" s="1"/>
  <c r="AF10" i="15"/>
  <c r="Z10" i="15"/>
  <c r="Q10" i="15"/>
  <c r="AC9" i="15"/>
  <c r="N17" i="26"/>
  <c r="N16" i="26" s="1"/>
  <c r="T16" i="26" s="1"/>
  <c r="AV12" i="15"/>
  <c r="BA12" i="15" s="1"/>
  <c r="N8" i="15"/>
  <c r="K7" i="15"/>
  <c r="AB18" i="26"/>
  <c r="AX17" i="26"/>
  <c r="AW15" i="26"/>
  <c r="AX22" i="26"/>
  <c r="AX16" i="26"/>
  <c r="AW16" i="26"/>
  <c r="AX15" i="26"/>
  <c r="AW17" i="26"/>
  <c r="M10" i="26"/>
  <c r="P9" i="26"/>
  <c r="AC7" i="26"/>
  <c r="S7" i="26" s="1"/>
  <c r="AF6" i="26"/>
  <c r="S6" i="26"/>
  <c r="AA6" i="26"/>
  <c r="AP10" i="26"/>
  <c r="AS10" i="26" s="1"/>
  <c r="AW10" i="26" s="1"/>
  <c r="AP20" i="26"/>
  <c r="AS21" i="26"/>
  <c r="AX21" i="26" s="1"/>
  <c r="AV21" i="26"/>
  <c r="L16" i="26"/>
  <c r="I15" i="26"/>
  <c r="AV15" i="26" s="1"/>
  <c r="AD7" i="26"/>
  <c r="AG18" i="26"/>
  <c r="AX12" i="26"/>
  <c r="AW11" i="26"/>
  <c r="U8" i="26"/>
  <c r="X7" i="26"/>
  <c r="Q8" i="30"/>
  <c r="N7" i="30"/>
  <c r="G6" i="15"/>
  <c r="D7" i="15"/>
  <c r="AV11" i="15"/>
  <c r="AY11" i="15"/>
  <c r="M47" i="15" s="1"/>
  <c r="AS10" i="15"/>
  <c r="S5" i="30"/>
  <c r="P5" i="30"/>
  <c r="M6" i="30"/>
  <c r="J10" i="15"/>
  <c r="M9" i="15"/>
  <c r="AM11" i="30"/>
  <c r="AW11" i="30" s="1"/>
  <c r="AJ10" i="30"/>
  <c r="AX11" i="30"/>
  <c r="X6" i="30"/>
  <c r="U7" i="30"/>
  <c r="AF5" i="30"/>
  <c r="AC6" i="30"/>
  <c r="K11" i="26"/>
  <c r="H12" i="26"/>
  <c r="AL4" i="30"/>
  <c r="AI5" i="30"/>
  <c r="J48" i="15"/>
  <c r="AZ12" i="15"/>
  <c r="BA11" i="15"/>
  <c r="AU4" i="30"/>
  <c r="AR4" i="30"/>
  <c r="AO5" i="30"/>
  <c r="K5" i="30"/>
  <c r="H6" i="30"/>
  <c r="AP11" i="15"/>
  <c r="AM10" i="15"/>
  <c r="AE7" i="15"/>
  <c r="AB8" i="15"/>
  <c r="AX13" i="26"/>
  <c r="AG27" i="15"/>
  <c r="AI26" i="15"/>
  <c r="Y10" i="30"/>
  <c r="AB10" i="30"/>
  <c r="V9" i="30"/>
  <c r="T10" i="30"/>
  <c r="AS10" i="30"/>
  <c r="AV10" i="30"/>
  <c r="AP9" i="30"/>
  <c r="AW12" i="30"/>
  <c r="AW12" i="26"/>
  <c r="AL5" i="26"/>
  <c r="AI6" i="26"/>
  <c r="AM20" i="26"/>
  <c r="AJ9" i="26"/>
  <c r="AM9" i="26" s="1"/>
  <c r="AJ19" i="26"/>
  <c r="AG8" i="30"/>
  <c r="AD7" i="30"/>
  <c r="AA5" i="30"/>
  <c r="V8" i="26"/>
  <c r="Y19" i="26"/>
  <c r="AB19" i="26"/>
  <c r="Y9" i="26"/>
  <c r="AX12" i="30"/>
  <c r="AX11" i="26"/>
  <c r="AO5" i="15"/>
  <c r="AL6" i="15"/>
  <c r="L10" i="30"/>
  <c r="I9" i="30"/>
  <c r="E17" i="27" l="1"/>
  <c r="J10" i="27"/>
  <c r="Q17" i="26"/>
  <c r="AU5" i="26"/>
  <c r="AO6" i="26"/>
  <c r="AU6" i="26" s="1"/>
  <c r="J12" i="27" s="1"/>
  <c r="AB17" i="26"/>
  <c r="AR5" i="26"/>
  <c r="T17" i="26"/>
  <c r="AX4" i="15"/>
  <c r="L40" i="15" s="1"/>
  <c r="AR5" i="15"/>
  <c r="AU4" i="15"/>
  <c r="I40" i="15" s="1"/>
  <c r="N7" i="15"/>
  <c r="K6" i="15"/>
  <c r="W7" i="15"/>
  <c r="T6" i="15"/>
  <c r="V7" i="15"/>
  <c r="S8" i="15"/>
  <c r="P8" i="15" s="1"/>
  <c r="Y7" i="15"/>
  <c r="Z9" i="15"/>
  <c r="Q9" i="15"/>
  <c r="AC8" i="15"/>
  <c r="AF9" i="15"/>
  <c r="H8" i="15"/>
  <c r="E7" i="15"/>
  <c r="AA7" i="26"/>
  <c r="P10" i="26"/>
  <c r="M11" i="26"/>
  <c r="AC8" i="26"/>
  <c r="S8" i="26" s="1"/>
  <c r="AF7" i="26"/>
  <c r="AX10" i="26"/>
  <c r="AW21" i="26"/>
  <c r="L15" i="26"/>
  <c r="I14" i="26"/>
  <c r="AV14" i="26" s="1"/>
  <c r="AP19" i="26"/>
  <c r="AP9" i="26"/>
  <c r="AS9" i="26" s="1"/>
  <c r="AW9" i="26" s="1"/>
  <c r="AS20" i="26"/>
  <c r="AV20" i="26"/>
  <c r="AG7" i="26"/>
  <c r="AD6" i="26"/>
  <c r="AB16" i="26"/>
  <c r="Q16" i="26"/>
  <c r="N15" i="26"/>
  <c r="T15" i="26" s="1"/>
  <c r="U9" i="26"/>
  <c r="X8" i="26"/>
  <c r="S6" i="30"/>
  <c r="P6" i="30"/>
  <c r="M7" i="30"/>
  <c r="AE8" i="15"/>
  <c r="AB9" i="15"/>
  <c r="AP10" i="15"/>
  <c r="AM9" i="15"/>
  <c r="AR5" i="30"/>
  <c r="AU5" i="30"/>
  <c r="AO6" i="30"/>
  <c r="AL5" i="30"/>
  <c r="AI6" i="30"/>
  <c r="AF6" i="30"/>
  <c r="AC7" i="30"/>
  <c r="X7" i="30"/>
  <c r="U8" i="30"/>
  <c r="AM10" i="30"/>
  <c r="AW10" i="30" s="1"/>
  <c r="AJ9" i="30"/>
  <c r="AV10" i="15"/>
  <c r="AY10" i="15"/>
  <c r="M46" i="15" s="1"/>
  <c r="AS9" i="15"/>
  <c r="G7" i="15"/>
  <c r="D8" i="15"/>
  <c r="Y9" i="30"/>
  <c r="AB9" i="30"/>
  <c r="V8" i="30"/>
  <c r="T9" i="30"/>
  <c r="AI27" i="15"/>
  <c r="AG28" i="15"/>
  <c r="M10" i="15"/>
  <c r="J11" i="15"/>
  <c r="AJ8" i="26"/>
  <c r="AM8" i="26" s="1"/>
  <c r="AM19" i="26"/>
  <c r="L9" i="30"/>
  <c r="I8" i="30"/>
  <c r="AO6" i="15"/>
  <c r="AL7" i="15"/>
  <c r="Y8" i="26"/>
  <c r="AG7" i="30"/>
  <c r="AD6" i="30"/>
  <c r="AL6" i="26"/>
  <c r="AI7" i="26"/>
  <c r="AS9" i="30"/>
  <c r="AV9" i="30"/>
  <c r="AP8" i="30"/>
  <c r="K6" i="30"/>
  <c r="H7" i="30"/>
  <c r="K12" i="26"/>
  <c r="H13" i="26"/>
  <c r="AA6" i="30"/>
  <c r="J47" i="15"/>
  <c r="AZ11" i="15"/>
  <c r="Q7" i="30"/>
  <c r="N6" i="30"/>
  <c r="AX10" i="30"/>
  <c r="E18" i="27" l="1"/>
  <c r="H11" i="27"/>
  <c r="AR6" i="26"/>
  <c r="J11" i="27"/>
  <c r="AO7" i="26"/>
  <c r="AR7" i="26" s="1"/>
  <c r="Y8" i="15"/>
  <c r="AF8" i="15"/>
  <c r="Q8" i="15"/>
  <c r="Z8" i="15"/>
  <c r="AC7" i="15"/>
  <c r="E6" i="15"/>
  <c r="H7" i="15"/>
  <c r="T5" i="15"/>
  <c r="W6" i="15"/>
  <c r="K5" i="15"/>
  <c r="N6" i="15"/>
  <c r="AU5" i="15"/>
  <c r="I41" i="15" s="1"/>
  <c r="AR6" i="15"/>
  <c r="AX5" i="15"/>
  <c r="L41" i="15" s="1"/>
  <c r="V8" i="15"/>
  <c r="S9" i="15"/>
  <c r="Y9" i="15" s="1"/>
  <c r="AA8" i="26"/>
  <c r="M12" i="26"/>
  <c r="P11" i="26"/>
  <c r="AC9" i="26"/>
  <c r="S9" i="26" s="1"/>
  <c r="AF8" i="26"/>
  <c r="AX20" i="26"/>
  <c r="AW20" i="26"/>
  <c r="AX9" i="26"/>
  <c r="Q15" i="26"/>
  <c r="AB15" i="26"/>
  <c r="N14" i="26"/>
  <c r="T14" i="26" s="1"/>
  <c r="AD5" i="26"/>
  <c r="AG6" i="26"/>
  <c r="I13" i="26"/>
  <c r="AV13" i="26" s="1"/>
  <c r="L14" i="26"/>
  <c r="AV19" i="26"/>
  <c r="AS19" i="26"/>
  <c r="AP8" i="26"/>
  <c r="AS8" i="26" s="1"/>
  <c r="AW8" i="26" s="1"/>
  <c r="U10" i="26"/>
  <c r="X9" i="26"/>
  <c r="AA7" i="30"/>
  <c r="D9" i="15"/>
  <c r="G8" i="15"/>
  <c r="J46" i="15"/>
  <c r="AZ10" i="15"/>
  <c r="BA10" i="15"/>
  <c r="AP9" i="15"/>
  <c r="AM8" i="15"/>
  <c r="AB10" i="15"/>
  <c r="AE9" i="15"/>
  <c r="P9" i="15"/>
  <c r="AG29" i="15"/>
  <c r="AI28" i="15"/>
  <c r="AM9" i="30"/>
  <c r="AW9" i="30" s="1"/>
  <c r="AJ8" i="30"/>
  <c r="AF7" i="30"/>
  <c r="AC8" i="30"/>
  <c r="AU6" i="30"/>
  <c r="AR6" i="30"/>
  <c r="AO7" i="30"/>
  <c r="S7" i="30"/>
  <c r="P7" i="30"/>
  <c r="M8" i="30"/>
  <c r="K7" i="30"/>
  <c r="H8" i="30"/>
  <c r="AG6" i="30"/>
  <c r="AD5" i="30"/>
  <c r="AX9" i="30"/>
  <c r="M11" i="15"/>
  <c r="J12" i="15"/>
  <c r="AY9" i="15"/>
  <c r="M45" i="15" s="1"/>
  <c r="AV9" i="15"/>
  <c r="AS8" i="15"/>
  <c r="AS8" i="30"/>
  <c r="AV8" i="30"/>
  <c r="AP7" i="30"/>
  <c r="AO7" i="15"/>
  <c r="AL8" i="15"/>
  <c r="Q6" i="30"/>
  <c r="N5" i="30"/>
  <c r="K13" i="26"/>
  <c r="H14" i="26"/>
  <c r="AL7" i="26"/>
  <c r="AI8" i="26"/>
  <c r="L8" i="30"/>
  <c r="I7" i="30"/>
  <c r="AJ7" i="26"/>
  <c r="AM18" i="26"/>
  <c r="AW18" i="26" s="1"/>
  <c r="Y8" i="30"/>
  <c r="AB8" i="30"/>
  <c r="V7" i="30"/>
  <c r="T8" i="30"/>
  <c r="X8" i="30"/>
  <c r="U9" i="30"/>
  <c r="AL6" i="30"/>
  <c r="AI7" i="30"/>
  <c r="AU7" i="26" l="1"/>
  <c r="H13" i="27"/>
  <c r="J13" i="27"/>
  <c r="H12" i="27"/>
  <c r="E19" i="27"/>
  <c r="AO8" i="26"/>
  <c r="AR8" i="26" s="1"/>
  <c r="S10" i="15"/>
  <c r="Y10" i="15" s="1"/>
  <c r="V9" i="15"/>
  <c r="W5" i="15"/>
  <c r="T4" i="15"/>
  <c r="H6" i="15"/>
  <c r="E5" i="15"/>
  <c r="AU6" i="15"/>
  <c r="I42" i="15" s="1"/>
  <c r="AX6" i="15"/>
  <c r="L42" i="15" s="1"/>
  <c r="AR7" i="15"/>
  <c r="AF7" i="15"/>
  <c r="Z7" i="15"/>
  <c r="Q7" i="15"/>
  <c r="AC6" i="15"/>
  <c r="N5" i="15"/>
  <c r="K4" i="15"/>
  <c r="AX19" i="26"/>
  <c r="AW19" i="26"/>
  <c r="AA9" i="26"/>
  <c r="P12" i="26"/>
  <c r="M13" i="26"/>
  <c r="AF9" i="26"/>
  <c r="AC10" i="26"/>
  <c r="AA10" i="26" s="1"/>
  <c r="I12" i="26"/>
  <c r="L13" i="26"/>
  <c r="N13" i="26"/>
  <c r="T13" i="26" s="1"/>
  <c r="AB14" i="26"/>
  <c r="Q14" i="26"/>
  <c r="AX8" i="26"/>
  <c r="AX18" i="26"/>
  <c r="AP7" i="26"/>
  <c r="AG5" i="26"/>
  <c r="AD4" i="26"/>
  <c r="X10" i="26"/>
  <c r="U11" i="26"/>
  <c r="AA8" i="30"/>
  <c r="AO8" i="15"/>
  <c r="AL9" i="15"/>
  <c r="D10" i="15"/>
  <c r="G9" i="15"/>
  <c r="Q5" i="30"/>
  <c r="N4" i="30"/>
  <c r="AV8" i="15"/>
  <c r="AY8" i="15"/>
  <c r="M44" i="15" s="1"/>
  <c r="AS7" i="15"/>
  <c r="K8" i="30"/>
  <c r="H9" i="30"/>
  <c r="AF8" i="30"/>
  <c r="AC9" i="30"/>
  <c r="L7" i="30"/>
  <c r="I6" i="30"/>
  <c r="AL8" i="26"/>
  <c r="AI9" i="26"/>
  <c r="AS7" i="30"/>
  <c r="AV7" i="30"/>
  <c r="AP6" i="30"/>
  <c r="AZ9" i="15"/>
  <c r="J45" i="15"/>
  <c r="BA9" i="15"/>
  <c r="AR7" i="30"/>
  <c r="AU7" i="30"/>
  <c r="AO8" i="30"/>
  <c r="AG30" i="15"/>
  <c r="AI29" i="15"/>
  <c r="AB11" i="15"/>
  <c r="AE10" i="15"/>
  <c r="P10" i="15"/>
  <c r="AX8" i="30"/>
  <c r="AL7" i="30"/>
  <c r="AI8" i="30"/>
  <c r="X9" i="30"/>
  <c r="U10" i="30"/>
  <c r="Y7" i="30"/>
  <c r="AB7" i="30"/>
  <c r="V6" i="30"/>
  <c r="T7" i="30"/>
  <c r="AM7" i="26"/>
  <c r="AJ6" i="26"/>
  <c r="K14" i="26"/>
  <c r="H15" i="26"/>
  <c r="M12" i="15"/>
  <c r="AG5" i="30"/>
  <c r="AD4" i="30"/>
  <c r="S8" i="30"/>
  <c r="P8" i="30"/>
  <c r="M9" i="30"/>
  <c r="AM8" i="30"/>
  <c r="AW8" i="30" s="1"/>
  <c r="AJ7" i="30"/>
  <c r="AP8" i="15"/>
  <c r="AM7" i="15"/>
  <c r="AO9" i="26" l="1"/>
  <c r="AU8" i="26"/>
  <c r="H14" i="27"/>
  <c r="E20" i="27"/>
  <c r="J14" i="27"/>
  <c r="Z6" i="15"/>
  <c r="AF6" i="15"/>
  <c r="AC5" i="15"/>
  <c r="Q6" i="15"/>
  <c r="K3" i="15"/>
  <c r="N3" i="15" s="1"/>
  <c r="N4" i="15"/>
  <c r="W4" i="15"/>
  <c r="T3" i="15"/>
  <c r="W3" i="15" s="1"/>
  <c r="H5" i="15"/>
  <c r="E4" i="15"/>
  <c r="AU7" i="15"/>
  <c r="I43" i="15" s="1"/>
  <c r="AX7" i="15"/>
  <c r="L43" i="15" s="1"/>
  <c r="AR8" i="15"/>
  <c r="S11" i="15"/>
  <c r="V10" i="15"/>
  <c r="M14" i="26"/>
  <c r="P13" i="26"/>
  <c r="AF10" i="26"/>
  <c r="AC11" i="26"/>
  <c r="AA11" i="26" s="1"/>
  <c r="S10" i="26"/>
  <c r="AG4" i="26"/>
  <c r="AD3" i="26"/>
  <c r="AV12" i="26"/>
  <c r="L12" i="26"/>
  <c r="I11" i="26"/>
  <c r="AP6" i="26"/>
  <c r="AS7" i="26"/>
  <c r="AB13" i="26"/>
  <c r="Q13" i="26"/>
  <c r="N12" i="26"/>
  <c r="U12" i="26"/>
  <c r="X11" i="26"/>
  <c r="X10" i="30"/>
  <c r="U11" i="30"/>
  <c r="AR9" i="26"/>
  <c r="AU9" i="26"/>
  <c r="AO10" i="26"/>
  <c r="AX7" i="30"/>
  <c r="S9" i="30"/>
  <c r="P9" i="30"/>
  <c r="M10" i="30"/>
  <c r="AU8" i="30"/>
  <c r="AR8" i="30"/>
  <c r="AO9" i="30"/>
  <c r="AL9" i="26"/>
  <c r="AI10" i="26"/>
  <c r="L6" i="30"/>
  <c r="I5" i="30"/>
  <c r="K9" i="30"/>
  <c r="H10" i="30"/>
  <c r="J44" i="15"/>
  <c r="AZ8" i="15"/>
  <c r="BA8" i="15"/>
  <c r="Q4" i="30"/>
  <c r="N3" i="30"/>
  <c r="G10" i="15"/>
  <c r="D11" i="15"/>
  <c r="K15" i="26"/>
  <c r="H16" i="26"/>
  <c r="AG31" i="15"/>
  <c r="AI31" i="15" s="1"/>
  <c r="AI30" i="15"/>
  <c r="Y6" i="30"/>
  <c r="AB6" i="30"/>
  <c r="V5" i="30"/>
  <c r="T6" i="30"/>
  <c r="AA9" i="30"/>
  <c r="AS6" i="30"/>
  <c r="AV6" i="30"/>
  <c r="AP5" i="30"/>
  <c r="AO9" i="15"/>
  <c r="AL10" i="15"/>
  <c r="AM7" i="30"/>
  <c r="AW7" i="30" s="1"/>
  <c r="AJ6" i="30"/>
  <c r="AM6" i="26"/>
  <c r="AJ5" i="26"/>
  <c r="AP7" i="15"/>
  <c r="AM6" i="15"/>
  <c r="AG4" i="30"/>
  <c r="AD3" i="30"/>
  <c r="AG3" i="30" s="1"/>
  <c r="AL8" i="30"/>
  <c r="AI9" i="30"/>
  <c r="AE11" i="15"/>
  <c r="AB12" i="15"/>
  <c r="AF9" i="30"/>
  <c r="AC10" i="30"/>
  <c r="AY7" i="15"/>
  <c r="M43" i="15" s="1"/>
  <c r="AV7" i="15"/>
  <c r="AS6" i="15"/>
  <c r="H15" i="27" l="1"/>
  <c r="J15" i="27"/>
  <c r="E21" i="27"/>
  <c r="V11" i="15"/>
  <c r="S12" i="15"/>
  <c r="V12" i="15" s="1"/>
  <c r="P11" i="15"/>
  <c r="Y11" i="15"/>
  <c r="AC4" i="15"/>
  <c r="Z5" i="15"/>
  <c r="Q5" i="15"/>
  <c r="AF5" i="15"/>
  <c r="E3" i="15"/>
  <c r="H3" i="15" s="1"/>
  <c r="H4" i="15"/>
  <c r="AU8" i="15"/>
  <c r="I44" i="15" s="1"/>
  <c r="AR9" i="15"/>
  <c r="AX8" i="15"/>
  <c r="L44" i="15" s="1"/>
  <c r="AG3" i="26"/>
  <c r="P14" i="26"/>
  <c r="M15" i="26"/>
  <c r="AC12" i="26"/>
  <c r="S12" i="26" s="1"/>
  <c r="AF11" i="26"/>
  <c r="S11" i="26"/>
  <c r="AW7" i="26"/>
  <c r="AX7" i="26"/>
  <c r="T12" i="26"/>
  <c r="AB12" i="26"/>
  <c r="N11" i="26"/>
  <c r="Q12" i="26"/>
  <c r="AP5" i="26"/>
  <c r="AS6" i="26"/>
  <c r="AV11" i="26"/>
  <c r="L11" i="26"/>
  <c r="I10" i="26"/>
  <c r="U13" i="26"/>
  <c r="X12" i="26"/>
  <c r="AY6" i="15"/>
  <c r="M42" i="15" s="1"/>
  <c r="AV6" i="15"/>
  <c r="AS5" i="15"/>
  <c r="AL9" i="30"/>
  <c r="AI10" i="30"/>
  <c r="AX6" i="30"/>
  <c r="AO10" i="15"/>
  <c r="AL11" i="15"/>
  <c r="G11" i="15"/>
  <c r="D12" i="15"/>
  <c r="G12" i="15" s="1"/>
  <c r="K10" i="30"/>
  <c r="H11" i="30"/>
  <c r="AL10" i="26"/>
  <c r="AI11" i="26"/>
  <c r="X11" i="30"/>
  <c r="U12" i="30"/>
  <c r="AM6" i="30"/>
  <c r="AW6" i="30" s="1"/>
  <c r="AJ5" i="30"/>
  <c r="J43" i="15"/>
  <c r="AZ7" i="15"/>
  <c r="BA7" i="15"/>
  <c r="AS5" i="30"/>
  <c r="AV5" i="30"/>
  <c r="AP4" i="30"/>
  <c r="Y5" i="30"/>
  <c r="AB5" i="30"/>
  <c r="V4" i="30"/>
  <c r="T5" i="30"/>
  <c r="S10" i="30"/>
  <c r="P10" i="30"/>
  <c r="M11" i="30"/>
  <c r="AR10" i="26"/>
  <c r="AU10" i="26"/>
  <c r="AO11" i="26"/>
  <c r="AP6" i="15"/>
  <c r="AM5" i="15"/>
  <c r="AE12" i="15"/>
  <c r="P12" i="15"/>
  <c r="Y12" i="15"/>
  <c r="AM5" i="26"/>
  <c r="AJ4" i="26"/>
  <c r="AF10" i="30"/>
  <c r="AC11" i="30"/>
  <c r="K16" i="26"/>
  <c r="H17" i="26"/>
  <c r="Q3" i="30"/>
  <c r="L5" i="30"/>
  <c r="I4" i="30"/>
  <c r="AR9" i="30"/>
  <c r="AU9" i="30"/>
  <c r="AO10" i="30"/>
  <c r="AA10" i="30"/>
  <c r="E22" i="27" l="1"/>
  <c r="H16" i="27"/>
  <c r="J16" i="27"/>
  <c r="AX9" i="15"/>
  <c r="L45" i="15" s="1"/>
  <c r="AU9" i="15"/>
  <c r="I45" i="15" s="1"/>
  <c r="AR10" i="15"/>
  <c r="AF4" i="15"/>
  <c r="AC3" i="15"/>
  <c r="Q4" i="15"/>
  <c r="Z4" i="15"/>
  <c r="AA12" i="26"/>
  <c r="M16" i="26"/>
  <c r="P15" i="26"/>
  <c r="AC13" i="26"/>
  <c r="AA13" i="26" s="1"/>
  <c r="AF12" i="26"/>
  <c r="AA11" i="30"/>
  <c r="I9" i="26"/>
  <c r="AV10" i="26"/>
  <c r="L10" i="26"/>
  <c r="AS5" i="26"/>
  <c r="AP4" i="26"/>
  <c r="AX6" i="26"/>
  <c r="AW6" i="26"/>
  <c r="AB11" i="26"/>
  <c r="T11" i="26"/>
  <c r="N10" i="26"/>
  <c r="Q11" i="26"/>
  <c r="X13" i="26"/>
  <c r="U14" i="26"/>
  <c r="AS4" i="30"/>
  <c r="AV4" i="30"/>
  <c r="AP3" i="30"/>
  <c r="AM4" i="26"/>
  <c r="AJ3" i="26"/>
  <c r="AM3" i="26" s="1"/>
  <c r="AP5" i="15"/>
  <c r="AM4" i="15"/>
  <c r="AL11" i="26"/>
  <c r="AI12" i="26"/>
  <c r="AV5" i="15"/>
  <c r="AY5" i="15"/>
  <c r="M41" i="15" s="1"/>
  <c r="AS4" i="15"/>
  <c r="L4" i="30"/>
  <c r="I3" i="30"/>
  <c r="L3" i="30" s="1"/>
  <c r="S11" i="30"/>
  <c r="P11" i="30"/>
  <c r="M12" i="30"/>
  <c r="Y4" i="30"/>
  <c r="AB4" i="30"/>
  <c r="V3" i="30"/>
  <c r="T4" i="30"/>
  <c r="AX5" i="30"/>
  <c r="AM5" i="30"/>
  <c r="AW5" i="30" s="1"/>
  <c r="AJ4" i="30"/>
  <c r="AZ6" i="15"/>
  <c r="J42" i="15"/>
  <c r="BA6" i="15"/>
  <c r="K17" i="26"/>
  <c r="H18" i="26"/>
  <c r="AU10" i="30"/>
  <c r="AR10" i="30"/>
  <c r="AO11" i="30"/>
  <c r="AF11" i="30"/>
  <c r="AC12" i="30"/>
  <c r="AF12" i="30" s="1"/>
  <c r="AR11" i="26"/>
  <c r="AU11" i="26"/>
  <c r="AO12" i="26"/>
  <c r="X12" i="30"/>
  <c r="K11" i="30"/>
  <c r="H12" i="30"/>
  <c r="K12" i="30" s="1"/>
  <c r="AO11" i="15"/>
  <c r="AL12" i="15"/>
  <c r="AO12" i="15" s="1"/>
  <c r="AL10" i="30"/>
  <c r="AI11" i="30"/>
  <c r="H17" i="27" l="1"/>
  <c r="J17" i="27"/>
  <c r="E23" i="27"/>
  <c r="AF3" i="15"/>
  <c r="Q3" i="15"/>
  <c r="Z3" i="15"/>
  <c r="AR11" i="15"/>
  <c r="AX10" i="15"/>
  <c r="L46" i="15" s="1"/>
  <c r="AU10" i="15"/>
  <c r="I46" i="15" s="1"/>
  <c r="S13" i="26"/>
  <c r="M17" i="26"/>
  <c r="P16" i="26"/>
  <c r="AF13" i="26"/>
  <c r="AC14" i="26"/>
  <c r="S14" i="26" s="1"/>
  <c r="AW5" i="26"/>
  <c r="AX5" i="26"/>
  <c r="T10" i="26"/>
  <c r="N9" i="26"/>
  <c r="Q10" i="26"/>
  <c r="AB10" i="26"/>
  <c r="AS4" i="26"/>
  <c r="AP3" i="26"/>
  <c r="AS3" i="26" s="1"/>
  <c r="AV9" i="26"/>
  <c r="L9" i="26"/>
  <c r="I8" i="26"/>
  <c r="X14" i="26"/>
  <c r="U15" i="26"/>
  <c r="AL11" i="30"/>
  <c r="AI12" i="30"/>
  <c r="AL12" i="30" s="1"/>
  <c r="AP4" i="15"/>
  <c r="AM3" i="15"/>
  <c r="AP3" i="15" s="1"/>
  <c r="AM4" i="30"/>
  <c r="AW4" i="30" s="1"/>
  <c r="AJ3" i="30"/>
  <c r="AM3" i="30" s="1"/>
  <c r="S12" i="30"/>
  <c r="P12" i="30"/>
  <c r="Y3" i="30"/>
  <c r="AB3" i="30"/>
  <c r="T3" i="30"/>
  <c r="J41" i="15"/>
  <c r="AZ5" i="15"/>
  <c r="BA5" i="15"/>
  <c r="AS3" i="30"/>
  <c r="AV3" i="30"/>
  <c r="AR11" i="30"/>
  <c r="AU11" i="30"/>
  <c r="AO12" i="30"/>
  <c r="AL12" i="26"/>
  <c r="AI13" i="26"/>
  <c r="AA12" i="30"/>
  <c r="AR12" i="26"/>
  <c r="AU12" i="26"/>
  <c r="AO13" i="26"/>
  <c r="H19" i="26"/>
  <c r="K18" i="26"/>
  <c r="AV4" i="15"/>
  <c r="AY4" i="15"/>
  <c r="M40" i="15" s="1"/>
  <c r="AS3" i="15"/>
  <c r="AX4" i="30"/>
  <c r="E24" i="27" l="1"/>
  <c r="H18" i="27"/>
  <c r="J18" i="27"/>
  <c r="AA14" i="26"/>
  <c r="AU11" i="15"/>
  <c r="I47" i="15" s="1"/>
  <c r="AX11" i="15"/>
  <c r="L47" i="15" s="1"/>
  <c r="AR12" i="15"/>
  <c r="P17" i="26"/>
  <c r="M18" i="26"/>
  <c r="AC15" i="26"/>
  <c r="S15" i="26" s="1"/>
  <c r="AF14" i="26"/>
  <c r="AX3" i="26"/>
  <c r="AW3" i="26"/>
  <c r="T9" i="26"/>
  <c r="Q9" i="26"/>
  <c r="AB9" i="26"/>
  <c r="N8" i="26"/>
  <c r="L8" i="26"/>
  <c r="I7" i="26"/>
  <c r="AV8" i="26"/>
  <c r="AW4" i="26"/>
  <c r="AX4" i="26"/>
  <c r="X15" i="26"/>
  <c r="U16" i="26"/>
  <c r="AU12" i="30"/>
  <c r="AR12" i="30"/>
  <c r="AZ4" i="15"/>
  <c r="J40" i="15"/>
  <c r="BA4" i="15"/>
  <c r="AL13" i="26"/>
  <c r="AI14" i="26"/>
  <c r="AR13" i="26"/>
  <c r="AU13" i="26"/>
  <c r="AO14" i="26"/>
  <c r="AY3" i="15"/>
  <c r="M39" i="15" s="1"/>
  <c r="AV3" i="15"/>
  <c r="H20" i="26"/>
  <c r="K19" i="26"/>
  <c r="AW3" i="30"/>
  <c r="AW13" i="30" s="1"/>
  <c r="AX3" i="30"/>
  <c r="AX13" i="30" s="1"/>
  <c r="J19" i="27" l="1"/>
  <c r="H19" i="27"/>
  <c r="E25" i="27"/>
  <c r="AA15" i="26"/>
  <c r="AU12" i="15"/>
  <c r="I48" i="15" s="1"/>
  <c r="AX12" i="15"/>
  <c r="L48" i="15" s="1"/>
  <c r="AW23" i="26"/>
  <c r="AX23" i="26"/>
  <c r="M19" i="26"/>
  <c r="P18" i="26"/>
  <c r="AC16" i="26"/>
  <c r="AA16" i="26" s="1"/>
  <c r="AF15" i="26"/>
  <c r="N7" i="26"/>
  <c r="T7" i="26" s="1"/>
  <c r="AB8" i="26"/>
  <c r="T8" i="26"/>
  <c r="Q8" i="26"/>
  <c r="I6" i="26"/>
  <c r="L7" i="26"/>
  <c r="AV7" i="26"/>
  <c r="U17" i="26"/>
  <c r="X16" i="26"/>
  <c r="H21" i="26"/>
  <c r="K20" i="26"/>
  <c r="J39" i="15"/>
  <c r="AZ3" i="15"/>
  <c r="AZ13" i="15" s="1"/>
  <c r="A36" i="15" s="1"/>
  <c r="BA3" i="15"/>
  <c r="BA13" i="15" s="1"/>
  <c r="AL14" i="26"/>
  <c r="AI15" i="26"/>
  <c r="AY13" i="30"/>
  <c r="AR14" i="26"/>
  <c r="AU14" i="26"/>
  <c r="AO15" i="26"/>
  <c r="J20" i="27" l="1"/>
  <c r="H20" i="27"/>
  <c r="E26" i="27"/>
  <c r="A6" i="27"/>
  <c r="AY23" i="26"/>
  <c r="B6" i="27"/>
  <c r="S16" i="26"/>
  <c r="M20" i="26"/>
  <c r="P19" i="26"/>
  <c r="AC17" i="26"/>
  <c r="AA17" i="26" s="1"/>
  <c r="AF16" i="26"/>
  <c r="AV6" i="26"/>
  <c r="L6" i="26"/>
  <c r="I5" i="26"/>
  <c r="N6" i="26"/>
  <c r="T6" i="26" s="1"/>
  <c r="AB7" i="26"/>
  <c r="Q7" i="26"/>
  <c r="X17" i="26"/>
  <c r="U18" i="26"/>
  <c r="AR15" i="26"/>
  <c r="AU15" i="26"/>
  <c r="AO16" i="26"/>
  <c r="AL15" i="26"/>
  <c r="AI16" i="26"/>
  <c r="C36" i="15"/>
  <c r="BB13" i="15"/>
  <c r="E36" i="15" s="1"/>
  <c r="H22" i="26"/>
  <c r="K22" i="26" s="1"/>
  <c r="K21" i="26"/>
  <c r="H21" i="27" l="1"/>
  <c r="E27" i="27"/>
  <c r="E28" i="27"/>
  <c r="C6" i="27"/>
  <c r="J21" i="27"/>
  <c r="S17" i="26"/>
  <c r="P20" i="26"/>
  <c r="M21" i="26"/>
  <c r="AF17" i="26"/>
  <c r="AC18" i="26"/>
  <c r="AA18" i="26" s="1"/>
  <c r="I4" i="26"/>
  <c r="L5" i="26"/>
  <c r="AV5" i="26"/>
  <c r="AB6" i="26"/>
  <c r="Q6" i="26"/>
  <c r="N5" i="26"/>
  <c r="T5" i="26" s="1"/>
  <c r="X18" i="26"/>
  <c r="U19" i="26"/>
  <c r="AL16" i="26"/>
  <c r="AI17" i="26"/>
  <c r="AU16" i="26"/>
  <c r="AR16" i="26"/>
  <c r="AO17" i="26"/>
  <c r="H22" i="27" l="1"/>
  <c r="J22" i="27"/>
  <c r="P21" i="26"/>
  <c r="M22" i="26"/>
  <c r="P22" i="26" s="1"/>
  <c r="AC19" i="26"/>
  <c r="S19" i="26" s="1"/>
  <c r="AF18" i="26"/>
  <c r="S18" i="26"/>
  <c r="AB5" i="26"/>
  <c r="Q5" i="26"/>
  <c r="N4" i="26"/>
  <c r="T4" i="26" s="1"/>
  <c r="I3" i="26"/>
  <c r="L4" i="26"/>
  <c r="AV4" i="26"/>
  <c r="U20" i="26"/>
  <c r="X19" i="26"/>
  <c r="AR17" i="26"/>
  <c r="AU17" i="26"/>
  <c r="AO18" i="26"/>
  <c r="AL17" i="26"/>
  <c r="AI18" i="26"/>
  <c r="H23" i="27" l="1"/>
  <c r="J23" i="27"/>
  <c r="AA19" i="26"/>
  <c r="AC20" i="26"/>
  <c r="AA20" i="26" s="1"/>
  <c r="AF19" i="26"/>
  <c r="Q4" i="26"/>
  <c r="AB4" i="26"/>
  <c r="N3" i="26"/>
  <c r="T3" i="26" s="1"/>
  <c r="AV3" i="26"/>
  <c r="L3" i="26"/>
  <c r="U21" i="26"/>
  <c r="X20" i="26"/>
  <c r="AU18" i="26"/>
  <c r="AR18" i="26"/>
  <c r="AO19" i="26"/>
  <c r="AL18" i="26"/>
  <c r="AI19" i="26"/>
  <c r="H24" i="27" l="1"/>
  <c r="J24" i="27"/>
  <c r="S20" i="26"/>
  <c r="AC21" i="26"/>
  <c r="S21" i="26" s="1"/>
  <c r="AF20" i="26"/>
  <c r="AB3" i="26"/>
  <c r="Q3" i="26"/>
  <c r="U22" i="26"/>
  <c r="X21" i="26"/>
  <c r="AU19" i="26"/>
  <c r="AR19" i="26"/>
  <c r="AO20" i="26"/>
  <c r="AL19" i="26"/>
  <c r="AI20" i="26"/>
  <c r="J25" i="27" l="1"/>
  <c r="H25" i="27"/>
  <c r="AA21" i="26"/>
  <c r="AC22" i="26"/>
  <c r="AF22" i="26" s="1"/>
  <c r="AF21" i="26"/>
  <c r="X22" i="26"/>
  <c r="AO21" i="26"/>
  <c r="AR20" i="26"/>
  <c r="AU20" i="26"/>
  <c r="AL20" i="26"/>
  <c r="AI21" i="26"/>
  <c r="J26" i="27" l="1"/>
  <c r="H26" i="27"/>
  <c r="S22" i="26"/>
  <c r="AA22" i="26"/>
  <c r="AL21" i="26"/>
  <c r="AI22" i="26"/>
  <c r="AL22" i="26" s="1"/>
  <c r="AR21" i="26"/>
  <c r="AU21" i="26"/>
  <c r="AO22" i="26"/>
  <c r="J27" i="27" l="1"/>
  <c r="H27" i="27"/>
  <c r="AU22" i="26"/>
  <c r="AR22" i="26"/>
  <c r="J28" i="27" l="1"/>
  <c r="H28" i="27"/>
</calcChain>
</file>

<file path=xl/sharedStrings.xml><?xml version="1.0" encoding="utf-8"?>
<sst xmlns="http://schemas.openxmlformats.org/spreadsheetml/2006/main" count="304" uniqueCount="72">
  <si>
    <t>Bad</t>
  </si>
  <si>
    <t>Good</t>
  </si>
  <si>
    <t>No Perf</t>
  </si>
  <si>
    <t>Bad Rate</t>
  </si>
  <si>
    <t>Score</t>
  </si>
  <si>
    <t>Total</t>
  </si>
  <si>
    <t>Good Rate</t>
  </si>
  <si>
    <t>Indet</t>
  </si>
  <si>
    <t>Bad at Obs</t>
  </si>
  <si>
    <t>Insufficient</t>
  </si>
  <si>
    <t>Other Total</t>
  </si>
  <si>
    <t>Min</t>
  </si>
  <si>
    <t>Max</t>
  </si>
  <si>
    <t>Int</t>
  </si>
  <si>
    <t>Cum</t>
  </si>
  <si>
    <t>Decum</t>
  </si>
  <si>
    <t>Int%</t>
  </si>
  <si>
    <t>Cum%</t>
  </si>
  <si>
    <t>Decum%</t>
  </si>
  <si>
    <t>KS</t>
  </si>
  <si>
    <t>ROC</t>
  </si>
  <si>
    <t>GINI</t>
  </si>
  <si>
    <t>Bad Orig</t>
  </si>
  <si>
    <t>Good Orig</t>
  </si>
  <si>
    <t>Indet orig</t>
  </si>
  <si>
    <t>insuff</t>
  </si>
  <si>
    <t>no perf</t>
  </si>
  <si>
    <t>bad at obs</t>
  </si>
  <si>
    <t>Gini</t>
  </si>
  <si>
    <t>clase</t>
  </si>
  <si>
    <t>min</t>
  </si>
  <si>
    <t>max</t>
  </si>
  <si>
    <t>total</t>
  </si>
  <si>
    <t>bad</t>
  </si>
  <si>
    <t>good</t>
  </si>
  <si>
    <t>indet</t>
  </si>
  <si>
    <t>insuf</t>
  </si>
  <si>
    <t>noperf</t>
  </si>
  <si>
    <t>badobs</t>
  </si>
  <si>
    <t>-----------</t>
  </si>
  <si>
    <t>----------</t>
  </si>
  <si>
    <t>-------</t>
  </si>
  <si>
    <t>-------------</t>
  </si>
  <si>
    <t>Int#</t>
  </si>
  <si>
    <t>#Int</t>
  </si>
  <si>
    <t>Other*</t>
  </si>
  <si>
    <t>*Other = All cases without a valid performance (rejects, approved-not-booked, etc.)</t>
  </si>
  <si>
    <t>Informe</t>
  </si>
  <si>
    <t>nod_orden</t>
  </si>
  <si>
    <t>Percentile Group of RANGO</t>
  </si>
  <si>
    <t>Mínimo</t>
  </si>
  <si>
    <t>Máximo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</si>
  <si>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</si>
  <si>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</si>
  <si>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</si>
  <si>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</si>
  <si>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</si>
  <si>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</si>
  <si>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</si>
  <si>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</si>
  <si>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</si>
  <si>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</si>
  <si>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Tabla de contingencia Percentile Group of RANGO * GB A 30 DIAS</t>
  </si>
  <si>
    <t>GB A 30 DIAS</t>
  </si>
  <si>
    <t>BUENO</t>
  </si>
  <si>
    <t>MALO</t>
  </si>
  <si>
    <t>Recuento</t>
  </si>
  <si>
    <t>% dentro de Percentile Group of RANGO</t>
  </si>
  <si>
    <t>% dentro de GB A 30 DIAS</t>
  </si>
  <si>
    <t>Malo</t>
  </si>
  <si>
    <t>Bueno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</si>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</sst>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%"/>
    <numFmt numFmtId="166" formatCode="0.000"/>
    <numFmt numFmtId="167" formatCode="#,##0.0_);\(#,##0.0\)"/>
    <numFmt numFmtId="168" formatCode="_(* #,##0_);_(* \(#,##0\);_(* &quot;-&quot;??_);_(@_)"/>
    <numFmt numFmtId="169" formatCode="0.0"/>
    <numFmt numFmtId="170" formatCode="###0.00"/>
    <numFmt numFmtId="171" formatCode="###0"/>
    <numFmt numFmtId="172" formatCode="###0.0%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entury Gothic"/>
      <family val="2"/>
    </font>
    <font>
      <sz val="8"/>
      <color indexed="9"/>
      <name val="Century Gothic"/>
      <family val="2"/>
    </font>
    <font>
      <sz val="10"/>
      <color indexed="9"/>
      <name val="Century Gothic"/>
      <family val="2"/>
    </font>
    <font>
      <sz val="10"/>
      <name val="Century Gothic"/>
      <family val="2"/>
    </font>
    <font>
      <b/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name val="Calibri"/>
      <family val="2"/>
    </font>
    <font>
      <sz val="10"/>
      <color indexed="9"/>
      <name val="Arial Narrow"/>
      <family val="2"/>
    </font>
    <font>
      <sz val="8"/>
      <color indexed="9"/>
      <name val="Arial Narrow"/>
      <family val="2"/>
    </font>
    <font>
      <i/>
      <sz val="10"/>
      <name val="Arial Narrow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9"/>
      <name val="Calibri"/>
      <family val="2"/>
    </font>
    <font>
      <sz val="9"/>
      <color indexed="9"/>
      <name val="Calibri"/>
      <family val="2"/>
    </font>
    <font>
      <sz val="9"/>
      <color indexed="8"/>
      <name val="Calibri"/>
      <family val="2"/>
    </font>
    <font>
      <sz val="10"/>
      <name val="Arial"/>
      <family val="2"/>
    </font>
    <font>
      <b/>
      <i/>
      <sz val="11"/>
      <name val="Arial Narrow"/>
      <family val="2"/>
    </font>
    <font>
      <b/>
      <sz val="10"/>
      <color indexed="9"/>
      <name val="Century Gothic"/>
      <family val="1"/>
    </font>
    <font>
      <sz val="8"/>
      <color indexed="9"/>
      <name val="Century Gothic"/>
      <family val="1"/>
    </font>
    <font>
      <sz val="10"/>
      <color indexed="9"/>
      <name val="Century Gothic"/>
      <family val="1"/>
    </font>
    <font>
      <sz val="10"/>
      <name val="Century Gothic"/>
      <family val="1"/>
    </font>
    <font>
      <sz val="11"/>
      <color indexed="8"/>
      <name val="Century Gothic"/>
      <family val="1"/>
    </font>
    <font>
      <sz val="11"/>
      <color theme="1"/>
      <name val="Century Gothic"/>
      <family val="1"/>
    </font>
    <font>
      <b/>
      <i/>
      <sz val="11"/>
      <name val="Century Gothic"/>
      <family val="1"/>
    </font>
    <font>
      <b/>
      <i/>
      <sz val="10"/>
      <name val="Century Gothic"/>
      <family val="1"/>
    </font>
    <font>
      <b/>
      <sz val="10"/>
      <name val="Century Gothic"/>
      <family val="1"/>
    </font>
    <font>
      <b/>
      <sz val="11"/>
      <color rgb="FFFFFFFF"/>
      <name val="Century Gothic"/>
      <family val="1"/>
    </font>
    <font>
      <sz val="8"/>
      <color rgb="FFF8F8F8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1414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/>
    <xf numFmtId="0" fontId="22" fillId="0" borderId="0"/>
  </cellStyleXfs>
  <cellXfs count="236">
    <xf numFmtId="0" fontId="0" fillId="0" borderId="0" xfId="0"/>
    <xf numFmtId="0" fontId="5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65" fontId="4" fillId="2" borderId="1" xfId="3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5" fontId="2" fillId="2" borderId="1" xfId="3" applyNumberFormat="1" applyFont="1" applyFill="1" applyBorder="1" applyAlignment="1">
      <alignment horizontal="center" wrapText="1"/>
    </xf>
    <xf numFmtId="166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3" borderId="1" xfId="0" applyFont="1" applyFill="1" applyBorder="1" applyAlignment="1">
      <alignment horizontal="center" wrapText="1"/>
    </xf>
    <xf numFmtId="3" fontId="5" fillId="3" borderId="1" xfId="0" applyNumberFormat="1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165" fontId="5" fillId="0" borderId="1" xfId="3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wrapText="1"/>
    </xf>
    <xf numFmtId="165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5" fontId="5" fillId="0" borderId="1" xfId="3" applyNumberFormat="1" applyFont="1" applyFill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9" fontId="9" fillId="0" borderId="1" xfId="0" applyNumberFormat="1" applyFont="1" applyBorder="1" applyAlignment="1">
      <alignment horizontal="center" wrapText="1"/>
    </xf>
    <xf numFmtId="165" fontId="9" fillId="0" borderId="1" xfId="3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3" fontId="9" fillId="0" borderId="1" xfId="0" applyNumberFormat="1" applyFont="1" applyBorder="1" applyAlignment="1">
      <alignment wrapText="1"/>
    </xf>
    <xf numFmtId="165" fontId="9" fillId="0" borderId="0" xfId="0" applyNumberFormat="1" applyFont="1" applyAlignment="1">
      <alignment wrapText="1"/>
    </xf>
    <xf numFmtId="166" fontId="10" fillId="0" borderId="0" xfId="3" applyNumberFormat="1" applyFont="1" applyAlignment="1">
      <alignment wrapText="1"/>
    </xf>
    <xf numFmtId="166" fontId="10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0" fontId="2" fillId="2" borderId="1" xfId="0" applyFont="1" applyFill="1" applyBorder="1"/>
    <xf numFmtId="3" fontId="2" fillId="2" borderId="1" xfId="0" applyNumberFormat="1" applyFont="1" applyFill="1" applyBorder="1" applyAlignment="1">
      <alignment wrapText="1"/>
    </xf>
    <xf numFmtId="1" fontId="5" fillId="0" borderId="0" xfId="3" applyNumberFormat="1" applyFont="1" applyAlignment="1">
      <alignment horizontal="center" wrapText="1"/>
    </xf>
    <xf numFmtId="3" fontId="5" fillId="4" borderId="0" xfId="0" applyNumberFormat="1" applyFont="1" applyFill="1" applyAlignment="1">
      <alignment horizontal="center" wrapText="1"/>
    </xf>
    <xf numFmtId="3" fontId="5" fillId="0" borderId="0" xfId="0" applyNumberFormat="1" applyFont="1" applyAlignment="1">
      <alignment wrapText="1"/>
    </xf>
    <xf numFmtId="165" fontId="5" fillId="0" borderId="0" xfId="3" applyNumberFormat="1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5" fillId="3" borderId="1" xfId="0" applyNumberFormat="1" applyFont="1" applyFill="1" applyBorder="1"/>
    <xf numFmtId="10" fontId="0" fillId="0" borderId="0" xfId="0" applyNumberFormat="1"/>
    <xf numFmtId="3" fontId="6" fillId="2" borderId="1" xfId="0" applyNumberFormat="1" applyFont="1" applyFill="1" applyBorder="1" applyAlignment="1">
      <alignment horizontal="center" wrapText="1"/>
    </xf>
    <xf numFmtId="165" fontId="6" fillId="2" borderId="1" xfId="3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9" fontId="7" fillId="0" borderId="1" xfId="0" applyNumberFormat="1" applyFont="1" applyBorder="1" applyAlignment="1">
      <alignment horizontal="center" wrapText="1"/>
    </xf>
    <xf numFmtId="165" fontId="7" fillId="0" borderId="1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9" fontId="10" fillId="0" borderId="1" xfId="0" applyNumberFormat="1" applyFont="1" applyBorder="1" applyAlignment="1">
      <alignment horizontal="center" wrapText="1"/>
    </xf>
    <xf numFmtId="165" fontId="10" fillId="0" borderId="1" xfId="3" applyNumberFormat="1" applyFont="1" applyBorder="1" applyAlignment="1">
      <alignment horizontal="center" wrapText="1"/>
    </xf>
    <xf numFmtId="10" fontId="5" fillId="0" borderId="0" xfId="3" applyNumberFormat="1" applyFont="1" applyAlignment="1">
      <alignment horizontal="center" wrapText="1"/>
    </xf>
    <xf numFmtId="168" fontId="5" fillId="0" borderId="0" xfId="4" applyNumberFormat="1" applyFont="1" applyAlignment="1">
      <alignment horizontal="center" wrapText="1"/>
    </xf>
    <xf numFmtId="165" fontId="5" fillId="0" borderId="0" xfId="3" applyNumberFormat="1" applyFont="1" applyAlignment="1">
      <alignment wrapText="1"/>
    </xf>
    <xf numFmtId="164" fontId="5" fillId="0" borderId="0" xfId="4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165" fontId="7" fillId="0" borderId="1" xfId="3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vertical="center" wrapText="1"/>
    </xf>
    <xf numFmtId="165" fontId="7" fillId="0" borderId="0" xfId="0" applyNumberFormat="1" applyFont="1" applyAlignment="1">
      <alignment vertical="center" wrapText="1"/>
    </xf>
    <xf numFmtId="165" fontId="7" fillId="0" borderId="1" xfId="3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165" fontId="10" fillId="0" borderId="1" xfId="3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165" fontId="10" fillId="0" borderId="0" xfId="0" applyNumberFormat="1" applyFont="1" applyAlignment="1">
      <alignment vertical="center" wrapText="1"/>
    </xf>
    <xf numFmtId="166" fontId="10" fillId="0" borderId="0" xfId="3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165" fontId="7" fillId="0" borderId="0" xfId="3" applyNumberFormat="1" applyFont="1" applyAlignment="1">
      <alignment horizontal="center" vertical="center" wrapText="1"/>
    </xf>
    <xf numFmtId="3" fontId="7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165" fontId="16" fillId="0" borderId="0" xfId="3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0" fontId="12" fillId="0" borderId="0" xfId="5"/>
    <xf numFmtId="0" fontId="20" fillId="5" borderId="8" xfId="5" applyFont="1" applyFill="1" applyBorder="1" applyAlignment="1">
      <alignment horizontal="center" wrapText="1"/>
    </xf>
    <xf numFmtId="0" fontId="20" fillId="5" borderId="9" xfId="5" applyFont="1" applyFill="1" applyBorder="1" applyAlignment="1">
      <alignment horizontal="center" wrapText="1"/>
    </xf>
    <xf numFmtId="0" fontId="20" fillId="5" borderId="10" xfId="5" applyFont="1" applyFill="1" applyBorder="1" applyAlignment="1">
      <alignment horizontal="left" vertical="top"/>
    </xf>
    <xf numFmtId="170" fontId="21" fillId="0" borderId="11" xfId="5" applyNumberFormat="1" applyFont="1" applyBorder="1" applyAlignment="1">
      <alignment horizontal="right" vertical="center"/>
    </xf>
    <xf numFmtId="170" fontId="21" fillId="0" borderId="12" xfId="5" applyNumberFormat="1" applyFont="1" applyBorder="1" applyAlignment="1">
      <alignment horizontal="right" vertical="center"/>
    </xf>
    <xf numFmtId="0" fontId="20" fillId="5" borderId="13" xfId="5" applyFont="1" applyFill="1" applyBorder="1" applyAlignment="1">
      <alignment horizontal="left" vertical="top"/>
    </xf>
    <xf numFmtId="170" fontId="21" fillId="0" borderId="14" xfId="5" applyNumberFormat="1" applyFont="1" applyBorder="1" applyAlignment="1">
      <alignment horizontal="right" vertical="center"/>
    </xf>
    <xf numFmtId="170" fontId="21" fillId="0" borderId="15" xfId="5" applyNumberFormat="1" applyFont="1" applyBorder="1" applyAlignment="1">
      <alignment horizontal="right" vertical="center"/>
    </xf>
    <xf numFmtId="0" fontId="20" fillId="5" borderId="16" xfId="5" applyFont="1" applyFill="1" applyBorder="1" applyAlignment="1">
      <alignment horizontal="left" vertical="top" wrapText="1"/>
    </xf>
    <xf numFmtId="170" fontId="21" fillId="0" borderId="17" xfId="5" applyNumberFormat="1" applyFont="1" applyBorder="1" applyAlignment="1">
      <alignment horizontal="right" vertical="center"/>
    </xf>
    <xf numFmtId="170" fontId="21" fillId="0" borderId="18" xfId="5" applyNumberFormat="1" applyFont="1" applyBorder="1" applyAlignment="1">
      <alignment horizontal="right" vertical="center"/>
    </xf>
    <xf numFmtId="0" fontId="20" fillId="5" borderId="31" xfId="5" applyFont="1" applyFill="1" applyBorder="1" applyAlignment="1">
      <alignment horizontal="center" wrapText="1"/>
    </xf>
    <xf numFmtId="0" fontId="20" fillId="5" borderId="32" xfId="5" applyFont="1" applyFill="1" applyBorder="1" applyAlignment="1">
      <alignment horizontal="center" wrapText="1"/>
    </xf>
    <xf numFmtId="0" fontId="20" fillId="5" borderId="33" xfId="5" applyFont="1" applyFill="1" applyBorder="1" applyAlignment="1">
      <alignment horizontal="center" wrapText="1"/>
    </xf>
    <xf numFmtId="0" fontId="20" fillId="5" borderId="12" xfId="5" applyFont="1" applyFill="1" applyBorder="1" applyAlignment="1">
      <alignment horizontal="left" vertical="top"/>
    </xf>
    <xf numFmtId="171" fontId="21" fillId="0" borderId="11" xfId="5" applyNumberFormat="1" applyFont="1" applyBorder="1" applyAlignment="1">
      <alignment horizontal="right" vertical="center"/>
    </xf>
    <xf numFmtId="172" fontId="21" fillId="0" borderId="34" xfId="5" applyNumberFormat="1" applyFont="1" applyBorder="1" applyAlignment="1">
      <alignment horizontal="right" vertical="center"/>
    </xf>
    <xf numFmtId="171" fontId="21" fillId="0" borderId="34" xfId="5" applyNumberFormat="1" applyFont="1" applyBorder="1" applyAlignment="1">
      <alignment horizontal="right" vertical="center"/>
    </xf>
    <xf numFmtId="172" fontId="21" fillId="0" borderId="12" xfId="5" applyNumberFormat="1" applyFont="1" applyBorder="1" applyAlignment="1">
      <alignment horizontal="right" vertical="center"/>
    </xf>
    <xf numFmtId="0" fontId="20" fillId="5" borderId="15" xfId="5" applyFont="1" applyFill="1" applyBorder="1" applyAlignment="1">
      <alignment horizontal="left" vertical="top"/>
    </xf>
    <xf numFmtId="171" fontId="21" fillId="0" borderId="14" xfId="5" applyNumberFormat="1" applyFont="1" applyBorder="1" applyAlignment="1">
      <alignment horizontal="right" vertical="center"/>
    </xf>
    <xf numFmtId="172" fontId="21" fillId="0" borderId="35" xfId="5" applyNumberFormat="1" applyFont="1" applyBorder="1" applyAlignment="1">
      <alignment horizontal="right" vertical="center"/>
    </xf>
    <xf numFmtId="171" fontId="21" fillId="0" borderId="35" xfId="5" applyNumberFormat="1" applyFont="1" applyBorder="1" applyAlignment="1">
      <alignment horizontal="right" vertical="center"/>
    </xf>
    <xf numFmtId="172" fontId="21" fillId="0" borderId="15" xfId="5" applyNumberFormat="1" applyFont="1" applyBorder="1" applyAlignment="1">
      <alignment horizontal="right" vertical="center"/>
    </xf>
    <xf numFmtId="171" fontId="21" fillId="0" borderId="17" xfId="5" applyNumberFormat="1" applyFont="1" applyBorder="1" applyAlignment="1">
      <alignment horizontal="right" vertical="center"/>
    </xf>
    <xf numFmtId="172" fontId="21" fillId="0" borderId="36" xfId="5" applyNumberFormat="1" applyFont="1" applyBorder="1" applyAlignment="1">
      <alignment horizontal="right" vertical="center"/>
    </xf>
    <xf numFmtId="171" fontId="21" fillId="0" borderId="36" xfId="5" applyNumberFormat="1" applyFont="1" applyBorder="1" applyAlignment="1">
      <alignment horizontal="right" vertical="center"/>
    </xf>
    <xf numFmtId="172" fontId="21" fillId="0" borderId="18" xfId="5" applyNumberFormat="1" applyFont="1" applyBorder="1" applyAlignment="1">
      <alignment horizontal="right" vertical="center"/>
    </xf>
    <xf numFmtId="171" fontId="1" fillId="0" borderId="37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center" vertical="center" wrapText="1"/>
    </xf>
    <xf numFmtId="0" fontId="19" fillId="5" borderId="7" xfId="5" applyFont="1" applyFill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center" vertical="center" wrapText="1"/>
    </xf>
    <xf numFmtId="165" fontId="6" fillId="2" borderId="1" xfId="3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14" fillId="2" borderId="1" xfId="3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171" fontId="1" fillId="0" borderId="1" xfId="6" applyNumberFormat="1" applyFont="1" applyBorder="1" applyAlignment="1">
      <alignment horizontal="center" vertical="center"/>
    </xf>
    <xf numFmtId="3" fontId="27" fillId="0" borderId="1" xfId="0" applyNumberFormat="1" applyFont="1" applyBorder="1" applyAlignment="1">
      <alignment horizontal="center" vertical="center" wrapText="1"/>
    </xf>
    <xf numFmtId="9" fontId="27" fillId="0" borderId="1" xfId="0" applyNumberFormat="1" applyFont="1" applyBorder="1" applyAlignment="1">
      <alignment horizontal="center" vertical="center" wrapText="1"/>
    </xf>
    <xf numFmtId="165" fontId="27" fillId="0" borderId="1" xfId="3" applyNumberFormat="1" applyFont="1" applyBorder="1" applyAlignment="1">
      <alignment horizontal="center" vertical="center" wrapText="1"/>
    </xf>
    <xf numFmtId="165" fontId="27" fillId="0" borderId="1" xfId="3" applyNumberFormat="1" applyFont="1" applyFill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1" fillId="0" borderId="1" xfId="0" applyNumberFormat="1" applyFont="1" applyBorder="1" applyAlignment="1">
      <alignment horizontal="center" vertical="center" wrapText="1"/>
    </xf>
    <xf numFmtId="9" fontId="31" fillId="0" borderId="1" xfId="0" applyNumberFormat="1" applyFont="1" applyBorder="1" applyAlignment="1">
      <alignment horizontal="center" vertical="center" wrapText="1"/>
    </xf>
    <xf numFmtId="165" fontId="31" fillId="0" borderId="1" xfId="3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3" fontId="27" fillId="0" borderId="38" xfId="0" applyNumberFormat="1" applyFont="1" applyBorder="1" applyAlignment="1">
      <alignment horizontal="center" vertical="center" wrapText="1"/>
    </xf>
    <xf numFmtId="9" fontId="27" fillId="0" borderId="38" xfId="0" applyNumberFormat="1" applyFont="1" applyBorder="1" applyAlignment="1">
      <alignment horizontal="center" vertical="center" wrapText="1"/>
    </xf>
    <xf numFmtId="165" fontId="27" fillId="0" borderId="38" xfId="3" applyNumberFormat="1" applyFont="1" applyBorder="1" applyAlignment="1">
      <alignment horizontal="center" vertical="center" wrapText="1"/>
    </xf>
    <xf numFmtId="3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165" fontId="26" fillId="9" borderId="1" xfId="3" applyNumberFormat="1" applyFont="1" applyFill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165" fontId="24" fillId="9" borderId="1" xfId="3" applyNumberFormat="1" applyFont="1" applyFill="1" applyBorder="1" applyAlignment="1">
      <alignment horizontal="center" vertical="center" wrapText="1"/>
    </xf>
    <xf numFmtId="165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5" fontId="31" fillId="0" borderId="1" xfId="0" applyNumberFormat="1" applyFont="1" applyBorder="1" applyAlignment="1">
      <alignment horizontal="center" vertical="center" wrapText="1"/>
    </xf>
    <xf numFmtId="166" fontId="31" fillId="0" borderId="1" xfId="3" applyNumberFormat="1" applyFont="1" applyBorder="1" applyAlignment="1">
      <alignment horizontal="center" vertical="center" wrapText="1"/>
    </xf>
    <xf numFmtId="166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171" fontId="28" fillId="0" borderId="1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wrapText="1"/>
    </xf>
    <xf numFmtId="3" fontId="27" fillId="0" borderId="0" xfId="0" applyNumberFormat="1" applyFont="1" applyAlignment="1">
      <alignment horizontal="center" wrapText="1"/>
    </xf>
    <xf numFmtId="0" fontId="27" fillId="0" borderId="0" xfId="0" applyFont="1" applyAlignment="1">
      <alignment horizontal="center" wrapText="1"/>
    </xf>
    <xf numFmtId="165" fontId="27" fillId="0" borderId="0" xfId="3" applyNumberFormat="1" applyFont="1" applyAlignment="1">
      <alignment horizontal="center" wrapText="1"/>
    </xf>
    <xf numFmtId="0" fontId="27" fillId="0" borderId="0" xfId="0" applyFont="1" applyAlignment="1">
      <alignment wrapText="1"/>
    </xf>
    <xf numFmtId="0" fontId="33" fillId="7" borderId="1" xfId="0" applyFont="1" applyFill="1" applyBorder="1" applyAlignment="1">
      <alignment horizontal="center" wrapText="1" readingOrder="1"/>
    </xf>
    <xf numFmtId="0" fontId="32" fillId="6" borderId="0" xfId="0" applyFont="1" applyFill="1" applyAlignment="1">
      <alignment wrapText="1"/>
    </xf>
    <xf numFmtId="0" fontId="27" fillId="6" borderId="0" xfId="0" applyFont="1" applyFill="1" applyAlignment="1">
      <alignment horizontal="center" wrapText="1"/>
    </xf>
    <xf numFmtId="3" fontId="27" fillId="6" borderId="0" xfId="0" applyNumberFormat="1" applyFont="1" applyFill="1" applyAlignment="1">
      <alignment horizontal="center" wrapText="1"/>
    </xf>
    <xf numFmtId="165" fontId="27" fillId="6" borderId="0" xfId="3" applyNumberFormat="1" applyFont="1" applyFill="1" applyAlignment="1">
      <alignment horizontal="center" wrapText="1"/>
    </xf>
    <xf numFmtId="169" fontId="32" fillId="0" borderId="1" xfId="0" applyNumberFormat="1" applyFont="1" applyBorder="1" applyAlignment="1">
      <alignment horizontal="center" wrapText="1"/>
    </xf>
    <xf numFmtId="167" fontId="31" fillId="6" borderId="0" xfId="4" applyNumberFormat="1" applyFont="1" applyFill="1" applyBorder="1" applyAlignment="1">
      <alignment wrapText="1"/>
    </xf>
    <xf numFmtId="0" fontId="24" fillId="7" borderId="1" xfId="0" applyFont="1" applyFill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165" fontId="24" fillId="7" borderId="1" xfId="3" applyNumberFormat="1" applyFont="1" applyFill="1" applyBorder="1" applyAlignment="1">
      <alignment horizontal="center" wrapText="1"/>
    </xf>
    <xf numFmtId="166" fontId="27" fillId="0" borderId="0" xfId="0" applyNumberFormat="1" applyFont="1" applyAlignment="1">
      <alignment wrapText="1"/>
    </xf>
    <xf numFmtId="0" fontId="32" fillId="0" borderId="1" xfId="0" applyFont="1" applyBorder="1" applyAlignment="1">
      <alignment horizontal="center" wrapText="1"/>
    </xf>
    <xf numFmtId="3" fontId="27" fillId="0" borderId="1" xfId="0" applyNumberFormat="1" applyFont="1" applyBorder="1" applyAlignment="1">
      <alignment horizontal="center" wrapText="1"/>
    </xf>
    <xf numFmtId="9" fontId="27" fillId="0" borderId="1" xfId="0" applyNumberFormat="1" applyFont="1" applyBorder="1" applyAlignment="1">
      <alignment horizontal="center" wrapText="1"/>
    </xf>
    <xf numFmtId="10" fontId="27" fillId="0" borderId="1" xfId="3" applyNumberFormat="1" applyFont="1" applyBorder="1" applyAlignment="1">
      <alignment horizontal="center" wrapText="1"/>
    </xf>
    <xf numFmtId="165" fontId="27" fillId="0" borderId="1" xfId="3" applyNumberFormat="1" applyFont="1" applyBorder="1" applyAlignment="1">
      <alignment horizontal="center" wrapText="1"/>
    </xf>
    <xf numFmtId="165" fontId="27" fillId="0" borderId="0" xfId="0" applyNumberFormat="1" applyFont="1" applyAlignment="1">
      <alignment wrapText="1"/>
    </xf>
    <xf numFmtId="3" fontId="31" fillId="0" borderId="1" xfId="0" applyNumberFormat="1" applyFont="1" applyBorder="1" applyAlignment="1">
      <alignment horizontal="center" wrapText="1"/>
    </xf>
    <xf numFmtId="9" fontId="31" fillId="0" borderId="1" xfId="0" applyNumberFormat="1" applyFont="1" applyBorder="1" applyAlignment="1">
      <alignment horizontal="center" wrapText="1"/>
    </xf>
    <xf numFmtId="165" fontId="31" fillId="0" borderId="1" xfId="3" applyNumberFormat="1" applyFont="1" applyBorder="1" applyAlignment="1">
      <alignment horizontal="center" wrapText="1"/>
    </xf>
    <xf numFmtId="165" fontId="31" fillId="0" borderId="0" xfId="0" applyNumberFormat="1" applyFont="1" applyAlignment="1">
      <alignment wrapText="1"/>
    </xf>
    <xf numFmtId="166" fontId="31" fillId="0" borderId="0" xfId="3" applyNumberFormat="1" applyFont="1" applyAlignment="1">
      <alignment wrapText="1"/>
    </xf>
    <xf numFmtId="166" fontId="31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0" fontId="32" fillId="8" borderId="1" xfId="0" applyFont="1" applyFill="1" applyBorder="1" applyAlignment="1">
      <alignment horizontal="center" wrapText="1"/>
    </xf>
    <xf numFmtId="3" fontId="32" fillId="0" borderId="1" xfId="0" applyNumberFormat="1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3" fontId="29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165" fontId="6" fillId="2" borderId="1" xfId="3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65" fontId="9" fillId="0" borderId="3" xfId="0" applyNumberFormat="1" applyFont="1" applyBorder="1" applyAlignment="1">
      <alignment horizontal="center" wrapText="1"/>
    </xf>
    <xf numFmtId="167" fontId="9" fillId="0" borderId="3" xfId="4" applyNumberFormat="1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65" fontId="3" fillId="2" borderId="1" xfId="3" applyNumberFormat="1" applyFont="1" applyFill="1" applyBorder="1" applyAlignment="1">
      <alignment horizontal="center" wrapText="1"/>
    </xf>
    <xf numFmtId="165" fontId="4" fillId="2" borderId="1" xfId="3" applyNumberFormat="1" applyFont="1" applyFill="1" applyBorder="1" applyAlignment="1">
      <alignment horizontal="center" wrapText="1"/>
    </xf>
    <xf numFmtId="165" fontId="2" fillId="2" borderId="1" xfId="3" applyNumberFormat="1" applyFont="1" applyFill="1" applyBorder="1" applyAlignment="1">
      <alignment horizontal="center" wrapText="1"/>
    </xf>
    <xf numFmtId="3" fontId="24" fillId="9" borderId="1" xfId="0" applyNumberFormat="1" applyFont="1" applyFill="1" applyBorder="1" applyAlignment="1">
      <alignment horizontal="center" vertical="center" wrapText="1"/>
    </xf>
    <xf numFmtId="165" fontId="24" fillId="9" borderId="1" xfId="3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165" fontId="25" fillId="9" borderId="1" xfId="3" applyNumberFormat="1" applyFont="1" applyFill="1" applyBorder="1" applyAlignment="1">
      <alignment horizontal="center" vertical="center" wrapText="1"/>
    </xf>
    <xf numFmtId="165" fontId="26" fillId="9" borderId="1" xfId="3" applyNumberFormat="1" applyFont="1" applyFill="1" applyBorder="1" applyAlignment="1">
      <alignment horizontal="center" vertical="center" wrapText="1"/>
    </xf>
    <xf numFmtId="3" fontId="24" fillId="7" borderId="1" xfId="0" applyNumberFormat="1" applyFont="1" applyFill="1" applyBorder="1" applyAlignment="1">
      <alignment horizontal="center" wrapText="1"/>
    </xf>
    <xf numFmtId="165" fontId="24" fillId="7" borderId="1" xfId="3" applyNumberFormat="1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0" fontId="20" fillId="5" borderId="11" xfId="5" applyFont="1" applyFill="1" applyBorder="1" applyAlignment="1">
      <alignment horizontal="left" vertical="top" wrapText="1"/>
    </xf>
    <xf numFmtId="0" fontId="20" fillId="5" borderId="14" xfId="5" applyFont="1" applyFill="1" applyBorder="1" applyAlignment="1">
      <alignment horizontal="left" vertical="top" wrapText="1"/>
    </xf>
    <xf numFmtId="0" fontId="20" fillId="5" borderId="17" xfId="5" applyFont="1" applyFill="1" applyBorder="1" applyAlignment="1">
      <alignment horizontal="left" vertical="top" wrapText="1"/>
    </xf>
    <xf numFmtId="0" fontId="20" fillId="5" borderId="18" xfId="5" applyFont="1" applyFill="1" applyBorder="1" applyAlignment="1">
      <alignment horizontal="left" vertical="top" wrapText="1"/>
    </xf>
    <xf numFmtId="0" fontId="18" fillId="0" borderId="0" xfId="5" applyFont="1" applyAlignment="1">
      <alignment horizontal="left" vertical="top" wrapText="1"/>
    </xf>
    <xf numFmtId="0" fontId="17" fillId="0" borderId="0" xfId="5" applyFont="1" applyAlignment="1">
      <alignment horizontal="center" vertical="center" wrapText="1"/>
    </xf>
    <xf numFmtId="0" fontId="19" fillId="5" borderId="19" xfId="5" applyFont="1" applyFill="1" applyBorder="1" applyAlignment="1">
      <alignment horizontal="left" wrapText="1"/>
    </xf>
    <xf numFmtId="0" fontId="19" fillId="5" borderId="20" xfId="5" applyFont="1" applyFill="1" applyBorder="1" applyAlignment="1">
      <alignment horizontal="left" wrapText="1"/>
    </xf>
    <xf numFmtId="0" fontId="19" fillId="5" borderId="24" xfId="5" applyFont="1" applyFill="1" applyBorder="1" applyAlignment="1">
      <alignment horizontal="left" wrapText="1"/>
    </xf>
    <xf numFmtId="0" fontId="19" fillId="5" borderId="25" xfId="5" applyFont="1" applyFill="1" applyBorder="1" applyAlignment="1">
      <alignment horizontal="left" wrapText="1"/>
    </xf>
    <xf numFmtId="0" fontId="19" fillId="5" borderId="29" xfId="5" applyFont="1" applyFill="1" applyBorder="1" applyAlignment="1">
      <alignment horizontal="left" wrapText="1"/>
    </xf>
    <xf numFmtId="0" fontId="19" fillId="5" borderId="30" xfId="5" applyFont="1" applyFill="1" applyBorder="1" applyAlignment="1">
      <alignment horizontal="left" wrapText="1"/>
    </xf>
    <xf numFmtId="0" fontId="20" fillId="5" borderId="21" xfId="5" applyFont="1" applyFill="1" applyBorder="1" applyAlignment="1">
      <alignment horizontal="center" wrapText="1"/>
    </xf>
    <xf numFmtId="0" fontId="20" fillId="5" borderId="22" xfId="5" applyFont="1" applyFill="1" applyBorder="1" applyAlignment="1">
      <alignment horizontal="center" wrapText="1"/>
    </xf>
    <xf numFmtId="0" fontId="20" fillId="5" borderId="23" xfId="5" applyFont="1" applyFill="1" applyBorder="1" applyAlignment="1">
      <alignment horizontal="center" wrapText="1"/>
    </xf>
    <xf numFmtId="0" fontId="20" fillId="5" borderId="27" xfId="5" applyFont="1" applyFill="1" applyBorder="1" applyAlignment="1">
      <alignment horizontal="center" wrapText="1"/>
    </xf>
    <xf numFmtId="0" fontId="20" fillId="5" borderId="28" xfId="5" applyFont="1" applyFill="1" applyBorder="1" applyAlignment="1">
      <alignment horizontal="center" wrapText="1"/>
    </xf>
    <xf numFmtId="0" fontId="20" fillId="5" borderId="26" xfId="5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165" fontId="6" fillId="2" borderId="1" xfId="3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65" fontId="14" fillId="2" borderId="1" xfId="3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15" fillId="2" borderId="1" xfId="3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4" fillId="10" borderId="0" xfId="0" applyFont="1" applyFill="1" applyAlignment="1">
      <alignment vertical="center"/>
    </xf>
    <xf numFmtId="20" fontId="34" fillId="10" borderId="0" xfId="0" applyNumberFormat="1" applyFont="1" applyFill="1" applyAlignment="1">
      <alignment vertical="center"/>
    </xf>
  </cellXfs>
  <cellStyles count="7">
    <cellStyle name="Millares" xfId="4" builtinId="3"/>
    <cellStyle name="Normal" xfId="0" builtinId="0"/>
    <cellStyle name="Normal 2" xfId="1" xr:uid="{00000000-0005-0000-0000-000002000000}"/>
    <cellStyle name="Normal_Data" xfId="5" xr:uid="{00000000-0005-0000-0000-000003000000}"/>
    <cellStyle name="Normal_Hoja6" xfId="6" xr:uid="{00000000-0005-0000-0000-000004000000}"/>
    <cellStyle name="Percent 2" xfId="2" xr:uid="{00000000-0005-0000-0000-000005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B49"/>
  <sheetViews>
    <sheetView workbookViewId="0">
      <selection activeCell="F25" sqref="F25"/>
    </sheetView>
  </sheetViews>
  <sheetFormatPr baseColWidth="10" defaultColWidth="9.109375" defaultRowHeight="13.2" x14ac:dyDescent="0.25"/>
  <cols>
    <col min="1" max="2" width="9.109375" style="28"/>
    <col min="3" max="5" width="9.109375" style="29"/>
    <col min="6" max="8" width="9.109375" style="1"/>
    <col min="9" max="11" width="9.109375" style="29"/>
    <col min="12" max="13" width="9.109375" style="1"/>
    <col min="14" max="14" width="11.33203125" style="1" bestFit="1" customWidth="1"/>
    <col min="15" max="15" width="9.33203125" style="35" bestFit="1" customWidth="1"/>
    <col min="16" max="17" width="9.109375" style="1"/>
    <col min="18" max="20" width="9.109375" style="29"/>
    <col min="21" max="23" width="9.109375" style="1"/>
    <col min="24" max="24" width="12.33203125" style="35" customWidth="1"/>
    <col min="25" max="26" width="9.109375" style="1"/>
    <col min="27" max="29" width="9.109375" style="29"/>
    <col min="30" max="32" width="9.109375" style="1"/>
    <col min="33" max="34" width="9.109375" style="29"/>
    <col min="35" max="35" width="11.33203125" style="29" bestFit="1" customWidth="1"/>
    <col min="36" max="36" width="9.109375" style="17"/>
    <col min="37" max="39" width="9.109375" style="34"/>
    <col min="40" max="42" width="9.109375" style="1"/>
    <col min="43" max="45" width="9.109375" style="34"/>
    <col min="46" max="48" width="9.109375" style="1"/>
    <col min="49" max="51" width="9.109375" style="35"/>
    <col min="52" max="16384" width="9.109375" style="17"/>
  </cols>
  <sheetData>
    <row r="1" spans="1:54" s="1" customFormat="1" x14ac:dyDescent="0.25">
      <c r="A1" s="182" t="s">
        <v>4</v>
      </c>
      <c r="B1" s="182"/>
      <c r="C1" s="183" t="s">
        <v>5</v>
      </c>
      <c r="D1" s="183"/>
      <c r="E1" s="183"/>
      <c r="F1" s="183"/>
      <c r="G1" s="183"/>
      <c r="H1" s="183"/>
      <c r="I1" s="183" t="s">
        <v>1</v>
      </c>
      <c r="J1" s="183"/>
      <c r="K1" s="183"/>
      <c r="L1" s="183"/>
      <c r="M1" s="183"/>
      <c r="N1" s="183"/>
      <c r="O1" s="193" t="s">
        <v>6</v>
      </c>
      <c r="P1" s="193"/>
      <c r="Q1" s="193"/>
      <c r="R1" s="183" t="s">
        <v>0</v>
      </c>
      <c r="S1" s="183"/>
      <c r="T1" s="183"/>
      <c r="U1" s="183"/>
      <c r="V1" s="183"/>
      <c r="W1" s="183"/>
      <c r="X1" s="194" t="s">
        <v>3</v>
      </c>
      <c r="Y1" s="194"/>
      <c r="Z1" s="194"/>
      <c r="AA1" s="183" t="s">
        <v>7</v>
      </c>
      <c r="AB1" s="183"/>
      <c r="AC1" s="183"/>
      <c r="AD1" s="183"/>
      <c r="AE1" s="183"/>
      <c r="AF1" s="183"/>
      <c r="AG1" s="183" t="s">
        <v>8</v>
      </c>
      <c r="AH1" s="183" t="s">
        <v>9</v>
      </c>
      <c r="AI1" s="183" t="s">
        <v>2</v>
      </c>
      <c r="AJ1" s="182" t="s">
        <v>10</v>
      </c>
      <c r="AK1" s="183" t="s">
        <v>1</v>
      </c>
      <c r="AL1" s="183"/>
      <c r="AM1" s="183"/>
      <c r="AN1" s="183"/>
      <c r="AO1" s="183"/>
      <c r="AP1" s="183"/>
      <c r="AQ1" s="183" t="s">
        <v>0</v>
      </c>
      <c r="AR1" s="183"/>
      <c r="AS1" s="183"/>
      <c r="AT1" s="183"/>
      <c r="AU1" s="183"/>
      <c r="AV1" s="183"/>
      <c r="AW1" s="195" t="s">
        <v>3</v>
      </c>
      <c r="AX1" s="195"/>
      <c r="AY1" s="195"/>
    </row>
    <row r="2" spans="1:54" s="1" customFormat="1" ht="15" customHeight="1" x14ac:dyDescent="0.3">
      <c r="A2" s="2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2" t="s">
        <v>16</v>
      </c>
      <c r="G2" s="4" t="s">
        <v>17</v>
      </c>
      <c r="H2" s="4" t="s">
        <v>18</v>
      </c>
      <c r="I2" s="3" t="s">
        <v>13</v>
      </c>
      <c r="J2" s="3" t="s">
        <v>14</v>
      </c>
      <c r="K2" s="3" t="s">
        <v>15</v>
      </c>
      <c r="L2" s="2" t="s">
        <v>16</v>
      </c>
      <c r="M2" s="4" t="s">
        <v>17</v>
      </c>
      <c r="N2" s="4" t="s">
        <v>18</v>
      </c>
      <c r="O2" s="5"/>
      <c r="P2" s="6"/>
      <c r="Q2" s="6"/>
      <c r="R2" s="3" t="s">
        <v>13</v>
      </c>
      <c r="S2" s="3" t="s">
        <v>14</v>
      </c>
      <c r="T2" s="3" t="s">
        <v>15</v>
      </c>
      <c r="U2" s="2" t="s">
        <v>16</v>
      </c>
      <c r="V2" s="4" t="s">
        <v>17</v>
      </c>
      <c r="W2" s="4" t="s">
        <v>18</v>
      </c>
      <c r="X2" s="5"/>
      <c r="Y2" s="6"/>
      <c r="Z2" s="6"/>
      <c r="AA2" s="3" t="s">
        <v>13</v>
      </c>
      <c r="AB2" s="3" t="s">
        <v>14</v>
      </c>
      <c r="AC2" s="3" t="s">
        <v>15</v>
      </c>
      <c r="AD2" s="2" t="s">
        <v>16</v>
      </c>
      <c r="AE2" s="4" t="s">
        <v>17</v>
      </c>
      <c r="AF2" s="4" t="s">
        <v>18</v>
      </c>
      <c r="AG2" s="183"/>
      <c r="AH2" s="183"/>
      <c r="AI2" s="183"/>
      <c r="AJ2" s="182"/>
      <c r="AK2" s="3" t="s">
        <v>13</v>
      </c>
      <c r="AL2" s="3" t="s">
        <v>14</v>
      </c>
      <c r="AM2" s="3" t="s">
        <v>15</v>
      </c>
      <c r="AN2" s="2" t="s">
        <v>16</v>
      </c>
      <c r="AO2" s="4" t="s">
        <v>17</v>
      </c>
      <c r="AP2" s="4" t="s">
        <v>18</v>
      </c>
      <c r="AQ2" s="3" t="s">
        <v>13</v>
      </c>
      <c r="AR2" s="3" t="s">
        <v>14</v>
      </c>
      <c r="AS2" s="3" t="s">
        <v>15</v>
      </c>
      <c r="AT2" s="2" t="s">
        <v>16</v>
      </c>
      <c r="AU2" s="4" t="s">
        <v>17</v>
      </c>
      <c r="AV2" s="4" t="s">
        <v>18</v>
      </c>
      <c r="AW2" s="7" t="s">
        <v>13</v>
      </c>
      <c r="AX2" s="4" t="s">
        <v>17</v>
      </c>
      <c r="AY2" s="4" t="s">
        <v>18</v>
      </c>
      <c r="AZ2" s="1" t="s">
        <v>19</v>
      </c>
      <c r="BA2" s="8" t="s">
        <v>20</v>
      </c>
      <c r="BB2" s="9" t="s">
        <v>21</v>
      </c>
    </row>
    <row r="3" spans="1:54" ht="13.8" x14ac:dyDescent="0.3">
      <c r="A3" s="10">
        <f t="shared" ref="A3:A12" si="0">J22</f>
        <v>991</v>
      </c>
      <c r="B3" s="10">
        <f t="shared" ref="B3:B12" si="1">K22</f>
        <v>992</v>
      </c>
      <c r="C3" s="11">
        <f t="shared" ref="C3:C12" si="2">L22</f>
        <v>1906</v>
      </c>
      <c r="D3" s="12">
        <f>C3</f>
        <v>1906</v>
      </c>
      <c r="E3" s="12">
        <f t="shared" ref="E3:E11" si="3">C3+E4</f>
        <v>19051</v>
      </c>
      <c r="F3" s="13">
        <f t="shared" ref="F3:F12" si="4">C3/C$13</f>
        <v>0.10004724161461341</v>
      </c>
      <c r="G3" s="13">
        <f t="shared" ref="G3:G12" si="5">D3/C$13</f>
        <v>0.10004724161461341</v>
      </c>
      <c r="H3" s="13">
        <f t="shared" ref="H3:H12" si="6">E3/C$13</f>
        <v>1</v>
      </c>
      <c r="I3" s="11">
        <f t="shared" ref="I3:I12" si="7">N22</f>
        <v>1821</v>
      </c>
      <c r="J3" s="12">
        <f>I3</f>
        <v>1821</v>
      </c>
      <c r="K3" s="12">
        <f t="shared" ref="K3:K11" si="8">I3+K4</f>
        <v>17617</v>
      </c>
      <c r="L3" s="13">
        <f t="shared" ref="L3:L12" si="9">I3/I$13</f>
        <v>0.10336606686723052</v>
      </c>
      <c r="M3" s="13">
        <f t="shared" ref="M3:M12" si="10">J3/I$13</f>
        <v>0.10336606686723052</v>
      </c>
      <c r="N3" s="13">
        <f t="shared" ref="N3:N12" si="11">K3/I$13</f>
        <v>1</v>
      </c>
      <c r="O3" s="14">
        <f t="shared" ref="O3:O12" si="12">I3/(I3+R3+AA3)</f>
        <v>0.95540398740818466</v>
      </c>
      <c r="P3" s="14">
        <f t="shared" ref="P3:P12" si="13">J3/(J3+S3+AB3)</f>
        <v>0.95540398740818466</v>
      </c>
      <c r="Q3" s="14">
        <f t="shared" ref="Q3:Q12" si="14">K3/(K3+T3+AC3)</f>
        <v>0.92472836071597286</v>
      </c>
      <c r="R3" s="11">
        <f t="shared" ref="R3:R12" si="15">M22</f>
        <v>19</v>
      </c>
      <c r="S3" s="12">
        <f>R3</f>
        <v>19</v>
      </c>
      <c r="T3" s="12">
        <f t="shared" ref="T3:T11" si="16">R3+T4</f>
        <v>421</v>
      </c>
      <c r="U3" s="13">
        <f t="shared" ref="U3:U12" si="17">R3/R$13</f>
        <v>4.5130641330166268E-2</v>
      </c>
      <c r="V3" s="13">
        <f t="shared" ref="V3:V12" si="18">S3/R$13</f>
        <v>4.5130641330166268E-2</v>
      </c>
      <c r="W3" s="13">
        <f t="shared" ref="W3:W12" si="19">T3/R$13</f>
        <v>1</v>
      </c>
      <c r="X3" s="14">
        <f t="shared" ref="X3:X12" si="20">R3/(I3+R3+AA3)</f>
        <v>9.9685204616998951E-3</v>
      </c>
      <c r="Y3" s="14">
        <f t="shared" ref="Y3:Y12" si="21">S3/(J3+S3+AB3)</f>
        <v>9.9685204616998951E-3</v>
      </c>
      <c r="Z3" s="14">
        <f t="shared" ref="Z3:Z12" si="22">T3/(K3+T3+AC3)</f>
        <v>2.2098577502493309E-2</v>
      </c>
      <c r="AA3" s="11">
        <f t="shared" ref="AA3:AA12" si="23">O22</f>
        <v>66</v>
      </c>
      <c r="AB3" s="12">
        <f>AA3</f>
        <v>66</v>
      </c>
      <c r="AC3" s="12">
        <f t="shared" ref="AC3:AC11" si="24">AA3+AC4</f>
        <v>1013</v>
      </c>
      <c r="AD3" s="13">
        <f t="shared" ref="AD3:AD12" si="25">AA3/AA$13</f>
        <v>6.5153010858835139E-2</v>
      </c>
      <c r="AE3" s="13">
        <f t="shared" ref="AE3:AE12" si="26">AB3/AA$13</f>
        <v>6.5153010858835139E-2</v>
      </c>
      <c r="AF3" s="13">
        <f t="shared" ref="AF3:AF12" si="27">AC3/AA$13</f>
        <v>1</v>
      </c>
      <c r="AG3" s="11">
        <f t="shared" ref="AG3:AG12" si="28">R22</f>
        <v>0</v>
      </c>
      <c r="AH3" s="11">
        <f t="shared" ref="AH3:AH12" si="29">P22</f>
        <v>0</v>
      </c>
      <c r="AI3" s="11">
        <f t="shared" ref="AI3:AI12" si="30">Q22</f>
        <v>0</v>
      </c>
      <c r="AJ3" s="15">
        <f t="shared" ref="AJ3:AJ12" si="31">SUM(AG3:AI3)</f>
        <v>0</v>
      </c>
      <c r="AK3" s="15">
        <f t="shared" ref="AK3:AK12" si="32">ROUND($AJ3*O3+I3,0)</f>
        <v>1821</v>
      </c>
      <c r="AL3" s="12">
        <f>AK3</f>
        <v>1821</v>
      </c>
      <c r="AM3" s="12">
        <f t="shared" ref="AM3:AM11" si="33">AK3+AM4</f>
        <v>17617</v>
      </c>
      <c r="AN3" s="13">
        <f t="shared" ref="AN3:AN12" si="34">AK3/AK$13</f>
        <v>0.10336606686723052</v>
      </c>
      <c r="AO3" s="13">
        <f t="shared" ref="AO3:AO12" si="35">AL3/AK$13</f>
        <v>0.10336606686723052</v>
      </c>
      <c r="AP3" s="13">
        <f t="shared" ref="AP3:AP12" si="36">AM3/AK$13</f>
        <v>1</v>
      </c>
      <c r="AQ3" s="15">
        <f t="shared" ref="AQ3:AQ12" si="37">ROUND($AJ3*X3+R3,0)</f>
        <v>19</v>
      </c>
      <c r="AR3" s="12">
        <f>AQ3</f>
        <v>19</v>
      </c>
      <c r="AS3" s="12">
        <f t="shared" ref="AS3:AS11" si="38">AQ3+AS4</f>
        <v>421</v>
      </c>
      <c r="AT3" s="13">
        <f t="shared" ref="AT3:AT12" si="39">AQ3/AQ$13</f>
        <v>4.5130641330166268E-2</v>
      </c>
      <c r="AU3" s="13">
        <f t="shared" ref="AU3:AU12" si="40">AR3/AQ$13</f>
        <v>4.5130641330166268E-2</v>
      </c>
      <c r="AV3" s="13">
        <f t="shared" ref="AV3:AV12" si="41">AS3/AQ$13</f>
        <v>1</v>
      </c>
      <c r="AW3" s="14">
        <f t="shared" ref="AW3:AW12" si="42">AQ3/C3</f>
        <v>9.9685204616998951E-3</v>
      </c>
      <c r="AX3" s="14">
        <f t="shared" ref="AX3:AX12" si="43">AR3/D3</f>
        <v>9.9685204616998951E-3</v>
      </c>
      <c r="AY3" s="14">
        <f t="shared" ref="AY3:AY12" si="44">AS3/E3</f>
        <v>2.2098577502493309E-2</v>
      </c>
      <c r="AZ3" s="16">
        <f t="shared" ref="AZ3:AZ12" si="45">AV3-AP3</f>
        <v>0</v>
      </c>
      <c r="BA3" s="8">
        <f t="shared" ref="BA3:BA12" si="46">AN3*((AV3+AV4)/2)</f>
        <v>0.10103357842248303</v>
      </c>
      <c r="BB3" s="9"/>
    </row>
    <row r="4" spans="1:54" ht="13.8" x14ac:dyDescent="0.3">
      <c r="A4" s="10">
        <f t="shared" si="0"/>
        <v>948</v>
      </c>
      <c r="B4" s="10">
        <f t="shared" si="1"/>
        <v>991</v>
      </c>
      <c r="C4" s="11">
        <f t="shared" si="2"/>
        <v>1905</v>
      </c>
      <c r="D4" s="12">
        <f t="shared" ref="D4:D12" si="47">C4+D3</f>
        <v>3811</v>
      </c>
      <c r="E4" s="12">
        <f t="shared" si="3"/>
        <v>17145</v>
      </c>
      <c r="F4" s="13">
        <f t="shared" si="4"/>
        <v>9.9994750931709619E-2</v>
      </c>
      <c r="G4" s="13">
        <f t="shared" si="5"/>
        <v>0.20004199254632302</v>
      </c>
      <c r="H4" s="13">
        <f t="shared" si="6"/>
        <v>0.89995275838538658</v>
      </c>
      <c r="I4" s="11">
        <f t="shared" si="7"/>
        <v>1796</v>
      </c>
      <c r="J4" s="12">
        <f t="shared" ref="J4:J12" si="48">I4+J3</f>
        <v>3617</v>
      </c>
      <c r="K4" s="12">
        <f t="shared" si="8"/>
        <v>15796</v>
      </c>
      <c r="L4" s="13">
        <f t="shared" si="9"/>
        <v>0.10194698302775727</v>
      </c>
      <c r="M4" s="13">
        <f t="shared" si="10"/>
        <v>0.2053130498949878</v>
      </c>
      <c r="N4" s="13">
        <f t="shared" si="11"/>
        <v>0.89663393313276951</v>
      </c>
      <c r="O4" s="14">
        <f t="shared" si="12"/>
        <v>0.94278215223097117</v>
      </c>
      <c r="P4" s="14">
        <f t="shared" si="13"/>
        <v>0.94909472579375487</v>
      </c>
      <c r="Q4" s="14">
        <f t="shared" si="14"/>
        <v>0.92131816856226301</v>
      </c>
      <c r="R4" s="11">
        <f t="shared" si="15"/>
        <v>24</v>
      </c>
      <c r="S4" s="12">
        <f t="shared" ref="S4:S12" si="49">R4+S3</f>
        <v>43</v>
      </c>
      <c r="T4" s="12">
        <f t="shared" si="16"/>
        <v>402</v>
      </c>
      <c r="U4" s="13">
        <f t="shared" si="17"/>
        <v>5.7007125890736345E-2</v>
      </c>
      <c r="V4" s="13">
        <f t="shared" si="18"/>
        <v>0.10213776722090261</v>
      </c>
      <c r="W4" s="13">
        <f t="shared" si="19"/>
        <v>0.95486935866983369</v>
      </c>
      <c r="X4" s="14">
        <f t="shared" si="20"/>
        <v>1.2598425196850394E-2</v>
      </c>
      <c r="Y4" s="14">
        <f t="shared" si="21"/>
        <v>1.1283127787982157E-2</v>
      </c>
      <c r="Z4" s="14">
        <f t="shared" si="22"/>
        <v>2.3447069116360453E-2</v>
      </c>
      <c r="AA4" s="11">
        <f t="shared" si="23"/>
        <v>85</v>
      </c>
      <c r="AB4" s="12">
        <f t="shared" ref="AB4:AB12" si="50">AA4+AB3</f>
        <v>151</v>
      </c>
      <c r="AC4" s="12">
        <f t="shared" si="24"/>
        <v>947</v>
      </c>
      <c r="AD4" s="13">
        <f t="shared" si="25"/>
        <v>8.3909180651530108E-2</v>
      </c>
      <c r="AE4" s="13">
        <f t="shared" si="26"/>
        <v>0.14906219151036526</v>
      </c>
      <c r="AF4" s="13">
        <f t="shared" si="27"/>
        <v>0.93484698914116482</v>
      </c>
      <c r="AG4" s="11">
        <f t="shared" si="28"/>
        <v>0</v>
      </c>
      <c r="AH4" s="11">
        <f t="shared" si="29"/>
        <v>0</v>
      </c>
      <c r="AI4" s="11">
        <f t="shared" si="30"/>
        <v>0</v>
      </c>
      <c r="AJ4" s="15">
        <f t="shared" si="31"/>
        <v>0</v>
      </c>
      <c r="AK4" s="15">
        <f t="shared" si="32"/>
        <v>1796</v>
      </c>
      <c r="AL4" s="12">
        <f t="shared" ref="AL4:AL12" si="51">AK4+AL3</f>
        <v>3617</v>
      </c>
      <c r="AM4" s="12">
        <f t="shared" si="33"/>
        <v>15796</v>
      </c>
      <c r="AN4" s="13">
        <f t="shared" si="34"/>
        <v>0.10194698302775727</v>
      </c>
      <c r="AO4" s="13">
        <f t="shared" si="35"/>
        <v>0.2053130498949878</v>
      </c>
      <c r="AP4" s="13">
        <f t="shared" si="36"/>
        <v>0.89663393313276951</v>
      </c>
      <c r="AQ4" s="15">
        <f t="shared" si="37"/>
        <v>24</v>
      </c>
      <c r="AR4" s="12">
        <f t="shared" ref="AR4:AR12" si="52">AQ4+AR3</f>
        <v>43</v>
      </c>
      <c r="AS4" s="12">
        <f t="shared" si="38"/>
        <v>402</v>
      </c>
      <c r="AT4" s="13">
        <f t="shared" si="39"/>
        <v>5.7007125890736345E-2</v>
      </c>
      <c r="AU4" s="13">
        <f t="shared" si="40"/>
        <v>0.10213776722090261</v>
      </c>
      <c r="AV4" s="13">
        <f t="shared" si="41"/>
        <v>0.95486935866983369</v>
      </c>
      <c r="AW4" s="14">
        <f t="shared" si="42"/>
        <v>1.2598425196850394E-2</v>
      </c>
      <c r="AX4" s="14">
        <f t="shared" si="43"/>
        <v>1.1283127787982157E-2</v>
      </c>
      <c r="AY4" s="14">
        <f t="shared" si="44"/>
        <v>2.3447069116360453E-2</v>
      </c>
      <c r="AZ4" s="16">
        <f t="shared" si="45"/>
        <v>5.8235425537064178E-2</v>
      </c>
      <c r="BA4" s="8">
        <f t="shared" si="46"/>
        <v>9.4440198054216953E-2</v>
      </c>
      <c r="BB4" s="9"/>
    </row>
    <row r="5" spans="1:54" ht="13.8" x14ac:dyDescent="0.3">
      <c r="A5" s="10">
        <f t="shared" si="0"/>
        <v>928</v>
      </c>
      <c r="B5" s="10">
        <f t="shared" si="1"/>
        <v>948</v>
      </c>
      <c r="C5" s="11">
        <f t="shared" si="2"/>
        <v>1905</v>
      </c>
      <c r="D5" s="12">
        <f t="shared" si="47"/>
        <v>5716</v>
      </c>
      <c r="E5" s="12">
        <f t="shared" si="3"/>
        <v>15240</v>
      </c>
      <c r="F5" s="13">
        <f t="shared" si="4"/>
        <v>9.9994750931709619E-2</v>
      </c>
      <c r="G5" s="13">
        <f t="shared" si="5"/>
        <v>0.30003674347803266</v>
      </c>
      <c r="H5" s="13">
        <f t="shared" si="6"/>
        <v>0.79995800745367696</v>
      </c>
      <c r="I5" s="11">
        <f t="shared" si="7"/>
        <v>1784</v>
      </c>
      <c r="J5" s="12">
        <f t="shared" si="48"/>
        <v>5401</v>
      </c>
      <c r="K5" s="12">
        <f t="shared" si="8"/>
        <v>14000</v>
      </c>
      <c r="L5" s="13">
        <f t="shared" si="9"/>
        <v>0.10126582278481013</v>
      </c>
      <c r="M5" s="13">
        <f t="shared" si="10"/>
        <v>0.30657887267979794</v>
      </c>
      <c r="N5" s="13">
        <f t="shared" si="11"/>
        <v>0.79468695010501222</v>
      </c>
      <c r="O5" s="14">
        <f t="shared" si="12"/>
        <v>0.93648293963254592</v>
      </c>
      <c r="P5" s="14">
        <f t="shared" si="13"/>
        <v>0.94489153254023794</v>
      </c>
      <c r="Q5" s="14">
        <f t="shared" si="14"/>
        <v>0.9186351706036745</v>
      </c>
      <c r="R5" s="11">
        <f t="shared" si="15"/>
        <v>38</v>
      </c>
      <c r="S5" s="12">
        <f t="shared" si="49"/>
        <v>81</v>
      </c>
      <c r="T5" s="12">
        <f t="shared" si="16"/>
        <v>378</v>
      </c>
      <c r="U5" s="13">
        <f t="shared" si="17"/>
        <v>9.0261282660332537E-2</v>
      </c>
      <c r="V5" s="13">
        <f t="shared" si="18"/>
        <v>0.19239904988123516</v>
      </c>
      <c r="W5" s="13">
        <f t="shared" si="19"/>
        <v>0.89786223277909738</v>
      </c>
      <c r="X5" s="14">
        <f t="shared" si="20"/>
        <v>1.994750656167979E-2</v>
      </c>
      <c r="Y5" s="14">
        <f t="shared" si="21"/>
        <v>1.417074877536739E-2</v>
      </c>
      <c r="Z5" s="14">
        <f t="shared" si="22"/>
        <v>2.4803149606299212E-2</v>
      </c>
      <c r="AA5" s="11">
        <f t="shared" si="23"/>
        <v>83</v>
      </c>
      <c r="AB5" s="12">
        <f t="shared" si="50"/>
        <v>234</v>
      </c>
      <c r="AC5" s="12">
        <f t="shared" si="24"/>
        <v>862</v>
      </c>
      <c r="AD5" s="13">
        <f t="shared" si="25"/>
        <v>8.1934846989141163E-2</v>
      </c>
      <c r="AE5" s="13">
        <f t="shared" si="26"/>
        <v>0.23099703849950642</v>
      </c>
      <c r="AF5" s="13">
        <f t="shared" si="27"/>
        <v>0.85093780848963474</v>
      </c>
      <c r="AG5" s="11">
        <f t="shared" si="28"/>
        <v>0</v>
      </c>
      <c r="AH5" s="11">
        <f t="shared" si="29"/>
        <v>0</v>
      </c>
      <c r="AI5" s="11">
        <f t="shared" si="30"/>
        <v>0</v>
      </c>
      <c r="AJ5" s="15">
        <f t="shared" si="31"/>
        <v>0</v>
      </c>
      <c r="AK5" s="15">
        <f t="shared" si="32"/>
        <v>1784</v>
      </c>
      <c r="AL5" s="12">
        <f t="shared" si="51"/>
        <v>5401</v>
      </c>
      <c r="AM5" s="12">
        <f t="shared" si="33"/>
        <v>14000</v>
      </c>
      <c r="AN5" s="13">
        <f t="shared" si="34"/>
        <v>0.10126582278481013</v>
      </c>
      <c r="AO5" s="13">
        <f t="shared" si="35"/>
        <v>0.30657887267979794</v>
      </c>
      <c r="AP5" s="13">
        <f t="shared" si="36"/>
        <v>0.79468695010501222</v>
      </c>
      <c r="AQ5" s="15">
        <f t="shared" si="37"/>
        <v>38</v>
      </c>
      <c r="AR5" s="12">
        <f t="shared" si="52"/>
        <v>81</v>
      </c>
      <c r="AS5" s="12">
        <f t="shared" si="38"/>
        <v>378</v>
      </c>
      <c r="AT5" s="13">
        <f t="shared" si="39"/>
        <v>9.0261282660332537E-2</v>
      </c>
      <c r="AU5" s="13">
        <f t="shared" si="40"/>
        <v>0.19239904988123516</v>
      </c>
      <c r="AV5" s="13">
        <f t="shared" si="41"/>
        <v>0.89786223277909738</v>
      </c>
      <c r="AW5" s="14">
        <f t="shared" si="42"/>
        <v>1.994750656167979E-2</v>
      </c>
      <c r="AX5" s="14">
        <f t="shared" si="43"/>
        <v>1.417074877536739E-2</v>
      </c>
      <c r="AY5" s="14">
        <f t="shared" si="44"/>
        <v>2.4803149606299212E-2</v>
      </c>
      <c r="AZ5" s="16">
        <f t="shared" si="45"/>
        <v>0.10317528267408516</v>
      </c>
      <c r="BA5" s="8">
        <f t="shared" si="46"/>
        <v>8.6352566222676563E-2</v>
      </c>
      <c r="BB5" s="9"/>
    </row>
    <row r="6" spans="1:54" ht="13.8" x14ac:dyDescent="0.3">
      <c r="A6" s="10">
        <f t="shared" si="0"/>
        <v>913</v>
      </c>
      <c r="B6" s="10">
        <f t="shared" si="1"/>
        <v>928</v>
      </c>
      <c r="C6" s="11">
        <f t="shared" si="2"/>
        <v>1905</v>
      </c>
      <c r="D6" s="12">
        <f t="shared" si="47"/>
        <v>7621</v>
      </c>
      <c r="E6" s="12">
        <f t="shared" si="3"/>
        <v>13335</v>
      </c>
      <c r="F6" s="13">
        <f t="shared" si="4"/>
        <v>9.9994750931709619E-2</v>
      </c>
      <c r="G6" s="13">
        <f t="shared" si="5"/>
        <v>0.40003149440974228</v>
      </c>
      <c r="H6" s="13">
        <f t="shared" si="6"/>
        <v>0.69996325652196734</v>
      </c>
      <c r="I6" s="11">
        <f t="shared" si="7"/>
        <v>1787</v>
      </c>
      <c r="J6" s="12">
        <f t="shared" si="48"/>
        <v>7188</v>
      </c>
      <c r="K6" s="12">
        <f t="shared" si="8"/>
        <v>12216</v>
      </c>
      <c r="L6" s="13">
        <f t="shared" si="9"/>
        <v>0.10143611284554692</v>
      </c>
      <c r="M6" s="13">
        <f t="shared" si="10"/>
        <v>0.40801498552534482</v>
      </c>
      <c r="N6" s="13">
        <f t="shared" si="11"/>
        <v>0.69342112732020211</v>
      </c>
      <c r="O6" s="14">
        <f t="shared" si="12"/>
        <v>0.93805774278215226</v>
      </c>
      <c r="P6" s="14">
        <f t="shared" si="13"/>
        <v>0.94318330927699778</v>
      </c>
      <c r="Q6" s="14">
        <f t="shared" si="14"/>
        <v>0.91608548931383582</v>
      </c>
      <c r="R6" s="11">
        <f t="shared" si="15"/>
        <v>31</v>
      </c>
      <c r="S6" s="12">
        <f t="shared" si="49"/>
        <v>112</v>
      </c>
      <c r="T6" s="12">
        <f t="shared" si="16"/>
        <v>340</v>
      </c>
      <c r="U6" s="13">
        <f t="shared" si="17"/>
        <v>7.3634204275534437E-2</v>
      </c>
      <c r="V6" s="13">
        <f t="shared" si="18"/>
        <v>0.26603325415676959</v>
      </c>
      <c r="W6" s="13">
        <f t="shared" si="19"/>
        <v>0.80760095011876487</v>
      </c>
      <c r="X6" s="14">
        <f t="shared" si="20"/>
        <v>1.6272965879265092E-2</v>
      </c>
      <c r="Y6" s="14">
        <f t="shared" si="21"/>
        <v>1.4696234090014434E-2</v>
      </c>
      <c r="Z6" s="14">
        <f t="shared" si="22"/>
        <v>2.5496812898387702E-2</v>
      </c>
      <c r="AA6" s="11">
        <f t="shared" si="23"/>
        <v>87</v>
      </c>
      <c r="AB6" s="12">
        <f t="shared" si="50"/>
        <v>321</v>
      </c>
      <c r="AC6" s="12">
        <f t="shared" si="24"/>
        <v>779</v>
      </c>
      <c r="AD6" s="13">
        <f t="shared" si="25"/>
        <v>8.5883514313919052E-2</v>
      </c>
      <c r="AE6" s="13">
        <f t="shared" si="26"/>
        <v>0.31688055281342548</v>
      </c>
      <c r="AF6" s="13">
        <f t="shared" si="27"/>
        <v>0.76900296150049363</v>
      </c>
      <c r="AG6" s="11">
        <f t="shared" si="28"/>
        <v>0</v>
      </c>
      <c r="AH6" s="11">
        <f t="shared" si="29"/>
        <v>0</v>
      </c>
      <c r="AI6" s="11">
        <f t="shared" si="30"/>
        <v>0</v>
      </c>
      <c r="AJ6" s="15">
        <f t="shared" si="31"/>
        <v>0</v>
      </c>
      <c r="AK6" s="15">
        <f t="shared" si="32"/>
        <v>1787</v>
      </c>
      <c r="AL6" s="12">
        <f t="shared" si="51"/>
        <v>7188</v>
      </c>
      <c r="AM6" s="12">
        <f t="shared" si="33"/>
        <v>12216</v>
      </c>
      <c r="AN6" s="13">
        <f t="shared" si="34"/>
        <v>0.10143611284554692</v>
      </c>
      <c r="AO6" s="13">
        <f t="shared" si="35"/>
        <v>0.40801498552534482</v>
      </c>
      <c r="AP6" s="13">
        <f t="shared" si="36"/>
        <v>0.69342112732020211</v>
      </c>
      <c r="AQ6" s="15">
        <f t="shared" si="37"/>
        <v>31</v>
      </c>
      <c r="AR6" s="12">
        <f t="shared" si="52"/>
        <v>112</v>
      </c>
      <c r="AS6" s="12">
        <f t="shared" si="38"/>
        <v>340</v>
      </c>
      <c r="AT6" s="13">
        <f t="shared" si="39"/>
        <v>7.3634204275534437E-2</v>
      </c>
      <c r="AU6" s="13">
        <f t="shared" si="40"/>
        <v>0.26603325415676959</v>
      </c>
      <c r="AV6" s="13">
        <f t="shared" si="41"/>
        <v>0.80760095011876487</v>
      </c>
      <c r="AW6" s="14">
        <f t="shared" si="42"/>
        <v>1.6272965879265092E-2</v>
      </c>
      <c r="AX6" s="14">
        <f t="shared" si="43"/>
        <v>1.4696234090014434E-2</v>
      </c>
      <c r="AY6" s="14">
        <f t="shared" si="44"/>
        <v>2.5496812898387702E-2</v>
      </c>
      <c r="AZ6" s="16">
        <f t="shared" si="45"/>
        <v>0.11417982279856276</v>
      </c>
      <c r="BA6" s="8">
        <f t="shared" si="46"/>
        <v>7.8185317383325362E-2</v>
      </c>
      <c r="BB6" s="9"/>
    </row>
    <row r="7" spans="1:54" ht="13.8" x14ac:dyDescent="0.3">
      <c r="A7" s="10">
        <f t="shared" si="0"/>
        <v>897</v>
      </c>
      <c r="B7" s="10">
        <f t="shared" si="1"/>
        <v>913</v>
      </c>
      <c r="C7" s="11">
        <f t="shared" si="2"/>
        <v>1905</v>
      </c>
      <c r="D7" s="12">
        <f t="shared" si="47"/>
        <v>9526</v>
      </c>
      <c r="E7" s="12">
        <f t="shared" si="3"/>
        <v>11430</v>
      </c>
      <c r="F7" s="13">
        <f t="shared" si="4"/>
        <v>9.9994750931709619E-2</v>
      </c>
      <c r="G7" s="13">
        <f t="shared" si="5"/>
        <v>0.5000262453414519</v>
      </c>
      <c r="H7" s="13">
        <f t="shared" si="6"/>
        <v>0.59996850559025772</v>
      </c>
      <c r="I7" s="11">
        <f t="shared" si="7"/>
        <v>1792</v>
      </c>
      <c r="J7" s="12">
        <f t="shared" si="48"/>
        <v>8980</v>
      </c>
      <c r="K7" s="12">
        <f t="shared" si="8"/>
        <v>10429</v>
      </c>
      <c r="L7" s="13">
        <f t="shared" si="9"/>
        <v>0.10171992961344156</v>
      </c>
      <c r="M7" s="13">
        <f t="shared" si="10"/>
        <v>0.50973491513878644</v>
      </c>
      <c r="N7" s="13">
        <f t="shared" si="11"/>
        <v>0.59198501447465512</v>
      </c>
      <c r="O7" s="14">
        <f t="shared" si="12"/>
        <v>0.94068241469816272</v>
      </c>
      <c r="P7" s="14">
        <f t="shared" si="13"/>
        <v>0.94268318286794039</v>
      </c>
      <c r="Q7" s="14">
        <f t="shared" si="14"/>
        <v>0.91242344706911638</v>
      </c>
      <c r="R7" s="11">
        <f t="shared" si="15"/>
        <v>25</v>
      </c>
      <c r="S7" s="12">
        <f t="shared" si="49"/>
        <v>137</v>
      </c>
      <c r="T7" s="12">
        <f t="shared" si="16"/>
        <v>309</v>
      </c>
      <c r="U7" s="13">
        <f t="shared" si="17"/>
        <v>5.9382422802850353E-2</v>
      </c>
      <c r="V7" s="13">
        <f t="shared" si="18"/>
        <v>0.32541567695961993</v>
      </c>
      <c r="W7" s="13">
        <f t="shared" si="19"/>
        <v>0.73396674584323041</v>
      </c>
      <c r="X7" s="14">
        <f t="shared" si="20"/>
        <v>1.3123359580052493E-2</v>
      </c>
      <c r="Y7" s="14">
        <f t="shared" si="21"/>
        <v>1.4381692210791518E-2</v>
      </c>
      <c r="Z7" s="14">
        <f t="shared" si="22"/>
        <v>2.7034120734908136E-2</v>
      </c>
      <c r="AA7" s="11">
        <f t="shared" si="23"/>
        <v>88</v>
      </c>
      <c r="AB7" s="12">
        <f t="shared" si="50"/>
        <v>409</v>
      </c>
      <c r="AC7" s="12">
        <f t="shared" si="24"/>
        <v>692</v>
      </c>
      <c r="AD7" s="13">
        <f t="shared" si="25"/>
        <v>8.6870681145113524E-2</v>
      </c>
      <c r="AE7" s="13">
        <f t="shared" si="26"/>
        <v>0.40375123395853901</v>
      </c>
      <c r="AF7" s="13">
        <f t="shared" si="27"/>
        <v>0.68311944718657458</v>
      </c>
      <c r="AG7" s="11">
        <f t="shared" si="28"/>
        <v>0</v>
      </c>
      <c r="AH7" s="11">
        <f t="shared" si="29"/>
        <v>0</v>
      </c>
      <c r="AI7" s="11">
        <f t="shared" si="30"/>
        <v>0</v>
      </c>
      <c r="AJ7" s="15">
        <f t="shared" si="31"/>
        <v>0</v>
      </c>
      <c r="AK7" s="15">
        <f t="shared" si="32"/>
        <v>1792</v>
      </c>
      <c r="AL7" s="12">
        <f t="shared" si="51"/>
        <v>8980</v>
      </c>
      <c r="AM7" s="12">
        <f t="shared" si="33"/>
        <v>10429</v>
      </c>
      <c r="AN7" s="13">
        <f t="shared" si="34"/>
        <v>0.10171992961344156</v>
      </c>
      <c r="AO7" s="13">
        <f t="shared" si="35"/>
        <v>0.50973491513878644</v>
      </c>
      <c r="AP7" s="13">
        <f t="shared" si="36"/>
        <v>0.59198501447465512</v>
      </c>
      <c r="AQ7" s="15">
        <f t="shared" si="37"/>
        <v>25</v>
      </c>
      <c r="AR7" s="12">
        <f t="shared" si="52"/>
        <v>137</v>
      </c>
      <c r="AS7" s="12">
        <f t="shared" si="38"/>
        <v>309</v>
      </c>
      <c r="AT7" s="13">
        <f t="shared" si="39"/>
        <v>5.9382422802850353E-2</v>
      </c>
      <c r="AU7" s="13">
        <f t="shared" si="40"/>
        <v>0.32541567695961993</v>
      </c>
      <c r="AV7" s="13">
        <f t="shared" si="41"/>
        <v>0.73396674584323041</v>
      </c>
      <c r="AW7" s="14">
        <f t="shared" si="42"/>
        <v>1.3123359580052493E-2</v>
      </c>
      <c r="AX7" s="14">
        <f t="shared" si="43"/>
        <v>1.4381692210791518E-2</v>
      </c>
      <c r="AY7" s="14">
        <f t="shared" si="44"/>
        <v>2.7034120734908136E-2</v>
      </c>
      <c r="AZ7" s="16">
        <f t="shared" si="45"/>
        <v>0.14198173136857528</v>
      </c>
      <c r="BA7" s="8">
        <f t="shared" si="46"/>
        <v>7.1638857791889374E-2</v>
      </c>
      <c r="BB7" s="9"/>
    </row>
    <row r="8" spans="1:54" ht="13.8" x14ac:dyDescent="0.3">
      <c r="A8" s="10">
        <f t="shared" si="0"/>
        <v>879</v>
      </c>
      <c r="B8" s="10">
        <f t="shared" si="1"/>
        <v>897</v>
      </c>
      <c r="C8" s="11">
        <f t="shared" si="2"/>
        <v>1905</v>
      </c>
      <c r="D8" s="12">
        <f t="shared" si="47"/>
        <v>11431</v>
      </c>
      <c r="E8" s="12">
        <f t="shared" si="3"/>
        <v>9525</v>
      </c>
      <c r="F8" s="13">
        <f t="shared" si="4"/>
        <v>9.9994750931709619E-2</v>
      </c>
      <c r="G8" s="13">
        <f t="shared" si="5"/>
        <v>0.60002099627316152</v>
      </c>
      <c r="H8" s="13">
        <f t="shared" si="6"/>
        <v>0.4999737546585481</v>
      </c>
      <c r="I8" s="11">
        <f t="shared" si="7"/>
        <v>1785</v>
      </c>
      <c r="J8" s="12">
        <f t="shared" si="48"/>
        <v>10765</v>
      </c>
      <c r="K8" s="12">
        <f t="shared" si="8"/>
        <v>8637</v>
      </c>
      <c r="L8" s="13">
        <f t="shared" si="9"/>
        <v>0.10132258613838906</v>
      </c>
      <c r="M8" s="13">
        <f t="shared" si="10"/>
        <v>0.61105750127717551</v>
      </c>
      <c r="N8" s="13">
        <f t="shared" si="11"/>
        <v>0.49026508486121362</v>
      </c>
      <c r="O8" s="14">
        <f t="shared" si="12"/>
        <v>0.93700787401574803</v>
      </c>
      <c r="P8" s="14">
        <f t="shared" si="13"/>
        <v>0.94173738080657865</v>
      </c>
      <c r="Q8" s="14">
        <f t="shared" si="14"/>
        <v>0.90677165354330713</v>
      </c>
      <c r="R8" s="11">
        <f t="shared" si="15"/>
        <v>34</v>
      </c>
      <c r="S8" s="12">
        <f t="shared" si="49"/>
        <v>171</v>
      </c>
      <c r="T8" s="12">
        <f t="shared" si="16"/>
        <v>284</v>
      </c>
      <c r="U8" s="13">
        <f t="shared" si="17"/>
        <v>8.076009501187649E-2</v>
      </c>
      <c r="V8" s="13">
        <f t="shared" si="18"/>
        <v>0.40617577197149646</v>
      </c>
      <c r="W8" s="13">
        <f t="shared" si="19"/>
        <v>0.67458432304038007</v>
      </c>
      <c r="X8" s="14">
        <f t="shared" si="20"/>
        <v>1.7847769028871391E-2</v>
      </c>
      <c r="Y8" s="14">
        <f t="shared" si="21"/>
        <v>1.4959321144256845E-2</v>
      </c>
      <c r="Z8" s="14">
        <f t="shared" si="22"/>
        <v>2.9816272965879267E-2</v>
      </c>
      <c r="AA8" s="11">
        <f t="shared" si="23"/>
        <v>86</v>
      </c>
      <c r="AB8" s="12">
        <f t="shared" si="50"/>
        <v>495</v>
      </c>
      <c r="AC8" s="12">
        <f t="shared" si="24"/>
        <v>604</v>
      </c>
      <c r="AD8" s="13">
        <f t="shared" si="25"/>
        <v>8.489634748272458E-2</v>
      </c>
      <c r="AE8" s="13">
        <f t="shared" si="26"/>
        <v>0.48864758144126358</v>
      </c>
      <c r="AF8" s="13">
        <f t="shared" si="27"/>
        <v>0.59624876604146104</v>
      </c>
      <c r="AG8" s="11">
        <f t="shared" si="28"/>
        <v>0</v>
      </c>
      <c r="AH8" s="11">
        <f t="shared" si="29"/>
        <v>0</v>
      </c>
      <c r="AI8" s="11">
        <f t="shared" si="30"/>
        <v>0</v>
      </c>
      <c r="AJ8" s="15">
        <f t="shared" si="31"/>
        <v>0</v>
      </c>
      <c r="AK8" s="15">
        <f t="shared" si="32"/>
        <v>1785</v>
      </c>
      <c r="AL8" s="12">
        <f t="shared" si="51"/>
        <v>10765</v>
      </c>
      <c r="AM8" s="12">
        <f t="shared" si="33"/>
        <v>8637</v>
      </c>
      <c r="AN8" s="13">
        <f t="shared" si="34"/>
        <v>0.10132258613838906</v>
      </c>
      <c r="AO8" s="13">
        <f t="shared" si="35"/>
        <v>0.61105750127717551</v>
      </c>
      <c r="AP8" s="13">
        <f t="shared" si="36"/>
        <v>0.49026508486121362</v>
      </c>
      <c r="AQ8" s="15">
        <f t="shared" si="37"/>
        <v>34</v>
      </c>
      <c r="AR8" s="12">
        <f t="shared" si="52"/>
        <v>171</v>
      </c>
      <c r="AS8" s="12">
        <f t="shared" si="38"/>
        <v>284</v>
      </c>
      <c r="AT8" s="13">
        <f t="shared" si="39"/>
        <v>8.076009501187649E-2</v>
      </c>
      <c r="AU8" s="13">
        <f t="shared" si="40"/>
        <v>0.40617577197149646</v>
      </c>
      <c r="AV8" s="13">
        <f t="shared" si="41"/>
        <v>0.67458432304038007</v>
      </c>
      <c r="AW8" s="18">
        <f t="shared" si="42"/>
        <v>1.7847769028871391E-2</v>
      </c>
      <c r="AX8" s="14">
        <f t="shared" si="43"/>
        <v>1.4959321144256845E-2</v>
      </c>
      <c r="AY8" s="14">
        <f t="shared" si="44"/>
        <v>2.9816272965879267E-2</v>
      </c>
      <c r="AZ8" s="16">
        <f t="shared" si="45"/>
        <v>0.18431923817916646</v>
      </c>
      <c r="BA8" s="8">
        <f t="shared" si="46"/>
        <v>6.4259217337173102E-2</v>
      </c>
      <c r="BB8" s="9"/>
    </row>
    <row r="9" spans="1:54" ht="13.8" x14ac:dyDescent="0.3">
      <c r="A9" s="10">
        <f t="shared" si="0"/>
        <v>860</v>
      </c>
      <c r="B9" s="10">
        <f t="shared" si="1"/>
        <v>879</v>
      </c>
      <c r="C9" s="11">
        <f t="shared" si="2"/>
        <v>1905</v>
      </c>
      <c r="D9" s="12">
        <f t="shared" si="47"/>
        <v>13336</v>
      </c>
      <c r="E9" s="12">
        <f t="shared" si="3"/>
        <v>7620</v>
      </c>
      <c r="F9" s="13">
        <f t="shared" si="4"/>
        <v>9.9994750931709619E-2</v>
      </c>
      <c r="G9" s="13">
        <f t="shared" si="5"/>
        <v>0.70001574720487114</v>
      </c>
      <c r="H9" s="13">
        <f t="shared" si="6"/>
        <v>0.39997900372683848</v>
      </c>
      <c r="I9" s="11">
        <f t="shared" si="7"/>
        <v>1757</v>
      </c>
      <c r="J9" s="12">
        <f t="shared" si="48"/>
        <v>12522</v>
      </c>
      <c r="K9" s="12">
        <f t="shared" si="8"/>
        <v>6852</v>
      </c>
      <c r="L9" s="13">
        <f t="shared" si="9"/>
        <v>9.9733212238179034E-2</v>
      </c>
      <c r="M9" s="13">
        <f t="shared" si="10"/>
        <v>0.7107907135153545</v>
      </c>
      <c r="N9" s="13">
        <f t="shared" si="11"/>
        <v>0.38894249872282455</v>
      </c>
      <c r="O9" s="14">
        <f t="shared" si="12"/>
        <v>0.92230971128608918</v>
      </c>
      <c r="P9" s="14">
        <f t="shared" si="13"/>
        <v>0.93896220755848825</v>
      </c>
      <c r="Q9" s="14">
        <f t="shared" si="14"/>
        <v>0.89921259842519685</v>
      </c>
      <c r="R9" s="11">
        <f t="shared" si="15"/>
        <v>55</v>
      </c>
      <c r="S9" s="12">
        <f t="shared" si="49"/>
        <v>226</v>
      </c>
      <c r="T9" s="12">
        <f t="shared" si="16"/>
        <v>250</v>
      </c>
      <c r="U9" s="13">
        <f t="shared" si="17"/>
        <v>0.13064133016627077</v>
      </c>
      <c r="V9" s="13">
        <f t="shared" si="18"/>
        <v>0.53681710213776723</v>
      </c>
      <c r="W9" s="13">
        <f t="shared" si="19"/>
        <v>0.59382422802850354</v>
      </c>
      <c r="X9" s="14">
        <f t="shared" si="20"/>
        <v>2.8871391076115485E-2</v>
      </c>
      <c r="Y9" s="14">
        <f t="shared" si="21"/>
        <v>1.6946610677864429E-2</v>
      </c>
      <c r="Z9" s="14">
        <f t="shared" si="22"/>
        <v>3.2808398950131233E-2</v>
      </c>
      <c r="AA9" s="11">
        <f t="shared" si="23"/>
        <v>93</v>
      </c>
      <c r="AB9" s="12">
        <f t="shared" si="50"/>
        <v>588</v>
      </c>
      <c r="AC9" s="12">
        <f t="shared" si="24"/>
        <v>518</v>
      </c>
      <c r="AD9" s="13">
        <f t="shared" si="25"/>
        <v>9.1806515301085884E-2</v>
      </c>
      <c r="AE9" s="13">
        <f t="shared" si="26"/>
        <v>0.58045409674234949</v>
      </c>
      <c r="AF9" s="13">
        <f t="shared" si="27"/>
        <v>0.51135241855873648</v>
      </c>
      <c r="AG9" s="11">
        <f t="shared" si="28"/>
        <v>0</v>
      </c>
      <c r="AH9" s="11">
        <f t="shared" si="29"/>
        <v>0</v>
      </c>
      <c r="AI9" s="11">
        <f t="shared" si="30"/>
        <v>0</v>
      </c>
      <c r="AJ9" s="15">
        <f t="shared" si="31"/>
        <v>0</v>
      </c>
      <c r="AK9" s="15">
        <f t="shared" si="32"/>
        <v>1757</v>
      </c>
      <c r="AL9" s="12">
        <f t="shared" si="51"/>
        <v>12522</v>
      </c>
      <c r="AM9" s="12">
        <f t="shared" si="33"/>
        <v>6852</v>
      </c>
      <c r="AN9" s="13">
        <f t="shared" si="34"/>
        <v>9.9733212238179034E-2</v>
      </c>
      <c r="AO9" s="13">
        <f t="shared" si="35"/>
        <v>0.7107907135153545</v>
      </c>
      <c r="AP9" s="13">
        <f t="shared" si="36"/>
        <v>0.38894249872282455</v>
      </c>
      <c r="AQ9" s="15">
        <f t="shared" si="37"/>
        <v>55</v>
      </c>
      <c r="AR9" s="12">
        <f t="shared" si="52"/>
        <v>226</v>
      </c>
      <c r="AS9" s="12">
        <f t="shared" si="38"/>
        <v>250</v>
      </c>
      <c r="AT9" s="13">
        <f t="shared" si="39"/>
        <v>0.13064133016627077</v>
      </c>
      <c r="AU9" s="13">
        <f t="shared" si="40"/>
        <v>0.53681710213776723</v>
      </c>
      <c r="AV9" s="13">
        <f t="shared" si="41"/>
        <v>0.59382422802850354</v>
      </c>
      <c r="AW9" s="18">
        <f t="shared" si="42"/>
        <v>2.8871391076115485E-2</v>
      </c>
      <c r="AX9" s="14">
        <f t="shared" si="43"/>
        <v>1.6946610677864429E-2</v>
      </c>
      <c r="AY9" s="14">
        <f t="shared" si="44"/>
        <v>3.2808398950131233E-2</v>
      </c>
      <c r="AZ9" s="16">
        <f t="shared" si="45"/>
        <v>0.20488172930567899</v>
      </c>
      <c r="BA9" s="8">
        <f t="shared" si="46"/>
        <v>5.2709358011864216E-2</v>
      </c>
      <c r="BB9" s="9"/>
    </row>
    <row r="10" spans="1:54" ht="13.8" x14ac:dyDescent="0.3">
      <c r="A10" s="10">
        <f t="shared" si="0"/>
        <v>832</v>
      </c>
      <c r="B10" s="10">
        <f t="shared" si="1"/>
        <v>860</v>
      </c>
      <c r="C10" s="11">
        <f t="shared" si="2"/>
        <v>1905</v>
      </c>
      <c r="D10" s="12">
        <f t="shared" si="47"/>
        <v>15241</v>
      </c>
      <c r="E10" s="12">
        <f t="shared" si="3"/>
        <v>5715</v>
      </c>
      <c r="F10" s="13">
        <f t="shared" si="4"/>
        <v>9.9994750931709619E-2</v>
      </c>
      <c r="G10" s="13">
        <f t="shared" si="5"/>
        <v>0.80001049813658076</v>
      </c>
      <c r="H10" s="13">
        <f t="shared" si="6"/>
        <v>0.29998425279512886</v>
      </c>
      <c r="I10" s="11">
        <f t="shared" si="7"/>
        <v>1772</v>
      </c>
      <c r="J10" s="12">
        <f t="shared" si="48"/>
        <v>14294</v>
      </c>
      <c r="K10" s="12">
        <f t="shared" si="8"/>
        <v>5095</v>
      </c>
      <c r="L10" s="13">
        <f t="shared" si="9"/>
        <v>0.10058466254186298</v>
      </c>
      <c r="M10" s="13">
        <f t="shared" si="10"/>
        <v>0.81137537605721743</v>
      </c>
      <c r="N10" s="13">
        <f t="shared" si="11"/>
        <v>0.2892092864846455</v>
      </c>
      <c r="O10" s="14">
        <f t="shared" si="12"/>
        <v>0.93018372703412078</v>
      </c>
      <c r="P10" s="14">
        <f t="shared" si="13"/>
        <v>0.93786496949019094</v>
      </c>
      <c r="Q10" s="14">
        <f t="shared" si="14"/>
        <v>0.89151356080489941</v>
      </c>
      <c r="R10" s="11">
        <f t="shared" si="15"/>
        <v>28</v>
      </c>
      <c r="S10" s="12">
        <f t="shared" si="49"/>
        <v>254</v>
      </c>
      <c r="T10" s="12">
        <f t="shared" si="16"/>
        <v>195</v>
      </c>
      <c r="U10" s="13">
        <f t="shared" si="17"/>
        <v>6.6508313539192399E-2</v>
      </c>
      <c r="V10" s="13">
        <f t="shared" si="18"/>
        <v>0.60332541567695963</v>
      </c>
      <c r="W10" s="13">
        <f t="shared" si="19"/>
        <v>0.46318289786223277</v>
      </c>
      <c r="X10" s="14">
        <f t="shared" si="20"/>
        <v>1.4698162729658792E-2</v>
      </c>
      <c r="Y10" s="14">
        <f t="shared" si="21"/>
        <v>1.6665573125123023E-2</v>
      </c>
      <c r="Z10" s="14">
        <f t="shared" si="22"/>
        <v>3.4120734908136482E-2</v>
      </c>
      <c r="AA10" s="11">
        <f t="shared" si="23"/>
        <v>105</v>
      </c>
      <c r="AB10" s="12">
        <f t="shared" si="50"/>
        <v>693</v>
      </c>
      <c r="AC10" s="12">
        <f t="shared" si="24"/>
        <v>425</v>
      </c>
      <c r="AD10" s="13">
        <f t="shared" si="25"/>
        <v>0.10365251727541955</v>
      </c>
      <c r="AE10" s="13">
        <f t="shared" si="26"/>
        <v>0.68410661401776895</v>
      </c>
      <c r="AF10" s="13">
        <f t="shared" si="27"/>
        <v>0.41954590325765057</v>
      </c>
      <c r="AG10" s="11">
        <f t="shared" si="28"/>
        <v>0</v>
      </c>
      <c r="AH10" s="11">
        <f t="shared" si="29"/>
        <v>0</v>
      </c>
      <c r="AI10" s="11">
        <f t="shared" si="30"/>
        <v>0</v>
      </c>
      <c r="AJ10" s="15">
        <f t="shared" si="31"/>
        <v>0</v>
      </c>
      <c r="AK10" s="15">
        <f t="shared" si="32"/>
        <v>1772</v>
      </c>
      <c r="AL10" s="12">
        <f t="shared" si="51"/>
        <v>14294</v>
      </c>
      <c r="AM10" s="12">
        <f t="shared" si="33"/>
        <v>5095</v>
      </c>
      <c r="AN10" s="13">
        <f t="shared" si="34"/>
        <v>0.10058466254186298</v>
      </c>
      <c r="AO10" s="13">
        <f t="shared" si="35"/>
        <v>0.81137537605721743</v>
      </c>
      <c r="AP10" s="13">
        <f t="shared" si="36"/>
        <v>0.2892092864846455</v>
      </c>
      <c r="AQ10" s="15">
        <f t="shared" si="37"/>
        <v>28</v>
      </c>
      <c r="AR10" s="12">
        <f t="shared" si="52"/>
        <v>254</v>
      </c>
      <c r="AS10" s="12">
        <f t="shared" si="38"/>
        <v>195</v>
      </c>
      <c r="AT10" s="13">
        <f t="shared" si="39"/>
        <v>6.6508313539192399E-2</v>
      </c>
      <c r="AU10" s="13">
        <f t="shared" si="40"/>
        <v>0.60332541567695963</v>
      </c>
      <c r="AV10" s="13">
        <f t="shared" si="41"/>
        <v>0.46318289786223277</v>
      </c>
      <c r="AW10" s="14">
        <f t="shared" si="42"/>
        <v>1.4698162729658792E-2</v>
      </c>
      <c r="AX10" s="14">
        <f t="shared" si="43"/>
        <v>1.6665573125123023E-2</v>
      </c>
      <c r="AY10" s="14">
        <f t="shared" si="44"/>
        <v>3.4120734908136482E-2</v>
      </c>
      <c r="AZ10" s="16">
        <f t="shared" si="45"/>
        <v>0.17397361137758727</v>
      </c>
      <c r="BA10" s="8">
        <f t="shared" si="46"/>
        <v>4.3244237339850826E-2</v>
      </c>
      <c r="BB10" s="9"/>
    </row>
    <row r="11" spans="1:54" ht="13.8" x14ac:dyDescent="0.3">
      <c r="A11" s="10">
        <f t="shared" si="0"/>
        <v>791</v>
      </c>
      <c r="B11" s="10">
        <f t="shared" si="1"/>
        <v>832</v>
      </c>
      <c r="C11" s="11">
        <f t="shared" si="2"/>
        <v>1905</v>
      </c>
      <c r="D11" s="12">
        <f t="shared" si="47"/>
        <v>17146</v>
      </c>
      <c r="E11" s="12">
        <f t="shared" si="3"/>
        <v>3810</v>
      </c>
      <c r="F11" s="13">
        <f t="shared" si="4"/>
        <v>9.9994750931709619E-2</v>
      </c>
      <c r="G11" s="13">
        <f t="shared" si="5"/>
        <v>0.90000524906829038</v>
      </c>
      <c r="H11" s="13">
        <f t="shared" si="6"/>
        <v>0.19998950186341924</v>
      </c>
      <c r="I11" s="11">
        <f t="shared" si="7"/>
        <v>1745</v>
      </c>
      <c r="J11" s="12">
        <f t="shared" si="48"/>
        <v>16039</v>
      </c>
      <c r="K11" s="12">
        <f t="shared" si="8"/>
        <v>3323</v>
      </c>
      <c r="L11" s="13">
        <f t="shared" si="9"/>
        <v>9.9052051995231885E-2</v>
      </c>
      <c r="M11" s="13">
        <f t="shared" si="10"/>
        <v>0.91042742805244936</v>
      </c>
      <c r="N11" s="13">
        <f t="shared" si="11"/>
        <v>0.18862462394278254</v>
      </c>
      <c r="O11" s="14">
        <f t="shared" si="12"/>
        <v>0.91601049868766404</v>
      </c>
      <c r="P11" s="14">
        <f t="shared" si="13"/>
        <v>0.93543683657996035</v>
      </c>
      <c r="Q11" s="14">
        <f t="shared" si="14"/>
        <v>0.87217847769028867</v>
      </c>
      <c r="R11" s="11">
        <f t="shared" si="15"/>
        <v>44</v>
      </c>
      <c r="S11" s="12">
        <f t="shared" si="49"/>
        <v>298</v>
      </c>
      <c r="T11" s="12">
        <f t="shared" si="16"/>
        <v>167</v>
      </c>
      <c r="U11" s="13">
        <f t="shared" si="17"/>
        <v>0.10451306413301663</v>
      </c>
      <c r="V11" s="13">
        <f t="shared" si="18"/>
        <v>0.70783847980997627</v>
      </c>
      <c r="W11" s="13">
        <f t="shared" si="19"/>
        <v>0.39667458432304037</v>
      </c>
      <c r="X11" s="14">
        <f t="shared" si="20"/>
        <v>2.3097112860892388E-2</v>
      </c>
      <c r="Y11" s="14">
        <f t="shared" si="21"/>
        <v>1.7380146973054941E-2</v>
      </c>
      <c r="Z11" s="14">
        <f t="shared" si="22"/>
        <v>4.3832020997375327E-2</v>
      </c>
      <c r="AA11" s="11">
        <f t="shared" si="23"/>
        <v>116</v>
      </c>
      <c r="AB11" s="12">
        <f t="shared" si="50"/>
        <v>809</v>
      </c>
      <c r="AC11" s="12">
        <f t="shared" si="24"/>
        <v>320</v>
      </c>
      <c r="AD11" s="13">
        <f t="shared" si="25"/>
        <v>0.11451135241855874</v>
      </c>
      <c r="AE11" s="13">
        <f t="shared" si="26"/>
        <v>0.79861796643632776</v>
      </c>
      <c r="AF11" s="13">
        <f t="shared" si="27"/>
        <v>0.31589338598223099</v>
      </c>
      <c r="AG11" s="11">
        <f t="shared" si="28"/>
        <v>0</v>
      </c>
      <c r="AH11" s="11">
        <f t="shared" si="29"/>
        <v>0</v>
      </c>
      <c r="AI11" s="11">
        <f t="shared" si="30"/>
        <v>0</v>
      </c>
      <c r="AJ11" s="15">
        <f t="shared" si="31"/>
        <v>0</v>
      </c>
      <c r="AK11" s="15">
        <f t="shared" si="32"/>
        <v>1745</v>
      </c>
      <c r="AL11" s="12">
        <f t="shared" si="51"/>
        <v>16039</v>
      </c>
      <c r="AM11" s="12">
        <f t="shared" si="33"/>
        <v>3323</v>
      </c>
      <c r="AN11" s="13">
        <f t="shared" si="34"/>
        <v>9.9052051995231885E-2</v>
      </c>
      <c r="AO11" s="13">
        <f t="shared" si="35"/>
        <v>0.91042742805244936</v>
      </c>
      <c r="AP11" s="13">
        <f t="shared" si="36"/>
        <v>0.18862462394278254</v>
      </c>
      <c r="AQ11" s="15">
        <f t="shared" si="37"/>
        <v>44</v>
      </c>
      <c r="AR11" s="12">
        <f t="shared" si="52"/>
        <v>298</v>
      </c>
      <c r="AS11" s="12">
        <f t="shared" si="38"/>
        <v>167</v>
      </c>
      <c r="AT11" s="13">
        <f t="shared" si="39"/>
        <v>0.10451306413301663</v>
      </c>
      <c r="AU11" s="13">
        <f t="shared" si="40"/>
        <v>0.70783847980997627</v>
      </c>
      <c r="AV11" s="13">
        <f t="shared" si="41"/>
        <v>0.39667458432304037</v>
      </c>
      <c r="AW11" s="14">
        <f t="shared" si="42"/>
        <v>2.3097112860892388E-2</v>
      </c>
      <c r="AX11" s="14">
        <f t="shared" si="43"/>
        <v>1.7380146973054941E-2</v>
      </c>
      <c r="AY11" s="14">
        <f t="shared" si="44"/>
        <v>4.3832020997375327E-2</v>
      </c>
      <c r="AZ11" s="16">
        <f t="shared" si="45"/>
        <v>0.20804996038025783</v>
      </c>
      <c r="BA11" s="8">
        <f t="shared" si="46"/>
        <v>3.4115314820210504E-2</v>
      </c>
      <c r="BB11" s="9"/>
    </row>
    <row r="12" spans="1:54" ht="13.8" x14ac:dyDescent="0.3">
      <c r="A12" s="10">
        <f t="shared" si="0"/>
        <v>1</v>
      </c>
      <c r="B12" s="10">
        <f t="shared" si="1"/>
        <v>791</v>
      </c>
      <c r="C12" s="11">
        <f t="shared" si="2"/>
        <v>1905</v>
      </c>
      <c r="D12" s="12">
        <f t="shared" si="47"/>
        <v>19051</v>
      </c>
      <c r="E12" s="12">
        <f>C12</f>
        <v>1905</v>
      </c>
      <c r="F12" s="13">
        <f t="shared" si="4"/>
        <v>9.9994750931709619E-2</v>
      </c>
      <c r="G12" s="13">
        <f t="shared" si="5"/>
        <v>1</v>
      </c>
      <c r="H12" s="13">
        <f t="shared" si="6"/>
        <v>9.9994750931709619E-2</v>
      </c>
      <c r="I12" s="11">
        <f t="shared" si="7"/>
        <v>1578</v>
      </c>
      <c r="J12" s="12">
        <f t="shared" si="48"/>
        <v>17617</v>
      </c>
      <c r="K12" s="12">
        <f>I12</f>
        <v>1578</v>
      </c>
      <c r="L12" s="13">
        <f t="shared" si="9"/>
        <v>8.9572571947550667E-2</v>
      </c>
      <c r="M12" s="13">
        <f t="shared" si="10"/>
        <v>1</v>
      </c>
      <c r="N12" s="13">
        <f t="shared" si="11"/>
        <v>8.9572571947550667E-2</v>
      </c>
      <c r="O12" s="14">
        <f t="shared" si="12"/>
        <v>0.8283464566929134</v>
      </c>
      <c r="P12" s="14">
        <f t="shared" si="13"/>
        <v>0.92472836071597286</v>
      </c>
      <c r="Q12" s="14">
        <f t="shared" si="14"/>
        <v>0.8283464566929134</v>
      </c>
      <c r="R12" s="11">
        <f t="shared" si="15"/>
        <v>123</v>
      </c>
      <c r="S12" s="12">
        <f t="shared" si="49"/>
        <v>421</v>
      </c>
      <c r="T12" s="12">
        <f>R12</f>
        <v>123</v>
      </c>
      <c r="U12" s="13">
        <f t="shared" si="17"/>
        <v>0.29216152019002373</v>
      </c>
      <c r="V12" s="13">
        <f t="shared" si="18"/>
        <v>1</v>
      </c>
      <c r="W12" s="13">
        <f t="shared" si="19"/>
        <v>0.29216152019002373</v>
      </c>
      <c r="X12" s="14">
        <f t="shared" si="20"/>
        <v>6.4566929133858267E-2</v>
      </c>
      <c r="Y12" s="14">
        <f t="shared" si="21"/>
        <v>2.2098577502493309E-2</v>
      </c>
      <c r="Z12" s="14">
        <f t="shared" si="22"/>
        <v>6.4566929133858267E-2</v>
      </c>
      <c r="AA12" s="11">
        <f t="shared" si="23"/>
        <v>204</v>
      </c>
      <c r="AB12" s="12">
        <f t="shared" si="50"/>
        <v>1013</v>
      </c>
      <c r="AC12" s="12">
        <f>AA12</f>
        <v>204</v>
      </c>
      <c r="AD12" s="13">
        <f t="shared" si="25"/>
        <v>0.20138203356367226</v>
      </c>
      <c r="AE12" s="13">
        <f t="shared" si="26"/>
        <v>1</v>
      </c>
      <c r="AF12" s="13">
        <f t="shared" si="27"/>
        <v>0.20138203356367226</v>
      </c>
      <c r="AG12" s="11">
        <f t="shared" si="28"/>
        <v>0</v>
      </c>
      <c r="AH12" s="11">
        <f t="shared" si="29"/>
        <v>0</v>
      </c>
      <c r="AI12" s="11">
        <f t="shared" si="30"/>
        <v>0</v>
      </c>
      <c r="AJ12" s="15">
        <f t="shared" si="31"/>
        <v>0</v>
      </c>
      <c r="AK12" s="15">
        <f t="shared" si="32"/>
        <v>1578</v>
      </c>
      <c r="AL12" s="12">
        <f t="shared" si="51"/>
        <v>17617</v>
      </c>
      <c r="AM12" s="12">
        <f>AK12</f>
        <v>1578</v>
      </c>
      <c r="AN12" s="13">
        <f t="shared" si="34"/>
        <v>8.9572571947550667E-2</v>
      </c>
      <c r="AO12" s="13">
        <f t="shared" si="35"/>
        <v>1</v>
      </c>
      <c r="AP12" s="13">
        <f t="shared" si="36"/>
        <v>8.9572571947550667E-2</v>
      </c>
      <c r="AQ12" s="15">
        <f t="shared" si="37"/>
        <v>123</v>
      </c>
      <c r="AR12" s="12">
        <f t="shared" si="52"/>
        <v>421</v>
      </c>
      <c r="AS12" s="12">
        <f>AQ12</f>
        <v>123</v>
      </c>
      <c r="AT12" s="13">
        <f t="shared" si="39"/>
        <v>0.29216152019002373</v>
      </c>
      <c r="AU12" s="13">
        <f t="shared" si="40"/>
        <v>1</v>
      </c>
      <c r="AV12" s="13">
        <f t="shared" si="41"/>
        <v>0.29216152019002373</v>
      </c>
      <c r="AW12" s="14">
        <f t="shared" si="42"/>
        <v>6.4566929133858267E-2</v>
      </c>
      <c r="AX12" s="14">
        <f t="shared" si="43"/>
        <v>2.2098577502493309E-2</v>
      </c>
      <c r="AY12" s="14">
        <f t="shared" si="44"/>
        <v>6.4566929133858267E-2</v>
      </c>
      <c r="AZ12" s="16">
        <f t="shared" si="45"/>
        <v>0.20258894824247306</v>
      </c>
      <c r="BA12" s="8">
        <f t="shared" si="46"/>
        <v>1.3084829393763339E-2</v>
      </c>
      <c r="BB12" s="9"/>
    </row>
    <row r="13" spans="1:54" s="27" customFormat="1" ht="13.8" x14ac:dyDescent="0.3">
      <c r="A13" s="186" t="s">
        <v>5</v>
      </c>
      <c r="B13" s="186"/>
      <c r="C13" s="19">
        <f>SUM(C3:C12)</f>
        <v>19051</v>
      </c>
      <c r="D13" s="19"/>
      <c r="E13" s="19"/>
      <c r="F13" s="20"/>
      <c r="G13" s="20"/>
      <c r="H13" s="20"/>
      <c r="I13" s="19">
        <f>SUM(I3:I12)</f>
        <v>17617</v>
      </c>
      <c r="J13" s="19"/>
      <c r="K13" s="19"/>
      <c r="L13" s="20"/>
      <c r="M13" s="20"/>
      <c r="N13" s="20"/>
      <c r="O13" s="21"/>
      <c r="P13" s="22"/>
      <c r="Q13" s="22"/>
      <c r="R13" s="19">
        <f>SUM(R3:R12)</f>
        <v>421</v>
      </c>
      <c r="S13" s="19"/>
      <c r="T13" s="19"/>
      <c r="U13" s="20"/>
      <c r="V13" s="20"/>
      <c r="W13" s="20"/>
      <c r="X13" s="21"/>
      <c r="Y13" s="22"/>
      <c r="Z13" s="22"/>
      <c r="AA13" s="19">
        <f>SUM(AA3:AA12)</f>
        <v>1013</v>
      </c>
      <c r="AB13" s="19"/>
      <c r="AC13" s="19"/>
      <c r="AD13" s="20"/>
      <c r="AE13" s="20"/>
      <c r="AF13" s="20"/>
      <c r="AG13" s="19">
        <f>SUM(AG3:AG12)</f>
        <v>0</v>
      </c>
      <c r="AH13" s="19">
        <f>SUM(AH3:AH12)</f>
        <v>0</v>
      </c>
      <c r="AI13" s="19">
        <f>SUM(AI3:AI12)</f>
        <v>0</v>
      </c>
      <c r="AJ13" s="19">
        <f>SUM(AJ3:AJ12)</f>
        <v>0</v>
      </c>
      <c r="AK13" s="23">
        <f>SUM(AK3:AK12)</f>
        <v>17617</v>
      </c>
      <c r="AL13" s="23"/>
      <c r="AM13" s="23"/>
      <c r="AN13" s="20"/>
      <c r="AO13" s="20"/>
      <c r="AP13" s="20"/>
      <c r="AQ13" s="23">
        <f>SUM(AQ3:AQ12)</f>
        <v>421</v>
      </c>
      <c r="AR13" s="23"/>
      <c r="AS13" s="23"/>
      <c r="AT13" s="20"/>
      <c r="AU13" s="20"/>
      <c r="AV13" s="20"/>
      <c r="AW13" s="21"/>
      <c r="AX13" s="21"/>
      <c r="AY13" s="21"/>
      <c r="AZ13" s="24">
        <f>MAX(AZ3:AZ12)</f>
        <v>0.20804996038025783</v>
      </c>
      <c r="BA13" s="25">
        <f>SUM(BA3:BA12)</f>
        <v>0.63906347477745318</v>
      </c>
      <c r="BB13" s="26">
        <f>2*BA13-1</f>
        <v>0.27812694955490636</v>
      </c>
    </row>
    <row r="20" spans="10:51" ht="25.8" x14ac:dyDescent="0.25">
      <c r="J20" s="187" t="s">
        <v>4</v>
      </c>
      <c r="K20" s="187"/>
      <c r="L20" s="30" t="s">
        <v>5</v>
      </c>
      <c r="M20" s="31" t="s">
        <v>22</v>
      </c>
      <c r="N20" s="31" t="s">
        <v>23</v>
      </c>
      <c r="O20" s="31" t="s">
        <v>24</v>
      </c>
      <c r="P20" s="3" t="s">
        <v>25</v>
      </c>
      <c r="Q20" s="3" t="s">
        <v>26</v>
      </c>
      <c r="R20" s="3" t="s">
        <v>27</v>
      </c>
      <c r="S20" s="1"/>
      <c r="T20" s="1" t="s">
        <v>29</v>
      </c>
      <c r="U20" s="1" t="s">
        <v>30</v>
      </c>
      <c r="V20" s="1" t="s">
        <v>31</v>
      </c>
      <c r="W20" s="32" t="s">
        <v>32</v>
      </c>
      <c r="X20" s="1" t="s">
        <v>33</v>
      </c>
      <c r="Y20" s="1" t="s">
        <v>34</v>
      </c>
      <c r="Z20" s="33" t="s">
        <v>35</v>
      </c>
      <c r="AA20" s="29" t="s">
        <v>36</v>
      </c>
      <c r="AB20" s="29" t="s">
        <v>37</v>
      </c>
      <c r="AC20" s="1" t="s">
        <v>38</v>
      </c>
      <c r="AF20" s="29"/>
      <c r="AI20" s="17"/>
      <c r="AJ20" s="34"/>
      <c r="AM20" s="1"/>
      <c r="AP20" s="34"/>
      <c r="AS20" s="1"/>
      <c r="AV20" s="35"/>
      <c r="AY20" s="17"/>
    </row>
    <row r="21" spans="10:51" x14ac:dyDescent="0.25">
      <c r="J21" s="36" t="s">
        <v>11</v>
      </c>
      <c r="K21" s="36" t="s">
        <v>12</v>
      </c>
      <c r="L21" s="37" t="s">
        <v>13</v>
      </c>
      <c r="M21" s="37" t="s">
        <v>13</v>
      </c>
      <c r="N21" s="3" t="s">
        <v>13</v>
      </c>
      <c r="O21" s="3" t="s">
        <v>13</v>
      </c>
      <c r="P21" s="3" t="s">
        <v>13</v>
      </c>
      <c r="Q21" s="3" t="s">
        <v>13</v>
      </c>
      <c r="R21" s="3" t="s">
        <v>13</v>
      </c>
      <c r="T21" s="1" t="s">
        <v>39</v>
      </c>
      <c r="U21" s="1" t="s">
        <v>40</v>
      </c>
      <c r="V21" s="1" t="s">
        <v>41</v>
      </c>
      <c r="W21" s="32" t="s">
        <v>42</v>
      </c>
      <c r="X21" s="1" t="s">
        <v>41</v>
      </c>
      <c r="Y21" s="1" t="s">
        <v>40</v>
      </c>
      <c r="Z21" s="33" t="s">
        <v>40</v>
      </c>
      <c r="AA21" s="29" t="s">
        <v>40</v>
      </c>
      <c r="AB21" s="29" t="s">
        <v>40</v>
      </c>
      <c r="AC21" s="1" t="s">
        <v>40</v>
      </c>
      <c r="AF21" s="29"/>
      <c r="AI21" s="17"/>
      <c r="AJ21" s="34"/>
      <c r="AM21" s="1"/>
      <c r="AP21" s="34"/>
      <c r="AS21" s="1"/>
      <c r="AV21" s="35"/>
      <c r="AY21" s="17"/>
    </row>
    <row r="22" spans="10:51" ht="14.4" x14ac:dyDescent="0.3">
      <c r="J22" s="38">
        <v>991</v>
      </c>
      <c r="K22" s="38">
        <v>992</v>
      </c>
      <c r="L22" s="39">
        <v>1906</v>
      </c>
      <c r="M22" s="39">
        <v>19</v>
      </c>
      <c r="N22" s="11">
        <v>1821</v>
      </c>
      <c r="O22" s="11">
        <v>66</v>
      </c>
      <c r="P22" s="11">
        <v>0</v>
      </c>
      <c r="Q22" s="11">
        <v>0</v>
      </c>
      <c r="R22" s="11">
        <v>0</v>
      </c>
      <c r="T22">
        <v>10</v>
      </c>
      <c r="U22">
        <v>991</v>
      </c>
      <c r="V22">
        <v>992</v>
      </c>
      <c r="W22">
        <v>1906</v>
      </c>
      <c r="X22">
        <v>19</v>
      </c>
      <c r="Y22">
        <v>1821</v>
      </c>
      <c r="Z22" s="40">
        <v>0</v>
      </c>
      <c r="AA22">
        <v>0</v>
      </c>
      <c r="AB22">
        <v>66</v>
      </c>
      <c r="AC22">
        <v>0</v>
      </c>
      <c r="AD22"/>
      <c r="AE22">
        <f t="shared" ref="AE22:AE31" si="53">SUM(X22:Y22)</f>
        <v>1840</v>
      </c>
      <c r="AF22" s="50">
        <f t="shared" ref="AF22:AF31" si="54">X22/AE22</f>
        <v>1.0326086956521738E-2</v>
      </c>
      <c r="AG22" s="29">
        <f>X22</f>
        <v>19</v>
      </c>
      <c r="AH22" s="29">
        <f>AE22</f>
        <v>1840</v>
      </c>
      <c r="AI22" s="52">
        <f t="shared" ref="AI22:AI31" si="55">AG22/AH22</f>
        <v>1.0326086956521738E-2</v>
      </c>
      <c r="AJ22" s="34"/>
      <c r="AM22" s="1"/>
      <c r="AP22" s="34"/>
      <c r="AS22" s="1"/>
      <c r="AV22" s="35"/>
      <c r="AY22" s="17"/>
    </row>
    <row r="23" spans="10:51" ht="14.4" x14ac:dyDescent="0.3">
      <c r="J23" s="38">
        <v>948</v>
      </c>
      <c r="K23" s="38">
        <v>991</v>
      </c>
      <c r="L23" s="39">
        <v>1905</v>
      </c>
      <c r="M23" s="39">
        <v>24</v>
      </c>
      <c r="N23" s="11">
        <v>1796</v>
      </c>
      <c r="O23" s="11">
        <v>85</v>
      </c>
      <c r="P23" s="11">
        <v>0</v>
      </c>
      <c r="Q23" s="11">
        <v>0</v>
      </c>
      <c r="R23" s="11">
        <v>0</v>
      </c>
      <c r="T23">
        <v>9</v>
      </c>
      <c r="U23">
        <v>948</v>
      </c>
      <c r="V23">
        <v>991</v>
      </c>
      <c r="W23">
        <v>1905</v>
      </c>
      <c r="X23">
        <v>24</v>
      </c>
      <c r="Y23">
        <v>1796</v>
      </c>
      <c r="Z23" s="40">
        <v>0</v>
      </c>
      <c r="AA23">
        <v>0</v>
      </c>
      <c r="AB23">
        <v>85</v>
      </c>
      <c r="AC23">
        <v>0</v>
      </c>
      <c r="AD23"/>
      <c r="AE23">
        <f t="shared" si="53"/>
        <v>1820</v>
      </c>
      <c r="AF23" s="50">
        <f t="shared" si="54"/>
        <v>1.3186813186813187E-2</v>
      </c>
      <c r="AG23" s="29">
        <f t="shared" ref="AG23:AG31" si="56">AG22+X23</f>
        <v>43</v>
      </c>
      <c r="AH23" s="29">
        <f t="shared" ref="AH23:AH31" si="57">AH22+AE23</f>
        <v>3660</v>
      </c>
      <c r="AI23" s="52">
        <f t="shared" si="55"/>
        <v>1.1748633879781421E-2</v>
      </c>
      <c r="AJ23" s="34"/>
      <c r="AM23" s="1"/>
      <c r="AP23" s="34"/>
      <c r="AS23" s="1"/>
      <c r="AV23" s="35"/>
      <c r="AY23" s="17"/>
    </row>
    <row r="24" spans="10:51" ht="14.4" x14ac:dyDescent="0.3">
      <c r="J24" s="38">
        <v>928</v>
      </c>
      <c r="K24" s="38">
        <v>948</v>
      </c>
      <c r="L24" s="39">
        <v>1905</v>
      </c>
      <c r="M24" s="39">
        <v>38</v>
      </c>
      <c r="N24" s="11">
        <v>1784</v>
      </c>
      <c r="O24" s="11">
        <v>83</v>
      </c>
      <c r="P24" s="11">
        <v>0</v>
      </c>
      <c r="Q24" s="11">
        <v>0</v>
      </c>
      <c r="R24" s="11">
        <v>0</v>
      </c>
      <c r="T24">
        <v>8</v>
      </c>
      <c r="U24">
        <v>928</v>
      </c>
      <c r="V24">
        <v>948</v>
      </c>
      <c r="W24">
        <v>1905</v>
      </c>
      <c r="X24">
        <v>38</v>
      </c>
      <c r="Y24">
        <v>1784</v>
      </c>
      <c r="Z24" s="40">
        <v>0</v>
      </c>
      <c r="AA24">
        <v>0</v>
      </c>
      <c r="AB24">
        <v>83</v>
      </c>
      <c r="AC24">
        <v>0</v>
      </c>
      <c r="AD24"/>
      <c r="AE24">
        <f t="shared" si="53"/>
        <v>1822</v>
      </c>
      <c r="AF24" s="50">
        <f t="shared" si="54"/>
        <v>2.0856201975850714E-2</v>
      </c>
      <c r="AG24" s="29">
        <f t="shared" si="56"/>
        <v>81</v>
      </c>
      <c r="AH24" s="29">
        <f t="shared" si="57"/>
        <v>5482</v>
      </c>
      <c r="AI24" s="52">
        <f t="shared" si="55"/>
        <v>1.4775629332360452E-2</v>
      </c>
      <c r="AJ24" s="34"/>
      <c r="AM24" s="1"/>
      <c r="AP24" s="34"/>
      <c r="AS24" s="1"/>
      <c r="AV24" s="35"/>
      <c r="AY24" s="17"/>
    </row>
    <row r="25" spans="10:51" ht="14.4" x14ac:dyDescent="0.3">
      <c r="J25" s="38">
        <v>913</v>
      </c>
      <c r="K25" s="38">
        <v>928</v>
      </c>
      <c r="L25" s="39">
        <v>1905</v>
      </c>
      <c r="M25" s="39">
        <v>31</v>
      </c>
      <c r="N25" s="11">
        <v>1787</v>
      </c>
      <c r="O25" s="11">
        <v>87</v>
      </c>
      <c r="P25" s="11">
        <v>0</v>
      </c>
      <c r="Q25" s="11">
        <v>0</v>
      </c>
      <c r="R25" s="11">
        <v>0</v>
      </c>
      <c r="T25">
        <v>7</v>
      </c>
      <c r="U25">
        <v>913</v>
      </c>
      <c r="V25">
        <v>928</v>
      </c>
      <c r="W25">
        <v>1905</v>
      </c>
      <c r="X25">
        <v>31</v>
      </c>
      <c r="Y25">
        <v>1787</v>
      </c>
      <c r="Z25" s="40">
        <v>0</v>
      </c>
      <c r="AA25">
        <v>0</v>
      </c>
      <c r="AB25">
        <v>87</v>
      </c>
      <c r="AC25">
        <v>0</v>
      </c>
      <c r="AD25"/>
      <c r="AE25">
        <f t="shared" si="53"/>
        <v>1818</v>
      </c>
      <c r="AF25" s="50">
        <f t="shared" si="54"/>
        <v>1.7051705170517052E-2</v>
      </c>
      <c r="AG25" s="29">
        <f t="shared" si="56"/>
        <v>112</v>
      </c>
      <c r="AH25" s="29">
        <f t="shared" si="57"/>
        <v>7300</v>
      </c>
      <c r="AI25" s="52">
        <f t="shared" si="55"/>
        <v>1.5342465753424657E-2</v>
      </c>
      <c r="AJ25" s="34"/>
      <c r="AM25" s="1"/>
      <c r="AP25" s="34"/>
      <c r="AS25" s="1"/>
      <c r="AV25" s="35"/>
      <c r="AY25" s="17"/>
    </row>
    <row r="26" spans="10:51" ht="14.4" x14ac:dyDescent="0.3">
      <c r="J26" s="38">
        <v>897</v>
      </c>
      <c r="K26" s="38">
        <v>913</v>
      </c>
      <c r="L26" s="39">
        <v>1905</v>
      </c>
      <c r="M26" s="39">
        <v>25</v>
      </c>
      <c r="N26" s="11">
        <v>1792</v>
      </c>
      <c r="O26" s="11">
        <v>88</v>
      </c>
      <c r="P26" s="11">
        <v>0</v>
      </c>
      <c r="Q26" s="11">
        <v>0</v>
      </c>
      <c r="R26" s="11">
        <v>0</v>
      </c>
      <c r="T26">
        <v>6</v>
      </c>
      <c r="U26">
        <v>897</v>
      </c>
      <c r="V26">
        <v>913</v>
      </c>
      <c r="W26">
        <v>1905</v>
      </c>
      <c r="X26">
        <v>25</v>
      </c>
      <c r="Y26">
        <v>1792</v>
      </c>
      <c r="Z26" s="40">
        <v>0</v>
      </c>
      <c r="AA26">
        <v>0</v>
      </c>
      <c r="AB26">
        <v>88</v>
      </c>
      <c r="AC26">
        <v>0</v>
      </c>
      <c r="AD26"/>
      <c r="AE26">
        <f t="shared" si="53"/>
        <v>1817</v>
      </c>
      <c r="AF26" s="50">
        <f t="shared" si="54"/>
        <v>1.3758943313153549E-2</v>
      </c>
      <c r="AG26" s="29">
        <f t="shared" si="56"/>
        <v>137</v>
      </c>
      <c r="AH26" s="29">
        <f t="shared" si="57"/>
        <v>9117</v>
      </c>
      <c r="AI26" s="52">
        <f t="shared" si="55"/>
        <v>1.5026872874849183E-2</v>
      </c>
      <c r="AJ26" s="34"/>
      <c r="AM26" s="1"/>
      <c r="AP26" s="34"/>
      <c r="AS26" s="1"/>
      <c r="AV26" s="35"/>
      <c r="AY26" s="17"/>
    </row>
    <row r="27" spans="10:51" ht="14.4" x14ac:dyDescent="0.3">
      <c r="J27" s="38">
        <v>879</v>
      </c>
      <c r="K27" s="38">
        <v>897</v>
      </c>
      <c r="L27" s="39">
        <v>1905</v>
      </c>
      <c r="M27" s="39">
        <v>34</v>
      </c>
      <c r="N27" s="11">
        <v>1785</v>
      </c>
      <c r="O27" s="11">
        <v>86</v>
      </c>
      <c r="P27" s="11">
        <v>0</v>
      </c>
      <c r="Q27" s="11">
        <v>0</v>
      </c>
      <c r="R27" s="11">
        <v>0</v>
      </c>
      <c r="T27">
        <v>5</v>
      </c>
      <c r="U27">
        <v>879</v>
      </c>
      <c r="V27">
        <v>897</v>
      </c>
      <c r="W27">
        <v>1905</v>
      </c>
      <c r="X27">
        <v>34</v>
      </c>
      <c r="Y27">
        <v>1785</v>
      </c>
      <c r="Z27" s="40">
        <v>0</v>
      </c>
      <c r="AA27">
        <v>0</v>
      </c>
      <c r="AB27">
        <v>86</v>
      </c>
      <c r="AC27">
        <v>0</v>
      </c>
      <c r="AD27"/>
      <c r="AE27">
        <f t="shared" si="53"/>
        <v>1819</v>
      </c>
      <c r="AF27" s="50">
        <f t="shared" si="54"/>
        <v>1.8691588785046728E-2</v>
      </c>
      <c r="AG27" s="29">
        <f t="shared" si="56"/>
        <v>171</v>
      </c>
      <c r="AH27" s="29">
        <f t="shared" si="57"/>
        <v>10936</v>
      </c>
      <c r="AI27" s="52">
        <f t="shared" si="55"/>
        <v>1.5636430138990489E-2</v>
      </c>
      <c r="AJ27" s="34"/>
      <c r="AM27" s="1"/>
      <c r="AP27" s="34"/>
      <c r="AS27" s="1"/>
      <c r="AV27" s="35"/>
      <c r="AY27" s="17"/>
    </row>
    <row r="28" spans="10:51" ht="14.4" x14ac:dyDescent="0.3">
      <c r="J28" s="38">
        <v>860</v>
      </c>
      <c r="K28" s="38">
        <v>879</v>
      </c>
      <c r="L28" s="39">
        <v>1905</v>
      </c>
      <c r="M28" s="39">
        <v>55</v>
      </c>
      <c r="N28" s="11">
        <v>1757</v>
      </c>
      <c r="O28" s="11">
        <v>93</v>
      </c>
      <c r="P28" s="11">
        <v>0</v>
      </c>
      <c r="Q28" s="11">
        <v>0</v>
      </c>
      <c r="R28" s="11">
        <v>0</v>
      </c>
      <c r="T28">
        <v>4</v>
      </c>
      <c r="U28">
        <v>860</v>
      </c>
      <c r="V28">
        <v>879</v>
      </c>
      <c r="W28">
        <v>1905</v>
      </c>
      <c r="X28">
        <v>55</v>
      </c>
      <c r="Y28">
        <v>1757</v>
      </c>
      <c r="Z28" s="40">
        <v>0</v>
      </c>
      <c r="AA28">
        <v>0</v>
      </c>
      <c r="AB28">
        <v>93</v>
      </c>
      <c r="AC28">
        <v>0</v>
      </c>
      <c r="AD28"/>
      <c r="AE28">
        <f t="shared" si="53"/>
        <v>1812</v>
      </c>
      <c r="AF28" s="50">
        <f t="shared" si="54"/>
        <v>3.0353200883002206E-2</v>
      </c>
      <c r="AG28" s="29">
        <f t="shared" si="56"/>
        <v>226</v>
      </c>
      <c r="AH28" s="29">
        <f t="shared" si="57"/>
        <v>12748</v>
      </c>
      <c r="AI28" s="52">
        <f t="shared" si="55"/>
        <v>1.7728271101349231E-2</v>
      </c>
      <c r="AJ28" s="34"/>
      <c r="AM28" s="1"/>
      <c r="AP28" s="34"/>
      <c r="AS28" s="1"/>
      <c r="AV28" s="35"/>
      <c r="AY28" s="17"/>
    </row>
    <row r="29" spans="10:51" ht="14.4" x14ac:dyDescent="0.3">
      <c r="J29" s="38">
        <v>832</v>
      </c>
      <c r="K29" s="38">
        <v>860</v>
      </c>
      <c r="L29" s="39">
        <v>1905</v>
      </c>
      <c r="M29" s="39">
        <v>28</v>
      </c>
      <c r="N29" s="11">
        <v>1772</v>
      </c>
      <c r="O29" s="11">
        <v>105</v>
      </c>
      <c r="P29" s="11">
        <v>0</v>
      </c>
      <c r="Q29" s="11">
        <v>0</v>
      </c>
      <c r="R29" s="11">
        <v>0</v>
      </c>
      <c r="T29">
        <v>3</v>
      </c>
      <c r="U29">
        <v>832</v>
      </c>
      <c r="V29">
        <v>860</v>
      </c>
      <c r="W29">
        <v>1905</v>
      </c>
      <c r="X29">
        <v>28</v>
      </c>
      <c r="Y29">
        <v>1772</v>
      </c>
      <c r="Z29" s="40">
        <v>0</v>
      </c>
      <c r="AA29">
        <v>0</v>
      </c>
      <c r="AB29">
        <v>105</v>
      </c>
      <c r="AC29">
        <v>0</v>
      </c>
      <c r="AD29"/>
      <c r="AE29">
        <f t="shared" si="53"/>
        <v>1800</v>
      </c>
      <c r="AF29" s="50">
        <f t="shared" si="54"/>
        <v>1.5555555555555555E-2</v>
      </c>
      <c r="AG29" s="29">
        <f t="shared" si="56"/>
        <v>254</v>
      </c>
      <c r="AH29" s="29">
        <f t="shared" si="57"/>
        <v>14548</v>
      </c>
      <c r="AI29" s="52">
        <f t="shared" si="55"/>
        <v>1.7459444597195492E-2</v>
      </c>
      <c r="AJ29" s="34"/>
      <c r="AM29" s="1"/>
      <c r="AP29" s="34"/>
      <c r="AS29" s="1"/>
      <c r="AV29" s="35"/>
      <c r="AY29" s="17"/>
    </row>
    <row r="30" spans="10:51" ht="14.4" x14ac:dyDescent="0.3">
      <c r="J30" s="38">
        <v>791</v>
      </c>
      <c r="K30" s="38">
        <v>832</v>
      </c>
      <c r="L30" s="39">
        <v>1905</v>
      </c>
      <c r="M30" s="39">
        <v>44</v>
      </c>
      <c r="N30" s="11">
        <v>1745</v>
      </c>
      <c r="O30" s="11">
        <v>116</v>
      </c>
      <c r="P30" s="11">
        <v>0</v>
      </c>
      <c r="Q30" s="11">
        <v>0</v>
      </c>
      <c r="R30" s="11">
        <v>0</v>
      </c>
      <c r="T30">
        <v>2</v>
      </c>
      <c r="U30">
        <v>791</v>
      </c>
      <c r="V30">
        <v>832</v>
      </c>
      <c r="W30">
        <v>1905</v>
      </c>
      <c r="X30">
        <v>44</v>
      </c>
      <c r="Y30">
        <v>1745</v>
      </c>
      <c r="Z30" s="40">
        <v>0</v>
      </c>
      <c r="AA30">
        <v>0</v>
      </c>
      <c r="AB30">
        <v>116</v>
      </c>
      <c r="AC30">
        <v>0</v>
      </c>
      <c r="AD30"/>
      <c r="AE30">
        <f t="shared" si="53"/>
        <v>1789</v>
      </c>
      <c r="AF30" s="50">
        <f t="shared" si="54"/>
        <v>2.4594745667970933E-2</v>
      </c>
      <c r="AG30" s="29">
        <f t="shared" si="56"/>
        <v>298</v>
      </c>
      <c r="AH30" s="29">
        <f t="shared" si="57"/>
        <v>16337</v>
      </c>
      <c r="AI30" s="52">
        <f t="shared" si="55"/>
        <v>1.8240803085021729E-2</v>
      </c>
      <c r="AJ30" s="34"/>
      <c r="AM30" s="1"/>
      <c r="AP30" s="34"/>
      <c r="AS30" s="1"/>
      <c r="AV30" s="35"/>
      <c r="AY30" s="17"/>
    </row>
    <row r="31" spans="10:51" ht="14.4" x14ac:dyDescent="0.3">
      <c r="J31" s="38">
        <v>1</v>
      </c>
      <c r="K31" s="38">
        <v>791</v>
      </c>
      <c r="L31" s="39">
        <v>1905</v>
      </c>
      <c r="M31" s="39">
        <v>123</v>
      </c>
      <c r="N31" s="11">
        <v>1578</v>
      </c>
      <c r="O31" s="11">
        <v>204</v>
      </c>
      <c r="P31" s="11">
        <v>0</v>
      </c>
      <c r="Q31" s="11">
        <v>0</v>
      </c>
      <c r="R31" s="11">
        <v>0</v>
      </c>
      <c r="T31">
        <v>1</v>
      </c>
      <c r="U31">
        <v>1</v>
      </c>
      <c r="V31">
        <v>791</v>
      </c>
      <c r="W31">
        <v>1905</v>
      </c>
      <c r="X31">
        <v>123</v>
      </c>
      <c r="Y31">
        <v>1578</v>
      </c>
      <c r="Z31" s="40">
        <v>0</v>
      </c>
      <c r="AA31">
        <v>0</v>
      </c>
      <c r="AB31">
        <v>204</v>
      </c>
      <c r="AC31">
        <v>0</v>
      </c>
      <c r="AD31"/>
      <c r="AE31">
        <f t="shared" si="53"/>
        <v>1701</v>
      </c>
      <c r="AF31" s="50">
        <f t="shared" si="54"/>
        <v>7.2310405643738973E-2</v>
      </c>
      <c r="AG31" s="29">
        <f t="shared" si="56"/>
        <v>421</v>
      </c>
      <c r="AH31" s="29">
        <f t="shared" si="57"/>
        <v>18038</v>
      </c>
      <c r="AI31" s="52">
        <f t="shared" si="55"/>
        <v>2.3339616365450715E-2</v>
      </c>
      <c r="AJ31" s="34"/>
      <c r="AM31" s="1"/>
      <c r="AP31" s="34"/>
      <c r="AS31" s="1"/>
      <c r="AV31" s="35"/>
      <c r="AY31" s="17"/>
    </row>
    <row r="32" spans="10:51" x14ac:dyDescent="0.25">
      <c r="L32" s="29">
        <f t="shared" ref="L32:R32" si="58">SUM(L22:L31)</f>
        <v>19051</v>
      </c>
      <c r="M32" s="29">
        <f t="shared" si="58"/>
        <v>421</v>
      </c>
      <c r="N32" s="29">
        <f t="shared" si="58"/>
        <v>17617</v>
      </c>
      <c r="O32" s="29">
        <f t="shared" si="58"/>
        <v>1013</v>
      </c>
      <c r="P32" s="29">
        <f t="shared" si="58"/>
        <v>0</v>
      </c>
      <c r="Q32" s="29">
        <f t="shared" si="58"/>
        <v>0</v>
      </c>
      <c r="R32" s="29">
        <f t="shared" si="58"/>
        <v>0</v>
      </c>
      <c r="W32" s="1">
        <f>SUM(W22:W31)</f>
        <v>19051</v>
      </c>
      <c r="X32" s="1">
        <f>SUM(X22:X31)</f>
        <v>421</v>
      </c>
      <c r="Y32" s="1">
        <f>SUM(Y22:Y31)</f>
        <v>17617</v>
      </c>
      <c r="AB32" s="1">
        <f>SUM(AB22:AB31)</f>
        <v>1013</v>
      </c>
    </row>
    <row r="33" spans="1:51" x14ac:dyDescent="0.25">
      <c r="M33" s="29">
        <f>SUM(M32:R32)</f>
        <v>19051</v>
      </c>
      <c r="P33" s="29">
        <f>SUM(P32:R32)</f>
        <v>0</v>
      </c>
    </row>
    <row r="34" spans="1:51" x14ac:dyDescent="0.25">
      <c r="X34" s="51">
        <f>SUM(X32:Y32)</f>
        <v>18038</v>
      </c>
    </row>
    <row r="35" spans="1:51" x14ac:dyDescent="0.25">
      <c r="A35" s="188" t="s">
        <v>19</v>
      </c>
      <c r="B35" s="188"/>
      <c r="C35" s="188" t="s">
        <v>20</v>
      </c>
      <c r="D35" s="188"/>
      <c r="E35" s="188" t="s">
        <v>28</v>
      </c>
      <c r="F35" s="188"/>
      <c r="Y35" s="35">
        <f>X32/X34</f>
        <v>2.3339616365450715E-2</v>
      </c>
    </row>
    <row r="36" spans="1:51" ht="14.4" x14ac:dyDescent="0.3">
      <c r="A36" s="190">
        <f>AZ13</f>
        <v>0.20804996038025783</v>
      </c>
      <c r="B36" s="190"/>
      <c r="C36" s="191">
        <f>(BA13*100)</f>
        <v>63.906347477745321</v>
      </c>
      <c r="D36" s="191"/>
      <c r="E36" s="191">
        <f>(BB13*100)</f>
        <v>27.812694955490635</v>
      </c>
      <c r="F36" s="191"/>
      <c r="H36" s="35"/>
      <c r="I36" s="1"/>
      <c r="J36" s="1"/>
      <c r="L36" s="29"/>
      <c r="M36" s="29"/>
      <c r="N36" s="35"/>
      <c r="O36" s="1"/>
      <c r="Q36" s="29"/>
      <c r="T36"/>
      <c r="U36"/>
      <c r="V36"/>
      <c r="W36"/>
      <c r="X36"/>
      <c r="Y36"/>
      <c r="Z36"/>
      <c r="AA36"/>
      <c r="AC36" s="1"/>
      <c r="AF36" s="29"/>
      <c r="AI36" s="17"/>
      <c r="AJ36" s="34"/>
      <c r="AM36" s="1"/>
      <c r="AP36" s="34"/>
      <c r="AS36" s="1"/>
      <c r="AV36" s="35"/>
      <c r="AY36" s="17"/>
    </row>
    <row r="37" spans="1:51" ht="14.4" x14ac:dyDescent="0.3">
      <c r="A37" s="192" t="s">
        <v>4</v>
      </c>
      <c r="B37" s="192"/>
      <c r="C37" s="185" t="s">
        <v>5</v>
      </c>
      <c r="D37" s="185"/>
      <c r="E37" s="185"/>
      <c r="F37" s="185"/>
      <c r="G37" s="185" t="s">
        <v>0</v>
      </c>
      <c r="H37" s="185"/>
      <c r="I37" s="185"/>
      <c r="J37" s="185"/>
      <c r="K37" s="184" t="s">
        <v>3</v>
      </c>
      <c r="L37" s="184"/>
      <c r="M37" s="184"/>
      <c r="N37" s="35"/>
      <c r="O37" s="1"/>
      <c r="Q37" s="29"/>
      <c r="T37"/>
      <c r="U37"/>
      <c r="V37"/>
      <c r="W37"/>
      <c r="X37"/>
      <c r="Y37"/>
      <c r="Z37"/>
      <c r="AA37"/>
      <c r="AC37" s="1"/>
      <c r="AF37" s="29"/>
      <c r="AI37" s="17"/>
      <c r="AJ37" s="34"/>
      <c r="AM37" s="1"/>
      <c r="AP37" s="34"/>
      <c r="AS37" s="1"/>
      <c r="AV37" s="35"/>
      <c r="AY37" s="17"/>
    </row>
    <row r="38" spans="1:51" ht="13.5" customHeight="1" x14ac:dyDescent="0.3">
      <c r="A38" s="4" t="s">
        <v>11</v>
      </c>
      <c r="B38" s="4" t="s">
        <v>12</v>
      </c>
      <c r="C38" s="41" t="s">
        <v>13</v>
      </c>
      <c r="D38" s="4" t="s">
        <v>16</v>
      </c>
      <c r="E38" s="4" t="s">
        <v>17</v>
      </c>
      <c r="F38" s="4" t="s">
        <v>18</v>
      </c>
      <c r="G38" s="41" t="s">
        <v>13</v>
      </c>
      <c r="H38" s="4" t="s">
        <v>16</v>
      </c>
      <c r="I38" s="4" t="s">
        <v>17</v>
      </c>
      <c r="J38" s="4" t="s">
        <v>18</v>
      </c>
      <c r="K38" s="42" t="s">
        <v>13</v>
      </c>
      <c r="L38" s="4" t="s">
        <v>17</v>
      </c>
      <c r="M38" s="4" t="s">
        <v>18</v>
      </c>
      <c r="N38" s="35"/>
      <c r="O38" s="1"/>
      <c r="Q38" s="29"/>
      <c r="T38"/>
      <c r="U38"/>
      <c r="V38"/>
      <c r="W38"/>
      <c r="X38"/>
      <c r="Y38"/>
      <c r="Z38"/>
      <c r="AA38"/>
      <c r="AB38" s="1"/>
      <c r="AC38" s="1"/>
      <c r="AD38" s="29"/>
      <c r="AE38" s="29"/>
      <c r="AF38" s="29"/>
      <c r="AG38" s="17"/>
      <c r="AH38" s="34"/>
      <c r="AI38" s="34"/>
      <c r="AJ38" s="34"/>
      <c r="AK38" s="1"/>
      <c r="AL38" s="1"/>
      <c r="AM38" s="1"/>
      <c r="AN38" s="34"/>
      <c r="AO38" s="34"/>
      <c r="AP38" s="34"/>
      <c r="AQ38" s="1"/>
      <c r="AR38" s="1"/>
      <c r="AS38" s="1"/>
      <c r="AT38" s="35"/>
      <c r="AU38" s="35"/>
      <c r="AV38" s="35"/>
      <c r="AW38" s="17"/>
      <c r="AX38" s="17"/>
      <c r="AY38" s="17"/>
    </row>
    <row r="39" spans="1:51" ht="13.5" customHeight="1" x14ac:dyDescent="0.3">
      <c r="A39" s="43">
        <f t="shared" ref="A39:C48" si="59">A3</f>
        <v>991</v>
      </c>
      <c r="B39" s="43">
        <f t="shared" si="59"/>
        <v>992</v>
      </c>
      <c r="C39" s="44">
        <f t="shared" si="59"/>
        <v>1906</v>
      </c>
      <c r="D39" s="45">
        <v>0.10000379425044582</v>
      </c>
      <c r="E39" s="45">
        <v>0.10000379425044582</v>
      </c>
      <c r="F39" s="45">
        <v>1</v>
      </c>
      <c r="G39" s="44">
        <f t="shared" ref="G39:G49" si="60">AQ3</f>
        <v>19</v>
      </c>
      <c r="H39" s="45">
        <f t="shared" ref="H39:H48" si="61">AT3</f>
        <v>4.5130641330166268E-2</v>
      </c>
      <c r="I39" s="45">
        <f t="shared" ref="I39:I48" si="62">AU3</f>
        <v>4.5130641330166268E-2</v>
      </c>
      <c r="J39" s="45">
        <f t="shared" ref="J39:J48" si="63">AV3</f>
        <v>1</v>
      </c>
      <c r="K39" s="46">
        <f t="shared" ref="K39:K48" si="64">AW3</f>
        <v>9.9685204616998951E-3</v>
      </c>
      <c r="L39" s="46">
        <f t="shared" ref="L39:L48" si="65">AX3</f>
        <v>9.9685204616998951E-3</v>
      </c>
      <c r="M39" s="46">
        <f t="shared" ref="M39:M48" si="66">AY3</f>
        <v>2.2098577502493309E-2</v>
      </c>
      <c r="N39" s="35"/>
      <c r="Q39" s="29"/>
      <c r="T39"/>
      <c r="U39"/>
      <c r="V39"/>
      <c r="W39"/>
      <c r="X39"/>
      <c r="Y39"/>
      <c r="Z39"/>
      <c r="AA39"/>
      <c r="AB39" s="1"/>
      <c r="AC39" s="1"/>
      <c r="AD39" s="29"/>
      <c r="AE39" s="29"/>
      <c r="AF39" s="29"/>
      <c r="AG39" s="17"/>
      <c r="AH39" s="34"/>
      <c r="AI39" s="34"/>
      <c r="AJ39" s="34"/>
      <c r="AK39" s="1"/>
      <c r="AL39" s="1"/>
      <c r="AM39" s="1"/>
      <c r="AN39" s="34"/>
      <c r="AO39" s="34"/>
      <c r="AP39" s="34"/>
      <c r="AQ39" s="1"/>
      <c r="AR39" s="1"/>
      <c r="AS39" s="1"/>
      <c r="AT39" s="35"/>
      <c r="AU39" s="35"/>
      <c r="AV39" s="35"/>
      <c r="AW39" s="17"/>
      <c r="AX39" s="17"/>
      <c r="AY39" s="17"/>
    </row>
    <row r="40" spans="1:51" ht="13.5" customHeight="1" x14ac:dyDescent="0.3">
      <c r="A40" s="43">
        <f t="shared" si="59"/>
        <v>948</v>
      </c>
      <c r="B40" s="43">
        <f t="shared" si="59"/>
        <v>991</v>
      </c>
      <c r="C40" s="44">
        <f t="shared" si="59"/>
        <v>1905</v>
      </c>
      <c r="D40" s="45">
        <v>0.10000379425044582</v>
      </c>
      <c r="E40" s="45">
        <v>0.20000758850089165</v>
      </c>
      <c r="F40" s="45">
        <v>0.89999620574955419</v>
      </c>
      <c r="G40" s="44">
        <f t="shared" si="60"/>
        <v>24</v>
      </c>
      <c r="H40" s="45">
        <f t="shared" si="61"/>
        <v>5.7007125890736345E-2</v>
      </c>
      <c r="I40" s="45">
        <f t="shared" si="62"/>
        <v>0.10213776722090261</v>
      </c>
      <c r="J40" s="45">
        <f t="shared" si="63"/>
        <v>0.95486935866983369</v>
      </c>
      <c r="K40" s="46">
        <f t="shared" si="64"/>
        <v>1.2598425196850394E-2</v>
      </c>
      <c r="L40" s="46">
        <f t="shared" si="65"/>
        <v>1.1283127787982157E-2</v>
      </c>
      <c r="M40" s="46">
        <f t="shared" si="66"/>
        <v>2.3447069116360453E-2</v>
      </c>
      <c r="N40" s="35"/>
      <c r="Q40" s="29"/>
      <c r="T40"/>
      <c r="U40"/>
      <c r="V40"/>
      <c r="W40"/>
      <c r="X40"/>
      <c r="Y40"/>
      <c r="Z40"/>
      <c r="AA40"/>
      <c r="AB40" s="1"/>
      <c r="AC40" s="1"/>
      <c r="AD40" s="29"/>
      <c r="AE40" s="29"/>
      <c r="AF40" s="29"/>
      <c r="AG40" s="17"/>
      <c r="AH40" s="34"/>
      <c r="AI40" s="34"/>
      <c r="AJ40" s="34"/>
      <c r="AK40" s="1"/>
      <c r="AL40" s="1"/>
      <c r="AM40" s="1"/>
      <c r="AN40" s="34"/>
      <c r="AO40" s="34"/>
      <c r="AP40" s="34"/>
      <c r="AQ40" s="1"/>
      <c r="AR40" s="1"/>
      <c r="AS40" s="1"/>
      <c r="AT40" s="35"/>
      <c r="AU40" s="35"/>
      <c r="AV40" s="35"/>
      <c r="AW40" s="17"/>
      <c r="AX40" s="17"/>
      <c r="AY40" s="17"/>
    </row>
    <row r="41" spans="1:51" ht="13.5" customHeight="1" x14ac:dyDescent="0.3">
      <c r="A41" s="43">
        <f t="shared" si="59"/>
        <v>928</v>
      </c>
      <c r="B41" s="43">
        <f t="shared" si="59"/>
        <v>948</v>
      </c>
      <c r="C41" s="44">
        <f t="shared" si="59"/>
        <v>1905</v>
      </c>
      <c r="D41" s="45">
        <v>0.10000379425044582</v>
      </c>
      <c r="E41" s="45">
        <v>0.30001138275133749</v>
      </c>
      <c r="F41" s="45">
        <v>0.79999241149910838</v>
      </c>
      <c r="G41" s="44">
        <f t="shared" si="60"/>
        <v>38</v>
      </c>
      <c r="H41" s="45">
        <f t="shared" si="61"/>
        <v>9.0261282660332537E-2</v>
      </c>
      <c r="I41" s="45">
        <f t="shared" si="62"/>
        <v>0.19239904988123516</v>
      </c>
      <c r="J41" s="45">
        <f t="shared" si="63"/>
        <v>0.89786223277909738</v>
      </c>
      <c r="K41" s="46">
        <f t="shared" si="64"/>
        <v>1.994750656167979E-2</v>
      </c>
      <c r="L41" s="46">
        <f t="shared" si="65"/>
        <v>1.417074877536739E-2</v>
      </c>
      <c r="M41" s="46">
        <f t="shared" si="66"/>
        <v>2.4803149606299212E-2</v>
      </c>
      <c r="N41" s="35"/>
      <c r="Q41" s="29"/>
      <c r="T41"/>
      <c r="U41"/>
      <c r="V41"/>
      <c r="W41"/>
      <c r="X41"/>
      <c r="Y41"/>
      <c r="Z41"/>
      <c r="AA41"/>
      <c r="AB41" s="1"/>
      <c r="AC41" s="1"/>
      <c r="AD41" s="29"/>
      <c r="AE41" s="29"/>
      <c r="AF41" s="29"/>
      <c r="AG41" s="17"/>
      <c r="AH41" s="34"/>
      <c r="AI41" s="34"/>
      <c r="AJ41" s="34"/>
      <c r="AK41" s="1"/>
      <c r="AL41" s="1"/>
      <c r="AM41" s="1"/>
      <c r="AN41" s="34"/>
      <c r="AO41" s="34"/>
      <c r="AP41" s="34"/>
      <c r="AQ41" s="1"/>
      <c r="AR41" s="1"/>
      <c r="AS41" s="1"/>
      <c r="AT41" s="35"/>
      <c r="AU41" s="35"/>
      <c r="AV41" s="35"/>
      <c r="AW41" s="17"/>
      <c r="AX41" s="17"/>
      <c r="AY41" s="17"/>
    </row>
    <row r="42" spans="1:51" ht="13.5" customHeight="1" x14ac:dyDescent="0.3">
      <c r="A42" s="43">
        <f t="shared" si="59"/>
        <v>913</v>
      </c>
      <c r="B42" s="43">
        <f t="shared" si="59"/>
        <v>928</v>
      </c>
      <c r="C42" s="44">
        <f t="shared" si="59"/>
        <v>1905</v>
      </c>
      <c r="D42" s="45">
        <v>9.9991146748959744E-2</v>
      </c>
      <c r="E42" s="45">
        <v>0.40000252950029724</v>
      </c>
      <c r="F42" s="45">
        <v>0.69998861724866257</v>
      </c>
      <c r="G42" s="44">
        <f t="shared" si="60"/>
        <v>31</v>
      </c>
      <c r="H42" s="45">
        <f t="shared" si="61"/>
        <v>7.3634204275534437E-2</v>
      </c>
      <c r="I42" s="45">
        <f t="shared" si="62"/>
        <v>0.26603325415676959</v>
      </c>
      <c r="J42" s="45">
        <f t="shared" si="63"/>
        <v>0.80760095011876487</v>
      </c>
      <c r="K42" s="46">
        <f t="shared" si="64"/>
        <v>1.6272965879265092E-2</v>
      </c>
      <c r="L42" s="46">
        <f t="shared" si="65"/>
        <v>1.4696234090014434E-2</v>
      </c>
      <c r="M42" s="46">
        <f t="shared" si="66"/>
        <v>2.5496812898387702E-2</v>
      </c>
      <c r="N42" s="35"/>
      <c r="P42" s="29"/>
      <c r="Q42" s="29"/>
      <c r="R42" s="1"/>
      <c r="S42" s="1"/>
      <c r="T42"/>
      <c r="U42"/>
      <c r="V42"/>
      <c r="W42"/>
      <c r="X42"/>
      <c r="Y42"/>
      <c r="Z42"/>
      <c r="AA42"/>
      <c r="AB42" s="1"/>
      <c r="AC42" s="1"/>
      <c r="AD42" s="29"/>
      <c r="AE42" s="29"/>
      <c r="AF42" s="29"/>
      <c r="AG42" s="17"/>
      <c r="AH42" s="34"/>
      <c r="AI42" s="34"/>
      <c r="AJ42" s="34"/>
      <c r="AK42" s="1"/>
      <c r="AL42" s="1"/>
      <c r="AM42" s="1"/>
      <c r="AN42" s="34"/>
      <c r="AO42" s="34"/>
      <c r="AP42" s="34"/>
      <c r="AQ42" s="1"/>
      <c r="AR42" s="1"/>
      <c r="AS42" s="1"/>
      <c r="AT42" s="35"/>
      <c r="AU42" s="35"/>
      <c r="AV42" s="35"/>
      <c r="AW42" s="17"/>
      <c r="AX42" s="17"/>
      <c r="AY42" s="17"/>
    </row>
    <row r="43" spans="1:51" ht="13.5" customHeight="1" x14ac:dyDescent="0.3">
      <c r="A43" s="43">
        <f t="shared" si="59"/>
        <v>897</v>
      </c>
      <c r="B43" s="43">
        <f t="shared" si="59"/>
        <v>913</v>
      </c>
      <c r="C43" s="44">
        <f t="shared" si="59"/>
        <v>1905</v>
      </c>
      <c r="D43" s="45">
        <v>0.10000379425044582</v>
      </c>
      <c r="E43" s="45">
        <v>0.50000632375074305</v>
      </c>
      <c r="F43" s="45">
        <v>0.59999747049970276</v>
      </c>
      <c r="G43" s="44">
        <f t="shared" si="60"/>
        <v>25</v>
      </c>
      <c r="H43" s="45">
        <f t="shared" si="61"/>
        <v>5.9382422802850353E-2</v>
      </c>
      <c r="I43" s="45">
        <f t="shared" si="62"/>
        <v>0.32541567695961993</v>
      </c>
      <c r="J43" s="45">
        <f t="shared" si="63"/>
        <v>0.73396674584323041</v>
      </c>
      <c r="K43" s="46">
        <f t="shared" si="64"/>
        <v>1.3123359580052493E-2</v>
      </c>
      <c r="L43" s="46">
        <f t="shared" si="65"/>
        <v>1.4381692210791518E-2</v>
      </c>
      <c r="M43" s="46">
        <f t="shared" si="66"/>
        <v>2.7034120734908136E-2</v>
      </c>
      <c r="N43" s="35"/>
      <c r="P43" s="29"/>
      <c r="Q43" s="29"/>
      <c r="R43" s="1"/>
      <c r="S43" s="1"/>
      <c r="T43"/>
      <c r="U43"/>
      <c r="V43"/>
      <c r="W43"/>
      <c r="X43"/>
      <c r="Y43"/>
      <c r="Z43"/>
      <c r="AA43"/>
      <c r="AB43" s="1"/>
      <c r="AC43" s="1"/>
      <c r="AD43" s="29"/>
      <c r="AE43" s="29"/>
      <c r="AF43" s="29"/>
      <c r="AG43" s="17"/>
      <c r="AH43" s="34"/>
      <c r="AI43" s="34"/>
      <c r="AJ43" s="34"/>
      <c r="AK43" s="1"/>
      <c r="AL43" s="1"/>
      <c r="AM43" s="1"/>
      <c r="AN43" s="34"/>
      <c r="AO43" s="34"/>
      <c r="AP43" s="34"/>
      <c r="AQ43" s="1"/>
      <c r="AR43" s="1"/>
      <c r="AS43" s="1"/>
      <c r="AT43" s="35"/>
      <c r="AU43" s="35"/>
      <c r="AV43" s="35"/>
      <c r="AW43" s="17"/>
      <c r="AX43" s="17"/>
      <c r="AY43" s="17"/>
    </row>
    <row r="44" spans="1:51" ht="13.5" customHeight="1" x14ac:dyDescent="0.3">
      <c r="A44" s="43">
        <f t="shared" si="59"/>
        <v>879</v>
      </c>
      <c r="B44" s="43">
        <f t="shared" si="59"/>
        <v>897</v>
      </c>
      <c r="C44" s="44">
        <f t="shared" si="59"/>
        <v>1905</v>
      </c>
      <c r="D44" s="45">
        <v>0.10000379425044582</v>
      </c>
      <c r="E44" s="45">
        <v>0.60001011800118886</v>
      </c>
      <c r="F44" s="45">
        <v>0.49999367624925695</v>
      </c>
      <c r="G44" s="44">
        <f t="shared" si="60"/>
        <v>34</v>
      </c>
      <c r="H44" s="45">
        <f t="shared" si="61"/>
        <v>8.076009501187649E-2</v>
      </c>
      <c r="I44" s="45">
        <f t="shared" si="62"/>
        <v>0.40617577197149646</v>
      </c>
      <c r="J44" s="45">
        <f t="shared" si="63"/>
        <v>0.67458432304038007</v>
      </c>
      <c r="K44" s="46">
        <f t="shared" si="64"/>
        <v>1.7847769028871391E-2</v>
      </c>
      <c r="L44" s="46">
        <f t="shared" si="65"/>
        <v>1.4959321144256845E-2</v>
      </c>
      <c r="M44" s="46">
        <f t="shared" si="66"/>
        <v>2.9816272965879267E-2</v>
      </c>
      <c r="N44" s="35"/>
      <c r="P44" s="29"/>
      <c r="Q44" s="29"/>
      <c r="R44" s="1"/>
      <c r="S44" s="1"/>
      <c r="T44"/>
      <c r="U44"/>
      <c r="V44"/>
      <c r="W44"/>
      <c r="X44"/>
      <c r="Y44"/>
      <c r="Z44"/>
      <c r="AA44"/>
      <c r="AB44" s="1"/>
      <c r="AC44" s="1"/>
      <c r="AD44" s="29"/>
      <c r="AE44" s="29"/>
      <c r="AF44" s="29"/>
      <c r="AG44" s="17"/>
      <c r="AH44" s="34"/>
      <c r="AI44" s="34"/>
      <c r="AJ44" s="34"/>
      <c r="AK44" s="1"/>
      <c r="AL44" s="1"/>
      <c r="AM44" s="1"/>
      <c r="AN44" s="34"/>
      <c r="AO44" s="34"/>
      <c r="AP44" s="34"/>
      <c r="AQ44" s="1"/>
      <c r="AR44" s="1"/>
      <c r="AS44" s="1"/>
      <c r="AT44" s="35"/>
      <c r="AU44" s="35"/>
      <c r="AV44" s="35"/>
      <c r="AW44" s="17"/>
      <c r="AX44" s="17"/>
      <c r="AY44" s="17"/>
    </row>
    <row r="45" spans="1:51" ht="13.5" customHeight="1" x14ac:dyDescent="0.3">
      <c r="A45" s="43">
        <f t="shared" si="59"/>
        <v>860</v>
      </c>
      <c r="B45" s="43">
        <f t="shared" si="59"/>
        <v>879</v>
      </c>
      <c r="C45" s="44">
        <f t="shared" si="59"/>
        <v>1905</v>
      </c>
      <c r="D45" s="45">
        <v>9.9991146748959744E-2</v>
      </c>
      <c r="E45" s="45">
        <v>0.70000126475014857</v>
      </c>
      <c r="F45" s="45">
        <v>0.39998988199881114</v>
      </c>
      <c r="G45" s="44">
        <f t="shared" si="60"/>
        <v>55</v>
      </c>
      <c r="H45" s="45">
        <f t="shared" si="61"/>
        <v>0.13064133016627077</v>
      </c>
      <c r="I45" s="45">
        <f t="shared" si="62"/>
        <v>0.53681710213776723</v>
      </c>
      <c r="J45" s="45">
        <f t="shared" si="63"/>
        <v>0.59382422802850354</v>
      </c>
      <c r="K45" s="46">
        <f t="shared" si="64"/>
        <v>2.8871391076115485E-2</v>
      </c>
      <c r="L45" s="46">
        <f t="shared" si="65"/>
        <v>1.6946610677864429E-2</v>
      </c>
      <c r="M45" s="46">
        <f t="shared" si="66"/>
        <v>3.2808398950131233E-2</v>
      </c>
      <c r="N45" s="35"/>
      <c r="O45" s="53">
        <f>0.08088029061251*100</f>
        <v>8.0880290612509995</v>
      </c>
      <c r="P45" s="29">
        <v>52.983594052211267</v>
      </c>
      <c r="Q45" s="1">
        <v>5.9671881044225383</v>
      </c>
      <c r="R45" s="1"/>
      <c r="T45"/>
      <c r="U45"/>
      <c r="V45"/>
      <c r="W45"/>
      <c r="X45"/>
      <c r="Y45"/>
      <c r="Z45"/>
      <c r="AA45"/>
      <c r="AB45" s="1"/>
      <c r="AC45" s="1"/>
      <c r="AD45" s="29"/>
      <c r="AE45" s="29"/>
      <c r="AF45" s="29"/>
      <c r="AG45" s="17"/>
      <c r="AH45" s="34"/>
      <c r="AI45" s="34"/>
      <c r="AJ45" s="34"/>
      <c r="AK45" s="1"/>
      <c r="AL45" s="1"/>
      <c r="AM45" s="1"/>
      <c r="AN45" s="34"/>
      <c r="AO45" s="34"/>
      <c r="AP45" s="34"/>
      <c r="AQ45" s="1"/>
      <c r="AR45" s="1"/>
      <c r="AS45" s="1"/>
      <c r="AT45" s="35"/>
      <c r="AU45" s="35"/>
      <c r="AV45" s="35"/>
      <c r="AW45" s="17"/>
      <c r="AX45" s="17"/>
      <c r="AY45" s="17"/>
    </row>
    <row r="46" spans="1:51" ht="13.5" customHeight="1" x14ac:dyDescent="0.3">
      <c r="A46" s="43">
        <f t="shared" si="59"/>
        <v>832</v>
      </c>
      <c r="B46" s="43">
        <f t="shared" si="59"/>
        <v>860</v>
      </c>
      <c r="C46" s="44">
        <f t="shared" si="59"/>
        <v>1905</v>
      </c>
      <c r="D46" s="45">
        <v>0.10000379425044582</v>
      </c>
      <c r="E46" s="45">
        <v>0.80000505900059449</v>
      </c>
      <c r="F46" s="45">
        <v>0.29999873524985138</v>
      </c>
      <c r="G46" s="44">
        <f t="shared" si="60"/>
        <v>28</v>
      </c>
      <c r="H46" s="45">
        <f t="shared" si="61"/>
        <v>6.6508313539192399E-2</v>
      </c>
      <c r="I46" s="45">
        <f t="shared" si="62"/>
        <v>0.60332541567695963</v>
      </c>
      <c r="J46" s="45">
        <f t="shared" si="63"/>
        <v>0.46318289786223277</v>
      </c>
      <c r="K46" s="46">
        <f t="shared" si="64"/>
        <v>1.4698162729658792E-2</v>
      </c>
      <c r="L46" s="46">
        <f t="shared" si="65"/>
        <v>1.6665573125123023E-2</v>
      </c>
      <c r="M46" s="46">
        <f t="shared" si="66"/>
        <v>3.4120734908136482E-2</v>
      </c>
      <c r="N46" s="35"/>
      <c r="P46" s="29"/>
      <c r="Q46" s="29"/>
      <c r="R46" s="1"/>
      <c r="S46" s="1"/>
      <c r="T46"/>
      <c r="U46"/>
      <c r="V46"/>
      <c r="W46"/>
      <c r="X46"/>
      <c r="Y46"/>
      <c r="Z46"/>
      <c r="AA46"/>
      <c r="AB46" s="1"/>
      <c r="AC46" s="1"/>
      <c r="AD46" s="29"/>
      <c r="AE46" s="29"/>
      <c r="AF46" s="29"/>
      <c r="AG46" s="17"/>
      <c r="AH46" s="34"/>
      <c r="AI46" s="34"/>
      <c r="AJ46" s="34"/>
      <c r="AK46" s="1"/>
      <c r="AL46" s="1"/>
      <c r="AM46" s="1"/>
      <c r="AN46" s="34"/>
      <c r="AO46" s="34"/>
      <c r="AP46" s="34"/>
      <c r="AQ46" s="1"/>
      <c r="AR46" s="1"/>
      <c r="AS46" s="1"/>
      <c r="AT46" s="35"/>
      <c r="AU46" s="35"/>
      <c r="AV46" s="35"/>
      <c r="AW46" s="17"/>
      <c r="AX46" s="17"/>
      <c r="AY46" s="17"/>
    </row>
    <row r="47" spans="1:51" ht="13.5" customHeight="1" x14ac:dyDescent="0.3">
      <c r="A47" s="43">
        <f t="shared" si="59"/>
        <v>791</v>
      </c>
      <c r="B47" s="43">
        <f t="shared" si="59"/>
        <v>832</v>
      </c>
      <c r="C47" s="44">
        <f t="shared" si="59"/>
        <v>1905</v>
      </c>
      <c r="D47" s="45">
        <v>0.10000379425044582</v>
      </c>
      <c r="E47" s="45">
        <v>0.9000088532510403</v>
      </c>
      <c r="F47" s="45">
        <v>0.19999494099940557</v>
      </c>
      <c r="G47" s="44">
        <f t="shared" si="60"/>
        <v>44</v>
      </c>
      <c r="H47" s="45">
        <f t="shared" si="61"/>
        <v>0.10451306413301663</v>
      </c>
      <c r="I47" s="45">
        <f t="shared" si="62"/>
        <v>0.70783847980997627</v>
      </c>
      <c r="J47" s="45">
        <f t="shared" si="63"/>
        <v>0.39667458432304037</v>
      </c>
      <c r="K47" s="46">
        <f t="shared" si="64"/>
        <v>2.3097112860892388E-2</v>
      </c>
      <c r="L47" s="46">
        <f t="shared" si="65"/>
        <v>1.7380146973054941E-2</v>
      </c>
      <c r="M47" s="46">
        <f t="shared" si="66"/>
        <v>4.3832020997375327E-2</v>
      </c>
      <c r="N47" s="35"/>
      <c r="P47" s="29"/>
      <c r="Q47" s="29"/>
      <c r="R47" s="1"/>
      <c r="S47" s="1"/>
      <c r="T47"/>
      <c r="U47"/>
      <c r="V47"/>
      <c r="W47"/>
      <c r="X47"/>
      <c r="Y47"/>
      <c r="Z47"/>
      <c r="AA47"/>
      <c r="AB47" s="1"/>
      <c r="AC47" s="1"/>
      <c r="AD47" s="29"/>
      <c r="AE47" s="29"/>
      <c r="AF47" s="29"/>
      <c r="AG47" s="17"/>
      <c r="AH47" s="34"/>
      <c r="AI47" s="34"/>
      <c r="AJ47" s="34"/>
      <c r="AK47" s="1"/>
      <c r="AL47" s="1"/>
      <c r="AM47" s="1"/>
      <c r="AN47" s="34"/>
      <c r="AO47" s="34"/>
      <c r="AP47" s="34"/>
      <c r="AQ47" s="1"/>
      <c r="AR47" s="1"/>
      <c r="AS47" s="1"/>
      <c r="AT47" s="35"/>
      <c r="AU47" s="35"/>
      <c r="AV47" s="35"/>
      <c r="AW47" s="17"/>
      <c r="AX47" s="17"/>
      <c r="AY47" s="17"/>
    </row>
    <row r="48" spans="1:51" ht="13.5" customHeight="1" x14ac:dyDescent="0.3">
      <c r="A48" s="43">
        <f t="shared" si="59"/>
        <v>1</v>
      </c>
      <c r="B48" s="43">
        <f t="shared" si="59"/>
        <v>791</v>
      </c>
      <c r="C48" s="44">
        <f t="shared" si="59"/>
        <v>1905</v>
      </c>
      <c r="D48" s="45">
        <v>9.9991146748959744E-2</v>
      </c>
      <c r="E48" s="45">
        <v>1</v>
      </c>
      <c r="F48" s="45">
        <v>9.9991146748959744E-2</v>
      </c>
      <c r="G48" s="44">
        <f t="shared" si="60"/>
        <v>123</v>
      </c>
      <c r="H48" s="45">
        <f t="shared" si="61"/>
        <v>0.29216152019002373</v>
      </c>
      <c r="I48" s="45">
        <f t="shared" si="62"/>
        <v>1</v>
      </c>
      <c r="J48" s="45">
        <f t="shared" si="63"/>
        <v>0.29216152019002373</v>
      </c>
      <c r="K48" s="46">
        <f t="shared" si="64"/>
        <v>6.4566929133858267E-2</v>
      </c>
      <c r="L48" s="46">
        <f t="shared" si="65"/>
        <v>2.2098577502493309E-2</v>
      </c>
      <c r="M48" s="46">
        <f t="shared" si="66"/>
        <v>6.4566929133858267E-2</v>
      </c>
      <c r="N48" s="35"/>
      <c r="O48" s="35">
        <v>0.11376248612652608</v>
      </c>
      <c r="P48" s="35">
        <v>0.18756936736958935</v>
      </c>
      <c r="Q48" s="35">
        <v>0.29522752497225307</v>
      </c>
      <c r="R48" s="35">
        <v>0.4078801331853496</v>
      </c>
      <c r="S48" s="35">
        <v>0.52119866814650384</v>
      </c>
      <c r="T48"/>
      <c r="U48"/>
      <c r="V48"/>
      <c r="W48"/>
      <c r="X48"/>
      <c r="Y48"/>
      <c r="Z48"/>
      <c r="AA48"/>
      <c r="AB48" s="1"/>
      <c r="AC48" s="1"/>
      <c r="AD48" s="29"/>
      <c r="AE48" s="29"/>
      <c r="AF48" s="29"/>
      <c r="AG48" s="17"/>
      <c r="AH48" s="34"/>
      <c r="AI48" s="34"/>
      <c r="AJ48" s="34"/>
      <c r="AK48" s="1"/>
      <c r="AL48" s="1"/>
      <c r="AM48" s="1"/>
      <c r="AN48" s="34"/>
      <c r="AO48" s="34"/>
      <c r="AP48" s="34"/>
      <c r="AQ48" s="1"/>
      <c r="AR48" s="1"/>
      <c r="AS48" s="1"/>
      <c r="AT48" s="35"/>
      <c r="AU48" s="35"/>
      <c r="AV48" s="35"/>
      <c r="AW48" s="17"/>
      <c r="AX48" s="17"/>
      <c r="AY48" s="17"/>
    </row>
    <row r="49" spans="1:51" ht="13.5" customHeight="1" x14ac:dyDescent="0.3">
      <c r="A49" s="189" t="s">
        <v>5</v>
      </c>
      <c r="B49" s="189"/>
      <c r="C49" s="47">
        <f>C13</f>
        <v>19051</v>
      </c>
      <c r="D49" s="48"/>
      <c r="E49" s="48"/>
      <c r="F49" s="48"/>
      <c r="G49" s="47">
        <f t="shared" si="60"/>
        <v>421</v>
      </c>
      <c r="H49" s="48"/>
      <c r="I49" s="48"/>
      <c r="J49" s="48"/>
      <c r="K49" s="49"/>
      <c r="L49" s="49"/>
      <c r="M49" s="49"/>
      <c r="N49" s="35"/>
      <c r="O49" s="1"/>
      <c r="P49" s="29"/>
      <c r="Q49" s="29"/>
      <c r="R49" s="1"/>
      <c r="S49" s="1"/>
      <c r="T49"/>
      <c r="U49"/>
      <c r="V49"/>
      <c r="W49"/>
      <c r="X49"/>
      <c r="Y49"/>
      <c r="Z49"/>
      <c r="AA49"/>
      <c r="AB49" s="1"/>
      <c r="AC49" s="1"/>
      <c r="AD49" s="29"/>
      <c r="AE49" s="29"/>
      <c r="AF49" s="29"/>
      <c r="AG49" s="17"/>
      <c r="AH49" s="34"/>
      <c r="AI49" s="34"/>
      <c r="AJ49" s="34"/>
      <c r="AK49" s="1"/>
      <c r="AL49" s="1"/>
      <c r="AM49" s="1"/>
      <c r="AN49" s="34"/>
      <c r="AO49" s="34"/>
      <c r="AP49" s="34"/>
      <c r="AQ49" s="1"/>
      <c r="AR49" s="1"/>
      <c r="AS49" s="1"/>
      <c r="AT49" s="35"/>
      <c r="AU49" s="35"/>
      <c r="AV49" s="35"/>
      <c r="AW49" s="17"/>
      <c r="AX49" s="17"/>
      <c r="AY49" s="17"/>
    </row>
  </sheetData>
  <mergeCells count="27">
    <mergeCell ref="O1:Q1"/>
    <mergeCell ref="R1:W1"/>
    <mergeCell ref="X1:Z1"/>
    <mergeCell ref="AQ1:AV1"/>
    <mergeCell ref="AW1:AY1"/>
    <mergeCell ref="AA1:AF1"/>
    <mergeCell ref="AG1:AG2"/>
    <mergeCell ref="AH1:AH2"/>
    <mergeCell ref="AI1:AI2"/>
    <mergeCell ref="AJ1:AJ2"/>
    <mergeCell ref="AK1:AP1"/>
    <mergeCell ref="A49:B49"/>
    <mergeCell ref="A36:B36"/>
    <mergeCell ref="C36:D36"/>
    <mergeCell ref="E36:F36"/>
    <mergeCell ref="A37:B37"/>
    <mergeCell ref="C37:F37"/>
    <mergeCell ref="A1:B1"/>
    <mergeCell ref="C1:H1"/>
    <mergeCell ref="I1:N1"/>
    <mergeCell ref="K37:M37"/>
    <mergeCell ref="G37:J37"/>
    <mergeCell ref="A13:B13"/>
    <mergeCell ref="J20:K20"/>
    <mergeCell ref="A35:B35"/>
    <mergeCell ref="C35:D35"/>
    <mergeCell ref="E35:F35"/>
  </mergeCells>
  <phoneticPr fontId="13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Y23"/>
  <sheetViews>
    <sheetView zoomScale="140" zoomScaleNormal="140" workbookViewId="0">
      <selection activeCell="E7" sqref="E7"/>
    </sheetView>
  </sheetViews>
  <sheetFormatPr baseColWidth="10" defaultColWidth="9.109375" defaultRowHeight="13.8" x14ac:dyDescent="0.3"/>
  <cols>
    <col min="1" max="1" width="8.109375" style="74" customWidth="1"/>
    <col min="2" max="2" width="7" style="74" bestFit="1" customWidth="1"/>
    <col min="3" max="3" width="9.77734375" style="75" bestFit="1" customWidth="1"/>
    <col min="4" max="4" width="8.44140625" style="75" bestFit="1" customWidth="1"/>
    <col min="5" max="5" width="8" style="75" bestFit="1" customWidth="1"/>
    <col min="6" max="6" width="8.44140625" style="75" bestFit="1" customWidth="1"/>
    <col min="7" max="7" width="8.44140625" style="58" bestFit="1" customWidth="1"/>
    <col min="8" max="9" width="9.109375" style="75" bestFit="1" customWidth="1"/>
    <col min="10" max="11" width="6.44140625" style="55" bestFit="1" customWidth="1"/>
    <col min="12" max="12" width="7.44140625" style="55" bestFit="1" customWidth="1"/>
    <col min="13" max="14" width="7.6640625" style="75" bestFit="1" customWidth="1"/>
    <col min="15" max="16" width="6.44140625" style="55" bestFit="1" customWidth="1"/>
    <col min="17" max="17" width="7.44140625" style="55" bestFit="1" customWidth="1"/>
    <col min="18" max="18" width="9" style="76" bestFit="1" customWidth="1"/>
    <col min="19" max="20" width="9" style="55" bestFit="1" customWidth="1"/>
    <col min="21" max="22" width="9" style="75" bestFit="1" customWidth="1"/>
    <col min="23" max="23" width="6.44140625" style="55" bestFit="1" customWidth="1"/>
    <col min="24" max="24" width="9" style="55" bestFit="1" customWidth="1"/>
    <col min="25" max="25" width="7.44140625" style="55" bestFit="1" customWidth="1"/>
    <col min="26" max="26" width="6.44140625" style="76" bestFit="1" customWidth="1"/>
    <col min="27" max="27" width="6.44140625" style="55" bestFit="1" customWidth="1"/>
    <col min="28" max="28" width="9" style="55" bestFit="1" customWidth="1"/>
    <col min="29" max="29" width="6.6640625" style="75" bestFit="1" customWidth="1"/>
    <col min="30" max="30" width="6.33203125" style="75" bestFit="1" customWidth="1"/>
    <col min="31" max="33" width="7.77734375" style="55" bestFit="1" customWidth="1"/>
    <col min="34" max="34" width="9.33203125" style="77" bestFit="1" customWidth="1"/>
    <col min="35" max="36" width="9" style="77" bestFit="1" customWidth="1"/>
    <col min="37" max="39" width="9" style="55" bestFit="1" customWidth="1"/>
    <col min="40" max="40" width="9.33203125" style="77" bestFit="1" customWidth="1"/>
    <col min="41" max="42" width="9" style="77" bestFit="1" customWidth="1"/>
    <col min="43" max="45" width="9" style="55" bestFit="1" customWidth="1"/>
    <col min="46" max="48" width="9" style="76" bestFit="1" customWidth="1"/>
    <col min="49" max="50" width="9.33203125" style="58" bestFit="1" customWidth="1"/>
    <col min="51" max="51" width="7.109375" style="58" bestFit="1" customWidth="1"/>
    <col min="52" max="16384" width="9.109375" style="58"/>
  </cols>
  <sheetData>
    <row r="1" spans="1:51" s="55" customFormat="1" ht="14.25" customHeight="1" x14ac:dyDescent="0.3">
      <c r="A1" s="199" t="s">
        <v>4</v>
      </c>
      <c r="B1" s="199"/>
      <c r="C1" s="135" t="s">
        <v>5</v>
      </c>
      <c r="D1" s="135" t="s">
        <v>1</v>
      </c>
      <c r="E1" s="135" t="s">
        <v>0</v>
      </c>
      <c r="F1" s="135" t="s">
        <v>7</v>
      </c>
      <c r="G1" s="136" t="s">
        <v>45</v>
      </c>
      <c r="H1" s="196" t="s">
        <v>5</v>
      </c>
      <c r="I1" s="196"/>
      <c r="J1" s="196"/>
      <c r="K1" s="196"/>
      <c r="L1" s="196"/>
      <c r="M1" s="196" t="s">
        <v>1</v>
      </c>
      <c r="N1" s="196"/>
      <c r="O1" s="196"/>
      <c r="P1" s="196"/>
      <c r="Q1" s="196"/>
      <c r="R1" s="200" t="s">
        <v>6</v>
      </c>
      <c r="S1" s="200"/>
      <c r="T1" s="200"/>
      <c r="U1" s="196" t="s">
        <v>0</v>
      </c>
      <c r="V1" s="196"/>
      <c r="W1" s="196"/>
      <c r="X1" s="196"/>
      <c r="Y1" s="196"/>
      <c r="Z1" s="201" t="s">
        <v>3</v>
      </c>
      <c r="AA1" s="201"/>
      <c r="AB1" s="201"/>
      <c r="AC1" s="196" t="s">
        <v>7</v>
      </c>
      <c r="AD1" s="196"/>
      <c r="AE1" s="196"/>
      <c r="AF1" s="196"/>
      <c r="AG1" s="196"/>
      <c r="AH1" s="196" t="s">
        <v>1</v>
      </c>
      <c r="AI1" s="196"/>
      <c r="AJ1" s="196"/>
      <c r="AK1" s="196"/>
      <c r="AL1" s="196"/>
      <c r="AM1" s="196"/>
      <c r="AN1" s="196" t="s">
        <v>0</v>
      </c>
      <c r="AO1" s="196"/>
      <c r="AP1" s="196"/>
      <c r="AQ1" s="196"/>
      <c r="AR1" s="196"/>
      <c r="AS1" s="196"/>
      <c r="AT1" s="197" t="s">
        <v>3</v>
      </c>
      <c r="AU1" s="197"/>
      <c r="AV1" s="197"/>
      <c r="AW1" s="137"/>
      <c r="AX1" s="137"/>
      <c r="AY1" s="137"/>
    </row>
    <row r="2" spans="1:51" s="55" customFormat="1" ht="15" customHeight="1" x14ac:dyDescent="0.3">
      <c r="A2" s="136" t="s">
        <v>11</v>
      </c>
      <c r="B2" s="136" t="s">
        <v>12</v>
      </c>
      <c r="C2" s="135" t="s">
        <v>43</v>
      </c>
      <c r="D2" s="135" t="s">
        <v>43</v>
      </c>
      <c r="E2" s="135" t="s">
        <v>43</v>
      </c>
      <c r="F2" s="135" t="s">
        <v>44</v>
      </c>
      <c r="G2" s="136" t="s">
        <v>43</v>
      </c>
      <c r="H2" s="135" t="s">
        <v>14</v>
      </c>
      <c r="I2" s="135" t="s">
        <v>15</v>
      </c>
      <c r="J2" s="136" t="s">
        <v>16</v>
      </c>
      <c r="K2" s="136" t="s">
        <v>17</v>
      </c>
      <c r="L2" s="136" t="s">
        <v>18</v>
      </c>
      <c r="M2" s="135" t="s">
        <v>14</v>
      </c>
      <c r="N2" s="135" t="s">
        <v>15</v>
      </c>
      <c r="O2" s="136" t="s">
        <v>16</v>
      </c>
      <c r="P2" s="136" t="s">
        <v>17</v>
      </c>
      <c r="Q2" s="136" t="s">
        <v>18</v>
      </c>
      <c r="R2" s="138"/>
      <c r="S2" s="139"/>
      <c r="T2" s="139"/>
      <c r="U2" s="135" t="s">
        <v>14</v>
      </c>
      <c r="V2" s="135" t="s">
        <v>15</v>
      </c>
      <c r="W2" s="136" t="s">
        <v>16</v>
      </c>
      <c r="X2" s="136" t="s">
        <v>17</v>
      </c>
      <c r="Y2" s="136" t="s">
        <v>18</v>
      </c>
      <c r="Z2" s="138"/>
      <c r="AA2" s="139"/>
      <c r="AB2" s="139"/>
      <c r="AC2" s="135" t="s">
        <v>14</v>
      </c>
      <c r="AD2" s="135" t="s">
        <v>15</v>
      </c>
      <c r="AE2" s="136" t="s">
        <v>16</v>
      </c>
      <c r="AF2" s="136" t="s">
        <v>17</v>
      </c>
      <c r="AG2" s="136" t="s">
        <v>18</v>
      </c>
      <c r="AH2" s="135" t="s">
        <v>13</v>
      </c>
      <c r="AI2" s="135" t="s">
        <v>14</v>
      </c>
      <c r="AJ2" s="135" t="s">
        <v>15</v>
      </c>
      <c r="AK2" s="136" t="s">
        <v>16</v>
      </c>
      <c r="AL2" s="136" t="s">
        <v>17</v>
      </c>
      <c r="AM2" s="136" t="s">
        <v>18</v>
      </c>
      <c r="AN2" s="135" t="s">
        <v>13</v>
      </c>
      <c r="AO2" s="135" t="s">
        <v>14</v>
      </c>
      <c r="AP2" s="135" t="s">
        <v>15</v>
      </c>
      <c r="AQ2" s="136" t="s">
        <v>16</v>
      </c>
      <c r="AR2" s="136" t="s">
        <v>17</v>
      </c>
      <c r="AS2" s="136" t="s">
        <v>18</v>
      </c>
      <c r="AT2" s="140" t="s">
        <v>13</v>
      </c>
      <c r="AU2" s="136" t="s">
        <v>17</v>
      </c>
      <c r="AV2" s="136" t="s">
        <v>18</v>
      </c>
      <c r="AW2" s="136" t="s">
        <v>19</v>
      </c>
      <c r="AX2" s="136" t="s">
        <v>20</v>
      </c>
      <c r="AY2" s="136" t="s">
        <v>21</v>
      </c>
    </row>
    <row r="3" spans="1:51" x14ac:dyDescent="0.25">
      <c r="A3" s="147">
        <f>+'Gains Chart'!D34</f>
        <v>876</v>
      </c>
      <c r="B3" s="147">
        <f>+'Gains Chart'!E34</f>
        <v>906</v>
      </c>
      <c r="C3" s="181">
        <f>SUM(D3:G3)</f>
        <v>1418</v>
      </c>
      <c r="D3" s="181">
        <f>'Gains Chart'!I34</f>
        <v>1312</v>
      </c>
      <c r="E3" s="181">
        <f>'Gains Chart'!J34</f>
        <v>106</v>
      </c>
      <c r="F3" s="181">
        <f>'Gains Chart'!K34</f>
        <v>0</v>
      </c>
      <c r="G3" s="181">
        <f>+'Gains Chart'!L34+'Gains Chart'!M34</f>
        <v>0</v>
      </c>
      <c r="H3" s="132">
        <f>C3</f>
        <v>1418</v>
      </c>
      <c r="I3" s="132">
        <f t="shared" ref="I3:I21" si="0">C3+I4</f>
        <v>28359</v>
      </c>
      <c r="J3" s="133">
        <f>C3/C$23</f>
        <v>5.0001763108713286E-2</v>
      </c>
      <c r="K3" s="133">
        <f>H3/C$23</f>
        <v>5.0001763108713286E-2</v>
      </c>
      <c r="L3" s="133">
        <f>I3/C$23</f>
        <v>1</v>
      </c>
      <c r="M3" s="132">
        <f>D3</f>
        <v>1312</v>
      </c>
      <c r="N3" s="132">
        <f t="shared" ref="N3:N21" si="1">D3+N4</f>
        <v>16456</v>
      </c>
      <c r="O3" s="133">
        <f>D3/D$23</f>
        <v>7.9727758872143895E-2</v>
      </c>
      <c r="P3" s="133">
        <f>M3/D$23</f>
        <v>7.9727758872143895E-2</v>
      </c>
      <c r="Q3" s="133">
        <f>N3/D$23</f>
        <v>1</v>
      </c>
      <c r="R3" s="134">
        <f t="shared" ref="R3:R22" si="2">D3/(D3+E3+F3)</f>
        <v>0.92524682651622003</v>
      </c>
      <c r="S3" s="134">
        <f t="shared" ref="S3:T22" si="3">M3/(M3+U3+AC3)</f>
        <v>0.92524682651622003</v>
      </c>
      <c r="T3" s="125">
        <f t="shared" si="3"/>
        <v>0.8944450483748233</v>
      </c>
      <c r="U3" s="132">
        <f>E3</f>
        <v>106</v>
      </c>
      <c r="V3" s="132">
        <f t="shared" ref="V3:V21" si="4">E3+V4</f>
        <v>1942</v>
      </c>
      <c r="W3" s="133">
        <f>E3/E$23</f>
        <v>8.905317987062086E-3</v>
      </c>
      <c r="X3" s="133">
        <f>U3/E$23</f>
        <v>8.905317987062086E-3</v>
      </c>
      <c r="Y3" s="133">
        <f>V3/E$23</f>
        <v>0.16315214651768462</v>
      </c>
      <c r="Z3" s="134">
        <f t="shared" ref="Z3:Z22" si="5">E3/(D3+E3+F3)</f>
        <v>7.4753173483779967E-2</v>
      </c>
      <c r="AA3" s="134">
        <f t="shared" ref="AA3:AA22" si="6">U3/(M3+U3+AC3)</f>
        <v>7.4753173483779967E-2</v>
      </c>
      <c r="AB3" s="134">
        <f t="shared" ref="AB3:AB22" si="7">V3/(N3+V3+AD3)</f>
        <v>0.10555495162517665</v>
      </c>
      <c r="AC3" s="132">
        <f>F3</f>
        <v>0</v>
      </c>
      <c r="AD3" s="132">
        <f t="shared" ref="AD3:AD21" si="8">F3+AD4</f>
        <v>0</v>
      </c>
      <c r="AE3" s="133" t="e">
        <f>F3/F$23</f>
        <v>#DIV/0!</v>
      </c>
      <c r="AF3" s="133" t="e">
        <f>AC3/F$23</f>
        <v>#DIV/0!</v>
      </c>
      <c r="AG3" s="133" t="e">
        <f>AD3/F$23</f>
        <v>#DIV/0!</v>
      </c>
      <c r="AH3" s="132">
        <f t="shared" ref="AH3:AH22" si="9">ROUND($G3*R3+D3,0)</f>
        <v>1312</v>
      </c>
      <c r="AI3" s="132">
        <f>AH3</f>
        <v>1312</v>
      </c>
      <c r="AJ3" s="132">
        <f t="shared" ref="AJ3:AJ21" si="10">AH3+AJ4</f>
        <v>6566</v>
      </c>
      <c r="AK3" s="133">
        <f>AH3/AH$23</f>
        <v>7.9727758872143895E-2</v>
      </c>
      <c r="AL3" s="133">
        <f>AI3/AH$23</f>
        <v>7.9727758872143895E-2</v>
      </c>
      <c r="AM3" s="133">
        <f>AJ3/AH$23</f>
        <v>0.3990034030140982</v>
      </c>
      <c r="AN3" s="132">
        <f t="shared" ref="AN3:AN22" si="11">ROUND($G3*Z3+E3,0)</f>
        <v>106</v>
      </c>
      <c r="AO3" s="132">
        <f>AN3</f>
        <v>106</v>
      </c>
      <c r="AP3" s="132">
        <f t="shared" ref="AP3:AP21" si="12">AN3+AP4</f>
        <v>1942</v>
      </c>
      <c r="AQ3" s="133">
        <f>AN3/AN$23</f>
        <v>8.905317987062086E-3</v>
      </c>
      <c r="AR3" s="133">
        <f>AO3/AN$23</f>
        <v>8.905317987062086E-3</v>
      </c>
      <c r="AS3" s="133">
        <f>AP3/AN$23</f>
        <v>0.16315214651768462</v>
      </c>
      <c r="AT3" s="134">
        <f t="shared" ref="AT3:AT22" si="13">AN3/C3</f>
        <v>7.4753173483779967E-2</v>
      </c>
      <c r="AU3" s="134">
        <f t="shared" ref="AU3:AU22" si="14">AO3/H3</f>
        <v>7.4753173483779967E-2</v>
      </c>
      <c r="AV3" s="134">
        <f t="shared" ref="AV3:AV22" si="15">AP3/I3</f>
        <v>6.8479142423921863E-2</v>
      </c>
      <c r="AW3" s="141">
        <f>ABS(AS3-AM3)</f>
        <v>0.23585125649641359</v>
      </c>
      <c r="AX3" s="142">
        <f t="shared" ref="AX3:AX21" si="16">AK3*((AS3+AS4)/2)</f>
        <v>1.2652754474458525E-2</v>
      </c>
      <c r="AY3" s="143"/>
    </row>
    <row r="4" spans="1:51" x14ac:dyDescent="0.25">
      <c r="A4" s="147">
        <f>+'Gains Chart'!D35</f>
        <v>869</v>
      </c>
      <c r="B4" s="147">
        <f>+'Gains Chart'!E35</f>
        <v>876</v>
      </c>
      <c r="C4" s="181">
        <f t="shared" ref="C4:C22" si="17">SUM(D4:G4)</f>
        <v>1418</v>
      </c>
      <c r="D4" s="181">
        <f>'Gains Chart'!I35</f>
        <v>1284</v>
      </c>
      <c r="E4" s="181">
        <f>'Gains Chart'!J35</f>
        <v>134</v>
      </c>
      <c r="F4" s="181">
        <f>'Gains Chart'!K35</f>
        <v>0</v>
      </c>
      <c r="G4" s="181">
        <f>+'Gains Chart'!L35+'Gains Chart'!M35</f>
        <v>0</v>
      </c>
      <c r="H4" s="123">
        <f t="shared" ref="H4:H22" si="18">C4+H3</f>
        <v>2836</v>
      </c>
      <c r="I4" s="123">
        <f t="shared" si="0"/>
        <v>26941</v>
      </c>
      <c r="J4" s="124">
        <f>C4/C$23</f>
        <v>5.0001763108713286E-2</v>
      </c>
      <c r="K4" s="124">
        <f>H4/C$23</f>
        <v>0.10000352621742657</v>
      </c>
      <c r="L4" s="124">
        <f>I4/C$23</f>
        <v>0.94999823689128671</v>
      </c>
      <c r="M4" s="123">
        <f t="shared" ref="M4:M22" si="19">D4+M3</f>
        <v>2596</v>
      </c>
      <c r="N4" s="123">
        <f t="shared" si="1"/>
        <v>15144</v>
      </c>
      <c r="O4" s="124">
        <f>D4/D$23</f>
        <v>7.8026251823043263E-2</v>
      </c>
      <c r="P4" s="124">
        <f>M4/D$23</f>
        <v>0.15775401069518716</v>
      </c>
      <c r="Q4" s="124">
        <f>N4/D$23</f>
        <v>0.92027224112785611</v>
      </c>
      <c r="R4" s="125">
        <f t="shared" si="2"/>
        <v>0.90550070521861781</v>
      </c>
      <c r="S4" s="125">
        <f t="shared" si="3"/>
        <v>0.91537376586741892</v>
      </c>
      <c r="T4" s="125">
        <f t="shared" si="3"/>
        <v>0.89187279151943466</v>
      </c>
      <c r="U4" s="123">
        <f t="shared" ref="U4:U22" si="20">E4+U3</f>
        <v>240</v>
      </c>
      <c r="V4" s="123">
        <f t="shared" si="4"/>
        <v>1836</v>
      </c>
      <c r="W4" s="124">
        <f>E4/E$23</f>
        <v>1.1257666134587918E-2</v>
      </c>
      <c r="X4" s="124">
        <f>U4/E$23</f>
        <v>2.0162984121650004E-2</v>
      </c>
      <c r="Y4" s="124">
        <f>V4/E$23</f>
        <v>0.15424682853062252</v>
      </c>
      <c r="Z4" s="125">
        <f t="shared" si="5"/>
        <v>9.4499294781382234E-2</v>
      </c>
      <c r="AA4" s="125">
        <f t="shared" si="6"/>
        <v>8.4626234132581094E-2</v>
      </c>
      <c r="AB4" s="125">
        <f t="shared" si="7"/>
        <v>0.10812720848056537</v>
      </c>
      <c r="AC4" s="123">
        <f t="shared" ref="AC4:AC7" si="21">F4+AC3</f>
        <v>0</v>
      </c>
      <c r="AD4" s="123">
        <f t="shared" si="8"/>
        <v>0</v>
      </c>
      <c r="AE4" s="124" t="e">
        <f>F4/F$23</f>
        <v>#DIV/0!</v>
      </c>
      <c r="AF4" s="124" t="e">
        <f>AC4/F$23</f>
        <v>#DIV/0!</v>
      </c>
      <c r="AG4" s="124" t="e">
        <f>AD4/F$23</f>
        <v>#DIV/0!</v>
      </c>
      <c r="AH4" s="123">
        <f t="shared" si="9"/>
        <v>1284</v>
      </c>
      <c r="AI4" s="123">
        <f t="shared" ref="AI4:AI7" si="22">AH4+AI3</f>
        <v>2596</v>
      </c>
      <c r="AJ4" s="123">
        <f t="shared" si="10"/>
        <v>5254</v>
      </c>
      <c r="AK4" s="124">
        <f>AH4/AH$23</f>
        <v>7.8026251823043263E-2</v>
      </c>
      <c r="AL4" s="124">
        <f>AI4/AH$23</f>
        <v>0.15775401069518716</v>
      </c>
      <c r="AM4" s="124">
        <f>AJ4/AH$23</f>
        <v>0.31927564414195431</v>
      </c>
      <c r="AN4" s="123">
        <f t="shared" si="11"/>
        <v>134</v>
      </c>
      <c r="AO4" s="123">
        <f t="shared" ref="AO4:AO22" si="23">AN4+AO3</f>
        <v>240</v>
      </c>
      <c r="AP4" s="123">
        <f t="shared" si="12"/>
        <v>1836</v>
      </c>
      <c r="AQ4" s="124">
        <f>AN4/AN$23</f>
        <v>1.1257666134587918E-2</v>
      </c>
      <c r="AR4" s="124">
        <f>AO4/AN$23</f>
        <v>2.0162984121650004E-2</v>
      </c>
      <c r="AS4" s="124">
        <f>AP4/AN$23</f>
        <v>0.15424682853062252</v>
      </c>
      <c r="AT4" s="125">
        <f t="shared" si="13"/>
        <v>9.4499294781382234E-2</v>
      </c>
      <c r="AU4" s="125">
        <f t="shared" si="14"/>
        <v>8.4626234132581094E-2</v>
      </c>
      <c r="AV4" s="125">
        <f t="shared" si="15"/>
        <v>6.8148918006013137E-2</v>
      </c>
      <c r="AW4" s="141">
        <f>ABS(AS4-AM4)</f>
        <v>0.16502881561133179</v>
      </c>
      <c r="AX4" s="142">
        <f t="shared" si="16"/>
        <v>1.1596105139457576E-2</v>
      </c>
      <c r="AY4" s="143"/>
    </row>
    <row r="5" spans="1:51" x14ac:dyDescent="0.25">
      <c r="A5" s="147">
        <f>+'Gains Chart'!D36</f>
        <v>858</v>
      </c>
      <c r="B5" s="147">
        <f>+'Gains Chart'!E36</f>
        <v>869</v>
      </c>
      <c r="C5" s="181">
        <f t="shared" si="17"/>
        <v>1418</v>
      </c>
      <c r="D5" s="181">
        <f>'Gains Chart'!I36</f>
        <v>1250</v>
      </c>
      <c r="E5" s="181">
        <f>'Gains Chart'!J36</f>
        <v>168</v>
      </c>
      <c r="F5" s="181">
        <f>'Gains Chart'!K36</f>
        <v>0</v>
      </c>
      <c r="G5" s="181">
        <f>+'Gains Chart'!L36+'Gains Chart'!M36</f>
        <v>0</v>
      </c>
      <c r="H5" s="123">
        <f t="shared" si="18"/>
        <v>4254</v>
      </c>
      <c r="I5" s="123">
        <f t="shared" si="0"/>
        <v>25523</v>
      </c>
      <c r="J5" s="124">
        <f>C5/C$23</f>
        <v>5.0001763108713286E-2</v>
      </c>
      <c r="K5" s="124">
        <f>H5/C$23</f>
        <v>0.15000528932613985</v>
      </c>
      <c r="L5" s="124">
        <f>I5/C$23</f>
        <v>0.89999647378257341</v>
      </c>
      <c r="M5" s="123">
        <f t="shared" si="19"/>
        <v>3846</v>
      </c>
      <c r="N5" s="123">
        <f t="shared" si="1"/>
        <v>13860</v>
      </c>
      <c r="O5" s="124">
        <f>D5/D$23</f>
        <v>7.5960136120563931E-2</v>
      </c>
      <c r="P5" s="124">
        <f>M5/D$23</f>
        <v>0.23371414681575109</v>
      </c>
      <c r="Q5" s="124">
        <f>N5/D$23</f>
        <v>0.84224598930481287</v>
      </c>
      <c r="R5" s="125">
        <f t="shared" si="2"/>
        <v>0.88152327221438642</v>
      </c>
      <c r="S5" s="125">
        <f t="shared" si="3"/>
        <v>0.90409026798307479</v>
      </c>
      <c r="T5" s="125">
        <f t="shared" si="3"/>
        <v>0.89063102428993701</v>
      </c>
      <c r="U5" s="123">
        <f t="shared" si="20"/>
        <v>408</v>
      </c>
      <c r="V5" s="123">
        <f t="shared" si="4"/>
        <v>1702</v>
      </c>
      <c r="W5" s="124">
        <f>E5/E$23</f>
        <v>1.4114088885155003E-2</v>
      </c>
      <c r="X5" s="124">
        <f>U5/E$23</f>
        <v>3.4277073006805006E-2</v>
      </c>
      <c r="Y5" s="124">
        <f>V5/E$23</f>
        <v>0.14298916239603462</v>
      </c>
      <c r="Z5" s="125">
        <f t="shared" si="5"/>
        <v>0.11847672778561354</v>
      </c>
      <c r="AA5" s="125">
        <f t="shared" si="6"/>
        <v>9.590973201692525E-2</v>
      </c>
      <c r="AB5" s="125">
        <f t="shared" si="7"/>
        <v>0.10936897571006297</v>
      </c>
      <c r="AC5" s="123">
        <f t="shared" si="21"/>
        <v>0</v>
      </c>
      <c r="AD5" s="123">
        <f t="shared" si="8"/>
        <v>0</v>
      </c>
      <c r="AE5" s="124" t="e">
        <f>F5/F$23</f>
        <v>#DIV/0!</v>
      </c>
      <c r="AF5" s="124" t="e">
        <f>AC5/F$23</f>
        <v>#DIV/0!</v>
      </c>
      <c r="AG5" s="124" t="e">
        <f>AD5/F$23</f>
        <v>#DIV/0!</v>
      </c>
      <c r="AH5" s="123">
        <f t="shared" si="9"/>
        <v>1250</v>
      </c>
      <c r="AI5" s="123">
        <f t="shared" si="22"/>
        <v>3846</v>
      </c>
      <c r="AJ5" s="123">
        <f t="shared" si="10"/>
        <v>3970</v>
      </c>
      <c r="AK5" s="124">
        <f>AH5/AH$23</f>
        <v>7.5960136120563931E-2</v>
      </c>
      <c r="AL5" s="124">
        <f>AI5/AH$23</f>
        <v>0.23371414681575109</v>
      </c>
      <c r="AM5" s="124">
        <f>AJ5/AH$23</f>
        <v>0.24124939231891104</v>
      </c>
      <c r="AN5" s="123">
        <f t="shared" si="11"/>
        <v>168</v>
      </c>
      <c r="AO5" s="123">
        <f t="shared" si="23"/>
        <v>408</v>
      </c>
      <c r="AP5" s="123">
        <f t="shared" si="12"/>
        <v>1702</v>
      </c>
      <c r="AQ5" s="124">
        <f>AN5/AN$23</f>
        <v>1.4114088885155003E-2</v>
      </c>
      <c r="AR5" s="124">
        <f>AO5/AN$23</f>
        <v>3.4277073006805006E-2</v>
      </c>
      <c r="AS5" s="124">
        <f>AP5/AN$23</f>
        <v>0.14298916239603462</v>
      </c>
      <c r="AT5" s="125">
        <f t="shared" si="13"/>
        <v>0.11847672778561354</v>
      </c>
      <c r="AU5" s="125">
        <f t="shared" si="14"/>
        <v>9.590973201692525E-2</v>
      </c>
      <c r="AV5" s="125">
        <f t="shared" si="15"/>
        <v>6.6684950828664338E-2</v>
      </c>
      <c r="AW5" s="141">
        <f t="shared" ref="AW5:AW22" si="24">ABS(AS5-AM5)</f>
        <v>9.8260229922876419E-2</v>
      </c>
      <c r="AX5" s="142">
        <f t="shared" si="16"/>
        <v>1.0325422182901155E-2</v>
      </c>
      <c r="AY5" s="143"/>
    </row>
    <row r="6" spans="1:51" x14ac:dyDescent="0.25">
      <c r="A6" s="147">
        <f>+'Gains Chart'!D37</f>
        <v>841</v>
      </c>
      <c r="B6" s="147">
        <f>+'Gains Chart'!E37</f>
        <v>858</v>
      </c>
      <c r="C6" s="181">
        <f t="shared" si="17"/>
        <v>1418</v>
      </c>
      <c r="D6" s="181">
        <f>'Gains Chart'!I37</f>
        <v>1216</v>
      </c>
      <c r="E6" s="181">
        <f>'Gains Chart'!J37</f>
        <v>202</v>
      </c>
      <c r="F6" s="181">
        <f>'Gains Chart'!K37</f>
        <v>0</v>
      </c>
      <c r="G6" s="181">
        <f>+'Gains Chart'!L37+'Gains Chart'!M37</f>
        <v>0</v>
      </c>
      <c r="H6" s="123">
        <f t="shared" si="18"/>
        <v>5672</v>
      </c>
      <c r="I6" s="123">
        <f t="shared" si="0"/>
        <v>24105</v>
      </c>
      <c r="J6" s="124">
        <f>C6/C$23</f>
        <v>5.0001763108713286E-2</v>
      </c>
      <c r="K6" s="124">
        <f>H6/C$23</f>
        <v>0.20000705243485314</v>
      </c>
      <c r="L6" s="124">
        <f>I6/C$23</f>
        <v>0.84999471067386012</v>
      </c>
      <c r="M6" s="123">
        <f t="shared" si="19"/>
        <v>5062</v>
      </c>
      <c r="N6" s="123">
        <f t="shared" si="1"/>
        <v>12610</v>
      </c>
      <c r="O6" s="124">
        <f>D6/D$23</f>
        <v>7.3894020418084586E-2</v>
      </c>
      <c r="P6" s="124">
        <f>M6/D$23</f>
        <v>0.30760816723383566</v>
      </c>
      <c r="Q6" s="124">
        <f>N6/D$23</f>
        <v>0.76628585318424891</v>
      </c>
      <c r="R6" s="125">
        <f t="shared" si="2"/>
        <v>0.85754583921015515</v>
      </c>
      <c r="S6" s="125">
        <f t="shared" si="3"/>
        <v>0.89245416078984485</v>
      </c>
      <c r="T6" s="125">
        <f t="shared" si="3"/>
        <v>0.89154411764705888</v>
      </c>
      <c r="U6" s="123">
        <f t="shared" si="20"/>
        <v>610</v>
      </c>
      <c r="V6" s="123">
        <f t="shared" si="4"/>
        <v>1534</v>
      </c>
      <c r="W6" s="124">
        <f>E6/E$23</f>
        <v>1.6970511635722087E-2</v>
      </c>
      <c r="X6" s="124">
        <f>U6/E$23</f>
        <v>5.1247584642527093E-2</v>
      </c>
      <c r="Y6" s="124">
        <f>V6/E$23</f>
        <v>0.12887507351087962</v>
      </c>
      <c r="Z6" s="125">
        <f t="shared" si="5"/>
        <v>0.14245416078984485</v>
      </c>
      <c r="AA6" s="125">
        <f t="shared" si="6"/>
        <v>0.10754583921015515</v>
      </c>
      <c r="AB6" s="125">
        <f t="shared" si="7"/>
        <v>0.10845588235294118</v>
      </c>
      <c r="AC6" s="123">
        <f t="shared" si="21"/>
        <v>0</v>
      </c>
      <c r="AD6" s="123">
        <f t="shared" si="8"/>
        <v>0</v>
      </c>
      <c r="AE6" s="124" t="e">
        <f>F6/F$23</f>
        <v>#DIV/0!</v>
      </c>
      <c r="AF6" s="124" t="e">
        <f>AC6/F$23</f>
        <v>#DIV/0!</v>
      </c>
      <c r="AG6" s="124" t="e">
        <f>AD6/F$23</f>
        <v>#DIV/0!</v>
      </c>
      <c r="AH6" s="123">
        <f t="shared" si="9"/>
        <v>1216</v>
      </c>
      <c r="AI6" s="123">
        <f t="shared" si="22"/>
        <v>5062</v>
      </c>
      <c r="AJ6" s="123">
        <f t="shared" si="10"/>
        <v>2720</v>
      </c>
      <c r="AK6" s="124">
        <f>AH6/AH$23</f>
        <v>7.3894020418084586E-2</v>
      </c>
      <c r="AL6" s="124">
        <f>AI6/AH$23</f>
        <v>0.30760816723383566</v>
      </c>
      <c r="AM6" s="124">
        <f>AJ6/AH$23</f>
        <v>0.16528925619834711</v>
      </c>
      <c r="AN6" s="123">
        <f t="shared" si="11"/>
        <v>202</v>
      </c>
      <c r="AO6" s="123">
        <f>AN6+AO5</f>
        <v>610</v>
      </c>
      <c r="AP6" s="123">
        <f t="shared" si="12"/>
        <v>1534</v>
      </c>
      <c r="AQ6" s="124">
        <f>AN6/AN$23</f>
        <v>1.6970511635722087E-2</v>
      </c>
      <c r="AR6" s="124">
        <f>AO6/AN$23</f>
        <v>5.1247584642527093E-2</v>
      </c>
      <c r="AS6" s="124">
        <f>AP6/AN$23</f>
        <v>0.12887507351087962</v>
      </c>
      <c r="AT6" s="125">
        <f t="shared" si="13"/>
        <v>0.14245416078984485</v>
      </c>
      <c r="AU6" s="125">
        <f>AO6/H6</f>
        <v>0.10754583921015515</v>
      </c>
      <c r="AV6" s="125">
        <f t="shared" si="15"/>
        <v>6.3638249325866009E-2</v>
      </c>
      <c r="AW6" s="141">
        <f t="shared" si="24"/>
        <v>3.6414182687467489E-2</v>
      </c>
      <c r="AX6" s="142">
        <f t="shared" si="16"/>
        <v>8.896087646737395E-3</v>
      </c>
      <c r="AY6" s="143"/>
    </row>
    <row r="7" spans="1:51" x14ac:dyDescent="0.25">
      <c r="A7" s="147">
        <f>+'Gains Chart'!D38</f>
        <v>828</v>
      </c>
      <c r="B7" s="147">
        <f>+'Gains Chart'!E38</f>
        <v>841</v>
      </c>
      <c r="C7" s="181">
        <f t="shared" si="17"/>
        <v>1418</v>
      </c>
      <c r="D7" s="181">
        <f>'Gains Chart'!I38</f>
        <v>1186</v>
      </c>
      <c r="E7" s="181">
        <f>'Gains Chart'!J38</f>
        <v>232</v>
      </c>
      <c r="F7" s="181">
        <f>'Gains Chart'!K38</f>
        <v>0</v>
      </c>
      <c r="G7" s="181">
        <f>+'Gains Chart'!L38+'Gains Chart'!M38</f>
        <v>0</v>
      </c>
      <c r="H7" s="123">
        <f t="shared" si="18"/>
        <v>7090</v>
      </c>
      <c r="I7" s="123">
        <f t="shared" si="0"/>
        <v>22687</v>
      </c>
      <c r="J7" s="124">
        <f>C7/C$23</f>
        <v>5.0001763108713286E-2</v>
      </c>
      <c r="K7" s="124">
        <f>H7/C$23</f>
        <v>0.25000881554356641</v>
      </c>
      <c r="L7" s="124">
        <f>I7/C$23</f>
        <v>0.79999294756514683</v>
      </c>
      <c r="M7" s="123">
        <f t="shared" si="19"/>
        <v>6248</v>
      </c>
      <c r="N7" s="123">
        <f t="shared" si="1"/>
        <v>11394</v>
      </c>
      <c r="O7" s="124">
        <f>D7/D$23</f>
        <v>7.2070977151191054E-2</v>
      </c>
      <c r="P7" s="124">
        <f>M7/D$23</f>
        <v>0.37967914438502676</v>
      </c>
      <c r="Q7" s="124">
        <f t="shared" ref="Q7:Q17" si="25">N7/D$23</f>
        <v>0.69239183276616434</v>
      </c>
      <c r="R7" s="125">
        <f t="shared" si="2"/>
        <v>0.83638928067700991</v>
      </c>
      <c r="S7" s="125">
        <f>M7/(M7+U7+AC7)</f>
        <v>0.88124118476727786</v>
      </c>
      <c r="T7" s="125">
        <f t="shared" si="3"/>
        <v>0.89533239038189538</v>
      </c>
      <c r="U7" s="123">
        <f t="shared" si="20"/>
        <v>842</v>
      </c>
      <c r="V7" s="123">
        <f>E7+V18</f>
        <v>1332</v>
      </c>
      <c r="W7" s="124">
        <f>E7/E$23</f>
        <v>1.9490884650928339E-2</v>
      </c>
      <c r="X7" s="124">
        <f>U7/E$23</f>
        <v>7.0738469293455425E-2</v>
      </c>
      <c r="Y7" s="124">
        <f>V7/E$23</f>
        <v>0.11190456187515753</v>
      </c>
      <c r="Z7" s="125">
        <f t="shared" si="5"/>
        <v>0.16361071932299012</v>
      </c>
      <c r="AA7" s="125">
        <f t="shared" si="6"/>
        <v>0.11875881523272215</v>
      </c>
      <c r="AB7" s="125">
        <f t="shared" si="7"/>
        <v>0.10466760961810467</v>
      </c>
      <c r="AC7" s="123">
        <f t="shared" si="21"/>
        <v>0</v>
      </c>
      <c r="AD7" s="123">
        <f>F7+AD18</f>
        <v>0</v>
      </c>
      <c r="AE7" s="124" t="e">
        <f>F7/F$23</f>
        <v>#DIV/0!</v>
      </c>
      <c r="AF7" s="124" t="e">
        <f>AC7/F$23</f>
        <v>#DIV/0!</v>
      </c>
      <c r="AG7" s="124" t="e">
        <f>AD7/F$23</f>
        <v>#DIV/0!</v>
      </c>
      <c r="AH7" s="123">
        <f t="shared" si="9"/>
        <v>1186</v>
      </c>
      <c r="AI7" s="123">
        <f t="shared" si="22"/>
        <v>6248</v>
      </c>
      <c r="AJ7" s="123">
        <f>AH7+AJ18</f>
        <v>1504</v>
      </c>
      <c r="AK7" s="124">
        <f>AH7/AH$23</f>
        <v>7.2070977151191054E-2</v>
      </c>
      <c r="AL7" s="124">
        <f>AI7/AH$23</f>
        <v>0.37967914438502676</v>
      </c>
      <c r="AM7" s="124">
        <f>AJ7/AH$23</f>
        <v>9.1395235780262513E-2</v>
      </c>
      <c r="AN7" s="123">
        <f>ROUND($G7*Z7+E7,0)</f>
        <v>232</v>
      </c>
      <c r="AO7" s="123">
        <f t="shared" si="23"/>
        <v>842</v>
      </c>
      <c r="AP7" s="123">
        <f>AN7+AP18</f>
        <v>1332</v>
      </c>
      <c r="AQ7" s="124">
        <f>AN7/AN$23</f>
        <v>1.9490884650928339E-2</v>
      </c>
      <c r="AR7" s="124">
        <f>AO7/AN$23</f>
        <v>7.0738469293455425E-2</v>
      </c>
      <c r="AS7" s="124">
        <f>AP7/AN$23</f>
        <v>0.11190456187515753</v>
      </c>
      <c r="AT7" s="125">
        <f>AN7/C7</f>
        <v>0.16361071932299012</v>
      </c>
      <c r="AU7" s="125">
        <f t="shared" si="14"/>
        <v>0.11875881523272215</v>
      </c>
      <c r="AV7" s="125">
        <f t="shared" si="15"/>
        <v>5.8712037730859083E-2</v>
      </c>
      <c r="AW7" s="141">
        <f t="shared" si="24"/>
        <v>2.0509326094895017E-2</v>
      </c>
      <c r="AX7" s="142">
        <f>AK7*((AS7+AS18)/2)</f>
        <v>7.3627075708517457E-3</v>
      </c>
      <c r="AY7" s="143"/>
    </row>
    <row r="8" spans="1:51" x14ac:dyDescent="0.25">
      <c r="A8" s="147">
        <f>+'Gains Chart'!D39</f>
        <v>817</v>
      </c>
      <c r="B8" s="147">
        <f>+'Gains Chart'!E39</f>
        <v>828</v>
      </c>
      <c r="C8" s="181">
        <f t="shared" si="17"/>
        <v>1418</v>
      </c>
      <c r="D8" s="181">
        <f>'Gains Chart'!I39</f>
        <v>1172</v>
      </c>
      <c r="E8" s="181">
        <f>'Gains Chart'!J39</f>
        <v>246</v>
      </c>
      <c r="F8" s="181">
        <f>'Gains Chart'!K39</f>
        <v>0</v>
      </c>
      <c r="G8" s="181">
        <f>+'Gains Chart'!L39+'Gains Chart'!M39</f>
        <v>0</v>
      </c>
      <c r="H8" s="123">
        <f t="shared" si="18"/>
        <v>8508</v>
      </c>
      <c r="I8" s="123">
        <f t="shared" si="0"/>
        <v>21269</v>
      </c>
      <c r="J8" s="124">
        <f t="shared" ref="J8:J17" si="26">C8/C$23</f>
        <v>5.0001763108713286E-2</v>
      </c>
      <c r="K8" s="124">
        <f t="shared" ref="K8:K17" si="27">H8/C$23</f>
        <v>0.3000105786522797</v>
      </c>
      <c r="L8" s="124">
        <f t="shared" ref="L8:L17" si="28">I8/C$23</f>
        <v>0.74999118445643354</v>
      </c>
      <c r="M8" s="123">
        <f t="shared" ref="M8:M21" si="29">D8+M7</f>
        <v>7420</v>
      </c>
      <c r="N8" s="123">
        <f t="shared" si="1"/>
        <v>10208</v>
      </c>
      <c r="O8" s="124">
        <f t="shared" ref="O8:O17" si="30">D8/D$23</f>
        <v>7.1220223626640738E-2</v>
      </c>
      <c r="P8" s="124">
        <f t="shared" ref="P8:P17" si="31">M8/D$23</f>
        <v>0.45089936801166747</v>
      </c>
      <c r="Q8" s="124">
        <f t="shared" si="25"/>
        <v>0.6203208556149733</v>
      </c>
      <c r="R8" s="125">
        <f t="shared" si="2"/>
        <v>0.82651622002820879</v>
      </c>
      <c r="S8" s="125">
        <f t="shared" ref="S8:S18" si="32">M8/(M8+U8+AC8)</f>
        <v>0.87212035731076631</v>
      </c>
      <c r="T8" s="125">
        <f t="shared" ref="T8:T20" si="33">N8/(N8+V8+AD8)</f>
        <v>0.87457162440027414</v>
      </c>
      <c r="U8" s="123">
        <f t="shared" ref="U8:U18" si="34">E8+U7</f>
        <v>1088</v>
      </c>
      <c r="V8" s="123">
        <f t="shared" ref="V8:V19" si="35">E8+V19</f>
        <v>1464</v>
      </c>
      <c r="W8" s="124">
        <f t="shared" ref="W8:W18" si="36">E8/E$23</f>
        <v>2.0667058724691253E-2</v>
      </c>
      <c r="X8" s="124">
        <f t="shared" ref="X8:X18" si="37">U8/E$23</f>
        <v>9.1405528018146692E-2</v>
      </c>
      <c r="Y8" s="124">
        <f t="shared" ref="Y8:Y18" si="38">V8/E$23</f>
        <v>0.12299420314206502</v>
      </c>
      <c r="Z8" s="125">
        <f t="shared" ref="Z8:Z18" si="39">E8/(D8+E8+F8)</f>
        <v>0.17348377997179126</v>
      </c>
      <c r="AA8" s="125">
        <f t="shared" ref="AA8:AA18" si="40">U8/(M8+U8+AC8)</f>
        <v>0.12787964268923366</v>
      </c>
      <c r="AB8" s="125">
        <f t="shared" ref="AB8:AB18" si="41">V8/(N8+V8+AD8)</f>
        <v>0.12542837559972583</v>
      </c>
      <c r="AC8" s="123">
        <f t="shared" ref="AC8:AC22" si="42">F8+AC7</f>
        <v>0</v>
      </c>
      <c r="AD8" s="123">
        <f t="shared" ref="AD8:AD18" si="43">F8+AD19</f>
        <v>0</v>
      </c>
      <c r="AE8" s="124" t="e">
        <f t="shared" ref="AE8:AE17" si="44">F8/F$23</f>
        <v>#DIV/0!</v>
      </c>
      <c r="AF8" s="124" t="e">
        <f t="shared" ref="AF8:AF17" si="45">AC8/F$23</f>
        <v>#DIV/0!</v>
      </c>
      <c r="AG8" s="124" t="e">
        <f t="shared" ref="AG8:AG17" si="46">AD8/F$23</f>
        <v>#DIV/0!</v>
      </c>
      <c r="AH8" s="123">
        <f t="shared" ref="AH8:AH17" si="47">ROUND($G8*R8+D8,0)</f>
        <v>1172</v>
      </c>
      <c r="AI8" s="123">
        <f t="shared" ref="AI8:AI22" si="48">AH8+AI7</f>
        <v>7420</v>
      </c>
      <c r="AJ8" s="123">
        <f t="shared" ref="AJ8:AJ18" si="49">AH8+AJ19</f>
        <v>1653</v>
      </c>
      <c r="AK8" s="124">
        <f t="shared" ref="AK8:AK17" si="50">AH8/AH$23</f>
        <v>7.1220223626640738E-2</v>
      </c>
      <c r="AL8" s="124">
        <f t="shared" ref="AL8:AL17" si="51">AI8/AH$23</f>
        <v>0.45089936801166747</v>
      </c>
      <c r="AM8" s="124">
        <f t="shared" ref="AM8:AM17" si="52">AJ8/AH$23</f>
        <v>0.10044968400583373</v>
      </c>
      <c r="AN8" s="123">
        <f t="shared" si="11"/>
        <v>246</v>
      </c>
      <c r="AO8" s="123">
        <f t="shared" si="23"/>
        <v>1088</v>
      </c>
      <c r="AP8" s="123">
        <f t="shared" ref="AP8:AP18" si="53">AN8+AP19</f>
        <v>5437</v>
      </c>
      <c r="AQ8" s="124">
        <f t="shared" ref="AQ8:AQ17" si="54">AN8/AN$23</f>
        <v>2.0667058724691253E-2</v>
      </c>
      <c r="AR8" s="124">
        <f t="shared" ref="AR8:AR17" si="55">AO8/AN$23</f>
        <v>9.1405528018146692E-2</v>
      </c>
      <c r="AS8" s="124">
        <f t="shared" ref="AS8:AS18" si="56">AP8/AN$23</f>
        <v>0.45677560278921281</v>
      </c>
      <c r="AT8" s="125">
        <f t="shared" ref="AT8:AT17" si="57">AN8/C8</f>
        <v>0.17348377997179126</v>
      </c>
      <c r="AU8" s="125">
        <f t="shared" ref="AU8:AU17" si="58">AO8/H8</f>
        <v>0.12787964268923366</v>
      </c>
      <c r="AV8" s="125">
        <f t="shared" ref="AV8:AV18" si="59">AP8/I8</f>
        <v>0.25563026000282102</v>
      </c>
      <c r="AW8" s="141">
        <f t="shared" ref="AW8:AW19" si="60">ABS(AS8-AM8)</f>
        <v>0.35632591878337905</v>
      </c>
      <c r="AX8" s="142">
        <f t="shared" ref="AX8:AX17" si="61">AK8*((AS8+AS19)/2)</f>
        <v>3.1795704305802641E-2</v>
      </c>
      <c r="AY8" s="143"/>
    </row>
    <row r="9" spans="1:51" x14ac:dyDescent="0.25">
      <c r="A9" s="147">
        <f>+'Gains Chart'!D40</f>
        <v>805</v>
      </c>
      <c r="B9" s="147">
        <f>+'Gains Chart'!E40</f>
        <v>817</v>
      </c>
      <c r="C9" s="181">
        <f t="shared" si="17"/>
        <v>1418</v>
      </c>
      <c r="D9" s="181">
        <f>'Gains Chart'!I40</f>
        <v>1156</v>
      </c>
      <c r="E9" s="181">
        <f>'Gains Chart'!J40</f>
        <v>262</v>
      </c>
      <c r="F9" s="181">
        <f>'Gains Chart'!K40</f>
        <v>0</v>
      </c>
      <c r="G9" s="181">
        <f>+'Gains Chart'!L40+'Gains Chart'!M40</f>
        <v>0</v>
      </c>
      <c r="H9" s="123">
        <f t="shared" si="18"/>
        <v>9926</v>
      </c>
      <c r="I9" s="123">
        <f t="shared" si="0"/>
        <v>19851</v>
      </c>
      <c r="J9" s="124">
        <f t="shared" si="26"/>
        <v>5.0001763108713286E-2</v>
      </c>
      <c r="K9" s="124">
        <f t="shared" si="27"/>
        <v>0.350012341760993</v>
      </c>
      <c r="L9" s="124">
        <f t="shared" si="28"/>
        <v>0.69998942134772035</v>
      </c>
      <c r="M9" s="123">
        <f t="shared" si="29"/>
        <v>8576</v>
      </c>
      <c r="N9" s="123">
        <f t="shared" si="1"/>
        <v>9036</v>
      </c>
      <c r="O9" s="124">
        <f t="shared" si="30"/>
        <v>7.0247933884297523E-2</v>
      </c>
      <c r="P9" s="124">
        <f t="shared" si="31"/>
        <v>0.52114730189596503</v>
      </c>
      <c r="Q9" s="124">
        <f t="shared" si="25"/>
        <v>0.54910063198833248</v>
      </c>
      <c r="R9" s="125">
        <f t="shared" si="2"/>
        <v>0.81523272214386455</v>
      </c>
      <c r="S9" s="125">
        <f t="shared" si="32"/>
        <v>0.86399355228692321</v>
      </c>
      <c r="T9" s="125">
        <f t="shared" si="33"/>
        <v>0.68088312862632805</v>
      </c>
      <c r="U9" s="123">
        <f t="shared" si="34"/>
        <v>1350</v>
      </c>
      <c r="V9" s="123">
        <f t="shared" si="35"/>
        <v>4235</v>
      </c>
      <c r="W9" s="124">
        <f t="shared" si="36"/>
        <v>2.2011257666134588E-2</v>
      </c>
      <c r="X9" s="124">
        <f t="shared" si="37"/>
        <v>0.11341678568428128</v>
      </c>
      <c r="Y9" s="124">
        <f t="shared" si="38"/>
        <v>0.35579265731328236</v>
      </c>
      <c r="Z9" s="125">
        <f t="shared" si="39"/>
        <v>0.18476727785613539</v>
      </c>
      <c r="AA9" s="125">
        <f t="shared" si="40"/>
        <v>0.13600644771307677</v>
      </c>
      <c r="AB9" s="125">
        <f t="shared" si="41"/>
        <v>0.3191168713736719</v>
      </c>
      <c r="AC9" s="123">
        <f t="shared" si="42"/>
        <v>0</v>
      </c>
      <c r="AD9" s="123">
        <f t="shared" si="43"/>
        <v>0</v>
      </c>
      <c r="AE9" s="124" t="e">
        <f t="shared" si="44"/>
        <v>#DIV/0!</v>
      </c>
      <c r="AF9" s="124" t="e">
        <f t="shared" si="45"/>
        <v>#DIV/0!</v>
      </c>
      <c r="AG9" s="124" t="e">
        <f t="shared" si="46"/>
        <v>#DIV/0!</v>
      </c>
      <c r="AH9" s="123">
        <f t="shared" si="47"/>
        <v>1156</v>
      </c>
      <c r="AI9" s="123">
        <f t="shared" si="48"/>
        <v>8576</v>
      </c>
      <c r="AJ9" s="123">
        <f t="shared" si="49"/>
        <v>1437</v>
      </c>
      <c r="AK9" s="124">
        <f t="shared" si="50"/>
        <v>7.0247933884297523E-2</v>
      </c>
      <c r="AL9" s="124">
        <f t="shared" si="51"/>
        <v>0.52114730189596503</v>
      </c>
      <c r="AM9" s="124">
        <f t="shared" si="52"/>
        <v>8.7323772484200285E-2</v>
      </c>
      <c r="AN9" s="123">
        <f t="shared" si="11"/>
        <v>262</v>
      </c>
      <c r="AO9" s="123">
        <f t="shared" si="23"/>
        <v>1350</v>
      </c>
      <c r="AP9" s="123">
        <f t="shared" si="53"/>
        <v>4235</v>
      </c>
      <c r="AQ9" s="124">
        <f t="shared" si="54"/>
        <v>2.2011257666134588E-2</v>
      </c>
      <c r="AR9" s="124">
        <f t="shared" si="55"/>
        <v>0.11341678568428128</v>
      </c>
      <c r="AS9" s="124">
        <f t="shared" si="56"/>
        <v>0.35579265731328236</v>
      </c>
      <c r="AT9" s="125">
        <f t="shared" si="57"/>
        <v>0.18476727785613539</v>
      </c>
      <c r="AU9" s="125">
        <f t="shared" si="58"/>
        <v>0.13600644771307677</v>
      </c>
      <c r="AV9" s="125">
        <f t="shared" si="59"/>
        <v>0.21333937836884792</v>
      </c>
      <c r="AW9" s="141">
        <f t="shared" si="60"/>
        <v>0.26846888482908204</v>
      </c>
      <c r="AX9" s="142">
        <f t="shared" si="61"/>
        <v>2.4220576380841553E-2</v>
      </c>
      <c r="AY9" s="143"/>
    </row>
    <row r="10" spans="1:51" x14ac:dyDescent="0.25">
      <c r="A10" s="147">
        <f>+'Gains Chart'!D41</f>
        <v>784</v>
      </c>
      <c r="B10" s="147">
        <f>+'Gains Chart'!E41</f>
        <v>805</v>
      </c>
      <c r="C10" s="181">
        <f t="shared" si="17"/>
        <v>1418</v>
      </c>
      <c r="D10" s="181">
        <f>'Gains Chart'!I41</f>
        <v>1071</v>
      </c>
      <c r="E10" s="181">
        <f>'Gains Chart'!J41</f>
        <v>347</v>
      </c>
      <c r="F10" s="181">
        <f>'Gains Chart'!K41</f>
        <v>0</v>
      </c>
      <c r="G10" s="181">
        <f>+'Gains Chart'!L41+'Gains Chart'!M41</f>
        <v>0</v>
      </c>
      <c r="H10" s="123">
        <f t="shared" si="18"/>
        <v>11344</v>
      </c>
      <c r="I10" s="123">
        <f t="shared" si="0"/>
        <v>18433</v>
      </c>
      <c r="J10" s="124">
        <f t="shared" si="26"/>
        <v>5.0001763108713286E-2</v>
      </c>
      <c r="K10" s="124">
        <f t="shared" si="27"/>
        <v>0.40001410486970629</v>
      </c>
      <c r="L10" s="124">
        <f t="shared" si="28"/>
        <v>0.64998765823900706</v>
      </c>
      <c r="M10" s="123">
        <f t="shared" si="29"/>
        <v>9647</v>
      </c>
      <c r="N10" s="123">
        <f t="shared" si="1"/>
        <v>7880</v>
      </c>
      <c r="O10" s="124">
        <f t="shared" si="30"/>
        <v>6.5082644628099179E-2</v>
      </c>
      <c r="P10" s="124">
        <f t="shared" si="31"/>
        <v>0.58622994652406413</v>
      </c>
      <c r="Q10" s="124">
        <f t="shared" si="25"/>
        <v>0.47885269810403502</v>
      </c>
      <c r="R10" s="125">
        <f t="shared" si="2"/>
        <v>0.75528913963328637</v>
      </c>
      <c r="S10" s="125">
        <f t="shared" si="32"/>
        <v>0.85040550070521859</v>
      </c>
      <c r="T10" s="125">
        <f t="shared" si="33"/>
        <v>0.72062185642432552</v>
      </c>
      <c r="U10" s="123">
        <f t="shared" si="34"/>
        <v>1697</v>
      </c>
      <c r="V10" s="123">
        <f t="shared" si="35"/>
        <v>3055</v>
      </c>
      <c r="W10" s="124">
        <f t="shared" si="36"/>
        <v>2.9152314542552297E-2</v>
      </c>
      <c r="X10" s="124">
        <f t="shared" si="37"/>
        <v>0.14256910022683358</v>
      </c>
      <c r="Y10" s="124">
        <f t="shared" si="38"/>
        <v>0.25665798538183648</v>
      </c>
      <c r="Z10" s="125">
        <f t="shared" si="39"/>
        <v>0.24471086036671369</v>
      </c>
      <c r="AA10" s="125">
        <f t="shared" si="40"/>
        <v>0.14959449929478139</v>
      </c>
      <c r="AB10" s="125">
        <f t="shared" si="41"/>
        <v>0.27937814357567442</v>
      </c>
      <c r="AC10" s="123">
        <f t="shared" si="42"/>
        <v>0</v>
      </c>
      <c r="AD10" s="123">
        <f t="shared" si="43"/>
        <v>0</v>
      </c>
      <c r="AE10" s="124" t="e">
        <f t="shared" si="44"/>
        <v>#DIV/0!</v>
      </c>
      <c r="AF10" s="124" t="e">
        <f t="shared" si="45"/>
        <v>#DIV/0!</v>
      </c>
      <c r="AG10" s="124" t="e">
        <f t="shared" si="46"/>
        <v>#DIV/0!</v>
      </c>
      <c r="AH10" s="123">
        <f t="shared" si="47"/>
        <v>1071</v>
      </c>
      <c r="AI10" s="123">
        <f t="shared" si="48"/>
        <v>9647</v>
      </c>
      <c r="AJ10" s="123">
        <f t="shared" si="49"/>
        <v>1199</v>
      </c>
      <c r="AK10" s="124">
        <f t="shared" si="50"/>
        <v>6.5082644628099179E-2</v>
      </c>
      <c r="AL10" s="124">
        <f t="shared" si="51"/>
        <v>0.58622994652406413</v>
      </c>
      <c r="AM10" s="124">
        <f t="shared" si="52"/>
        <v>7.286096256684492E-2</v>
      </c>
      <c r="AN10" s="123">
        <f t="shared" si="11"/>
        <v>347</v>
      </c>
      <c r="AO10" s="123">
        <f t="shared" si="23"/>
        <v>1697</v>
      </c>
      <c r="AP10" s="123">
        <f t="shared" si="53"/>
        <v>3055</v>
      </c>
      <c r="AQ10" s="124">
        <f t="shared" si="54"/>
        <v>2.9152314542552297E-2</v>
      </c>
      <c r="AR10" s="124">
        <f t="shared" si="55"/>
        <v>0.14256910022683358</v>
      </c>
      <c r="AS10" s="124">
        <f t="shared" si="56"/>
        <v>0.25665798538183648</v>
      </c>
      <c r="AT10" s="125">
        <f t="shared" si="57"/>
        <v>0.24471086036671369</v>
      </c>
      <c r="AU10" s="125">
        <f t="shared" si="58"/>
        <v>0.14959449929478139</v>
      </c>
      <c r="AV10" s="125">
        <f t="shared" si="59"/>
        <v>0.16573536591981772</v>
      </c>
      <c r="AW10" s="141">
        <f t="shared" si="60"/>
        <v>0.18379702281499155</v>
      </c>
      <c r="AX10" s="142">
        <f t="shared" si="61"/>
        <v>1.5755325589840188E-2</v>
      </c>
      <c r="AY10" s="143"/>
    </row>
    <row r="11" spans="1:51" x14ac:dyDescent="0.25">
      <c r="A11" s="147">
        <f>+'Gains Chart'!D42</f>
        <v>753</v>
      </c>
      <c r="B11" s="147">
        <f>+'Gains Chart'!E42</f>
        <v>783</v>
      </c>
      <c r="C11" s="181">
        <f t="shared" si="17"/>
        <v>1418</v>
      </c>
      <c r="D11" s="181">
        <f>'Gains Chart'!I42</f>
        <v>1054</v>
      </c>
      <c r="E11" s="181">
        <f>'Gains Chart'!J42</f>
        <v>364</v>
      </c>
      <c r="F11" s="181">
        <f>'Gains Chart'!K42</f>
        <v>0</v>
      </c>
      <c r="G11" s="181">
        <f>+'Gains Chart'!L42+'Gains Chart'!M42</f>
        <v>0</v>
      </c>
      <c r="H11" s="123">
        <f t="shared" si="18"/>
        <v>12762</v>
      </c>
      <c r="I11" s="123">
        <f t="shared" si="0"/>
        <v>17015</v>
      </c>
      <c r="J11" s="124">
        <f t="shared" si="26"/>
        <v>5.0001763108713286E-2</v>
      </c>
      <c r="K11" s="124">
        <f t="shared" si="27"/>
        <v>0.45001586797841953</v>
      </c>
      <c r="L11" s="124">
        <f t="shared" si="28"/>
        <v>0.59998589513029377</v>
      </c>
      <c r="M11" s="123">
        <f t="shared" si="29"/>
        <v>10701</v>
      </c>
      <c r="N11" s="123">
        <f t="shared" si="1"/>
        <v>6809</v>
      </c>
      <c r="O11" s="124">
        <f t="shared" si="30"/>
        <v>6.4049586776859499E-2</v>
      </c>
      <c r="P11" s="124">
        <f t="shared" si="31"/>
        <v>0.6502795333009237</v>
      </c>
      <c r="Q11" s="124">
        <f t="shared" si="25"/>
        <v>0.41377005347593582</v>
      </c>
      <c r="R11" s="125">
        <f t="shared" ref="R11:R18" si="62">D11/(D11+E11+F11)</f>
        <v>0.74330042313117062</v>
      </c>
      <c r="S11" s="125">
        <f t="shared" si="32"/>
        <v>0.83850493653032443</v>
      </c>
      <c r="T11" s="125">
        <f t="shared" si="33"/>
        <v>0.79656059897051945</v>
      </c>
      <c r="U11" s="123">
        <f t="shared" si="34"/>
        <v>2061</v>
      </c>
      <c r="V11" s="123">
        <f t="shared" si="35"/>
        <v>1739</v>
      </c>
      <c r="W11" s="124">
        <f t="shared" si="36"/>
        <v>3.0580525917835839E-2</v>
      </c>
      <c r="X11" s="124">
        <f t="shared" si="37"/>
        <v>0.17314962614466942</v>
      </c>
      <c r="Y11" s="124">
        <f t="shared" si="38"/>
        <v>0.14609762244812233</v>
      </c>
      <c r="Z11" s="125">
        <f t="shared" si="39"/>
        <v>0.25669957686882933</v>
      </c>
      <c r="AA11" s="125">
        <f t="shared" si="40"/>
        <v>0.1614950634696756</v>
      </c>
      <c r="AB11" s="125">
        <f t="shared" si="41"/>
        <v>0.20343940102948058</v>
      </c>
      <c r="AC11" s="123">
        <f t="shared" si="42"/>
        <v>0</v>
      </c>
      <c r="AD11" s="123">
        <f t="shared" si="43"/>
        <v>0</v>
      </c>
      <c r="AE11" s="124" t="e">
        <f t="shared" si="44"/>
        <v>#DIV/0!</v>
      </c>
      <c r="AF11" s="124" t="e">
        <f t="shared" si="45"/>
        <v>#DIV/0!</v>
      </c>
      <c r="AG11" s="124" t="e">
        <f t="shared" si="46"/>
        <v>#DIV/0!</v>
      </c>
      <c r="AH11" s="123">
        <f t="shared" si="47"/>
        <v>1054</v>
      </c>
      <c r="AI11" s="123">
        <f t="shared" si="48"/>
        <v>10701</v>
      </c>
      <c r="AJ11" s="123">
        <f t="shared" si="49"/>
        <v>1097</v>
      </c>
      <c r="AK11" s="124">
        <f t="shared" si="50"/>
        <v>6.4049586776859499E-2</v>
      </c>
      <c r="AL11" s="124">
        <f t="shared" si="51"/>
        <v>0.6502795333009237</v>
      </c>
      <c r="AM11" s="124">
        <f t="shared" si="52"/>
        <v>6.666261545940691E-2</v>
      </c>
      <c r="AN11" s="123">
        <f t="shared" si="11"/>
        <v>364</v>
      </c>
      <c r="AO11" s="123">
        <f t="shared" si="23"/>
        <v>2061</v>
      </c>
      <c r="AP11" s="123">
        <f t="shared" si="53"/>
        <v>1739</v>
      </c>
      <c r="AQ11" s="124">
        <f t="shared" si="54"/>
        <v>3.0580525917835839E-2</v>
      </c>
      <c r="AR11" s="124">
        <f t="shared" si="55"/>
        <v>0.17314962614466942</v>
      </c>
      <c r="AS11" s="124">
        <f t="shared" si="56"/>
        <v>0.14609762244812233</v>
      </c>
      <c r="AT11" s="125">
        <f t="shared" si="57"/>
        <v>0.25669957686882933</v>
      </c>
      <c r="AU11" s="125">
        <f t="shared" si="58"/>
        <v>0.1614950634696756</v>
      </c>
      <c r="AV11" s="125">
        <f t="shared" si="59"/>
        <v>0.10220393770202763</v>
      </c>
      <c r="AW11" s="141">
        <f t="shared" si="60"/>
        <v>7.9435006988715418E-2</v>
      </c>
      <c r="AX11" s="142">
        <f t="shared" si="61"/>
        <v>8.3781573226556546E-3</v>
      </c>
      <c r="AY11" s="143"/>
    </row>
    <row r="12" spans="1:51" x14ac:dyDescent="0.25">
      <c r="A12" s="147">
        <f>+'Gains Chart'!D43</f>
        <v>728</v>
      </c>
      <c r="B12" s="147">
        <f>+'Gains Chart'!E43</f>
        <v>753</v>
      </c>
      <c r="C12" s="181">
        <f t="shared" si="17"/>
        <v>1418</v>
      </c>
      <c r="D12" s="181">
        <f>'Gains Chart'!I43</f>
        <v>1029</v>
      </c>
      <c r="E12" s="181">
        <f>'Gains Chart'!J43</f>
        <v>389</v>
      </c>
      <c r="F12" s="181">
        <f>'Gains Chart'!K43</f>
        <v>0</v>
      </c>
      <c r="G12" s="181">
        <f>+'Gains Chart'!L43+'Gains Chart'!M43</f>
        <v>0</v>
      </c>
      <c r="H12" s="123">
        <f t="shared" si="18"/>
        <v>14180</v>
      </c>
      <c r="I12" s="123">
        <f t="shared" si="0"/>
        <v>15597</v>
      </c>
      <c r="J12" s="124">
        <f t="shared" si="26"/>
        <v>5.0001763108713286E-2</v>
      </c>
      <c r="K12" s="124">
        <f t="shared" si="27"/>
        <v>0.50001763108713282</v>
      </c>
      <c r="L12" s="124">
        <f t="shared" si="28"/>
        <v>0.54998413202158047</v>
      </c>
      <c r="M12" s="123">
        <f t="shared" si="29"/>
        <v>11730</v>
      </c>
      <c r="N12" s="123">
        <f t="shared" si="1"/>
        <v>5755</v>
      </c>
      <c r="O12" s="124">
        <f t="shared" si="30"/>
        <v>6.2530384054448232E-2</v>
      </c>
      <c r="P12" s="124">
        <f t="shared" si="31"/>
        <v>0.71280991735537191</v>
      </c>
      <c r="Q12" s="124">
        <f t="shared" si="25"/>
        <v>0.3497204666990763</v>
      </c>
      <c r="R12" s="125">
        <f t="shared" si="62"/>
        <v>0.72566995768688292</v>
      </c>
      <c r="S12" s="125">
        <f t="shared" si="32"/>
        <v>0.8272214386459803</v>
      </c>
      <c r="T12" s="125">
        <f t="shared" si="33"/>
        <v>0.93668619791666663</v>
      </c>
      <c r="U12" s="123">
        <f t="shared" si="34"/>
        <v>2450</v>
      </c>
      <c r="V12" s="123">
        <f t="shared" si="35"/>
        <v>389</v>
      </c>
      <c r="W12" s="124">
        <f t="shared" si="36"/>
        <v>3.2680836763841051E-2</v>
      </c>
      <c r="X12" s="124">
        <f t="shared" si="37"/>
        <v>0.20583046290851045</v>
      </c>
      <c r="Y12" s="124">
        <f t="shared" si="38"/>
        <v>3.2680836763841051E-2</v>
      </c>
      <c r="Z12" s="125">
        <f t="shared" si="39"/>
        <v>0.27433004231311708</v>
      </c>
      <c r="AA12" s="125">
        <f t="shared" si="40"/>
        <v>0.17277856135401976</v>
      </c>
      <c r="AB12" s="125">
        <f t="shared" si="41"/>
        <v>6.3313802083333329E-2</v>
      </c>
      <c r="AC12" s="123">
        <f t="shared" si="42"/>
        <v>0</v>
      </c>
      <c r="AD12" s="123">
        <f t="shared" si="43"/>
        <v>0</v>
      </c>
      <c r="AE12" s="124" t="e">
        <f t="shared" si="44"/>
        <v>#DIV/0!</v>
      </c>
      <c r="AF12" s="124" t="e">
        <f t="shared" si="45"/>
        <v>#DIV/0!</v>
      </c>
      <c r="AG12" s="124" t="e">
        <f t="shared" si="46"/>
        <v>#DIV/0!</v>
      </c>
      <c r="AH12" s="123">
        <f t="shared" si="47"/>
        <v>1029</v>
      </c>
      <c r="AI12" s="123">
        <f t="shared" si="48"/>
        <v>11730</v>
      </c>
      <c r="AJ12" s="123">
        <f t="shared" si="49"/>
        <v>1029</v>
      </c>
      <c r="AK12" s="124">
        <f t="shared" si="50"/>
        <v>6.2530384054448232E-2</v>
      </c>
      <c r="AL12" s="124">
        <f t="shared" si="51"/>
        <v>0.71280991735537191</v>
      </c>
      <c r="AM12" s="124">
        <f t="shared" si="52"/>
        <v>6.2530384054448232E-2</v>
      </c>
      <c r="AN12" s="123">
        <f t="shared" ref="AN12:AN17" si="63">ROUND($G12*Z12+E12,0)</f>
        <v>389</v>
      </c>
      <c r="AO12" s="123">
        <f t="shared" si="23"/>
        <v>2450</v>
      </c>
      <c r="AP12" s="123">
        <f t="shared" si="53"/>
        <v>389</v>
      </c>
      <c r="AQ12" s="124">
        <f t="shared" si="54"/>
        <v>3.2680836763841051E-2</v>
      </c>
      <c r="AR12" s="124">
        <f t="shared" si="55"/>
        <v>0.20583046290851045</v>
      </c>
      <c r="AS12" s="124">
        <f t="shared" si="56"/>
        <v>3.2680836763841051E-2</v>
      </c>
      <c r="AT12" s="125">
        <f t="shared" si="57"/>
        <v>0.27433004231311708</v>
      </c>
      <c r="AU12" s="125">
        <f t="shared" si="58"/>
        <v>0.17277856135401976</v>
      </c>
      <c r="AV12" s="125">
        <f t="shared" si="59"/>
        <v>2.4940693723151889E-2</v>
      </c>
      <c r="AW12" s="141">
        <f t="shared" si="60"/>
        <v>2.9849547290607181E-2</v>
      </c>
      <c r="AX12" s="142">
        <f t="shared" si="61"/>
        <v>1.0217726370318561E-3</v>
      </c>
      <c r="AY12" s="143"/>
    </row>
    <row r="13" spans="1:51" x14ac:dyDescent="0.25">
      <c r="A13" s="147">
        <f>+'Gains Chart'!D44</f>
        <v>697</v>
      </c>
      <c r="B13" s="147">
        <f>+'Gains Chart'!E44</f>
        <v>728</v>
      </c>
      <c r="C13" s="181">
        <f t="shared" si="17"/>
        <v>1417</v>
      </c>
      <c r="D13" s="181">
        <f>'Gains Chart'!I44</f>
        <v>960</v>
      </c>
      <c r="E13" s="181">
        <f>'Gains Chart'!J44</f>
        <v>457</v>
      </c>
      <c r="F13" s="181">
        <f>'Gains Chart'!K44</f>
        <v>0</v>
      </c>
      <c r="G13" s="181">
        <f>+'Gains Chart'!L44+'Gains Chart'!M44</f>
        <v>0</v>
      </c>
      <c r="H13" s="123">
        <f t="shared" si="18"/>
        <v>15597</v>
      </c>
      <c r="I13" s="123">
        <f t="shared" si="0"/>
        <v>14179</v>
      </c>
      <c r="J13" s="124">
        <f t="shared" si="26"/>
        <v>4.996650093444762E-2</v>
      </c>
      <c r="K13" s="124">
        <f t="shared" si="27"/>
        <v>0.54998413202158047</v>
      </c>
      <c r="L13" s="124">
        <f t="shared" si="28"/>
        <v>0.49998236891286718</v>
      </c>
      <c r="M13" s="123">
        <f t="shared" si="29"/>
        <v>12690</v>
      </c>
      <c r="N13" s="123">
        <f t="shared" si="1"/>
        <v>4726</v>
      </c>
      <c r="O13" s="124">
        <f t="shared" si="30"/>
        <v>5.8337384540593097E-2</v>
      </c>
      <c r="P13" s="124">
        <f t="shared" si="31"/>
        <v>0.77114730189596503</v>
      </c>
      <c r="Q13" s="124">
        <f t="shared" si="25"/>
        <v>0.28719008264462809</v>
      </c>
      <c r="R13" s="125">
        <f t="shared" si="62"/>
        <v>0.67748764996471422</v>
      </c>
      <c r="S13" s="125">
        <f t="shared" si="32"/>
        <v>0.81361800346220425</v>
      </c>
      <c r="T13" s="125">
        <f>N13/(N13+V13+AD13)</f>
        <v>0.91182712714644032</v>
      </c>
      <c r="U13" s="123">
        <f t="shared" si="34"/>
        <v>2907</v>
      </c>
      <c r="V13" s="123">
        <f t="shared" si="35"/>
        <v>457</v>
      </c>
      <c r="W13" s="124">
        <f t="shared" si="36"/>
        <v>3.8393682264975214E-2</v>
      </c>
      <c r="X13" s="124">
        <f t="shared" si="37"/>
        <v>0.24422414517348567</v>
      </c>
      <c r="Y13" s="124">
        <f t="shared" si="38"/>
        <v>3.8393682264975214E-2</v>
      </c>
      <c r="Z13" s="125">
        <f t="shared" si="39"/>
        <v>0.32251235003528583</v>
      </c>
      <c r="AA13" s="125">
        <f t="shared" si="40"/>
        <v>0.18638199653779572</v>
      </c>
      <c r="AB13" s="125">
        <f t="shared" si="41"/>
        <v>8.8172872853559708E-2</v>
      </c>
      <c r="AC13" s="123">
        <f t="shared" si="42"/>
        <v>0</v>
      </c>
      <c r="AD13" s="123">
        <f t="shared" si="43"/>
        <v>0</v>
      </c>
      <c r="AE13" s="124" t="e">
        <f t="shared" si="44"/>
        <v>#DIV/0!</v>
      </c>
      <c r="AF13" s="124" t="e">
        <f t="shared" si="45"/>
        <v>#DIV/0!</v>
      </c>
      <c r="AG13" s="124" t="e">
        <f t="shared" si="46"/>
        <v>#DIV/0!</v>
      </c>
      <c r="AH13" s="123">
        <f t="shared" si="47"/>
        <v>960</v>
      </c>
      <c r="AI13" s="123">
        <f t="shared" si="48"/>
        <v>12690</v>
      </c>
      <c r="AJ13" s="123">
        <f t="shared" si="49"/>
        <v>960</v>
      </c>
      <c r="AK13" s="124">
        <f t="shared" si="50"/>
        <v>5.8337384540593097E-2</v>
      </c>
      <c r="AL13" s="124">
        <f t="shared" si="51"/>
        <v>0.77114730189596503</v>
      </c>
      <c r="AM13" s="124">
        <f t="shared" si="52"/>
        <v>5.8337384540593097E-2</v>
      </c>
      <c r="AN13" s="123">
        <f t="shared" si="63"/>
        <v>457</v>
      </c>
      <c r="AO13" s="123">
        <f t="shared" si="23"/>
        <v>2907</v>
      </c>
      <c r="AP13" s="123">
        <f t="shared" si="53"/>
        <v>457</v>
      </c>
      <c r="AQ13" s="124">
        <f t="shared" si="54"/>
        <v>3.8393682264975214E-2</v>
      </c>
      <c r="AR13" s="124">
        <f t="shared" si="55"/>
        <v>0.24422414517348567</v>
      </c>
      <c r="AS13" s="124">
        <f t="shared" si="56"/>
        <v>3.8393682264975214E-2</v>
      </c>
      <c r="AT13" s="125">
        <f t="shared" si="57"/>
        <v>0.32251235003528583</v>
      </c>
      <c r="AU13" s="125">
        <f t="shared" si="58"/>
        <v>0.18638199653779572</v>
      </c>
      <c r="AV13" s="125">
        <f t="shared" si="59"/>
        <v>3.2230763805628039E-2</v>
      </c>
      <c r="AW13" s="141">
        <f t="shared" si="60"/>
        <v>1.9943702275617883E-2</v>
      </c>
      <c r="AX13" s="142">
        <f t="shared" si="61"/>
        <v>1.1198935031106042E-3</v>
      </c>
      <c r="AY13" s="143"/>
    </row>
    <row r="14" spans="1:51" x14ac:dyDescent="0.25">
      <c r="A14" s="147">
        <f>+'Gains Chart'!D45</f>
        <v>644</v>
      </c>
      <c r="B14" s="147">
        <f>+'Gains Chart'!E45</f>
        <v>697</v>
      </c>
      <c r="C14" s="181">
        <f t="shared" si="17"/>
        <v>1418</v>
      </c>
      <c r="D14" s="181">
        <f>'Gains Chart'!I45</f>
        <v>914</v>
      </c>
      <c r="E14" s="181">
        <f>'Gains Chart'!J45</f>
        <v>504</v>
      </c>
      <c r="F14" s="181">
        <f>'Gains Chart'!K45</f>
        <v>0</v>
      </c>
      <c r="G14" s="181">
        <f>+'Gains Chart'!L45+'Gains Chart'!M45</f>
        <v>0</v>
      </c>
      <c r="H14" s="123">
        <f t="shared" si="18"/>
        <v>17015</v>
      </c>
      <c r="I14" s="123">
        <f t="shared" si="0"/>
        <v>12762</v>
      </c>
      <c r="J14" s="124">
        <f t="shared" si="26"/>
        <v>5.0001763108713286E-2</v>
      </c>
      <c r="K14" s="124">
        <f t="shared" si="27"/>
        <v>0.59998589513029377</v>
      </c>
      <c r="L14" s="124">
        <f t="shared" si="28"/>
        <v>0.45001586797841953</v>
      </c>
      <c r="M14" s="123">
        <f t="shared" si="29"/>
        <v>13604</v>
      </c>
      <c r="N14" s="123">
        <f t="shared" si="1"/>
        <v>3766</v>
      </c>
      <c r="O14" s="124">
        <f t="shared" si="30"/>
        <v>5.5542051531356343E-2</v>
      </c>
      <c r="P14" s="124">
        <f t="shared" si="31"/>
        <v>0.82668935342732131</v>
      </c>
      <c r="Q14" s="124">
        <f t="shared" si="25"/>
        <v>0.228852698104035</v>
      </c>
      <c r="R14" s="125">
        <f t="shared" si="62"/>
        <v>0.64456981664315938</v>
      </c>
      <c r="S14" s="125">
        <f t="shared" si="32"/>
        <v>0.79952982662356742</v>
      </c>
      <c r="T14" s="125">
        <f t="shared" si="33"/>
        <v>0.88196721311475412</v>
      </c>
      <c r="U14" s="123">
        <f t="shared" si="34"/>
        <v>3411</v>
      </c>
      <c r="V14" s="123">
        <f t="shared" si="35"/>
        <v>504</v>
      </c>
      <c r="W14" s="124">
        <f t="shared" si="36"/>
        <v>4.2342266655465012E-2</v>
      </c>
      <c r="X14" s="124">
        <f t="shared" si="37"/>
        <v>0.28656641182895071</v>
      </c>
      <c r="Y14" s="124">
        <f t="shared" si="38"/>
        <v>4.2342266655465012E-2</v>
      </c>
      <c r="Z14" s="125">
        <f t="shared" si="39"/>
        <v>0.35543018335684062</v>
      </c>
      <c r="AA14" s="125">
        <f t="shared" si="40"/>
        <v>0.20047017337643255</v>
      </c>
      <c r="AB14" s="125">
        <f t="shared" si="41"/>
        <v>0.11803278688524591</v>
      </c>
      <c r="AC14" s="123">
        <f t="shared" si="42"/>
        <v>0</v>
      </c>
      <c r="AD14" s="123">
        <f t="shared" si="43"/>
        <v>0</v>
      </c>
      <c r="AE14" s="124" t="e">
        <f t="shared" si="44"/>
        <v>#DIV/0!</v>
      </c>
      <c r="AF14" s="124" t="e">
        <f t="shared" si="45"/>
        <v>#DIV/0!</v>
      </c>
      <c r="AG14" s="124" t="e">
        <f t="shared" si="46"/>
        <v>#DIV/0!</v>
      </c>
      <c r="AH14" s="123">
        <f t="shared" si="47"/>
        <v>914</v>
      </c>
      <c r="AI14" s="123">
        <f t="shared" si="48"/>
        <v>13604</v>
      </c>
      <c r="AJ14" s="123">
        <f t="shared" si="49"/>
        <v>914</v>
      </c>
      <c r="AK14" s="124">
        <f t="shared" si="50"/>
        <v>5.5542051531356343E-2</v>
      </c>
      <c r="AL14" s="124">
        <f t="shared" si="51"/>
        <v>0.82668935342732131</v>
      </c>
      <c r="AM14" s="124">
        <f t="shared" si="52"/>
        <v>5.5542051531356343E-2</v>
      </c>
      <c r="AN14" s="123">
        <f t="shared" si="63"/>
        <v>504</v>
      </c>
      <c r="AO14" s="123">
        <f t="shared" si="23"/>
        <v>3411</v>
      </c>
      <c r="AP14" s="123">
        <f t="shared" si="53"/>
        <v>504</v>
      </c>
      <c r="AQ14" s="124">
        <f t="shared" si="54"/>
        <v>4.2342266655465012E-2</v>
      </c>
      <c r="AR14" s="124">
        <f t="shared" si="55"/>
        <v>0.28656641182895071</v>
      </c>
      <c r="AS14" s="124">
        <f t="shared" si="56"/>
        <v>4.2342266655465012E-2</v>
      </c>
      <c r="AT14" s="125">
        <f t="shared" si="57"/>
        <v>0.35543018335684062</v>
      </c>
      <c r="AU14" s="125">
        <f t="shared" si="58"/>
        <v>0.20047017337643255</v>
      </c>
      <c r="AV14" s="125">
        <f t="shared" si="59"/>
        <v>3.9492242595204514E-2</v>
      </c>
      <c r="AW14" s="141">
        <f t="shared" si="60"/>
        <v>1.3199784875891331E-2</v>
      </c>
      <c r="AX14" s="142">
        <f t="shared" si="61"/>
        <v>1.1758881782661346E-3</v>
      </c>
      <c r="AY14" s="143"/>
    </row>
    <row r="15" spans="1:51" x14ac:dyDescent="0.25">
      <c r="A15" s="147">
        <f>+'Gains Chart'!D46</f>
        <v>568</v>
      </c>
      <c r="B15" s="147">
        <f>+'Gains Chart'!E46</f>
        <v>644</v>
      </c>
      <c r="C15" s="181">
        <f t="shared" si="17"/>
        <v>1418</v>
      </c>
      <c r="D15" s="181">
        <f>'Gains Chart'!I46</f>
        <v>842</v>
      </c>
      <c r="E15" s="181">
        <f>'Gains Chart'!J46</f>
        <v>576</v>
      </c>
      <c r="F15" s="181">
        <f>'Gains Chart'!K46</f>
        <v>0</v>
      </c>
      <c r="G15" s="181">
        <f>+'Gains Chart'!L46+'Gains Chart'!M46</f>
        <v>0</v>
      </c>
      <c r="H15" s="123">
        <f t="shared" si="18"/>
        <v>18433</v>
      </c>
      <c r="I15" s="123">
        <f t="shared" si="0"/>
        <v>11344</v>
      </c>
      <c r="J15" s="124">
        <f t="shared" si="26"/>
        <v>5.0001763108713286E-2</v>
      </c>
      <c r="K15" s="124">
        <f t="shared" si="27"/>
        <v>0.64998765823900706</v>
      </c>
      <c r="L15" s="124">
        <f t="shared" si="28"/>
        <v>0.40001410486970629</v>
      </c>
      <c r="M15" s="123">
        <f t="shared" si="29"/>
        <v>14446</v>
      </c>
      <c r="N15" s="123">
        <f t="shared" si="1"/>
        <v>2852</v>
      </c>
      <c r="O15" s="124">
        <f t="shared" si="30"/>
        <v>5.1166747690811865E-2</v>
      </c>
      <c r="P15" s="124">
        <f t="shared" si="31"/>
        <v>0.87785610111813317</v>
      </c>
      <c r="Q15" s="124">
        <f t="shared" si="25"/>
        <v>0.17331064657267867</v>
      </c>
      <c r="R15" s="125">
        <f t="shared" si="62"/>
        <v>0.59379407616361068</v>
      </c>
      <c r="S15" s="125">
        <f t="shared" si="32"/>
        <v>0.78370314110562578</v>
      </c>
      <c r="T15" s="125">
        <f t="shared" si="33"/>
        <v>0.83197199533255539</v>
      </c>
      <c r="U15" s="123">
        <f t="shared" si="34"/>
        <v>3987</v>
      </c>
      <c r="V15" s="123">
        <f t="shared" si="35"/>
        <v>576</v>
      </c>
      <c r="W15" s="124">
        <f t="shared" si="36"/>
        <v>4.8391161891960008E-2</v>
      </c>
      <c r="X15" s="124">
        <f t="shared" si="37"/>
        <v>0.33495757372091067</v>
      </c>
      <c r="Y15" s="124">
        <f t="shared" si="38"/>
        <v>4.8391161891960008E-2</v>
      </c>
      <c r="Z15" s="125">
        <f t="shared" si="39"/>
        <v>0.40620592383638926</v>
      </c>
      <c r="AA15" s="125">
        <f t="shared" si="40"/>
        <v>0.21629685889437422</v>
      </c>
      <c r="AB15" s="125">
        <f t="shared" si="41"/>
        <v>0.16802800466744458</v>
      </c>
      <c r="AC15" s="123">
        <f t="shared" si="42"/>
        <v>0</v>
      </c>
      <c r="AD15" s="123">
        <f t="shared" si="43"/>
        <v>0</v>
      </c>
      <c r="AE15" s="124" t="e">
        <f t="shared" si="44"/>
        <v>#DIV/0!</v>
      </c>
      <c r="AF15" s="124" t="e">
        <f t="shared" si="45"/>
        <v>#DIV/0!</v>
      </c>
      <c r="AG15" s="124" t="e">
        <f t="shared" si="46"/>
        <v>#DIV/0!</v>
      </c>
      <c r="AH15" s="123">
        <f t="shared" si="47"/>
        <v>842</v>
      </c>
      <c r="AI15" s="123">
        <f t="shared" si="48"/>
        <v>14446</v>
      </c>
      <c r="AJ15" s="123">
        <f t="shared" si="49"/>
        <v>842</v>
      </c>
      <c r="AK15" s="124">
        <f t="shared" si="50"/>
        <v>5.1166747690811865E-2</v>
      </c>
      <c r="AL15" s="124">
        <f t="shared" si="51"/>
        <v>0.87785610111813317</v>
      </c>
      <c r="AM15" s="124">
        <f t="shared" si="52"/>
        <v>5.1166747690811865E-2</v>
      </c>
      <c r="AN15" s="123">
        <f t="shared" si="63"/>
        <v>576</v>
      </c>
      <c r="AO15" s="123">
        <f t="shared" si="23"/>
        <v>3987</v>
      </c>
      <c r="AP15" s="123">
        <f t="shared" si="53"/>
        <v>576</v>
      </c>
      <c r="AQ15" s="124">
        <f t="shared" si="54"/>
        <v>4.8391161891960008E-2</v>
      </c>
      <c r="AR15" s="124">
        <f t="shared" si="55"/>
        <v>0.33495757372091067</v>
      </c>
      <c r="AS15" s="124">
        <f t="shared" si="56"/>
        <v>4.8391161891960008E-2</v>
      </c>
      <c r="AT15" s="125">
        <f t="shared" si="57"/>
        <v>0.40620592383638926</v>
      </c>
      <c r="AU15" s="125">
        <f t="shared" si="58"/>
        <v>0.21629685889437422</v>
      </c>
      <c r="AV15" s="125">
        <f t="shared" si="59"/>
        <v>5.0775740479548657E-2</v>
      </c>
      <c r="AW15" s="141">
        <f t="shared" si="60"/>
        <v>2.7755857988518567E-3</v>
      </c>
      <c r="AX15" s="142">
        <f t="shared" si="61"/>
        <v>1.238009185495574E-3</v>
      </c>
      <c r="AY15" s="143"/>
    </row>
    <row r="16" spans="1:51" x14ac:dyDescent="0.25">
      <c r="A16" s="147">
        <f>+'Gains Chart'!D47</f>
        <v>428</v>
      </c>
      <c r="B16" s="147">
        <f>+'Gains Chart'!E47</f>
        <v>568</v>
      </c>
      <c r="C16" s="181">
        <f t="shared" si="17"/>
        <v>1418</v>
      </c>
      <c r="D16" s="181">
        <f>'Gains Chart'!I47</f>
        <v>726</v>
      </c>
      <c r="E16" s="181">
        <f>'Gains Chart'!J47</f>
        <v>692</v>
      </c>
      <c r="F16" s="181">
        <f>'Gains Chart'!K47</f>
        <v>0</v>
      </c>
      <c r="G16" s="181">
        <f>+'Gains Chart'!L47+'Gains Chart'!M47</f>
        <v>0</v>
      </c>
      <c r="H16" s="123">
        <f t="shared" si="18"/>
        <v>19851</v>
      </c>
      <c r="I16" s="123">
        <f t="shared" si="0"/>
        <v>9926</v>
      </c>
      <c r="J16" s="124">
        <f t="shared" si="26"/>
        <v>5.0001763108713286E-2</v>
      </c>
      <c r="K16" s="124">
        <f t="shared" si="27"/>
        <v>0.69998942134772035</v>
      </c>
      <c r="L16" s="124">
        <f t="shared" si="28"/>
        <v>0.350012341760993</v>
      </c>
      <c r="M16" s="123">
        <f t="shared" si="29"/>
        <v>15172</v>
      </c>
      <c r="N16" s="123">
        <f t="shared" si="1"/>
        <v>2010</v>
      </c>
      <c r="O16" s="124">
        <f t="shared" si="30"/>
        <v>4.4117647058823532E-2</v>
      </c>
      <c r="P16" s="124">
        <f t="shared" si="31"/>
        <v>0.92197374817695676</v>
      </c>
      <c r="Q16" s="124">
        <f t="shared" si="25"/>
        <v>0.1221438988818668</v>
      </c>
      <c r="R16" s="125">
        <f t="shared" si="62"/>
        <v>0.51198871650211564</v>
      </c>
      <c r="S16" s="125">
        <f t="shared" si="32"/>
        <v>0.76429399022719258</v>
      </c>
      <c r="T16" s="125">
        <f t="shared" si="33"/>
        <v>0.74389341228719463</v>
      </c>
      <c r="U16" s="123">
        <f t="shared" si="34"/>
        <v>4679</v>
      </c>
      <c r="V16" s="123">
        <f t="shared" si="35"/>
        <v>692</v>
      </c>
      <c r="W16" s="124">
        <f t="shared" si="36"/>
        <v>5.8136604217424177E-2</v>
      </c>
      <c r="X16" s="124">
        <f t="shared" si="37"/>
        <v>0.3930941779383349</v>
      </c>
      <c r="Y16" s="124">
        <f t="shared" si="38"/>
        <v>5.8136604217424177E-2</v>
      </c>
      <c r="Z16" s="125">
        <f t="shared" si="39"/>
        <v>0.48801128349788436</v>
      </c>
      <c r="AA16" s="125">
        <f t="shared" si="40"/>
        <v>0.23570600977280742</v>
      </c>
      <c r="AB16" s="125">
        <f t="shared" si="41"/>
        <v>0.25610658771280531</v>
      </c>
      <c r="AC16" s="123">
        <f t="shared" si="42"/>
        <v>0</v>
      </c>
      <c r="AD16" s="123">
        <f t="shared" si="43"/>
        <v>0</v>
      </c>
      <c r="AE16" s="124" t="e">
        <f t="shared" si="44"/>
        <v>#DIV/0!</v>
      </c>
      <c r="AF16" s="124" t="e">
        <f t="shared" si="45"/>
        <v>#DIV/0!</v>
      </c>
      <c r="AG16" s="124" t="e">
        <f t="shared" si="46"/>
        <v>#DIV/0!</v>
      </c>
      <c r="AH16" s="123">
        <f t="shared" si="47"/>
        <v>726</v>
      </c>
      <c r="AI16" s="123">
        <f t="shared" si="48"/>
        <v>15172</v>
      </c>
      <c r="AJ16" s="123">
        <f t="shared" si="49"/>
        <v>726</v>
      </c>
      <c r="AK16" s="124">
        <f t="shared" si="50"/>
        <v>4.4117647058823532E-2</v>
      </c>
      <c r="AL16" s="124">
        <f t="shared" si="51"/>
        <v>0.92197374817695676</v>
      </c>
      <c r="AM16" s="124">
        <f t="shared" si="52"/>
        <v>4.4117647058823532E-2</v>
      </c>
      <c r="AN16" s="123">
        <f t="shared" si="63"/>
        <v>692</v>
      </c>
      <c r="AO16" s="123">
        <f t="shared" si="23"/>
        <v>4679</v>
      </c>
      <c r="AP16" s="123">
        <f t="shared" si="53"/>
        <v>692</v>
      </c>
      <c r="AQ16" s="124">
        <f t="shared" si="54"/>
        <v>5.8136604217424177E-2</v>
      </c>
      <c r="AR16" s="124">
        <f t="shared" si="55"/>
        <v>0.3930941779383349</v>
      </c>
      <c r="AS16" s="124">
        <f t="shared" si="56"/>
        <v>5.8136604217424177E-2</v>
      </c>
      <c r="AT16" s="125">
        <f t="shared" si="57"/>
        <v>0.48801128349788436</v>
      </c>
      <c r="AU16" s="125">
        <f t="shared" si="58"/>
        <v>0.23570600977280742</v>
      </c>
      <c r="AV16" s="125">
        <f t="shared" si="59"/>
        <v>6.9715897642554911E-2</v>
      </c>
      <c r="AW16" s="141">
        <f t="shared" si="60"/>
        <v>1.4018957158600645E-2</v>
      </c>
      <c r="AX16" s="142">
        <f t="shared" si="61"/>
        <v>1.2824250930314157E-3</v>
      </c>
      <c r="AY16" s="143"/>
    </row>
    <row r="17" spans="1:51" x14ac:dyDescent="0.25">
      <c r="A17" s="147">
        <f>+'Gains Chart'!D48</f>
        <v>265</v>
      </c>
      <c r="B17" s="147">
        <f>+'Gains Chart'!E48</f>
        <v>428</v>
      </c>
      <c r="C17" s="181">
        <f t="shared" si="17"/>
        <v>1418</v>
      </c>
      <c r="D17" s="181">
        <f>'Gains Chart'!I48</f>
        <v>485</v>
      </c>
      <c r="E17" s="181">
        <f>'Gains Chart'!J48</f>
        <v>933</v>
      </c>
      <c r="F17" s="181">
        <f>'Gains Chart'!K48</f>
        <v>0</v>
      </c>
      <c r="G17" s="181">
        <f>+'Gains Chart'!L48+'Gains Chart'!M48</f>
        <v>0</v>
      </c>
      <c r="H17" s="123">
        <f t="shared" si="18"/>
        <v>21269</v>
      </c>
      <c r="I17" s="123">
        <f t="shared" si="0"/>
        <v>8508</v>
      </c>
      <c r="J17" s="124">
        <f t="shared" si="26"/>
        <v>5.0001763108713286E-2</v>
      </c>
      <c r="K17" s="124">
        <f t="shared" si="27"/>
        <v>0.74999118445643354</v>
      </c>
      <c r="L17" s="124">
        <f t="shared" si="28"/>
        <v>0.3000105786522797</v>
      </c>
      <c r="M17" s="123">
        <f t="shared" si="29"/>
        <v>15657</v>
      </c>
      <c r="N17" s="123">
        <f t="shared" si="1"/>
        <v>1284</v>
      </c>
      <c r="O17" s="124">
        <f t="shared" si="30"/>
        <v>2.9472532814778803E-2</v>
      </c>
      <c r="P17" s="124">
        <f t="shared" si="31"/>
        <v>0.95144628099173556</v>
      </c>
      <c r="Q17" s="124">
        <f t="shared" si="25"/>
        <v>7.8026251823043263E-2</v>
      </c>
      <c r="R17" s="125">
        <f t="shared" si="62"/>
        <v>0.34203102961918197</v>
      </c>
      <c r="S17" s="125">
        <f t="shared" si="32"/>
        <v>0.73614180262353657</v>
      </c>
      <c r="T17" s="125">
        <f t="shared" si="33"/>
        <v>0.57916102841677941</v>
      </c>
      <c r="U17" s="123">
        <f t="shared" si="34"/>
        <v>5612</v>
      </c>
      <c r="V17" s="123">
        <f t="shared" si="35"/>
        <v>933</v>
      </c>
      <c r="W17" s="124">
        <f t="shared" si="36"/>
        <v>7.8383600772914397E-2</v>
      </c>
      <c r="X17" s="124">
        <f t="shared" si="37"/>
        <v>0.47147777871124924</v>
      </c>
      <c r="Y17" s="124">
        <f t="shared" si="38"/>
        <v>7.8383600772914397E-2</v>
      </c>
      <c r="Z17" s="125">
        <f t="shared" si="39"/>
        <v>0.65796897038081803</v>
      </c>
      <c r="AA17" s="125">
        <f t="shared" si="40"/>
        <v>0.26385819737646338</v>
      </c>
      <c r="AB17" s="125">
        <f>V17/(N17+V17+AD17)</f>
        <v>0.42083897158322059</v>
      </c>
      <c r="AC17" s="123">
        <f t="shared" si="42"/>
        <v>0</v>
      </c>
      <c r="AD17" s="123">
        <f t="shared" si="43"/>
        <v>0</v>
      </c>
      <c r="AE17" s="124" t="e">
        <f t="shared" si="44"/>
        <v>#DIV/0!</v>
      </c>
      <c r="AF17" s="124" t="e">
        <f t="shared" si="45"/>
        <v>#DIV/0!</v>
      </c>
      <c r="AG17" s="124" t="e">
        <f t="shared" si="46"/>
        <v>#DIV/0!</v>
      </c>
      <c r="AH17" s="123">
        <f t="shared" si="47"/>
        <v>485</v>
      </c>
      <c r="AI17" s="123">
        <f t="shared" si="48"/>
        <v>15657</v>
      </c>
      <c r="AJ17" s="123">
        <f t="shared" si="49"/>
        <v>485</v>
      </c>
      <c r="AK17" s="124">
        <f t="shared" si="50"/>
        <v>2.9472532814778803E-2</v>
      </c>
      <c r="AL17" s="124">
        <f t="shared" si="51"/>
        <v>0.95144628099173556</v>
      </c>
      <c r="AM17" s="124">
        <f t="shared" si="52"/>
        <v>2.9472532814778803E-2</v>
      </c>
      <c r="AN17" s="123">
        <f t="shared" si="63"/>
        <v>933</v>
      </c>
      <c r="AO17" s="123">
        <f t="shared" si="23"/>
        <v>5612</v>
      </c>
      <c r="AP17" s="123">
        <f t="shared" si="53"/>
        <v>933</v>
      </c>
      <c r="AQ17" s="124">
        <f t="shared" si="54"/>
        <v>7.8383600772914397E-2</v>
      </c>
      <c r="AR17" s="124">
        <f t="shared" si="55"/>
        <v>0.47147777871124924</v>
      </c>
      <c r="AS17" s="124">
        <f t="shared" si="56"/>
        <v>7.8383600772914397E-2</v>
      </c>
      <c r="AT17" s="125">
        <f t="shared" si="57"/>
        <v>0.65796897038081803</v>
      </c>
      <c r="AU17" s="125">
        <f t="shared" si="58"/>
        <v>0.26385819737646338</v>
      </c>
      <c r="AV17" s="125">
        <f t="shared" si="59"/>
        <v>0.10966149506346967</v>
      </c>
      <c r="AW17" s="141">
        <f t="shared" si="60"/>
        <v>4.8911067958135594E-2</v>
      </c>
      <c r="AX17" s="142">
        <f t="shared" si="61"/>
        <v>1.1550816229601204E-3</v>
      </c>
      <c r="AY17" s="143"/>
    </row>
    <row r="18" spans="1:51" x14ac:dyDescent="0.25">
      <c r="A18" s="147">
        <f>+'Gains Chart'!D49</f>
        <v>169</v>
      </c>
      <c r="B18" s="147">
        <f>+'Gains Chart'!E49</f>
        <v>265</v>
      </c>
      <c r="C18" s="181">
        <f t="shared" si="17"/>
        <v>1418</v>
      </c>
      <c r="D18" s="181">
        <f>'Gains Chart'!I49</f>
        <v>318</v>
      </c>
      <c r="E18" s="181">
        <f>'Gains Chart'!J49</f>
        <v>1100</v>
      </c>
      <c r="F18" s="181">
        <f>'Gains Chart'!K49</f>
        <v>0</v>
      </c>
      <c r="G18" s="181">
        <f>+'Gains Chart'!L49+'Gains Chart'!M49</f>
        <v>0</v>
      </c>
      <c r="H18" s="123">
        <f t="shared" si="18"/>
        <v>22687</v>
      </c>
      <c r="I18" s="123">
        <f t="shared" si="0"/>
        <v>7090</v>
      </c>
      <c r="J18" s="124">
        <f>C18/C$23</f>
        <v>5.0001763108713286E-2</v>
      </c>
      <c r="K18" s="124">
        <f>H18/C$23</f>
        <v>0.79999294756514683</v>
      </c>
      <c r="L18" s="124">
        <f>I18/C$23</f>
        <v>0.25000881554356641</v>
      </c>
      <c r="M18" s="123">
        <f t="shared" si="29"/>
        <v>15975</v>
      </c>
      <c r="N18" s="123">
        <f t="shared" si="1"/>
        <v>799</v>
      </c>
      <c r="O18" s="124">
        <f>D18/D$23</f>
        <v>1.9324258629071462E-2</v>
      </c>
      <c r="P18" s="124">
        <f>M18/D$23</f>
        <v>0.97077053962080695</v>
      </c>
      <c r="Q18" s="124">
        <f>N18/D$23</f>
        <v>4.8553719008264461E-2</v>
      </c>
      <c r="R18" s="125">
        <f t="shared" si="62"/>
        <v>0.22425952045133993</v>
      </c>
      <c r="S18" s="125">
        <f t="shared" si="32"/>
        <v>0.70414774981266803</v>
      </c>
      <c r="T18" s="125">
        <f t="shared" si="33"/>
        <v>0.42074776197998948</v>
      </c>
      <c r="U18" s="123">
        <f t="shared" si="34"/>
        <v>6712</v>
      </c>
      <c r="V18" s="123">
        <f t="shared" si="35"/>
        <v>1100</v>
      </c>
      <c r="W18" s="124">
        <f t="shared" si="36"/>
        <v>9.241367722422919E-2</v>
      </c>
      <c r="X18" s="124">
        <f t="shared" si="37"/>
        <v>0.5638914559354784</v>
      </c>
      <c r="Y18" s="124">
        <f t="shared" si="38"/>
        <v>9.241367722422919E-2</v>
      </c>
      <c r="Z18" s="125">
        <f t="shared" si="39"/>
        <v>0.7757404795486601</v>
      </c>
      <c r="AA18" s="125">
        <f t="shared" si="40"/>
        <v>0.29585225018733197</v>
      </c>
      <c r="AB18" s="125">
        <f t="shared" si="41"/>
        <v>0.57925223802001058</v>
      </c>
      <c r="AC18" s="123">
        <f t="shared" si="42"/>
        <v>0</v>
      </c>
      <c r="AD18" s="123">
        <f t="shared" si="43"/>
        <v>0</v>
      </c>
      <c r="AE18" s="124" t="e">
        <f>F18/F$23</f>
        <v>#DIV/0!</v>
      </c>
      <c r="AF18" s="124" t="e">
        <f>AC18/F$23</f>
        <v>#DIV/0!</v>
      </c>
      <c r="AG18" s="124" t="e">
        <f>AD18/F$23</f>
        <v>#DIV/0!</v>
      </c>
      <c r="AH18" s="123">
        <f t="shared" si="9"/>
        <v>318</v>
      </c>
      <c r="AI18" s="123">
        <f t="shared" si="48"/>
        <v>15975</v>
      </c>
      <c r="AJ18" s="123">
        <f t="shared" si="49"/>
        <v>318</v>
      </c>
      <c r="AK18" s="124">
        <f>AH18/AH$23</f>
        <v>1.9324258629071462E-2</v>
      </c>
      <c r="AL18" s="124">
        <f>AI18/AH$23</f>
        <v>0.97077053962080695</v>
      </c>
      <c r="AM18" s="124">
        <f>AJ18/AH$23</f>
        <v>1.9324258629071462E-2</v>
      </c>
      <c r="AN18" s="123">
        <f t="shared" si="11"/>
        <v>1100</v>
      </c>
      <c r="AO18" s="123">
        <f t="shared" si="23"/>
        <v>6712</v>
      </c>
      <c r="AP18" s="123">
        <f t="shared" si="53"/>
        <v>1100</v>
      </c>
      <c r="AQ18" s="124">
        <f>AN18/AN$23</f>
        <v>9.241367722422919E-2</v>
      </c>
      <c r="AR18" s="124">
        <f>AO18/AN$23</f>
        <v>0.5638914559354784</v>
      </c>
      <c r="AS18" s="124">
        <f t="shared" si="56"/>
        <v>9.241367722422919E-2</v>
      </c>
      <c r="AT18" s="126">
        <f t="shared" si="13"/>
        <v>0.7757404795486601</v>
      </c>
      <c r="AU18" s="125">
        <f t="shared" si="14"/>
        <v>0.29585225018733197</v>
      </c>
      <c r="AV18" s="125">
        <f t="shared" si="59"/>
        <v>0.15514809590973203</v>
      </c>
      <c r="AW18" s="141">
        <f t="shared" si="60"/>
        <v>7.3089418595157732E-2</v>
      </c>
      <c r="AX18" s="142">
        <f t="shared" si="16"/>
        <v>5.1066500476975784E-3</v>
      </c>
      <c r="AY18" s="143"/>
    </row>
    <row r="19" spans="1:51" x14ac:dyDescent="0.25">
      <c r="A19" s="147">
        <f>+'Gains Chart'!D50</f>
        <v>113</v>
      </c>
      <c r="B19" s="147">
        <f>+'Gains Chart'!E50</f>
        <v>169</v>
      </c>
      <c r="C19" s="181">
        <f t="shared" si="17"/>
        <v>1418</v>
      </c>
      <c r="D19" s="181">
        <f>'Gains Chart'!I50</f>
        <v>200</v>
      </c>
      <c r="E19" s="181">
        <f>'Gains Chart'!J50</f>
        <v>1218</v>
      </c>
      <c r="F19" s="181">
        <f>'Gains Chart'!K50</f>
        <v>0</v>
      </c>
      <c r="G19" s="181">
        <f>+'Gains Chart'!L50+'Gains Chart'!M50</f>
        <v>0</v>
      </c>
      <c r="H19" s="123">
        <f t="shared" si="18"/>
        <v>24105</v>
      </c>
      <c r="I19" s="123">
        <f t="shared" si="0"/>
        <v>5672</v>
      </c>
      <c r="J19" s="124">
        <f>C19/C$23</f>
        <v>5.0001763108713286E-2</v>
      </c>
      <c r="K19" s="124">
        <f>H19/C$23</f>
        <v>0.84999471067386012</v>
      </c>
      <c r="L19" s="124">
        <f>I19/C$23</f>
        <v>0.20000705243485314</v>
      </c>
      <c r="M19" s="123">
        <f t="shared" si="29"/>
        <v>16175</v>
      </c>
      <c r="N19" s="123">
        <f t="shared" si="1"/>
        <v>481</v>
      </c>
      <c r="O19" s="124">
        <f>D19/D$23</f>
        <v>1.2153621779290228E-2</v>
      </c>
      <c r="P19" s="124">
        <f>M19/D$23</f>
        <v>0.9829241614000972</v>
      </c>
      <c r="Q19" s="124">
        <f>N19/D$23</f>
        <v>2.9229460379192999E-2</v>
      </c>
      <c r="R19" s="125">
        <f t="shared" si="2"/>
        <v>0.14104372355430184</v>
      </c>
      <c r="S19" s="125">
        <f t="shared" si="3"/>
        <v>0.67102260941713332</v>
      </c>
      <c r="T19" s="125">
        <f t="shared" si="33"/>
        <v>0.2831077104178929</v>
      </c>
      <c r="U19" s="123">
        <f t="shared" si="20"/>
        <v>7930</v>
      </c>
      <c r="V19" s="123">
        <f t="shared" si="35"/>
        <v>1218</v>
      </c>
      <c r="W19" s="124">
        <f>E19/E$23</f>
        <v>0.10232714441737377</v>
      </c>
      <c r="X19" s="124">
        <f>U19/E$23</f>
        <v>0.66621860035285219</v>
      </c>
      <c r="Y19" s="124">
        <f>V19/E$23</f>
        <v>0.10232714441737377</v>
      </c>
      <c r="Z19" s="125">
        <f t="shared" si="5"/>
        <v>0.85895627644569816</v>
      </c>
      <c r="AA19" s="125">
        <f t="shared" si="6"/>
        <v>0.32897739058286662</v>
      </c>
      <c r="AB19" s="125">
        <f t="shared" si="7"/>
        <v>0.71689228958210716</v>
      </c>
      <c r="AC19" s="123">
        <f t="shared" si="42"/>
        <v>0</v>
      </c>
      <c r="AD19" s="123">
        <f t="shared" si="8"/>
        <v>0</v>
      </c>
      <c r="AE19" s="124" t="e">
        <f>F19/F$23</f>
        <v>#DIV/0!</v>
      </c>
      <c r="AF19" s="124" t="e">
        <f>AC19/F$23</f>
        <v>#DIV/0!</v>
      </c>
      <c r="AG19" s="124" t="e">
        <f>AD19/F$23</f>
        <v>#DIV/0!</v>
      </c>
      <c r="AH19" s="123">
        <f t="shared" si="9"/>
        <v>200</v>
      </c>
      <c r="AI19" s="123">
        <f t="shared" si="48"/>
        <v>16175</v>
      </c>
      <c r="AJ19" s="123">
        <f t="shared" si="10"/>
        <v>481</v>
      </c>
      <c r="AK19" s="124">
        <f>AH19/AH$23</f>
        <v>1.2153621779290228E-2</v>
      </c>
      <c r="AL19" s="124">
        <f>AI19/AH$23</f>
        <v>0.9829241614000972</v>
      </c>
      <c r="AM19" s="124">
        <f>AJ19/AH$23</f>
        <v>2.9229460379192999E-2</v>
      </c>
      <c r="AN19" s="123">
        <f t="shared" si="11"/>
        <v>1218</v>
      </c>
      <c r="AO19" s="123">
        <f t="shared" si="23"/>
        <v>7930</v>
      </c>
      <c r="AP19" s="123">
        <f t="shared" si="12"/>
        <v>5191</v>
      </c>
      <c r="AQ19" s="124">
        <f>AN19/AN$23</f>
        <v>0.10232714441737377</v>
      </c>
      <c r="AR19" s="124">
        <f>AO19/AN$23</f>
        <v>0.66621860035285219</v>
      </c>
      <c r="AS19" s="124">
        <f>AP19/AN$23</f>
        <v>0.43610854406452154</v>
      </c>
      <c r="AT19" s="126">
        <f t="shared" si="13"/>
        <v>0.85895627644569816</v>
      </c>
      <c r="AU19" s="125">
        <f t="shared" si="14"/>
        <v>0.32897739058286662</v>
      </c>
      <c r="AV19" s="125">
        <f t="shared" si="15"/>
        <v>0.91519746121297607</v>
      </c>
      <c r="AW19" s="141">
        <f t="shared" si="60"/>
        <v>0.40687908368532855</v>
      </c>
      <c r="AX19" s="142">
        <f t="shared" si="16"/>
        <v>4.6784755937753358E-3</v>
      </c>
      <c r="AY19" s="143"/>
    </row>
    <row r="20" spans="1:51" x14ac:dyDescent="0.25">
      <c r="A20" s="147">
        <f>+'Gains Chart'!D51</f>
        <v>76</v>
      </c>
      <c r="B20" s="147">
        <f>+'Gains Chart'!E51</f>
        <v>113</v>
      </c>
      <c r="C20" s="181">
        <f t="shared" si="17"/>
        <v>1418</v>
      </c>
      <c r="D20" s="181">
        <f>'Gains Chart'!I51</f>
        <v>153</v>
      </c>
      <c r="E20" s="181">
        <f>'Gains Chart'!J51</f>
        <v>1265</v>
      </c>
      <c r="F20" s="181">
        <f>'Gains Chart'!K51</f>
        <v>0</v>
      </c>
      <c r="G20" s="181">
        <f>+'Gains Chart'!L51+'Gains Chart'!M51</f>
        <v>0</v>
      </c>
      <c r="H20" s="123">
        <f t="shared" si="18"/>
        <v>25523</v>
      </c>
      <c r="I20" s="123">
        <f t="shared" si="0"/>
        <v>4254</v>
      </c>
      <c r="J20" s="124">
        <f>C20/C$23</f>
        <v>5.0001763108713286E-2</v>
      </c>
      <c r="K20" s="124">
        <f>H20/C$23</f>
        <v>0.89999647378257341</v>
      </c>
      <c r="L20" s="124">
        <f>I20/C$23</f>
        <v>0.15000528932613985</v>
      </c>
      <c r="M20" s="123">
        <f t="shared" si="29"/>
        <v>16328</v>
      </c>
      <c r="N20" s="123">
        <f t="shared" si="1"/>
        <v>281</v>
      </c>
      <c r="O20" s="124">
        <f>D20/D$23</f>
        <v>9.2975206611570251E-3</v>
      </c>
      <c r="P20" s="124">
        <f>M20/D$23</f>
        <v>0.99222168206125427</v>
      </c>
      <c r="Q20" s="124">
        <f>N20/D$23</f>
        <v>1.7075838599902773E-2</v>
      </c>
      <c r="R20" s="125">
        <f t="shared" si="2"/>
        <v>0.1078984485190409</v>
      </c>
      <c r="S20" s="125">
        <f t="shared" si="3"/>
        <v>0.63973670806723348</v>
      </c>
      <c r="T20" s="125">
        <f t="shared" si="33"/>
        <v>6.6055477197931353E-2</v>
      </c>
      <c r="U20" s="123">
        <f t="shared" si="20"/>
        <v>9195</v>
      </c>
      <c r="V20" s="123">
        <f t="shared" si="4"/>
        <v>3973</v>
      </c>
      <c r="W20" s="124">
        <f>E20/E$23</f>
        <v>0.10627572880786357</v>
      </c>
      <c r="X20" s="124">
        <f>U20/E$23</f>
        <v>0.77249432916071581</v>
      </c>
      <c r="Y20" s="124">
        <f>V20/E$23</f>
        <v>0.33378139964714776</v>
      </c>
      <c r="Z20" s="125">
        <f t="shared" si="5"/>
        <v>0.89210155148095904</v>
      </c>
      <c r="AA20" s="125">
        <f t="shared" si="6"/>
        <v>0.36026329193276652</v>
      </c>
      <c r="AB20" s="125">
        <f t="shared" si="7"/>
        <v>0.93394452280206863</v>
      </c>
      <c r="AC20" s="123">
        <f t="shared" si="42"/>
        <v>0</v>
      </c>
      <c r="AD20" s="123">
        <f t="shared" si="8"/>
        <v>0</v>
      </c>
      <c r="AE20" s="124" t="e">
        <f>F20/F$23</f>
        <v>#DIV/0!</v>
      </c>
      <c r="AF20" s="124" t="e">
        <f>AC20/F$23</f>
        <v>#DIV/0!</v>
      </c>
      <c r="AG20" s="124" t="e">
        <f>AD20/F$23</f>
        <v>#DIV/0!</v>
      </c>
      <c r="AH20" s="123">
        <f t="shared" si="9"/>
        <v>153</v>
      </c>
      <c r="AI20" s="123">
        <f t="shared" si="48"/>
        <v>16328</v>
      </c>
      <c r="AJ20" s="123">
        <f t="shared" si="10"/>
        <v>281</v>
      </c>
      <c r="AK20" s="124">
        <f>AH20/AH$23</f>
        <v>9.2975206611570251E-3</v>
      </c>
      <c r="AL20" s="124">
        <f>AI20/AH$23</f>
        <v>0.99222168206125427</v>
      </c>
      <c r="AM20" s="124">
        <f>AJ20/AH$23</f>
        <v>1.7075838599902773E-2</v>
      </c>
      <c r="AN20" s="123">
        <f t="shared" si="11"/>
        <v>1265</v>
      </c>
      <c r="AO20" s="123">
        <f t="shared" si="23"/>
        <v>9195</v>
      </c>
      <c r="AP20" s="123">
        <f t="shared" si="12"/>
        <v>3973</v>
      </c>
      <c r="AQ20" s="124">
        <f>AN20/AN$23</f>
        <v>0.10627572880786357</v>
      </c>
      <c r="AR20" s="124">
        <f>AO20/AN$23</f>
        <v>0.77249432916071581</v>
      </c>
      <c r="AS20" s="124">
        <f>AP20/AN$23</f>
        <v>0.33378139964714776</v>
      </c>
      <c r="AT20" s="125">
        <f t="shared" si="13"/>
        <v>0.89210155148095904</v>
      </c>
      <c r="AU20" s="125">
        <f t="shared" si="14"/>
        <v>0.36026329193276652</v>
      </c>
      <c r="AV20" s="125">
        <f t="shared" si="15"/>
        <v>0.93394452280206863</v>
      </c>
      <c r="AW20" s="141">
        <f t="shared" si="24"/>
        <v>0.31670556104724501</v>
      </c>
      <c r="AX20" s="142">
        <f t="shared" si="16"/>
        <v>2.6092890673439506E-3</v>
      </c>
      <c r="AY20" s="143"/>
    </row>
    <row r="21" spans="1:51" x14ac:dyDescent="0.25">
      <c r="A21" s="147">
        <f>+'Gains Chart'!D52</f>
        <v>45</v>
      </c>
      <c r="B21" s="147">
        <f>+'Gains Chart'!E52</f>
        <v>76</v>
      </c>
      <c r="C21" s="181">
        <f t="shared" si="17"/>
        <v>1418</v>
      </c>
      <c r="D21" s="181">
        <f>'Gains Chart'!I52</f>
        <v>85</v>
      </c>
      <c r="E21" s="181">
        <f>'Gains Chart'!J52</f>
        <v>1333</v>
      </c>
      <c r="F21" s="181">
        <f>'Gains Chart'!K52</f>
        <v>0</v>
      </c>
      <c r="G21" s="181">
        <f>+'Gains Chart'!L52+'Gains Chart'!M52</f>
        <v>0</v>
      </c>
      <c r="H21" s="123">
        <f t="shared" si="18"/>
        <v>26941</v>
      </c>
      <c r="I21" s="123">
        <f t="shared" si="0"/>
        <v>2836</v>
      </c>
      <c r="J21" s="124">
        <f>C21/C$23</f>
        <v>5.0001763108713286E-2</v>
      </c>
      <c r="K21" s="124">
        <f>H21/C$23</f>
        <v>0.94999823689128671</v>
      </c>
      <c r="L21" s="124">
        <f>I21/C$23</f>
        <v>0.10000352621742657</v>
      </c>
      <c r="M21" s="123">
        <f t="shared" si="29"/>
        <v>16413</v>
      </c>
      <c r="N21" s="123">
        <f t="shared" si="1"/>
        <v>128</v>
      </c>
      <c r="O21" s="124">
        <f>D21/D$23</f>
        <v>5.1652892561983473E-3</v>
      </c>
      <c r="P21" s="124">
        <f>M21/D$23</f>
        <v>0.99738697131745258</v>
      </c>
      <c r="Q21" s="124">
        <f>N21/D$23</f>
        <v>7.7783179387457459E-3</v>
      </c>
      <c r="R21" s="125">
        <f t="shared" si="2"/>
        <v>5.9943582510578276E-2</v>
      </c>
      <c r="S21" s="125">
        <f t="shared" si="3"/>
        <v>0.60922014773022526</v>
      </c>
      <c r="T21" s="125">
        <f t="shared" ref="T21:T22" si="64">N21/(N21+V21+AD21)</f>
        <v>4.5133991537376586E-2</v>
      </c>
      <c r="U21" s="123">
        <f t="shared" si="20"/>
        <v>10528</v>
      </c>
      <c r="V21" s="123">
        <f t="shared" si="4"/>
        <v>2708</v>
      </c>
      <c r="W21" s="124">
        <f>E21/E$23</f>
        <v>0.11198857430899774</v>
      </c>
      <c r="X21" s="124">
        <f>U21/E$23</f>
        <v>0.88448290346971348</v>
      </c>
      <c r="Y21" s="124">
        <f>V21/E$23</f>
        <v>0.22750567083928422</v>
      </c>
      <c r="Z21" s="125">
        <f t="shared" si="5"/>
        <v>0.9400564174894217</v>
      </c>
      <c r="AA21" s="125">
        <f t="shared" si="6"/>
        <v>0.39077985226977469</v>
      </c>
      <c r="AB21" s="125">
        <f t="shared" si="7"/>
        <v>0.95486600846262337</v>
      </c>
      <c r="AC21" s="123">
        <f t="shared" si="42"/>
        <v>0</v>
      </c>
      <c r="AD21" s="123">
        <f t="shared" si="8"/>
        <v>0</v>
      </c>
      <c r="AE21" s="124" t="e">
        <f>F21/F$23</f>
        <v>#DIV/0!</v>
      </c>
      <c r="AF21" s="124" t="e">
        <f>AC21/F$23</f>
        <v>#DIV/0!</v>
      </c>
      <c r="AG21" s="124" t="e">
        <f>AD21/F$23</f>
        <v>#DIV/0!</v>
      </c>
      <c r="AH21" s="123">
        <f t="shared" si="9"/>
        <v>85</v>
      </c>
      <c r="AI21" s="123">
        <f t="shared" si="48"/>
        <v>16413</v>
      </c>
      <c r="AJ21" s="123">
        <f t="shared" si="10"/>
        <v>128</v>
      </c>
      <c r="AK21" s="124">
        <f>AH21/AH$23</f>
        <v>5.1652892561983473E-3</v>
      </c>
      <c r="AL21" s="124">
        <f>AI21/AH$23</f>
        <v>0.99738697131745258</v>
      </c>
      <c r="AM21" s="124">
        <f>AJ21/AH$23</f>
        <v>7.7783179387457459E-3</v>
      </c>
      <c r="AN21" s="123">
        <f t="shared" si="11"/>
        <v>1333</v>
      </c>
      <c r="AO21" s="123">
        <f t="shared" si="23"/>
        <v>10528</v>
      </c>
      <c r="AP21" s="123">
        <f t="shared" si="12"/>
        <v>2708</v>
      </c>
      <c r="AQ21" s="124">
        <f>AN21/AN$23</f>
        <v>0.11198857430899774</v>
      </c>
      <c r="AR21" s="124">
        <f>AO21/AN$23</f>
        <v>0.88448290346971348</v>
      </c>
      <c r="AS21" s="124">
        <f>AP21/AN$23</f>
        <v>0.22750567083928422</v>
      </c>
      <c r="AT21" s="125">
        <f t="shared" si="13"/>
        <v>0.9400564174894217</v>
      </c>
      <c r="AU21" s="125">
        <f t="shared" si="14"/>
        <v>0.39077985226977469</v>
      </c>
      <c r="AV21" s="125">
        <f t="shared" si="15"/>
        <v>0.95486600846262337</v>
      </c>
      <c r="AW21" s="141">
        <f t="shared" si="24"/>
        <v>0.21972735290053846</v>
      </c>
      <c r="AX21" s="142">
        <f t="shared" si="16"/>
        <v>8.8590590746273428E-4</v>
      </c>
      <c r="AY21" s="143"/>
    </row>
    <row r="22" spans="1:51" x14ac:dyDescent="0.25">
      <c r="A22" s="148">
        <v>1</v>
      </c>
      <c r="B22" s="147">
        <f>+'Gains Chart'!E53</f>
        <v>44</v>
      </c>
      <c r="C22" s="181">
        <f t="shared" si="17"/>
        <v>1418</v>
      </c>
      <c r="D22" s="181">
        <f>'Gains Chart'!I53</f>
        <v>43</v>
      </c>
      <c r="E22" s="181">
        <f>'Gains Chart'!J53</f>
        <v>1375</v>
      </c>
      <c r="F22" s="181">
        <f>'Gains Chart'!K53</f>
        <v>0</v>
      </c>
      <c r="G22" s="181">
        <f>+'Gains Chart'!L53+'Gains Chart'!M53</f>
        <v>0</v>
      </c>
      <c r="H22" s="123">
        <f t="shared" si="18"/>
        <v>28359</v>
      </c>
      <c r="I22" s="123">
        <f>C22</f>
        <v>1418</v>
      </c>
      <c r="J22" s="124">
        <f>C22/C$23</f>
        <v>5.0001763108713286E-2</v>
      </c>
      <c r="K22" s="124">
        <f>H22/C$23</f>
        <v>1</v>
      </c>
      <c r="L22" s="124">
        <f>I22/C$23</f>
        <v>5.0001763108713286E-2</v>
      </c>
      <c r="M22" s="123">
        <f t="shared" si="19"/>
        <v>16456</v>
      </c>
      <c r="N22" s="123">
        <f>D22</f>
        <v>43</v>
      </c>
      <c r="O22" s="124">
        <f>D22/D$23</f>
        <v>2.6130286825473991E-3</v>
      </c>
      <c r="P22" s="124">
        <f>M22/D$23</f>
        <v>1</v>
      </c>
      <c r="Q22" s="124">
        <f>N22/D$23</f>
        <v>2.6130286825473991E-3</v>
      </c>
      <c r="R22" s="125">
        <f t="shared" si="2"/>
        <v>3.0324400564174896E-2</v>
      </c>
      <c r="S22" s="125">
        <f t="shared" si="3"/>
        <v>0.5802743397157869</v>
      </c>
      <c r="T22" s="125">
        <f t="shared" si="64"/>
        <v>3.0324400564174896E-2</v>
      </c>
      <c r="U22" s="123">
        <f t="shared" si="20"/>
        <v>11903</v>
      </c>
      <c r="V22" s="123">
        <f>E22</f>
        <v>1375</v>
      </c>
      <c r="W22" s="124">
        <f>E22/E$23</f>
        <v>0.11551709653028648</v>
      </c>
      <c r="X22" s="124">
        <f>U22/E$23</f>
        <v>1</v>
      </c>
      <c r="Y22" s="124">
        <f>V22/E$23</f>
        <v>0.11551709653028648</v>
      </c>
      <c r="Z22" s="125">
        <f t="shared" si="5"/>
        <v>0.96967559943582515</v>
      </c>
      <c r="AA22" s="125">
        <f t="shared" si="6"/>
        <v>0.4197256602842131</v>
      </c>
      <c r="AB22" s="125">
        <f t="shared" si="7"/>
        <v>0.96967559943582515</v>
      </c>
      <c r="AC22" s="123">
        <f t="shared" si="42"/>
        <v>0</v>
      </c>
      <c r="AD22" s="123">
        <f>F22</f>
        <v>0</v>
      </c>
      <c r="AE22" s="124" t="e">
        <f>F22/F$23</f>
        <v>#DIV/0!</v>
      </c>
      <c r="AF22" s="124" t="e">
        <f>AC22/F$23</f>
        <v>#DIV/0!</v>
      </c>
      <c r="AG22" s="124" t="e">
        <f>AD22/F$23</f>
        <v>#DIV/0!</v>
      </c>
      <c r="AH22" s="123">
        <f t="shared" si="9"/>
        <v>43</v>
      </c>
      <c r="AI22" s="123">
        <f t="shared" si="48"/>
        <v>16456</v>
      </c>
      <c r="AJ22" s="123">
        <f>AH22</f>
        <v>43</v>
      </c>
      <c r="AK22" s="124">
        <f>AH22/AH$23</f>
        <v>2.6130286825473991E-3</v>
      </c>
      <c r="AL22" s="124">
        <f>AI22/AH$23</f>
        <v>1</v>
      </c>
      <c r="AM22" s="124">
        <f>AJ22/AH$23</f>
        <v>2.6130286825473991E-3</v>
      </c>
      <c r="AN22" s="123">
        <f t="shared" si="11"/>
        <v>1375</v>
      </c>
      <c r="AO22" s="123">
        <f t="shared" si="23"/>
        <v>11903</v>
      </c>
      <c r="AP22" s="123">
        <f>AN22</f>
        <v>1375</v>
      </c>
      <c r="AQ22" s="124">
        <f>AN22/AN$23</f>
        <v>0.11551709653028648</v>
      </c>
      <c r="AR22" s="124">
        <f>AO22/AN$23</f>
        <v>1</v>
      </c>
      <c r="AS22" s="124">
        <f>AP22/AN$23</f>
        <v>0.11551709653028648</v>
      </c>
      <c r="AT22" s="125">
        <f t="shared" si="13"/>
        <v>0.96967559943582515</v>
      </c>
      <c r="AU22" s="125">
        <f t="shared" si="14"/>
        <v>0.4197256602842131</v>
      </c>
      <c r="AV22" s="125">
        <f t="shared" si="15"/>
        <v>0.96967559943582515</v>
      </c>
      <c r="AW22" s="141">
        <f t="shared" si="24"/>
        <v>0.11290406784773908</v>
      </c>
      <c r="AX22" s="142">
        <f>AK22*((AS22+AS23)/2)</f>
        <v>1.509247432791176E-4</v>
      </c>
      <c r="AY22" s="143"/>
    </row>
    <row r="23" spans="1:51" s="73" customFormat="1" ht="12" customHeight="1" x14ac:dyDescent="0.3">
      <c r="A23" s="198" t="s">
        <v>5</v>
      </c>
      <c r="B23" s="198"/>
      <c r="C23" s="127">
        <f>SUM(C3:C22)</f>
        <v>28359</v>
      </c>
      <c r="D23" s="127">
        <f>SUM(D3:D22)</f>
        <v>16456</v>
      </c>
      <c r="E23" s="127">
        <f>SUM(E3:E22)</f>
        <v>11903</v>
      </c>
      <c r="F23" s="127">
        <f>SUM(F3:F22)</f>
        <v>0</v>
      </c>
      <c r="G23" s="127">
        <f>SUM(G3:G22)</f>
        <v>0</v>
      </c>
      <c r="H23" s="128"/>
      <c r="I23" s="128"/>
      <c r="J23" s="129"/>
      <c r="K23" s="129"/>
      <c r="L23" s="129"/>
      <c r="M23" s="128"/>
      <c r="N23" s="128"/>
      <c r="O23" s="129"/>
      <c r="P23" s="129"/>
      <c r="Q23" s="129"/>
      <c r="R23" s="130"/>
      <c r="S23" s="131"/>
      <c r="T23" s="131"/>
      <c r="U23" s="128"/>
      <c r="V23" s="128"/>
      <c r="W23" s="129"/>
      <c r="X23" s="129"/>
      <c r="Y23" s="129"/>
      <c r="Z23" s="130"/>
      <c r="AA23" s="131"/>
      <c r="AB23" s="131"/>
      <c r="AC23" s="128"/>
      <c r="AD23" s="128"/>
      <c r="AE23" s="129"/>
      <c r="AF23" s="129"/>
      <c r="AG23" s="129"/>
      <c r="AH23" s="128">
        <f>SUM(AH3:AH22)</f>
        <v>16456</v>
      </c>
      <c r="AI23" s="128"/>
      <c r="AJ23" s="128"/>
      <c r="AK23" s="129"/>
      <c r="AL23" s="129"/>
      <c r="AM23" s="129"/>
      <c r="AN23" s="128">
        <f>SUM(AN3:AN22)</f>
        <v>11903</v>
      </c>
      <c r="AO23" s="128"/>
      <c r="AP23" s="128"/>
      <c r="AQ23" s="129"/>
      <c r="AR23" s="129"/>
      <c r="AS23" s="129"/>
      <c r="AT23" s="130"/>
      <c r="AU23" s="130"/>
      <c r="AV23" s="130"/>
      <c r="AW23" s="144">
        <f>MAX(AW3:AW22)</f>
        <v>0.40687908368532855</v>
      </c>
      <c r="AX23" s="145">
        <f>1-SUM(AX3:AX22)</f>
        <v>0.84859284380699918</v>
      </c>
      <c r="AY23" s="146">
        <f>2*AX23-1</f>
        <v>0.69718568761399835</v>
      </c>
    </row>
  </sheetData>
  <protectedRanges>
    <protectedRange sqref="A3:B22" name="Range1"/>
  </protectedRanges>
  <mergeCells count="11">
    <mergeCell ref="AN1:AS1"/>
    <mergeCell ref="AT1:AV1"/>
    <mergeCell ref="A23:B23"/>
    <mergeCell ref="AH1:AM1"/>
    <mergeCell ref="A1:B1"/>
    <mergeCell ref="R1:T1"/>
    <mergeCell ref="Z1:AB1"/>
    <mergeCell ref="AC1:AG1"/>
    <mergeCell ref="U1:Y1"/>
    <mergeCell ref="M1:Q1"/>
    <mergeCell ref="H1:L1"/>
  </mergeCell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2:M63"/>
  <sheetViews>
    <sheetView tabSelected="1" topLeftCell="A15" zoomScale="160" zoomScaleNormal="160" workbookViewId="0">
      <selection activeCell="L22" sqref="L22"/>
    </sheetView>
  </sheetViews>
  <sheetFormatPr baseColWidth="10" defaultColWidth="8.109375" defaultRowHeight="13.2" x14ac:dyDescent="0.25"/>
  <cols>
    <col min="1" max="2" width="8.109375" style="149"/>
    <col min="3" max="3" width="9.77734375" style="150" bestFit="1" customWidth="1"/>
    <col min="4" max="4" width="9" style="151" bestFit="1" customWidth="1"/>
    <col min="5" max="5" width="8.109375" style="151"/>
    <col min="6" max="6" width="8.109375" style="150"/>
    <col min="7" max="7" width="9" style="151" bestFit="1" customWidth="1"/>
    <col min="8" max="8" width="8.109375" style="151"/>
    <col min="9" max="10" width="8.109375" style="152"/>
    <col min="11" max="16384" width="8.109375" style="153"/>
  </cols>
  <sheetData>
    <row r="2" spans="1:13" x14ac:dyDescent="0.25">
      <c r="A2" s="149">
        <v>1</v>
      </c>
      <c r="B2" s="149" t="s">
        <v>69</v>
      </c>
    </row>
    <row r="3" spans="1:13" x14ac:dyDescent="0.25">
      <c r="A3" s="149">
        <v>0</v>
      </c>
      <c r="B3" s="149" t="s">
        <v>70</v>
      </c>
    </row>
    <row r="5" spans="1:13" ht="13.8" x14ac:dyDescent="0.25">
      <c r="A5" s="154" t="s">
        <v>19</v>
      </c>
      <c r="B5" s="154" t="s">
        <v>20</v>
      </c>
      <c r="C5" s="154" t="s">
        <v>28</v>
      </c>
      <c r="D5" s="155"/>
      <c r="E5" s="156"/>
      <c r="F5" s="157"/>
      <c r="G5" s="156"/>
      <c r="H5" s="156"/>
      <c r="I5" s="158"/>
      <c r="J5" s="158"/>
    </row>
    <row r="6" spans="1:13" x14ac:dyDescent="0.25">
      <c r="A6" s="159">
        <f>Performance_BM!AW23*100</f>
        <v>40.687908368532852</v>
      </c>
      <c r="B6" s="159">
        <f>Performance_BM!AX23*100</f>
        <v>84.859284380699918</v>
      </c>
      <c r="C6" s="159">
        <f>Performance_BM!AY23*100</f>
        <v>69.718568761399837</v>
      </c>
      <c r="D6" s="160"/>
      <c r="E6" s="156"/>
      <c r="F6" s="157"/>
      <c r="G6" s="156"/>
      <c r="H6" s="156"/>
      <c r="I6" s="158"/>
      <c r="J6" s="158"/>
    </row>
    <row r="7" spans="1:13" s="151" customFormat="1" ht="13.5" customHeight="1" x14ac:dyDescent="0.25">
      <c r="A7" s="205" t="s">
        <v>4</v>
      </c>
      <c r="B7" s="205"/>
      <c r="C7" s="202" t="s">
        <v>5</v>
      </c>
      <c r="D7" s="202"/>
      <c r="E7" s="202"/>
      <c r="F7" s="202" t="str">
        <f>B2</f>
        <v>Malo</v>
      </c>
      <c r="G7" s="202"/>
      <c r="H7" s="202"/>
      <c r="I7" s="203" t="str">
        <f>CONCATENATE("Razón de ",B2)</f>
        <v>Razón de Malo</v>
      </c>
      <c r="J7" s="203"/>
    </row>
    <row r="8" spans="1:13" s="151" customFormat="1" ht="15" customHeight="1" x14ac:dyDescent="0.25">
      <c r="A8" s="161" t="s">
        <v>11</v>
      </c>
      <c r="B8" s="161" t="s">
        <v>12</v>
      </c>
      <c r="C8" s="162" t="s">
        <v>43</v>
      </c>
      <c r="D8" s="161" t="s">
        <v>16</v>
      </c>
      <c r="E8" s="161" t="s">
        <v>17</v>
      </c>
      <c r="F8" s="162" t="s">
        <v>43</v>
      </c>
      <c r="G8" s="161" t="s">
        <v>16</v>
      </c>
      <c r="H8" s="161" t="s">
        <v>17</v>
      </c>
      <c r="I8" s="163" t="s">
        <v>13</v>
      </c>
      <c r="J8" s="161" t="s">
        <v>14</v>
      </c>
      <c r="L8" s="164"/>
      <c r="M8" s="153"/>
    </row>
    <row r="9" spans="1:13" x14ac:dyDescent="0.25">
      <c r="A9" s="165">
        <f>Performance_BM!A3</f>
        <v>876</v>
      </c>
      <c r="B9" s="165">
        <v>999</v>
      </c>
      <c r="C9" s="166">
        <f>Performance_BM!C3</f>
        <v>1418</v>
      </c>
      <c r="D9" s="167">
        <f>Performance_BM!J3</f>
        <v>5.0001763108713286E-2</v>
      </c>
      <c r="E9" s="167">
        <f>Performance_BM!K3</f>
        <v>5.0001763108713286E-2</v>
      </c>
      <c r="F9" s="166">
        <f>Performance_BM!AN3</f>
        <v>106</v>
      </c>
      <c r="G9" s="167">
        <f>Performance_BM!AQ3</f>
        <v>8.905317987062086E-3</v>
      </c>
      <c r="H9" s="167">
        <f>Performance_BM!AR3</f>
        <v>8.905317987062086E-3</v>
      </c>
      <c r="I9" s="168">
        <f>Performance_BM!AT3</f>
        <v>7.4753173483779967E-2</v>
      </c>
      <c r="J9" s="169">
        <f>Performance_BM!AU3</f>
        <v>7.4753173483779967E-2</v>
      </c>
      <c r="K9" s="170"/>
      <c r="L9" s="164"/>
    </row>
    <row r="10" spans="1:13" x14ac:dyDescent="0.25">
      <c r="A10" s="165">
        <f>Performance_BM!A4</f>
        <v>869</v>
      </c>
      <c r="B10" s="165">
        <f>Performance_BM!B4</f>
        <v>876</v>
      </c>
      <c r="C10" s="166">
        <f>Performance_BM!C4</f>
        <v>1418</v>
      </c>
      <c r="D10" s="167">
        <f>Performance_BM!J4</f>
        <v>5.0001763108713286E-2</v>
      </c>
      <c r="E10" s="167">
        <f>Performance_BM!K4</f>
        <v>0.10000352621742657</v>
      </c>
      <c r="F10" s="166">
        <f>Performance_BM!AN4</f>
        <v>134</v>
      </c>
      <c r="G10" s="167">
        <f>Performance_BM!AQ4</f>
        <v>1.1257666134587918E-2</v>
      </c>
      <c r="H10" s="167">
        <f>Performance_BM!AR4</f>
        <v>2.0162984121650004E-2</v>
      </c>
      <c r="I10" s="168">
        <f>Performance_BM!AT4</f>
        <v>9.4499294781382234E-2</v>
      </c>
      <c r="J10" s="169">
        <f>Performance_BM!AU4</f>
        <v>8.4626234132581094E-2</v>
      </c>
      <c r="K10" s="170"/>
      <c r="L10" s="164"/>
    </row>
    <row r="11" spans="1:13" x14ac:dyDescent="0.25">
      <c r="A11" s="165">
        <f>Performance_BM!A5</f>
        <v>858</v>
      </c>
      <c r="B11" s="165">
        <f>Performance_BM!B5</f>
        <v>869</v>
      </c>
      <c r="C11" s="166">
        <f>Performance_BM!C5</f>
        <v>1418</v>
      </c>
      <c r="D11" s="167">
        <f>Performance_BM!J5</f>
        <v>5.0001763108713286E-2</v>
      </c>
      <c r="E11" s="167">
        <f>Performance_BM!K5</f>
        <v>0.15000528932613985</v>
      </c>
      <c r="F11" s="166">
        <f>Performance_BM!AN5</f>
        <v>168</v>
      </c>
      <c r="G11" s="167">
        <f>Performance_BM!AQ5</f>
        <v>1.4114088885155003E-2</v>
      </c>
      <c r="H11" s="167">
        <f>Performance_BM!AR5</f>
        <v>3.4277073006805006E-2</v>
      </c>
      <c r="I11" s="168">
        <f>Performance_BM!AT5</f>
        <v>0.11847672778561354</v>
      </c>
      <c r="J11" s="169">
        <f>Performance_BM!AU5</f>
        <v>9.590973201692525E-2</v>
      </c>
      <c r="K11" s="170"/>
      <c r="L11" s="164"/>
    </row>
    <row r="12" spans="1:13" x14ac:dyDescent="0.25">
      <c r="A12" s="165">
        <f>Performance_BM!A6</f>
        <v>841</v>
      </c>
      <c r="B12" s="165">
        <f>Performance_BM!B6</f>
        <v>858</v>
      </c>
      <c r="C12" s="166">
        <f>Performance_BM!C6</f>
        <v>1418</v>
      </c>
      <c r="D12" s="167">
        <f>Performance_BM!J6</f>
        <v>5.0001763108713286E-2</v>
      </c>
      <c r="E12" s="167">
        <f>Performance_BM!K6</f>
        <v>0.20000705243485314</v>
      </c>
      <c r="F12" s="166">
        <f>Performance_BM!AN6</f>
        <v>202</v>
      </c>
      <c r="G12" s="167">
        <f>Performance_BM!AQ6</f>
        <v>1.6970511635722087E-2</v>
      </c>
      <c r="H12" s="167">
        <f>Performance_BM!AR6</f>
        <v>5.1247584642527093E-2</v>
      </c>
      <c r="I12" s="168">
        <f>Performance_BM!AT6</f>
        <v>0.14245416078984485</v>
      </c>
      <c r="J12" s="169">
        <f>Performance_BM!AU6</f>
        <v>0.10754583921015515</v>
      </c>
      <c r="K12" s="170"/>
      <c r="L12" s="164"/>
    </row>
    <row r="13" spans="1:13" x14ac:dyDescent="0.25">
      <c r="A13" s="165">
        <f>Performance_BM!A7</f>
        <v>828</v>
      </c>
      <c r="B13" s="165">
        <f>Performance_BM!B7</f>
        <v>841</v>
      </c>
      <c r="C13" s="166">
        <f>Performance_BM!C7</f>
        <v>1418</v>
      </c>
      <c r="D13" s="167">
        <f>Performance_BM!J7</f>
        <v>5.0001763108713286E-2</v>
      </c>
      <c r="E13" s="167">
        <f>Performance_BM!K7</f>
        <v>0.25000881554356641</v>
      </c>
      <c r="F13" s="166">
        <f>Performance_BM!AN7</f>
        <v>232</v>
      </c>
      <c r="G13" s="167">
        <f>Performance_BM!AQ7</f>
        <v>1.9490884650928339E-2</v>
      </c>
      <c r="H13" s="167">
        <f>Performance_BM!AR7</f>
        <v>7.0738469293455425E-2</v>
      </c>
      <c r="I13" s="168">
        <f>Performance_BM!AT7</f>
        <v>0.16361071932299012</v>
      </c>
      <c r="J13" s="169">
        <f>Performance_BM!AU7</f>
        <v>0.11875881523272215</v>
      </c>
      <c r="K13" s="170"/>
      <c r="L13" s="164"/>
    </row>
    <row r="14" spans="1:13" x14ac:dyDescent="0.25">
      <c r="A14" s="165">
        <f>Performance_BM!A8</f>
        <v>817</v>
      </c>
      <c r="B14" s="165">
        <f>Performance_BM!B8</f>
        <v>828</v>
      </c>
      <c r="C14" s="166">
        <f>Performance_BM!C8</f>
        <v>1418</v>
      </c>
      <c r="D14" s="167">
        <f>Performance_BM!J8</f>
        <v>5.0001763108713286E-2</v>
      </c>
      <c r="E14" s="167">
        <f>Performance_BM!K8</f>
        <v>0.3000105786522797</v>
      </c>
      <c r="F14" s="166">
        <f>Performance_BM!AN8</f>
        <v>246</v>
      </c>
      <c r="G14" s="167">
        <f>Performance_BM!AQ8</f>
        <v>2.0667058724691253E-2</v>
      </c>
      <c r="H14" s="167">
        <f>Performance_BM!AR8</f>
        <v>9.1405528018146692E-2</v>
      </c>
      <c r="I14" s="168">
        <f>Performance_BM!AT8</f>
        <v>0.17348377997179126</v>
      </c>
      <c r="J14" s="169">
        <f>Performance_BM!AU8</f>
        <v>0.12787964268923366</v>
      </c>
      <c r="K14" s="170"/>
      <c r="L14" s="164"/>
    </row>
    <row r="15" spans="1:13" x14ac:dyDescent="0.25">
      <c r="A15" s="165">
        <f>Performance_BM!A9</f>
        <v>805</v>
      </c>
      <c r="B15" s="165">
        <f>Performance_BM!B9</f>
        <v>817</v>
      </c>
      <c r="C15" s="166">
        <f>Performance_BM!C9</f>
        <v>1418</v>
      </c>
      <c r="D15" s="167">
        <f>Performance_BM!J9</f>
        <v>5.0001763108713286E-2</v>
      </c>
      <c r="E15" s="167">
        <f>Performance_BM!K9</f>
        <v>0.350012341760993</v>
      </c>
      <c r="F15" s="166">
        <f>Performance_BM!AN9</f>
        <v>262</v>
      </c>
      <c r="G15" s="167">
        <f>Performance_BM!AQ9</f>
        <v>2.2011257666134588E-2</v>
      </c>
      <c r="H15" s="167">
        <f>Performance_BM!AR9</f>
        <v>0.11341678568428128</v>
      </c>
      <c r="I15" s="168">
        <f>Performance_BM!AT9</f>
        <v>0.18476727785613539</v>
      </c>
      <c r="J15" s="169">
        <f>Performance_BM!AU9</f>
        <v>0.13600644771307677</v>
      </c>
      <c r="K15" s="170"/>
      <c r="L15" s="164"/>
    </row>
    <row r="16" spans="1:13" x14ac:dyDescent="0.25">
      <c r="A16" s="165">
        <f>Performance_BM!A10</f>
        <v>784</v>
      </c>
      <c r="B16" s="165">
        <f>Performance_BM!B10</f>
        <v>805</v>
      </c>
      <c r="C16" s="166">
        <f>Performance_BM!C10</f>
        <v>1418</v>
      </c>
      <c r="D16" s="167">
        <f>Performance_BM!J10</f>
        <v>5.0001763108713286E-2</v>
      </c>
      <c r="E16" s="167">
        <f>Performance_BM!K10</f>
        <v>0.40001410486970629</v>
      </c>
      <c r="F16" s="166">
        <f>Performance_BM!AN10</f>
        <v>347</v>
      </c>
      <c r="G16" s="167">
        <f>Performance_BM!AQ10</f>
        <v>2.9152314542552297E-2</v>
      </c>
      <c r="H16" s="167">
        <f>Performance_BM!AR10</f>
        <v>0.14256910022683358</v>
      </c>
      <c r="I16" s="168">
        <f>Performance_BM!AT10</f>
        <v>0.24471086036671369</v>
      </c>
      <c r="J16" s="169">
        <f>Performance_BM!AU10</f>
        <v>0.14959449929478139</v>
      </c>
      <c r="K16" s="170"/>
      <c r="L16" s="164"/>
    </row>
    <row r="17" spans="1:13" x14ac:dyDescent="0.25">
      <c r="A17" s="165">
        <f>Performance_BM!A11</f>
        <v>753</v>
      </c>
      <c r="B17" s="165">
        <f>Performance_BM!B11</f>
        <v>783</v>
      </c>
      <c r="C17" s="166">
        <f>Performance_BM!C11</f>
        <v>1418</v>
      </c>
      <c r="D17" s="167">
        <f>Performance_BM!J11</f>
        <v>5.0001763108713286E-2</v>
      </c>
      <c r="E17" s="167">
        <f>Performance_BM!K11</f>
        <v>0.45001586797841953</v>
      </c>
      <c r="F17" s="166">
        <f>Performance_BM!AN11</f>
        <v>364</v>
      </c>
      <c r="G17" s="167">
        <f>Performance_BM!AQ11</f>
        <v>3.0580525917835839E-2</v>
      </c>
      <c r="H17" s="167">
        <f>Performance_BM!AR11</f>
        <v>0.17314962614466942</v>
      </c>
      <c r="I17" s="168">
        <f>Performance_BM!AT11</f>
        <v>0.25669957686882933</v>
      </c>
      <c r="J17" s="169">
        <f>Performance_BM!AU11</f>
        <v>0.1614950634696756</v>
      </c>
      <c r="K17" s="170"/>
      <c r="L17" s="164"/>
    </row>
    <row r="18" spans="1:13" x14ac:dyDescent="0.25">
      <c r="A18" s="165">
        <f>Performance_BM!A12</f>
        <v>728</v>
      </c>
      <c r="B18" s="165">
        <f>Performance_BM!B12</f>
        <v>753</v>
      </c>
      <c r="C18" s="166">
        <f>Performance_BM!C12</f>
        <v>1418</v>
      </c>
      <c r="D18" s="167">
        <f>Performance_BM!J12</f>
        <v>5.0001763108713286E-2</v>
      </c>
      <c r="E18" s="167">
        <f>Performance_BM!K12</f>
        <v>0.50001763108713282</v>
      </c>
      <c r="F18" s="166">
        <f>Performance_BM!AN12</f>
        <v>389</v>
      </c>
      <c r="G18" s="167">
        <f>Performance_BM!AQ12</f>
        <v>3.2680836763841051E-2</v>
      </c>
      <c r="H18" s="167">
        <f>Performance_BM!AR12</f>
        <v>0.20583046290851045</v>
      </c>
      <c r="I18" s="168">
        <f>Performance_BM!AT12</f>
        <v>0.27433004231311708</v>
      </c>
      <c r="J18" s="169">
        <f>Performance_BM!AU12</f>
        <v>0.17277856135401976</v>
      </c>
      <c r="K18" s="170"/>
      <c r="L18" s="164"/>
    </row>
    <row r="19" spans="1:13" x14ac:dyDescent="0.25">
      <c r="A19" s="165">
        <f>Performance_BM!A13</f>
        <v>697</v>
      </c>
      <c r="B19" s="165">
        <f>Performance_BM!B13</f>
        <v>728</v>
      </c>
      <c r="C19" s="166">
        <f>Performance_BM!C13</f>
        <v>1417</v>
      </c>
      <c r="D19" s="167">
        <f>Performance_BM!J13</f>
        <v>4.996650093444762E-2</v>
      </c>
      <c r="E19" s="167">
        <f>Performance_BM!K13</f>
        <v>0.54998413202158047</v>
      </c>
      <c r="F19" s="166">
        <f>Performance_BM!AN13</f>
        <v>457</v>
      </c>
      <c r="G19" s="167">
        <f>Performance_BM!AQ13</f>
        <v>3.8393682264975214E-2</v>
      </c>
      <c r="H19" s="167">
        <f>Performance_BM!AR13</f>
        <v>0.24422414517348567</v>
      </c>
      <c r="I19" s="168">
        <f>Performance_BM!AT13</f>
        <v>0.32251235003528583</v>
      </c>
      <c r="J19" s="169">
        <f>Performance_BM!AU13</f>
        <v>0.18638199653779572</v>
      </c>
      <c r="K19" s="170"/>
      <c r="L19" s="164"/>
    </row>
    <row r="20" spans="1:13" x14ac:dyDescent="0.25">
      <c r="A20" s="165">
        <f>Performance_BM!A14</f>
        <v>644</v>
      </c>
      <c r="B20" s="165">
        <f>Performance_BM!B14</f>
        <v>697</v>
      </c>
      <c r="C20" s="166">
        <f>Performance_BM!C14</f>
        <v>1418</v>
      </c>
      <c r="D20" s="167">
        <f>Performance_BM!J14</f>
        <v>5.0001763108713286E-2</v>
      </c>
      <c r="E20" s="167">
        <f>Performance_BM!K14</f>
        <v>0.59998589513029377</v>
      </c>
      <c r="F20" s="166">
        <f>Performance_BM!AN14</f>
        <v>504</v>
      </c>
      <c r="G20" s="167">
        <f>Performance_BM!AQ14</f>
        <v>4.2342266655465012E-2</v>
      </c>
      <c r="H20" s="167">
        <f>Performance_BM!AR14</f>
        <v>0.28656641182895071</v>
      </c>
      <c r="I20" s="168">
        <f>Performance_BM!AT14</f>
        <v>0.35543018335684062</v>
      </c>
      <c r="J20" s="169">
        <f>Performance_BM!AU14</f>
        <v>0.20047017337643255</v>
      </c>
      <c r="K20" s="170"/>
      <c r="L20" s="164"/>
    </row>
    <row r="21" spans="1:13" x14ac:dyDescent="0.25">
      <c r="A21" s="165">
        <f>Performance_BM!A15</f>
        <v>568</v>
      </c>
      <c r="B21" s="165">
        <f>Performance_BM!B15</f>
        <v>644</v>
      </c>
      <c r="C21" s="166">
        <f>Performance_BM!C15</f>
        <v>1418</v>
      </c>
      <c r="D21" s="167">
        <f>Performance_BM!J15</f>
        <v>5.0001763108713286E-2</v>
      </c>
      <c r="E21" s="167">
        <f>Performance_BM!K15</f>
        <v>0.64998765823900706</v>
      </c>
      <c r="F21" s="166">
        <f>Performance_BM!AN15</f>
        <v>576</v>
      </c>
      <c r="G21" s="167">
        <f>Performance_BM!AQ15</f>
        <v>4.8391161891960008E-2</v>
      </c>
      <c r="H21" s="167">
        <f>Performance_BM!AR15</f>
        <v>0.33495757372091067</v>
      </c>
      <c r="I21" s="168">
        <f>Performance_BM!AT15</f>
        <v>0.40620592383638926</v>
      </c>
      <c r="J21" s="169">
        <f>Performance_BM!AU15</f>
        <v>0.21629685889437422</v>
      </c>
      <c r="K21" s="170"/>
      <c r="L21" s="164"/>
    </row>
    <row r="22" spans="1:13" x14ac:dyDescent="0.25">
      <c r="A22" s="165">
        <f>Performance_BM!A16</f>
        <v>428</v>
      </c>
      <c r="B22" s="165">
        <f>Performance_BM!B16</f>
        <v>568</v>
      </c>
      <c r="C22" s="166">
        <f>Performance_BM!C16</f>
        <v>1418</v>
      </c>
      <c r="D22" s="167">
        <f>Performance_BM!J16</f>
        <v>5.0001763108713286E-2</v>
      </c>
      <c r="E22" s="167">
        <f>Performance_BM!K16</f>
        <v>0.69998942134772035</v>
      </c>
      <c r="F22" s="166">
        <f>Performance_BM!AN16</f>
        <v>692</v>
      </c>
      <c r="G22" s="167">
        <f>Performance_BM!AQ16</f>
        <v>5.8136604217424177E-2</v>
      </c>
      <c r="H22" s="167">
        <f>Performance_BM!AR16</f>
        <v>0.3930941779383349</v>
      </c>
      <c r="I22" s="168">
        <f>Performance_BM!AT16</f>
        <v>0.48801128349788436</v>
      </c>
      <c r="J22" s="169">
        <f>Performance_BM!AU16</f>
        <v>0.23570600977280742</v>
      </c>
      <c r="K22" s="170"/>
      <c r="L22" s="164"/>
    </row>
    <row r="23" spans="1:13" x14ac:dyDescent="0.25">
      <c r="A23" s="165">
        <f>Performance_BM!A17</f>
        <v>265</v>
      </c>
      <c r="B23" s="165">
        <f>Performance_BM!B17</f>
        <v>428</v>
      </c>
      <c r="C23" s="166">
        <f>Performance_BM!C17</f>
        <v>1418</v>
      </c>
      <c r="D23" s="167">
        <f>Performance_BM!J17</f>
        <v>5.0001763108713286E-2</v>
      </c>
      <c r="E23" s="167">
        <f>Performance_BM!K17</f>
        <v>0.74999118445643354</v>
      </c>
      <c r="F23" s="166">
        <f>Performance_BM!AN17</f>
        <v>933</v>
      </c>
      <c r="G23" s="167">
        <f>Performance_BM!AQ17</f>
        <v>7.8383600772914397E-2</v>
      </c>
      <c r="H23" s="167">
        <f>Performance_BM!AR17</f>
        <v>0.47147777871124924</v>
      </c>
      <c r="I23" s="168">
        <f>Performance_BM!AT17</f>
        <v>0.65796897038081803</v>
      </c>
      <c r="J23" s="169">
        <f>Performance_BM!AU17</f>
        <v>0.26385819737646338</v>
      </c>
      <c r="K23" s="170"/>
      <c r="L23" s="164"/>
    </row>
    <row r="24" spans="1:13" x14ac:dyDescent="0.25">
      <c r="A24" s="165">
        <f>Performance_BM!A18</f>
        <v>169</v>
      </c>
      <c r="B24" s="165">
        <f>Performance_BM!B18</f>
        <v>265</v>
      </c>
      <c r="C24" s="166">
        <f>Performance_BM!C18</f>
        <v>1418</v>
      </c>
      <c r="D24" s="167">
        <f>Performance_BM!J18</f>
        <v>5.0001763108713286E-2</v>
      </c>
      <c r="E24" s="167">
        <f>Performance_BM!K18</f>
        <v>0.79999294756514683</v>
      </c>
      <c r="F24" s="166">
        <f>Performance_BM!AN18</f>
        <v>1100</v>
      </c>
      <c r="G24" s="167">
        <f>Performance_BM!AQ18</f>
        <v>9.241367722422919E-2</v>
      </c>
      <c r="H24" s="167">
        <f>Performance_BM!AR18</f>
        <v>0.5638914559354784</v>
      </c>
      <c r="I24" s="168">
        <f>Performance_BM!AT18</f>
        <v>0.7757404795486601</v>
      </c>
      <c r="J24" s="169">
        <f>Performance_BM!AU18</f>
        <v>0.29585225018733197</v>
      </c>
      <c r="K24" s="170"/>
      <c r="L24" s="164"/>
    </row>
    <row r="25" spans="1:13" x14ac:dyDescent="0.25">
      <c r="A25" s="165">
        <f>Performance_BM!A19</f>
        <v>113</v>
      </c>
      <c r="B25" s="165">
        <f>Performance_BM!B19</f>
        <v>169</v>
      </c>
      <c r="C25" s="166">
        <f>Performance_BM!C19</f>
        <v>1418</v>
      </c>
      <c r="D25" s="167">
        <f>Performance_BM!J19</f>
        <v>5.0001763108713286E-2</v>
      </c>
      <c r="E25" s="167">
        <f>Performance_BM!K19</f>
        <v>0.84999471067386012</v>
      </c>
      <c r="F25" s="166">
        <f>Performance_BM!AN19</f>
        <v>1218</v>
      </c>
      <c r="G25" s="167">
        <f>Performance_BM!AQ19</f>
        <v>0.10232714441737377</v>
      </c>
      <c r="H25" s="167">
        <f>Performance_BM!AR19</f>
        <v>0.66621860035285219</v>
      </c>
      <c r="I25" s="168">
        <f>Performance_BM!AT19</f>
        <v>0.85895627644569816</v>
      </c>
      <c r="J25" s="169">
        <f>Performance_BM!AU19</f>
        <v>0.32897739058286662</v>
      </c>
      <c r="K25" s="170"/>
      <c r="L25" s="164"/>
    </row>
    <row r="26" spans="1:13" x14ac:dyDescent="0.25">
      <c r="A26" s="165">
        <f>Performance_BM!A20</f>
        <v>76</v>
      </c>
      <c r="B26" s="165">
        <f>Performance_BM!B20</f>
        <v>113</v>
      </c>
      <c r="C26" s="166">
        <f>Performance_BM!C20</f>
        <v>1418</v>
      </c>
      <c r="D26" s="167">
        <f>Performance_BM!J20</f>
        <v>5.0001763108713286E-2</v>
      </c>
      <c r="E26" s="167">
        <f>Performance_BM!K20</f>
        <v>0.89999647378257341</v>
      </c>
      <c r="F26" s="166">
        <f>Performance_BM!AN20</f>
        <v>1265</v>
      </c>
      <c r="G26" s="167">
        <f>Performance_BM!AQ20</f>
        <v>0.10627572880786357</v>
      </c>
      <c r="H26" s="167">
        <f>Performance_BM!AR20</f>
        <v>0.77249432916071581</v>
      </c>
      <c r="I26" s="168">
        <f>Performance_BM!AT20</f>
        <v>0.89210155148095904</v>
      </c>
      <c r="J26" s="169">
        <f>Performance_BM!AU20</f>
        <v>0.36026329193276652</v>
      </c>
      <c r="K26" s="170"/>
      <c r="L26" s="164"/>
    </row>
    <row r="27" spans="1:13" x14ac:dyDescent="0.25">
      <c r="A27" s="165">
        <f>Performance_BM!A21</f>
        <v>45</v>
      </c>
      <c r="B27" s="165">
        <f>Performance_BM!B21</f>
        <v>76</v>
      </c>
      <c r="C27" s="166">
        <f>Performance_BM!C21</f>
        <v>1418</v>
      </c>
      <c r="D27" s="167">
        <f>Performance_BM!J21</f>
        <v>5.0001763108713286E-2</v>
      </c>
      <c r="E27" s="167">
        <f>Performance_BM!K21</f>
        <v>0.94999823689128671</v>
      </c>
      <c r="F27" s="166">
        <f>Performance_BM!AN21</f>
        <v>1333</v>
      </c>
      <c r="G27" s="167">
        <f>Performance_BM!AQ21</f>
        <v>0.11198857430899774</v>
      </c>
      <c r="H27" s="167">
        <f>Performance_BM!AR21</f>
        <v>0.88448290346971348</v>
      </c>
      <c r="I27" s="168">
        <f>Performance_BM!AT21</f>
        <v>0.9400564174894217</v>
      </c>
      <c r="J27" s="169">
        <f>Performance_BM!AU21</f>
        <v>0.39077985226977469</v>
      </c>
      <c r="K27" s="170"/>
      <c r="L27" s="164"/>
    </row>
    <row r="28" spans="1:13" x14ac:dyDescent="0.25">
      <c r="A28" s="165">
        <v>1</v>
      </c>
      <c r="B28" s="165">
        <f>Performance_BM!B22</f>
        <v>44</v>
      </c>
      <c r="C28" s="166">
        <f>Performance_BM!C22</f>
        <v>1418</v>
      </c>
      <c r="D28" s="167">
        <f>Performance_BM!J22</f>
        <v>5.0001763108713286E-2</v>
      </c>
      <c r="E28" s="167">
        <f>Performance_BM!K22</f>
        <v>1</v>
      </c>
      <c r="F28" s="166">
        <f>Performance_BM!AN22</f>
        <v>1375</v>
      </c>
      <c r="G28" s="167">
        <f>Performance_BM!AQ22</f>
        <v>0.11551709653028648</v>
      </c>
      <c r="H28" s="167">
        <f>Performance_BM!AR22</f>
        <v>1</v>
      </c>
      <c r="I28" s="168">
        <f>Performance_BM!AT22</f>
        <v>0.96967559943582515</v>
      </c>
      <c r="J28" s="169">
        <f>Performance_BM!AU22</f>
        <v>0.4197256602842131</v>
      </c>
      <c r="K28" s="170"/>
      <c r="L28" s="164"/>
    </row>
    <row r="29" spans="1:13" s="177" customFormat="1" x14ac:dyDescent="0.25">
      <c r="A29" s="204" t="s">
        <v>5</v>
      </c>
      <c r="B29" s="204"/>
      <c r="C29" s="171">
        <f>SUM(C9:C28)</f>
        <v>28359</v>
      </c>
      <c r="D29" s="172"/>
      <c r="E29" s="172"/>
      <c r="F29" s="171">
        <f>SUM(F9:F28)</f>
        <v>11903</v>
      </c>
      <c r="G29" s="172"/>
      <c r="H29" s="172"/>
      <c r="I29" s="173"/>
      <c r="J29" s="173"/>
      <c r="K29" s="174"/>
      <c r="L29" s="175"/>
      <c r="M29" s="176"/>
    </row>
    <row r="33" spans="2:13" x14ac:dyDescent="0.25">
      <c r="B33" s="178"/>
      <c r="C33" s="179" t="s">
        <v>71</v>
      </c>
      <c r="D33" s="165" t="s">
        <v>11</v>
      </c>
      <c r="E33" s="165" t="s">
        <v>12</v>
      </c>
      <c r="H33" s="233" t="s">
        <v>71</v>
      </c>
      <c r="I33" s="179">
        <v>0</v>
      </c>
      <c r="J33" s="179">
        <v>1</v>
      </c>
      <c r="K33" s="179">
        <v>2</v>
      </c>
      <c r="L33" s="179">
        <v>3</v>
      </c>
      <c r="M33" s="179">
        <v>4</v>
      </c>
    </row>
    <row r="34" spans="2:13" x14ac:dyDescent="0.25">
      <c r="B34" s="235">
        <v>4.1666666666666699E-2</v>
      </c>
      <c r="C34" s="166">
        <v>1</v>
      </c>
      <c r="D34" s="180">
        <v>876</v>
      </c>
      <c r="E34" s="180">
        <v>906</v>
      </c>
      <c r="H34" s="233">
        <v>1</v>
      </c>
      <c r="I34" s="166">
        <v>1312</v>
      </c>
      <c r="J34" s="166">
        <v>106</v>
      </c>
      <c r="K34" s="166"/>
      <c r="L34" s="166"/>
      <c r="M34" s="166"/>
    </row>
    <row r="35" spans="2:13" x14ac:dyDescent="0.25">
      <c r="B35" s="235">
        <v>8.3333333333333398E-2</v>
      </c>
      <c r="C35" s="166">
        <v>2</v>
      </c>
      <c r="D35" s="180">
        <v>869</v>
      </c>
      <c r="E35" s="180">
        <v>876</v>
      </c>
      <c r="H35" s="233">
        <v>2</v>
      </c>
      <c r="I35" s="166">
        <v>1284</v>
      </c>
      <c r="J35" s="166">
        <v>134</v>
      </c>
      <c r="K35" s="166"/>
      <c r="L35" s="166"/>
      <c r="M35" s="166"/>
    </row>
    <row r="36" spans="2:13" x14ac:dyDescent="0.25">
      <c r="B36" s="235">
        <v>0.125</v>
      </c>
      <c r="C36" s="166">
        <v>3</v>
      </c>
      <c r="D36" s="180">
        <v>858</v>
      </c>
      <c r="E36" s="180">
        <v>869</v>
      </c>
      <c r="H36" s="233">
        <v>3</v>
      </c>
      <c r="I36" s="166">
        <v>1250</v>
      </c>
      <c r="J36" s="166">
        <v>168</v>
      </c>
      <c r="K36" s="166"/>
      <c r="L36" s="166"/>
      <c r="M36" s="166"/>
    </row>
    <row r="37" spans="2:13" x14ac:dyDescent="0.25">
      <c r="B37" s="235">
        <v>0.16666666666666699</v>
      </c>
      <c r="C37" s="166">
        <v>4</v>
      </c>
      <c r="D37" s="180">
        <v>841</v>
      </c>
      <c r="E37" s="180">
        <v>858</v>
      </c>
      <c r="H37" s="233">
        <v>4</v>
      </c>
      <c r="I37" s="166">
        <v>1216</v>
      </c>
      <c r="J37" s="166">
        <v>202</v>
      </c>
      <c r="K37" s="166"/>
      <c r="L37" s="166"/>
      <c r="M37" s="166"/>
    </row>
    <row r="38" spans="2:13" ht="13.05" customHeight="1" x14ac:dyDescent="0.25">
      <c r="B38" s="235">
        <v>0.20833333333333301</v>
      </c>
      <c r="C38" s="166">
        <v>5</v>
      </c>
      <c r="D38" s="180">
        <v>828</v>
      </c>
      <c r="E38" s="180">
        <v>841</v>
      </c>
      <c r="H38" s="233">
        <v>5</v>
      </c>
      <c r="I38" s="166">
        <v>1186</v>
      </c>
      <c r="J38" s="166">
        <v>232</v>
      </c>
      <c r="K38" s="166"/>
      <c r="L38" s="166"/>
      <c r="M38" s="166"/>
    </row>
    <row r="39" spans="2:13" x14ac:dyDescent="0.25">
      <c r="B39" s="235">
        <v>0.25</v>
      </c>
      <c r="C39" s="166">
        <v>6</v>
      </c>
      <c r="D39" s="180">
        <v>817</v>
      </c>
      <c r="E39" s="180">
        <v>828</v>
      </c>
      <c r="H39" s="233">
        <v>6</v>
      </c>
      <c r="I39" s="166">
        <v>1172</v>
      </c>
      <c r="J39" s="166">
        <v>246</v>
      </c>
      <c r="K39" s="166"/>
      <c r="L39" s="166"/>
      <c r="M39" s="166"/>
    </row>
    <row r="40" spans="2:13" x14ac:dyDescent="0.25">
      <c r="B40" s="235">
        <v>0.29166666666666702</v>
      </c>
      <c r="C40" s="166">
        <v>7</v>
      </c>
      <c r="D40" s="180">
        <v>805</v>
      </c>
      <c r="E40" s="180">
        <v>817</v>
      </c>
      <c r="H40" s="233">
        <v>7</v>
      </c>
      <c r="I40" s="166">
        <v>1156</v>
      </c>
      <c r="J40" s="166">
        <v>262</v>
      </c>
      <c r="K40" s="166"/>
      <c r="L40" s="166"/>
      <c r="M40" s="166"/>
    </row>
    <row r="41" spans="2:13" x14ac:dyDescent="0.25">
      <c r="B41" s="235">
        <v>0.33333333333333298</v>
      </c>
      <c r="C41" s="166">
        <v>8</v>
      </c>
      <c r="D41" s="180">
        <v>784</v>
      </c>
      <c r="E41" s="180">
        <v>805</v>
      </c>
      <c r="H41" s="233">
        <v>8</v>
      </c>
      <c r="I41" s="166">
        <v>1071</v>
      </c>
      <c r="J41" s="166">
        <v>347</v>
      </c>
      <c r="K41" s="166"/>
      <c r="L41" s="166"/>
      <c r="M41" s="166"/>
    </row>
    <row r="42" spans="2:13" x14ac:dyDescent="0.25">
      <c r="B42" s="235">
        <v>0.375</v>
      </c>
      <c r="C42" s="166">
        <v>9</v>
      </c>
      <c r="D42" s="180">
        <v>753</v>
      </c>
      <c r="E42" s="180">
        <v>783</v>
      </c>
      <c r="H42" s="233">
        <v>9</v>
      </c>
      <c r="I42" s="166">
        <v>1054</v>
      </c>
      <c r="J42" s="166">
        <v>364</v>
      </c>
      <c r="K42" s="166"/>
      <c r="L42" s="166"/>
      <c r="M42" s="166"/>
    </row>
    <row r="43" spans="2:13" ht="13.95" customHeight="1" x14ac:dyDescent="0.25">
      <c r="B43" s="235">
        <v>0.41666666666666702</v>
      </c>
      <c r="C43" s="166">
        <v>10</v>
      </c>
      <c r="D43" s="180">
        <v>728</v>
      </c>
      <c r="E43" s="180">
        <v>753</v>
      </c>
      <c r="H43" s="233">
        <v>10</v>
      </c>
      <c r="I43" s="166">
        <v>1029</v>
      </c>
      <c r="J43" s="166">
        <v>389</v>
      </c>
      <c r="K43" s="166"/>
      <c r="L43" s="166"/>
      <c r="M43" s="166"/>
    </row>
    <row r="44" spans="2:13" ht="13.05" customHeight="1" x14ac:dyDescent="0.25">
      <c r="B44" s="235">
        <v>0.45833333333333298</v>
      </c>
      <c r="C44" s="166">
        <v>11</v>
      </c>
      <c r="D44" s="180">
        <v>697</v>
      </c>
      <c r="E44" s="180">
        <v>728</v>
      </c>
      <c r="H44" s="233">
        <v>11</v>
      </c>
      <c r="I44" s="166">
        <v>960</v>
      </c>
      <c r="J44" s="166">
        <v>457</v>
      </c>
      <c r="K44" s="166"/>
      <c r="L44" s="166"/>
      <c r="M44" s="166"/>
    </row>
    <row r="45" spans="2:13" ht="13.05" customHeight="1" x14ac:dyDescent="0.25">
      <c r="B45" s="235">
        <v>0.5</v>
      </c>
      <c r="C45" s="166">
        <v>12</v>
      </c>
      <c r="D45" s="180">
        <v>644</v>
      </c>
      <c r="E45" s="180">
        <v>697</v>
      </c>
      <c r="H45" s="233">
        <v>12</v>
      </c>
      <c r="I45" s="166">
        <v>914</v>
      </c>
      <c r="J45" s="166">
        <v>504</v>
      </c>
      <c r="K45" s="166"/>
      <c r="L45" s="166"/>
      <c r="M45" s="166"/>
    </row>
    <row r="46" spans="2:13" ht="13.05" customHeight="1" x14ac:dyDescent="0.25">
      <c r="B46" s="235">
        <v>0.54166666666666696</v>
      </c>
      <c r="C46" s="166">
        <v>13</v>
      </c>
      <c r="D46" s="180">
        <v>568</v>
      </c>
      <c r="E46" s="180">
        <v>644</v>
      </c>
      <c r="H46" s="233">
        <v>13</v>
      </c>
      <c r="I46" s="166">
        <v>842</v>
      </c>
      <c r="J46" s="166">
        <v>576</v>
      </c>
      <c r="K46" s="166"/>
      <c r="L46" s="166"/>
      <c r="M46" s="166"/>
    </row>
    <row r="47" spans="2:13" ht="13.05" customHeight="1" x14ac:dyDescent="0.25">
      <c r="B47" s="235">
        <v>0.58333333333333304</v>
      </c>
      <c r="C47" s="166">
        <v>14</v>
      </c>
      <c r="D47" s="180">
        <v>428</v>
      </c>
      <c r="E47" s="180">
        <v>568</v>
      </c>
      <c r="H47" s="233">
        <v>14</v>
      </c>
      <c r="I47" s="166">
        <v>726</v>
      </c>
      <c r="J47" s="166">
        <v>692</v>
      </c>
      <c r="K47" s="166"/>
      <c r="L47" s="166"/>
      <c r="M47" s="166"/>
    </row>
    <row r="48" spans="2:13" ht="13.05" customHeight="1" x14ac:dyDescent="0.25">
      <c r="B48" s="235">
        <v>0.625</v>
      </c>
      <c r="C48" s="166">
        <v>15</v>
      </c>
      <c r="D48" s="180">
        <v>265</v>
      </c>
      <c r="E48" s="180">
        <v>428</v>
      </c>
      <c r="H48" s="233">
        <v>15</v>
      </c>
      <c r="I48" s="166">
        <v>485</v>
      </c>
      <c r="J48" s="166">
        <v>933</v>
      </c>
      <c r="K48" s="166"/>
      <c r="L48" s="166"/>
      <c r="M48" s="166"/>
    </row>
    <row r="49" spans="2:13" ht="13.05" customHeight="1" x14ac:dyDescent="0.25">
      <c r="B49" s="235">
        <v>0.66666666666666696</v>
      </c>
      <c r="C49" s="166">
        <v>16</v>
      </c>
      <c r="D49" s="180">
        <v>169</v>
      </c>
      <c r="E49" s="180">
        <v>265</v>
      </c>
      <c r="H49" s="233">
        <v>16</v>
      </c>
      <c r="I49" s="166">
        <v>318</v>
      </c>
      <c r="J49" s="166">
        <v>1100</v>
      </c>
      <c r="K49" s="166"/>
      <c r="L49" s="166"/>
      <c r="M49" s="166"/>
    </row>
    <row r="50" spans="2:13" ht="13.05" customHeight="1" x14ac:dyDescent="0.25">
      <c r="B50" s="235">
        <v>0.70833333333333304</v>
      </c>
      <c r="C50" s="166">
        <v>17</v>
      </c>
      <c r="D50" s="180">
        <v>113</v>
      </c>
      <c r="E50" s="180">
        <v>169</v>
      </c>
      <c r="H50" s="233">
        <v>17</v>
      </c>
      <c r="I50" s="166">
        <v>200</v>
      </c>
      <c r="J50" s="166">
        <v>1218</v>
      </c>
      <c r="K50" s="166"/>
      <c r="L50" s="166"/>
      <c r="M50" s="166"/>
    </row>
    <row r="51" spans="2:13" ht="13.05" customHeight="1" x14ac:dyDescent="0.25">
      <c r="B51" s="235">
        <v>0.75</v>
      </c>
      <c r="C51" s="166">
        <v>18</v>
      </c>
      <c r="D51" s="180">
        <v>76</v>
      </c>
      <c r="E51" s="180">
        <v>113</v>
      </c>
      <c r="H51" s="233">
        <v>18</v>
      </c>
      <c r="I51" s="166">
        <v>153</v>
      </c>
      <c r="J51" s="166">
        <v>1265</v>
      </c>
      <c r="K51" s="166"/>
      <c r="L51" s="166"/>
      <c r="M51" s="166"/>
    </row>
    <row r="52" spans="2:13" ht="13.05" customHeight="1" x14ac:dyDescent="0.25">
      <c r="B52" s="235">
        <v>0.79166666666666696</v>
      </c>
      <c r="C52" s="166">
        <v>19</v>
      </c>
      <c r="D52" s="180">
        <v>45</v>
      </c>
      <c r="E52" s="180">
        <v>76</v>
      </c>
      <c r="H52" s="233">
        <v>19</v>
      </c>
      <c r="I52" s="166">
        <v>85</v>
      </c>
      <c r="J52" s="166">
        <v>1333</v>
      </c>
      <c r="K52" s="166"/>
      <c r="L52" s="166"/>
      <c r="M52" s="166"/>
    </row>
    <row r="53" spans="2:13" ht="13.05" customHeight="1" x14ac:dyDescent="0.25">
      <c r="B53" s="235">
        <v>0.83333333333333337</v>
      </c>
      <c r="C53" s="166">
        <v>20</v>
      </c>
      <c r="D53" s="180">
        <v>1</v>
      </c>
      <c r="E53" s="180">
        <v>44</v>
      </c>
      <c r="H53" s="234">
        <v>20</v>
      </c>
      <c r="I53" s="166">
        <v>43</v>
      </c>
      <c r="J53" s="166">
        <v>1375</v>
      </c>
      <c r="K53" s="166"/>
      <c r="L53" s="166"/>
      <c r="M53" s="166"/>
    </row>
    <row r="54" spans="2:13" ht="13.05" customHeight="1" x14ac:dyDescent="0.25"/>
    <row r="55" spans="2:13" ht="13.05" customHeight="1" x14ac:dyDescent="0.25"/>
    <row r="56" spans="2:13" ht="13.05" customHeight="1" x14ac:dyDescent="0.25"/>
    <row r="57" spans="2:13" ht="13.05" customHeight="1" x14ac:dyDescent="0.25"/>
    <row r="58" spans="2:13" ht="13.05" customHeight="1" x14ac:dyDescent="0.25"/>
    <row r="59" spans="2:13" ht="13.05" customHeight="1" x14ac:dyDescent="0.25"/>
    <row r="60" spans="2:13" ht="13.05" customHeight="1" x14ac:dyDescent="0.25"/>
    <row r="61" spans="2:13" ht="13.05" customHeight="1" x14ac:dyDescent="0.25"/>
    <row r="62" spans="2:13" ht="13.05" customHeight="1" x14ac:dyDescent="0.25"/>
    <row r="63" spans="2:13" ht="13.05" customHeight="1" x14ac:dyDescent="0.25"/>
  </sheetData>
  <mergeCells count="5">
    <mergeCell ref="F7:H7"/>
    <mergeCell ref="I7:J7"/>
    <mergeCell ref="A29:B29"/>
    <mergeCell ref="A7:B7"/>
    <mergeCell ref="C7:E7"/>
  </mergeCells>
  <conditionalFormatting sqref="I9: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AY48"/>
  <sheetViews>
    <sheetView zoomScale="150" zoomScaleNormal="150" workbookViewId="0">
      <selection activeCell="C12" sqref="C12"/>
    </sheetView>
  </sheetViews>
  <sheetFormatPr baseColWidth="10" defaultColWidth="9.109375" defaultRowHeight="13.8" x14ac:dyDescent="0.3"/>
  <cols>
    <col min="1" max="1" width="8.109375" style="74" customWidth="1"/>
    <col min="2" max="2" width="6.77734375" style="74" bestFit="1" customWidth="1"/>
    <col min="3" max="4" width="8.33203125" style="75" bestFit="1" customWidth="1"/>
    <col min="5" max="5" width="7.77734375" style="75" bestFit="1" customWidth="1"/>
    <col min="6" max="6" width="8.33203125" style="75" bestFit="1" customWidth="1"/>
    <col min="7" max="7" width="8.33203125" style="58" bestFit="1" customWidth="1"/>
    <col min="8" max="9" width="6.109375" style="75" bestFit="1" customWidth="1"/>
    <col min="10" max="11" width="6.33203125" style="55" bestFit="1" customWidth="1"/>
    <col min="12" max="12" width="7.33203125" style="55" bestFit="1" customWidth="1"/>
    <col min="13" max="14" width="6.109375" style="75" bestFit="1" customWidth="1"/>
    <col min="15" max="16" width="6.33203125" style="55" bestFit="1" customWidth="1"/>
    <col min="17" max="17" width="7.33203125" style="55" bestFit="1" customWidth="1"/>
    <col min="18" max="18" width="6.33203125" style="76" bestFit="1" customWidth="1"/>
    <col min="19" max="20" width="6.33203125" style="55" bestFit="1" customWidth="1"/>
    <col min="21" max="21" width="5.33203125" style="75" customWidth="1"/>
    <col min="22" max="22" width="6.109375" style="75" bestFit="1" customWidth="1"/>
    <col min="23" max="24" width="6.33203125" style="55" bestFit="1" customWidth="1"/>
    <col min="25" max="25" width="7.33203125" style="55" bestFit="1" customWidth="1"/>
    <col min="26" max="26" width="6.33203125" style="76" bestFit="1" customWidth="1"/>
    <col min="27" max="28" width="6.33203125" style="55" bestFit="1" customWidth="1"/>
    <col min="29" max="29" width="4.33203125" style="75" bestFit="1" customWidth="1"/>
    <col min="30" max="30" width="6.109375" style="75" bestFit="1" customWidth="1"/>
    <col min="31" max="32" width="6.33203125" style="55" bestFit="1" customWidth="1"/>
    <col min="33" max="33" width="7.33203125" style="55" bestFit="1" customWidth="1"/>
    <col min="34" max="34" width="7" style="77" bestFit="1" customWidth="1"/>
    <col min="35" max="36" width="6.33203125" style="77" bestFit="1" customWidth="1"/>
    <col min="37" max="38" width="6.33203125" style="55" bestFit="1" customWidth="1"/>
    <col min="39" max="39" width="7.33203125" style="55" bestFit="1" customWidth="1"/>
    <col min="40" max="40" width="7" style="77" bestFit="1" customWidth="1"/>
    <col min="41" max="42" width="6.33203125" style="77" bestFit="1" customWidth="1"/>
    <col min="43" max="44" width="6.33203125" style="55" bestFit="1" customWidth="1"/>
    <col min="45" max="45" width="7.33203125" style="55" bestFit="1" customWidth="1"/>
    <col min="46" max="47" width="6.33203125" style="76" bestFit="1" customWidth="1"/>
    <col min="48" max="48" width="7.33203125" style="76" bestFit="1" customWidth="1"/>
    <col min="49" max="51" width="7" style="58" bestFit="1" customWidth="1"/>
    <col min="52" max="16384" width="9.109375" style="58"/>
  </cols>
  <sheetData>
    <row r="1" spans="1:51" s="55" customFormat="1" ht="14.25" customHeight="1" x14ac:dyDescent="0.3">
      <c r="A1" s="231" t="s">
        <v>4</v>
      </c>
      <c r="B1" s="231"/>
      <c r="C1" s="120" t="s">
        <v>5</v>
      </c>
      <c r="D1" s="120" t="s">
        <v>1</v>
      </c>
      <c r="E1" s="120" t="s">
        <v>0</v>
      </c>
      <c r="F1" s="120" t="s">
        <v>7</v>
      </c>
      <c r="G1" s="54" t="s">
        <v>45</v>
      </c>
      <c r="H1" s="224" t="s">
        <v>5</v>
      </c>
      <c r="I1" s="225"/>
      <c r="J1" s="225"/>
      <c r="K1" s="225"/>
      <c r="L1" s="226"/>
      <c r="M1" s="224" t="s">
        <v>1</v>
      </c>
      <c r="N1" s="225"/>
      <c r="O1" s="225"/>
      <c r="P1" s="225"/>
      <c r="Q1" s="226"/>
      <c r="R1" s="232" t="s">
        <v>6</v>
      </c>
      <c r="S1" s="232"/>
      <c r="T1" s="232"/>
      <c r="U1" s="224" t="s">
        <v>0</v>
      </c>
      <c r="V1" s="225"/>
      <c r="W1" s="225"/>
      <c r="X1" s="225"/>
      <c r="Y1" s="226"/>
      <c r="Z1" s="230" t="s">
        <v>3</v>
      </c>
      <c r="AA1" s="230"/>
      <c r="AB1" s="230"/>
      <c r="AC1" s="224" t="s">
        <v>7</v>
      </c>
      <c r="AD1" s="225"/>
      <c r="AE1" s="225"/>
      <c r="AF1" s="225"/>
      <c r="AG1" s="226"/>
      <c r="AH1" s="227" t="s">
        <v>1</v>
      </c>
      <c r="AI1" s="227"/>
      <c r="AJ1" s="227"/>
      <c r="AK1" s="227"/>
      <c r="AL1" s="227"/>
      <c r="AM1" s="227"/>
      <c r="AN1" s="227" t="s">
        <v>0</v>
      </c>
      <c r="AO1" s="227"/>
      <c r="AP1" s="227"/>
      <c r="AQ1" s="227"/>
      <c r="AR1" s="227"/>
      <c r="AS1" s="227"/>
      <c r="AT1" s="228" t="s">
        <v>3</v>
      </c>
      <c r="AU1" s="228"/>
      <c r="AV1" s="228"/>
    </row>
    <row r="2" spans="1:51" s="55" customFormat="1" ht="15" customHeight="1" x14ac:dyDescent="0.3">
      <c r="A2" s="118" t="s">
        <v>11</v>
      </c>
      <c r="B2" s="118" t="s">
        <v>12</v>
      </c>
      <c r="C2" s="121" t="s">
        <v>43</v>
      </c>
      <c r="D2" s="116" t="s">
        <v>43</v>
      </c>
      <c r="E2" s="116" t="s">
        <v>43</v>
      </c>
      <c r="F2" s="116" t="s">
        <v>44</v>
      </c>
      <c r="G2" s="54" t="s">
        <v>43</v>
      </c>
      <c r="H2" s="116" t="s">
        <v>14</v>
      </c>
      <c r="I2" s="116" t="s">
        <v>15</v>
      </c>
      <c r="J2" s="118" t="s">
        <v>16</v>
      </c>
      <c r="K2" s="118" t="s">
        <v>17</v>
      </c>
      <c r="L2" s="118" t="s">
        <v>18</v>
      </c>
      <c r="M2" s="116" t="s">
        <v>14</v>
      </c>
      <c r="N2" s="116" t="s">
        <v>15</v>
      </c>
      <c r="O2" s="118" t="s">
        <v>16</v>
      </c>
      <c r="P2" s="118" t="s">
        <v>17</v>
      </c>
      <c r="Q2" s="118" t="s">
        <v>18</v>
      </c>
      <c r="R2" s="119"/>
      <c r="S2" s="56"/>
      <c r="T2" s="56"/>
      <c r="U2" s="116" t="s">
        <v>14</v>
      </c>
      <c r="V2" s="116" t="s">
        <v>15</v>
      </c>
      <c r="W2" s="118" t="s">
        <v>16</v>
      </c>
      <c r="X2" s="118" t="s">
        <v>17</v>
      </c>
      <c r="Y2" s="118" t="s">
        <v>18</v>
      </c>
      <c r="Z2" s="119"/>
      <c r="AA2" s="56"/>
      <c r="AB2" s="56"/>
      <c r="AC2" s="116" t="s">
        <v>14</v>
      </c>
      <c r="AD2" s="116" t="s">
        <v>15</v>
      </c>
      <c r="AE2" s="118" t="s">
        <v>16</v>
      </c>
      <c r="AF2" s="118" t="s">
        <v>17</v>
      </c>
      <c r="AG2" s="118" t="s">
        <v>18</v>
      </c>
      <c r="AH2" s="116" t="s">
        <v>13</v>
      </c>
      <c r="AI2" s="116" t="s">
        <v>14</v>
      </c>
      <c r="AJ2" s="116" t="s">
        <v>15</v>
      </c>
      <c r="AK2" s="118" t="s">
        <v>16</v>
      </c>
      <c r="AL2" s="118" t="s">
        <v>17</v>
      </c>
      <c r="AM2" s="118" t="s">
        <v>18</v>
      </c>
      <c r="AN2" s="116" t="s">
        <v>13</v>
      </c>
      <c r="AO2" s="116" t="s">
        <v>14</v>
      </c>
      <c r="AP2" s="116" t="s">
        <v>15</v>
      </c>
      <c r="AQ2" s="118" t="s">
        <v>16</v>
      </c>
      <c r="AR2" s="118" t="s">
        <v>17</v>
      </c>
      <c r="AS2" s="118" t="s">
        <v>18</v>
      </c>
      <c r="AT2" s="117" t="s">
        <v>13</v>
      </c>
      <c r="AU2" s="118" t="s">
        <v>17</v>
      </c>
      <c r="AV2" s="118" t="s">
        <v>18</v>
      </c>
      <c r="AW2" s="55" t="s">
        <v>19</v>
      </c>
      <c r="AX2" s="57" t="s">
        <v>20</v>
      </c>
      <c r="AY2" s="58" t="s">
        <v>21</v>
      </c>
    </row>
    <row r="3" spans="1:51" ht="14.4" x14ac:dyDescent="0.3">
      <c r="A3" s="113" t="e">
        <f>+GETPIVOTDATA("Mín de Score",#REF!,"Rango",1)</f>
        <v>#REF!</v>
      </c>
      <c r="B3" t="e">
        <f>+GETPIVOTDATA("Máx de Score",#REF!,"Rango",1)</f>
        <v>#REF!</v>
      </c>
      <c r="C3" s="122" t="e">
        <f>+D3+E3+F3+G3</f>
        <v>#REF!</v>
      </c>
      <c r="D3" t="e">
        <f>+GETPIVOTDATA("Rango",#REF!,"Var Dependiente",0,"Rango",1)</f>
        <v>#REF!</v>
      </c>
      <c r="E3" t="e">
        <f>+GETPIVOTDATA("Rango",#REF!,"Var Dependiente",1,"Rango",1)</f>
        <v>#REF!</v>
      </c>
      <c r="F3" t="e">
        <f>+GETPIVOTDATA("Rango",#REF!,"Var Dependiente",2,"Rango",1)</f>
        <v>#REF!</v>
      </c>
      <c r="G3" t="e">
        <f>+GETPIVOTDATA("Rango",#REF!,"Var Dependiente",3,"Rango",1)</f>
        <v>#REF!</v>
      </c>
      <c r="H3" s="59" t="e">
        <f>C3</f>
        <v>#REF!</v>
      </c>
      <c r="I3" s="59" t="e">
        <f t="shared" ref="I3:I11" si="0">C3+I4</f>
        <v>#REF!</v>
      </c>
      <c r="J3" s="60" t="e">
        <f t="shared" ref="J3:J12" si="1">C3/C$13</f>
        <v>#REF!</v>
      </c>
      <c r="K3" s="60" t="e">
        <f t="shared" ref="K3:K12" si="2">H3/C$13</f>
        <v>#REF!</v>
      </c>
      <c r="L3" s="60" t="e">
        <f t="shared" ref="L3:L12" si="3">I3/C$13</f>
        <v>#REF!</v>
      </c>
      <c r="M3" s="59" t="e">
        <f>D3</f>
        <v>#REF!</v>
      </c>
      <c r="N3" s="59" t="e">
        <f t="shared" ref="N3:N11" si="4">D3+N4</f>
        <v>#REF!</v>
      </c>
      <c r="O3" s="60" t="e">
        <f t="shared" ref="O3:O12" si="5">D3/D$13</f>
        <v>#REF!</v>
      </c>
      <c r="P3" s="60" t="e">
        <f t="shared" ref="P3:P12" si="6">M3/D$13</f>
        <v>#REF!</v>
      </c>
      <c r="Q3" s="60" t="e">
        <f t="shared" ref="Q3:Q12" si="7">N3/D$13</f>
        <v>#REF!</v>
      </c>
      <c r="R3" s="61" t="e">
        <f t="shared" ref="R3:R11" si="8">D3/(D3+E3+F3)</f>
        <v>#REF!</v>
      </c>
      <c r="S3" s="61" t="e">
        <f t="shared" ref="S3:T12" si="9">M3/(M3+U3+AC3)</f>
        <v>#REF!</v>
      </c>
      <c r="T3" s="61" t="e">
        <f t="shared" si="9"/>
        <v>#REF!</v>
      </c>
      <c r="U3" s="59" t="e">
        <f>E3</f>
        <v>#REF!</v>
      </c>
      <c r="V3" s="59" t="e">
        <f t="shared" ref="V3:V11" si="10">E3+V4</f>
        <v>#REF!</v>
      </c>
      <c r="W3" s="60" t="e">
        <f t="shared" ref="W3:W12" si="11">E3/E$13</f>
        <v>#REF!</v>
      </c>
      <c r="X3" s="60" t="e">
        <f t="shared" ref="X3:X12" si="12">U3/E$13</f>
        <v>#REF!</v>
      </c>
      <c r="Y3" s="60" t="e">
        <f t="shared" ref="Y3:Y12" si="13">V3/E$13</f>
        <v>#REF!</v>
      </c>
      <c r="Z3" s="61" t="e">
        <f t="shared" ref="Z3:Z12" si="14">E3/(D3+E3+F3)</f>
        <v>#REF!</v>
      </c>
      <c r="AA3" s="61" t="e">
        <f t="shared" ref="AA3:AB12" si="15">U3/(M3+U3+AC3)</f>
        <v>#REF!</v>
      </c>
      <c r="AB3" s="61" t="e">
        <f t="shared" si="15"/>
        <v>#REF!</v>
      </c>
      <c r="AC3" s="59" t="e">
        <f>F3</f>
        <v>#REF!</v>
      </c>
      <c r="AD3" s="59" t="e">
        <f t="shared" ref="AD3:AD11" si="16">F3+AD4</f>
        <v>#REF!</v>
      </c>
      <c r="AE3" s="60" t="e">
        <f t="shared" ref="AE3:AE12" si="17">F3/F$13</f>
        <v>#REF!</v>
      </c>
      <c r="AF3" s="60" t="e">
        <f t="shared" ref="AF3:AF12" si="18">AC3/F$13</f>
        <v>#REF!</v>
      </c>
      <c r="AG3" s="60" t="e">
        <f t="shared" ref="AG3:AG12" si="19">AD3/F$13</f>
        <v>#REF!</v>
      </c>
      <c r="AH3" s="62" t="e">
        <f>ROUND($G3*R3+D3,0)</f>
        <v>#REF!</v>
      </c>
      <c r="AI3" s="59" t="e">
        <f>AH3</f>
        <v>#REF!</v>
      </c>
      <c r="AJ3" s="59" t="e">
        <f t="shared" ref="AJ3:AJ11" si="20">AH3+AJ4</f>
        <v>#REF!</v>
      </c>
      <c r="AK3" s="60" t="e">
        <f t="shared" ref="AK3:AK12" si="21">AH3/AH$13</f>
        <v>#REF!</v>
      </c>
      <c r="AL3" s="60" t="e">
        <f t="shared" ref="AL3:AL12" si="22">AI3/AH$13</f>
        <v>#REF!</v>
      </c>
      <c r="AM3" s="60" t="e">
        <f t="shared" ref="AM3:AM12" si="23">AJ3/AH$13</f>
        <v>#REF!</v>
      </c>
      <c r="AN3" s="62" t="e">
        <f t="shared" ref="AN3:AN12" si="24">ROUND($G3*Z3+E3,0)</f>
        <v>#REF!</v>
      </c>
      <c r="AO3" s="59" t="e">
        <f>AN3</f>
        <v>#REF!</v>
      </c>
      <c r="AP3" s="59" t="e">
        <f t="shared" ref="AP3:AP11" si="25">AN3+AP4</f>
        <v>#REF!</v>
      </c>
      <c r="AQ3" s="60" t="e">
        <f t="shared" ref="AQ3:AQ12" si="26">AN3/AN$13</f>
        <v>#REF!</v>
      </c>
      <c r="AR3" s="60" t="e">
        <f t="shared" ref="AR3:AR12" si="27">AO3/AN$13</f>
        <v>#REF!</v>
      </c>
      <c r="AS3" s="60" t="e">
        <f t="shared" ref="AS3:AS12" si="28">AP3/AN$13</f>
        <v>#REF!</v>
      </c>
      <c r="AT3" s="61" t="e">
        <f t="shared" ref="AT3:AT12" si="29">AN3/C3</f>
        <v>#REF!</v>
      </c>
      <c r="AU3" s="61" t="e">
        <f t="shared" ref="AU3:AV12" si="30">AO3/H3</f>
        <v>#REF!</v>
      </c>
      <c r="AV3" s="61" t="e">
        <f t="shared" si="30"/>
        <v>#REF!</v>
      </c>
      <c r="AW3" s="63" t="e">
        <f>ABS(AS3-AM3)</f>
        <v>#REF!</v>
      </c>
      <c r="AX3" s="57" t="e">
        <f t="shared" ref="AX3:AX12" si="31">AK3*((AS3+AS4)/2)</f>
        <v>#REF!</v>
      </c>
    </row>
    <row r="4" spans="1:51" ht="14.4" x14ac:dyDescent="0.3">
      <c r="A4" s="113" t="e">
        <f>+GETPIVOTDATA("Mín de Score",#REF!,"Rango",2)</f>
        <v>#REF!</v>
      </c>
      <c r="B4" t="e">
        <f>+GETPIVOTDATA("Máx de Score",#REF!,"Rango",2)</f>
        <v>#REF!</v>
      </c>
      <c r="C4" s="122" t="e">
        <f t="shared" ref="C4:C12" si="32">+D4+E4+F4+G4</f>
        <v>#REF!</v>
      </c>
      <c r="D4" t="e">
        <f>+GETPIVOTDATA("Rango",#REF!,"Var Dependiente",0,"Rango",2)</f>
        <v>#REF!</v>
      </c>
      <c r="E4" t="e">
        <f>+GETPIVOTDATA("Rango",#REF!,"Var Dependiente",1,"Rango",2)</f>
        <v>#REF!</v>
      </c>
      <c r="F4" t="e">
        <f>+GETPIVOTDATA("Rango",#REF!,"Var Dependiente",2,"Rango",2)</f>
        <v>#REF!</v>
      </c>
      <c r="G4" t="e">
        <f>+GETPIVOTDATA("Rango",#REF!,"Var Dependiente",3,"Rango",2)</f>
        <v>#REF!</v>
      </c>
      <c r="H4" s="59" t="e">
        <f t="shared" ref="H4:H12" si="33">C4+H3</f>
        <v>#REF!</v>
      </c>
      <c r="I4" s="59" t="e">
        <f t="shared" si="0"/>
        <v>#REF!</v>
      </c>
      <c r="J4" s="60" t="e">
        <f t="shared" si="1"/>
        <v>#REF!</v>
      </c>
      <c r="K4" s="60" t="e">
        <f t="shared" si="2"/>
        <v>#REF!</v>
      </c>
      <c r="L4" s="60" t="e">
        <f t="shared" si="3"/>
        <v>#REF!</v>
      </c>
      <c r="M4" s="59" t="e">
        <f t="shared" ref="M4:M12" si="34">D4+M3</f>
        <v>#REF!</v>
      </c>
      <c r="N4" s="59" t="e">
        <f t="shared" si="4"/>
        <v>#REF!</v>
      </c>
      <c r="O4" s="60" t="e">
        <f t="shared" si="5"/>
        <v>#REF!</v>
      </c>
      <c r="P4" s="60" t="e">
        <f t="shared" si="6"/>
        <v>#REF!</v>
      </c>
      <c r="Q4" s="60" t="e">
        <f t="shared" si="7"/>
        <v>#REF!</v>
      </c>
      <c r="R4" s="61" t="e">
        <f t="shared" si="8"/>
        <v>#REF!</v>
      </c>
      <c r="S4" s="61" t="e">
        <f t="shared" si="9"/>
        <v>#REF!</v>
      </c>
      <c r="T4" s="61" t="e">
        <f t="shared" si="9"/>
        <v>#REF!</v>
      </c>
      <c r="U4" s="59" t="e">
        <f t="shared" ref="U4:U12" si="35">E4+U3</f>
        <v>#REF!</v>
      </c>
      <c r="V4" s="59" t="e">
        <f t="shared" si="10"/>
        <v>#REF!</v>
      </c>
      <c r="W4" s="60" t="e">
        <f t="shared" si="11"/>
        <v>#REF!</v>
      </c>
      <c r="X4" s="60" t="e">
        <f t="shared" si="12"/>
        <v>#REF!</v>
      </c>
      <c r="Y4" s="60" t="e">
        <f t="shared" si="13"/>
        <v>#REF!</v>
      </c>
      <c r="Z4" s="61" t="e">
        <f t="shared" si="14"/>
        <v>#REF!</v>
      </c>
      <c r="AA4" s="61" t="e">
        <f t="shared" si="15"/>
        <v>#REF!</v>
      </c>
      <c r="AB4" s="61" t="e">
        <f t="shared" si="15"/>
        <v>#REF!</v>
      </c>
      <c r="AC4" s="59" t="e">
        <f t="shared" ref="AC4:AC12" si="36">F4+AC3</f>
        <v>#REF!</v>
      </c>
      <c r="AD4" s="59" t="e">
        <f t="shared" si="16"/>
        <v>#REF!</v>
      </c>
      <c r="AE4" s="60" t="e">
        <f t="shared" si="17"/>
        <v>#REF!</v>
      </c>
      <c r="AF4" s="60" t="e">
        <f t="shared" si="18"/>
        <v>#REF!</v>
      </c>
      <c r="AG4" s="60" t="e">
        <f t="shared" si="19"/>
        <v>#REF!</v>
      </c>
      <c r="AH4" s="62" t="e">
        <f>ROUND($G4*R4+D4,0)</f>
        <v>#REF!</v>
      </c>
      <c r="AI4" s="59" t="e">
        <f t="shared" ref="AI4:AI12" si="37">AH4+AI3</f>
        <v>#REF!</v>
      </c>
      <c r="AJ4" s="59" t="e">
        <f t="shared" si="20"/>
        <v>#REF!</v>
      </c>
      <c r="AK4" s="60" t="e">
        <f t="shared" si="21"/>
        <v>#REF!</v>
      </c>
      <c r="AL4" s="60" t="e">
        <f t="shared" si="22"/>
        <v>#REF!</v>
      </c>
      <c r="AM4" s="60" t="e">
        <f t="shared" si="23"/>
        <v>#REF!</v>
      </c>
      <c r="AN4" s="62" t="e">
        <f t="shared" si="24"/>
        <v>#REF!</v>
      </c>
      <c r="AO4" s="59" t="e">
        <f t="shared" ref="AO4:AO12" si="38">AN4+AO3</f>
        <v>#REF!</v>
      </c>
      <c r="AP4" s="59" t="e">
        <f t="shared" si="25"/>
        <v>#REF!</v>
      </c>
      <c r="AQ4" s="60" t="e">
        <f t="shared" si="26"/>
        <v>#REF!</v>
      </c>
      <c r="AR4" s="60" t="e">
        <f t="shared" si="27"/>
        <v>#REF!</v>
      </c>
      <c r="AS4" s="60" t="e">
        <f t="shared" si="28"/>
        <v>#REF!</v>
      </c>
      <c r="AT4" s="61" t="e">
        <f t="shared" si="29"/>
        <v>#REF!</v>
      </c>
      <c r="AU4" s="61" t="e">
        <f t="shared" si="30"/>
        <v>#REF!</v>
      </c>
      <c r="AV4" s="61" t="e">
        <f t="shared" si="30"/>
        <v>#REF!</v>
      </c>
      <c r="AW4" s="63" t="e">
        <f>ABS(AS4-AM4)</f>
        <v>#REF!</v>
      </c>
      <c r="AX4" s="57" t="e">
        <f t="shared" si="31"/>
        <v>#REF!</v>
      </c>
    </row>
    <row r="5" spans="1:51" ht="14.4" x14ac:dyDescent="0.3">
      <c r="A5" s="113" t="e">
        <f>+GETPIVOTDATA("Mín de Score",#REF!,"Rango",3)</f>
        <v>#REF!</v>
      </c>
      <c r="B5" t="e">
        <f>+GETPIVOTDATA("Máx de Score",#REF!,"Rango",3)</f>
        <v>#REF!</v>
      </c>
      <c r="C5" s="122" t="e">
        <f t="shared" si="32"/>
        <v>#REF!</v>
      </c>
      <c r="D5" t="e">
        <f>+GETPIVOTDATA("Rango",#REF!,"Var Dependiente",0,"Rango",3)</f>
        <v>#REF!</v>
      </c>
      <c r="E5" t="e">
        <f>+GETPIVOTDATA("Rango",#REF!,"Var Dependiente",1,"Rango",3)</f>
        <v>#REF!</v>
      </c>
      <c r="F5" t="e">
        <f>+GETPIVOTDATA("Rango",#REF!,"Var Dependiente",2,"Rango",3)</f>
        <v>#REF!</v>
      </c>
      <c r="G5" t="e">
        <f>+GETPIVOTDATA("Rango",#REF!,"Var Dependiente",3,"Rango",3)</f>
        <v>#REF!</v>
      </c>
      <c r="H5" s="59" t="e">
        <f t="shared" si="33"/>
        <v>#REF!</v>
      </c>
      <c r="I5" s="59" t="e">
        <f t="shared" si="0"/>
        <v>#REF!</v>
      </c>
      <c r="J5" s="60" t="e">
        <f t="shared" si="1"/>
        <v>#REF!</v>
      </c>
      <c r="K5" s="60" t="e">
        <f t="shared" si="2"/>
        <v>#REF!</v>
      </c>
      <c r="L5" s="60" t="e">
        <f t="shared" si="3"/>
        <v>#REF!</v>
      </c>
      <c r="M5" s="59" t="e">
        <f t="shared" si="34"/>
        <v>#REF!</v>
      </c>
      <c r="N5" s="59" t="e">
        <f t="shared" si="4"/>
        <v>#REF!</v>
      </c>
      <c r="O5" s="60" t="e">
        <f t="shared" si="5"/>
        <v>#REF!</v>
      </c>
      <c r="P5" s="60" t="e">
        <f t="shared" si="6"/>
        <v>#REF!</v>
      </c>
      <c r="Q5" s="60" t="e">
        <f t="shared" si="7"/>
        <v>#REF!</v>
      </c>
      <c r="R5" s="61" t="e">
        <f t="shared" si="8"/>
        <v>#REF!</v>
      </c>
      <c r="S5" s="61" t="e">
        <f t="shared" si="9"/>
        <v>#REF!</v>
      </c>
      <c r="T5" s="61" t="e">
        <f t="shared" si="9"/>
        <v>#REF!</v>
      </c>
      <c r="U5" s="59" t="e">
        <f t="shared" si="35"/>
        <v>#REF!</v>
      </c>
      <c r="V5" s="59" t="e">
        <f t="shared" si="10"/>
        <v>#REF!</v>
      </c>
      <c r="W5" s="60" t="e">
        <f t="shared" si="11"/>
        <v>#REF!</v>
      </c>
      <c r="X5" s="60" t="e">
        <f t="shared" si="12"/>
        <v>#REF!</v>
      </c>
      <c r="Y5" s="60" t="e">
        <f t="shared" si="13"/>
        <v>#REF!</v>
      </c>
      <c r="Z5" s="61" t="e">
        <f t="shared" si="14"/>
        <v>#REF!</v>
      </c>
      <c r="AA5" s="61" t="e">
        <f t="shared" si="15"/>
        <v>#REF!</v>
      </c>
      <c r="AB5" s="61" t="e">
        <f t="shared" si="15"/>
        <v>#REF!</v>
      </c>
      <c r="AC5" s="59" t="e">
        <f t="shared" si="36"/>
        <v>#REF!</v>
      </c>
      <c r="AD5" s="59" t="e">
        <f t="shared" si="16"/>
        <v>#REF!</v>
      </c>
      <c r="AE5" s="60" t="e">
        <f t="shared" si="17"/>
        <v>#REF!</v>
      </c>
      <c r="AF5" s="60" t="e">
        <f t="shared" si="18"/>
        <v>#REF!</v>
      </c>
      <c r="AG5" s="60" t="e">
        <f t="shared" si="19"/>
        <v>#REF!</v>
      </c>
      <c r="AH5" s="62" t="e">
        <f t="shared" ref="AH5:AH10" si="39">ROUND($G5*R5+D5,0)</f>
        <v>#REF!</v>
      </c>
      <c r="AI5" s="59" t="e">
        <f t="shared" si="37"/>
        <v>#REF!</v>
      </c>
      <c r="AJ5" s="59" t="e">
        <f t="shared" si="20"/>
        <v>#REF!</v>
      </c>
      <c r="AK5" s="60" t="e">
        <f t="shared" si="21"/>
        <v>#REF!</v>
      </c>
      <c r="AL5" s="60" t="e">
        <f t="shared" si="22"/>
        <v>#REF!</v>
      </c>
      <c r="AM5" s="60" t="e">
        <f t="shared" si="23"/>
        <v>#REF!</v>
      </c>
      <c r="AN5" s="62" t="e">
        <f t="shared" si="24"/>
        <v>#REF!</v>
      </c>
      <c r="AO5" s="59" t="e">
        <f t="shared" si="38"/>
        <v>#REF!</v>
      </c>
      <c r="AP5" s="59" t="e">
        <f t="shared" si="25"/>
        <v>#REF!</v>
      </c>
      <c r="AQ5" s="60" t="e">
        <f t="shared" si="26"/>
        <v>#REF!</v>
      </c>
      <c r="AR5" s="60" t="e">
        <f t="shared" si="27"/>
        <v>#REF!</v>
      </c>
      <c r="AS5" s="60" t="e">
        <f t="shared" si="28"/>
        <v>#REF!</v>
      </c>
      <c r="AT5" s="61" t="e">
        <f t="shared" si="29"/>
        <v>#REF!</v>
      </c>
      <c r="AU5" s="61" t="e">
        <f t="shared" si="30"/>
        <v>#REF!</v>
      </c>
      <c r="AV5" s="61" t="e">
        <f t="shared" si="30"/>
        <v>#REF!</v>
      </c>
      <c r="AW5" s="63" t="e">
        <f t="shared" ref="AW5:AW12" si="40">ABS(AS5-AM5)</f>
        <v>#REF!</v>
      </c>
      <c r="AX5" s="57" t="e">
        <f t="shared" si="31"/>
        <v>#REF!</v>
      </c>
    </row>
    <row r="6" spans="1:51" ht="14.4" x14ac:dyDescent="0.3">
      <c r="A6" s="113" t="e">
        <f>+GETPIVOTDATA("Mín de Score",#REF!,"Rango",4)</f>
        <v>#REF!</v>
      </c>
      <c r="B6" t="e">
        <f>+GETPIVOTDATA("Máx de Score",#REF!,"Rango",4)</f>
        <v>#REF!</v>
      </c>
      <c r="C6" s="122" t="e">
        <f t="shared" si="32"/>
        <v>#REF!</v>
      </c>
      <c r="D6" t="e">
        <f>+GETPIVOTDATA("Rango",#REF!,"Var Dependiente",0,"Rango",4)</f>
        <v>#REF!</v>
      </c>
      <c r="E6" t="e">
        <f>+GETPIVOTDATA("Rango",#REF!,"Var Dependiente",1,"Rango",4)</f>
        <v>#REF!</v>
      </c>
      <c r="F6" t="e">
        <f>+GETPIVOTDATA("Rango",#REF!,"Var Dependiente",2,"Rango",4)</f>
        <v>#REF!</v>
      </c>
      <c r="G6" t="e">
        <f>+GETPIVOTDATA("Rango",#REF!,"Var Dependiente",3,"Rango",4)</f>
        <v>#REF!</v>
      </c>
      <c r="H6" s="59" t="e">
        <f t="shared" si="33"/>
        <v>#REF!</v>
      </c>
      <c r="I6" s="59" t="e">
        <f t="shared" si="0"/>
        <v>#REF!</v>
      </c>
      <c r="J6" s="60" t="e">
        <f t="shared" si="1"/>
        <v>#REF!</v>
      </c>
      <c r="K6" s="60" t="e">
        <f t="shared" si="2"/>
        <v>#REF!</v>
      </c>
      <c r="L6" s="60" t="e">
        <f t="shared" si="3"/>
        <v>#REF!</v>
      </c>
      <c r="M6" s="59" t="e">
        <f t="shared" si="34"/>
        <v>#REF!</v>
      </c>
      <c r="N6" s="59" t="e">
        <f t="shared" si="4"/>
        <v>#REF!</v>
      </c>
      <c r="O6" s="60" t="e">
        <f t="shared" si="5"/>
        <v>#REF!</v>
      </c>
      <c r="P6" s="60" t="e">
        <f t="shared" si="6"/>
        <v>#REF!</v>
      </c>
      <c r="Q6" s="60" t="e">
        <f t="shared" si="7"/>
        <v>#REF!</v>
      </c>
      <c r="R6" s="61" t="e">
        <f t="shared" si="8"/>
        <v>#REF!</v>
      </c>
      <c r="S6" s="61" t="e">
        <f t="shared" si="9"/>
        <v>#REF!</v>
      </c>
      <c r="T6" s="61" t="e">
        <f t="shared" si="9"/>
        <v>#REF!</v>
      </c>
      <c r="U6" s="59" t="e">
        <f t="shared" si="35"/>
        <v>#REF!</v>
      </c>
      <c r="V6" s="59" t="e">
        <f t="shared" si="10"/>
        <v>#REF!</v>
      </c>
      <c r="W6" s="60" t="e">
        <f t="shared" si="11"/>
        <v>#REF!</v>
      </c>
      <c r="X6" s="60" t="e">
        <f t="shared" si="12"/>
        <v>#REF!</v>
      </c>
      <c r="Y6" s="60" t="e">
        <f t="shared" si="13"/>
        <v>#REF!</v>
      </c>
      <c r="Z6" s="61" t="e">
        <f t="shared" si="14"/>
        <v>#REF!</v>
      </c>
      <c r="AA6" s="61" t="e">
        <f t="shared" si="15"/>
        <v>#REF!</v>
      </c>
      <c r="AB6" s="61" t="e">
        <f t="shared" si="15"/>
        <v>#REF!</v>
      </c>
      <c r="AC6" s="59" t="e">
        <f t="shared" si="36"/>
        <v>#REF!</v>
      </c>
      <c r="AD6" s="59" t="e">
        <f t="shared" si="16"/>
        <v>#REF!</v>
      </c>
      <c r="AE6" s="60" t="e">
        <f t="shared" si="17"/>
        <v>#REF!</v>
      </c>
      <c r="AF6" s="60" t="e">
        <f t="shared" si="18"/>
        <v>#REF!</v>
      </c>
      <c r="AG6" s="60" t="e">
        <f t="shared" si="19"/>
        <v>#REF!</v>
      </c>
      <c r="AH6" s="62" t="e">
        <f t="shared" si="39"/>
        <v>#REF!</v>
      </c>
      <c r="AI6" s="59" t="e">
        <f t="shared" si="37"/>
        <v>#REF!</v>
      </c>
      <c r="AJ6" s="59" t="e">
        <f t="shared" si="20"/>
        <v>#REF!</v>
      </c>
      <c r="AK6" s="60" t="e">
        <f t="shared" si="21"/>
        <v>#REF!</v>
      </c>
      <c r="AL6" s="60" t="e">
        <f t="shared" si="22"/>
        <v>#REF!</v>
      </c>
      <c r="AM6" s="60" t="e">
        <f t="shared" si="23"/>
        <v>#REF!</v>
      </c>
      <c r="AN6" s="62" t="e">
        <f t="shared" si="24"/>
        <v>#REF!</v>
      </c>
      <c r="AO6" s="59" t="e">
        <f t="shared" si="38"/>
        <v>#REF!</v>
      </c>
      <c r="AP6" s="59" t="e">
        <f t="shared" si="25"/>
        <v>#REF!</v>
      </c>
      <c r="AQ6" s="60" t="e">
        <f t="shared" si="26"/>
        <v>#REF!</v>
      </c>
      <c r="AR6" s="60" t="e">
        <f t="shared" si="27"/>
        <v>#REF!</v>
      </c>
      <c r="AS6" s="60" t="e">
        <f t="shared" si="28"/>
        <v>#REF!</v>
      </c>
      <c r="AT6" s="61" t="e">
        <f t="shared" si="29"/>
        <v>#REF!</v>
      </c>
      <c r="AU6" s="61" t="e">
        <f t="shared" si="30"/>
        <v>#REF!</v>
      </c>
      <c r="AV6" s="61" t="e">
        <f t="shared" si="30"/>
        <v>#REF!</v>
      </c>
      <c r="AW6" s="63" t="e">
        <f t="shared" si="40"/>
        <v>#REF!</v>
      </c>
      <c r="AX6" s="57" t="e">
        <f t="shared" si="31"/>
        <v>#REF!</v>
      </c>
    </row>
    <row r="7" spans="1:51" ht="14.4" x14ac:dyDescent="0.3">
      <c r="A7" s="113" t="e">
        <f>+GETPIVOTDATA("Mín de Score",#REF!,"Rango",5)</f>
        <v>#REF!</v>
      </c>
      <c r="B7" t="e">
        <f>+GETPIVOTDATA("Máx de Score",#REF!,"Rango",5)</f>
        <v>#REF!</v>
      </c>
      <c r="C7" s="122" t="e">
        <f t="shared" si="32"/>
        <v>#REF!</v>
      </c>
      <c r="D7" t="e">
        <f>+GETPIVOTDATA("Rango",#REF!,"Var Dependiente",0,"Rango",5)</f>
        <v>#REF!</v>
      </c>
      <c r="E7" t="e">
        <f>+GETPIVOTDATA("Rango",#REF!,"Var Dependiente",1,"Rango",5)</f>
        <v>#REF!</v>
      </c>
      <c r="F7" t="e">
        <f>+GETPIVOTDATA("Rango",#REF!,"Var Dependiente",2,"Rango",5)</f>
        <v>#REF!</v>
      </c>
      <c r="G7" t="e">
        <f>+GETPIVOTDATA("Rango",#REF!,"Var Dependiente",3,"Rango",5)</f>
        <v>#REF!</v>
      </c>
      <c r="H7" s="59" t="e">
        <f t="shared" si="33"/>
        <v>#REF!</v>
      </c>
      <c r="I7" s="59" t="e">
        <f t="shared" si="0"/>
        <v>#REF!</v>
      </c>
      <c r="J7" s="60" t="e">
        <f t="shared" si="1"/>
        <v>#REF!</v>
      </c>
      <c r="K7" s="60" t="e">
        <f t="shared" si="2"/>
        <v>#REF!</v>
      </c>
      <c r="L7" s="60" t="e">
        <f t="shared" si="3"/>
        <v>#REF!</v>
      </c>
      <c r="M7" s="59" t="e">
        <f t="shared" si="34"/>
        <v>#REF!</v>
      </c>
      <c r="N7" s="59" t="e">
        <f t="shared" si="4"/>
        <v>#REF!</v>
      </c>
      <c r="O7" s="60" t="e">
        <f t="shared" si="5"/>
        <v>#REF!</v>
      </c>
      <c r="P7" s="60" t="e">
        <f t="shared" si="6"/>
        <v>#REF!</v>
      </c>
      <c r="Q7" s="60" t="e">
        <f t="shared" si="7"/>
        <v>#REF!</v>
      </c>
      <c r="R7" s="61" t="e">
        <f t="shared" si="8"/>
        <v>#REF!</v>
      </c>
      <c r="S7" s="61" t="e">
        <f t="shared" si="9"/>
        <v>#REF!</v>
      </c>
      <c r="T7" s="61" t="e">
        <f t="shared" si="9"/>
        <v>#REF!</v>
      </c>
      <c r="U7" s="59" t="e">
        <f t="shared" si="35"/>
        <v>#REF!</v>
      </c>
      <c r="V7" s="59" t="e">
        <f t="shared" si="10"/>
        <v>#REF!</v>
      </c>
      <c r="W7" s="60" t="e">
        <f t="shared" si="11"/>
        <v>#REF!</v>
      </c>
      <c r="X7" s="60" t="e">
        <f t="shared" si="12"/>
        <v>#REF!</v>
      </c>
      <c r="Y7" s="60" t="e">
        <f t="shared" si="13"/>
        <v>#REF!</v>
      </c>
      <c r="Z7" s="61" t="e">
        <f t="shared" si="14"/>
        <v>#REF!</v>
      </c>
      <c r="AA7" s="61" t="e">
        <f t="shared" si="15"/>
        <v>#REF!</v>
      </c>
      <c r="AB7" s="61" t="e">
        <f t="shared" si="15"/>
        <v>#REF!</v>
      </c>
      <c r="AC7" s="59" t="e">
        <f t="shared" si="36"/>
        <v>#REF!</v>
      </c>
      <c r="AD7" s="59" t="e">
        <f t="shared" si="16"/>
        <v>#REF!</v>
      </c>
      <c r="AE7" s="60" t="e">
        <f t="shared" si="17"/>
        <v>#REF!</v>
      </c>
      <c r="AF7" s="60" t="e">
        <f t="shared" si="18"/>
        <v>#REF!</v>
      </c>
      <c r="AG7" s="60" t="e">
        <f t="shared" si="19"/>
        <v>#REF!</v>
      </c>
      <c r="AH7" s="62" t="e">
        <f t="shared" si="39"/>
        <v>#REF!</v>
      </c>
      <c r="AI7" s="59" t="e">
        <f t="shared" si="37"/>
        <v>#REF!</v>
      </c>
      <c r="AJ7" s="59" t="e">
        <f t="shared" si="20"/>
        <v>#REF!</v>
      </c>
      <c r="AK7" s="60" t="e">
        <f t="shared" si="21"/>
        <v>#REF!</v>
      </c>
      <c r="AL7" s="60" t="e">
        <f t="shared" si="22"/>
        <v>#REF!</v>
      </c>
      <c r="AM7" s="60" t="e">
        <f t="shared" si="23"/>
        <v>#REF!</v>
      </c>
      <c r="AN7" s="62" t="e">
        <f t="shared" si="24"/>
        <v>#REF!</v>
      </c>
      <c r="AO7" s="59" t="e">
        <f t="shared" si="38"/>
        <v>#REF!</v>
      </c>
      <c r="AP7" s="59" t="e">
        <f t="shared" si="25"/>
        <v>#REF!</v>
      </c>
      <c r="AQ7" s="60" t="e">
        <f t="shared" si="26"/>
        <v>#REF!</v>
      </c>
      <c r="AR7" s="60" t="e">
        <f t="shared" si="27"/>
        <v>#REF!</v>
      </c>
      <c r="AS7" s="60" t="e">
        <f t="shared" si="28"/>
        <v>#REF!</v>
      </c>
      <c r="AT7" s="61" t="e">
        <f t="shared" si="29"/>
        <v>#REF!</v>
      </c>
      <c r="AU7" s="61" t="e">
        <f t="shared" si="30"/>
        <v>#REF!</v>
      </c>
      <c r="AV7" s="61" t="e">
        <f t="shared" si="30"/>
        <v>#REF!</v>
      </c>
      <c r="AW7" s="63" t="e">
        <f t="shared" si="40"/>
        <v>#REF!</v>
      </c>
      <c r="AX7" s="57" t="e">
        <f t="shared" si="31"/>
        <v>#REF!</v>
      </c>
    </row>
    <row r="8" spans="1:51" ht="14.4" x14ac:dyDescent="0.3">
      <c r="A8" s="113" t="e">
        <f>+GETPIVOTDATA("Mín de Score",#REF!,"Rango",6)</f>
        <v>#REF!</v>
      </c>
      <c r="B8" t="e">
        <f>+GETPIVOTDATA("Máx de Score",#REF!,"Rango",6)</f>
        <v>#REF!</v>
      </c>
      <c r="C8" s="122" t="e">
        <f t="shared" si="32"/>
        <v>#REF!</v>
      </c>
      <c r="D8" t="e">
        <f>+GETPIVOTDATA("Rango",#REF!,"Var Dependiente",0,"Rango",6)</f>
        <v>#REF!</v>
      </c>
      <c r="E8" t="e">
        <f>+GETPIVOTDATA("Rango",#REF!,"Var Dependiente",1,"Rango",6)</f>
        <v>#REF!</v>
      </c>
      <c r="F8" t="e">
        <f>+GETPIVOTDATA("Rango",#REF!,"Var Dependiente",2,"Rango",6)</f>
        <v>#REF!</v>
      </c>
      <c r="G8" t="e">
        <f>+GETPIVOTDATA("Rango",#REF!,"Var Dependiente",3,"Rango",6)</f>
        <v>#REF!</v>
      </c>
      <c r="H8" s="59" t="e">
        <f t="shared" si="33"/>
        <v>#REF!</v>
      </c>
      <c r="I8" s="59" t="e">
        <f t="shared" si="0"/>
        <v>#REF!</v>
      </c>
      <c r="J8" s="60" t="e">
        <f t="shared" si="1"/>
        <v>#REF!</v>
      </c>
      <c r="K8" s="60" t="e">
        <f t="shared" si="2"/>
        <v>#REF!</v>
      </c>
      <c r="L8" s="60" t="e">
        <f t="shared" si="3"/>
        <v>#REF!</v>
      </c>
      <c r="M8" s="59" t="e">
        <f t="shared" si="34"/>
        <v>#REF!</v>
      </c>
      <c r="N8" s="59" t="e">
        <f t="shared" si="4"/>
        <v>#REF!</v>
      </c>
      <c r="O8" s="60" t="e">
        <f t="shared" si="5"/>
        <v>#REF!</v>
      </c>
      <c r="P8" s="60" t="e">
        <f t="shared" si="6"/>
        <v>#REF!</v>
      </c>
      <c r="Q8" s="60" t="e">
        <f t="shared" si="7"/>
        <v>#REF!</v>
      </c>
      <c r="R8" s="61" t="e">
        <f t="shared" si="8"/>
        <v>#REF!</v>
      </c>
      <c r="S8" s="61" t="e">
        <f t="shared" si="9"/>
        <v>#REF!</v>
      </c>
      <c r="T8" s="61" t="e">
        <f t="shared" si="9"/>
        <v>#REF!</v>
      </c>
      <c r="U8" s="59" t="e">
        <f t="shared" si="35"/>
        <v>#REF!</v>
      </c>
      <c r="V8" s="59" t="e">
        <f t="shared" si="10"/>
        <v>#REF!</v>
      </c>
      <c r="W8" s="60" t="e">
        <f t="shared" si="11"/>
        <v>#REF!</v>
      </c>
      <c r="X8" s="60" t="e">
        <f t="shared" si="12"/>
        <v>#REF!</v>
      </c>
      <c r="Y8" s="60" t="e">
        <f t="shared" si="13"/>
        <v>#REF!</v>
      </c>
      <c r="Z8" s="61" t="e">
        <f t="shared" si="14"/>
        <v>#REF!</v>
      </c>
      <c r="AA8" s="61" t="e">
        <f t="shared" si="15"/>
        <v>#REF!</v>
      </c>
      <c r="AB8" s="61" t="e">
        <f t="shared" si="15"/>
        <v>#REF!</v>
      </c>
      <c r="AC8" s="59" t="e">
        <f t="shared" si="36"/>
        <v>#REF!</v>
      </c>
      <c r="AD8" s="59" t="e">
        <f t="shared" si="16"/>
        <v>#REF!</v>
      </c>
      <c r="AE8" s="60" t="e">
        <f t="shared" si="17"/>
        <v>#REF!</v>
      </c>
      <c r="AF8" s="60" t="e">
        <f t="shared" si="18"/>
        <v>#REF!</v>
      </c>
      <c r="AG8" s="60" t="e">
        <f t="shared" si="19"/>
        <v>#REF!</v>
      </c>
      <c r="AH8" s="62" t="e">
        <f t="shared" si="39"/>
        <v>#REF!</v>
      </c>
      <c r="AI8" s="59" t="e">
        <f t="shared" si="37"/>
        <v>#REF!</v>
      </c>
      <c r="AJ8" s="59" t="e">
        <f t="shared" si="20"/>
        <v>#REF!</v>
      </c>
      <c r="AK8" s="60" t="e">
        <f t="shared" si="21"/>
        <v>#REF!</v>
      </c>
      <c r="AL8" s="60" t="e">
        <f t="shared" si="22"/>
        <v>#REF!</v>
      </c>
      <c r="AM8" s="60" t="e">
        <f t="shared" si="23"/>
        <v>#REF!</v>
      </c>
      <c r="AN8" s="62" t="e">
        <f t="shared" si="24"/>
        <v>#REF!</v>
      </c>
      <c r="AO8" s="59" t="e">
        <f t="shared" si="38"/>
        <v>#REF!</v>
      </c>
      <c r="AP8" s="59" t="e">
        <f t="shared" si="25"/>
        <v>#REF!</v>
      </c>
      <c r="AQ8" s="60" t="e">
        <f t="shared" si="26"/>
        <v>#REF!</v>
      </c>
      <c r="AR8" s="60" t="e">
        <f t="shared" si="27"/>
        <v>#REF!</v>
      </c>
      <c r="AS8" s="60" t="e">
        <f t="shared" si="28"/>
        <v>#REF!</v>
      </c>
      <c r="AT8" s="64" t="e">
        <f t="shared" si="29"/>
        <v>#REF!</v>
      </c>
      <c r="AU8" s="61" t="e">
        <f t="shared" si="30"/>
        <v>#REF!</v>
      </c>
      <c r="AV8" s="61" t="e">
        <f t="shared" si="30"/>
        <v>#REF!</v>
      </c>
      <c r="AW8" s="63" t="e">
        <f t="shared" si="40"/>
        <v>#REF!</v>
      </c>
      <c r="AX8" s="57" t="e">
        <f t="shared" si="31"/>
        <v>#REF!</v>
      </c>
    </row>
    <row r="9" spans="1:51" ht="14.4" x14ac:dyDescent="0.3">
      <c r="A9" s="113" t="e">
        <f>+GETPIVOTDATA("Mín de Score",#REF!,"Rango",7)</f>
        <v>#REF!</v>
      </c>
      <c r="B9" t="e">
        <f>+GETPIVOTDATA("Máx de Score",#REF!,"Rango",7)</f>
        <v>#REF!</v>
      </c>
      <c r="C9" s="122" t="e">
        <f t="shared" si="32"/>
        <v>#REF!</v>
      </c>
      <c r="D9" t="e">
        <f>+GETPIVOTDATA("Rango",#REF!,"Var Dependiente",0,"Rango",7)</f>
        <v>#REF!</v>
      </c>
      <c r="E9" t="e">
        <f>+GETPIVOTDATA("Rango",#REF!,"Var Dependiente",1,"Rango",7)</f>
        <v>#REF!</v>
      </c>
      <c r="F9" t="e">
        <f>+GETPIVOTDATA("Rango",#REF!,"Var Dependiente",2,"Rango",7)</f>
        <v>#REF!</v>
      </c>
      <c r="G9" t="e">
        <f>+GETPIVOTDATA("Rango",#REF!,"Var Dependiente",3,"Rango",7)</f>
        <v>#REF!</v>
      </c>
      <c r="H9" s="59" t="e">
        <f t="shared" si="33"/>
        <v>#REF!</v>
      </c>
      <c r="I9" s="59" t="e">
        <f t="shared" si="0"/>
        <v>#REF!</v>
      </c>
      <c r="J9" s="60" t="e">
        <f t="shared" si="1"/>
        <v>#REF!</v>
      </c>
      <c r="K9" s="60" t="e">
        <f t="shared" si="2"/>
        <v>#REF!</v>
      </c>
      <c r="L9" s="60" t="e">
        <f t="shared" si="3"/>
        <v>#REF!</v>
      </c>
      <c r="M9" s="59" t="e">
        <f t="shared" si="34"/>
        <v>#REF!</v>
      </c>
      <c r="N9" s="59" t="e">
        <f t="shared" si="4"/>
        <v>#REF!</v>
      </c>
      <c r="O9" s="60" t="e">
        <f t="shared" si="5"/>
        <v>#REF!</v>
      </c>
      <c r="P9" s="60" t="e">
        <f t="shared" si="6"/>
        <v>#REF!</v>
      </c>
      <c r="Q9" s="60" t="e">
        <f t="shared" si="7"/>
        <v>#REF!</v>
      </c>
      <c r="R9" s="61" t="e">
        <f t="shared" si="8"/>
        <v>#REF!</v>
      </c>
      <c r="S9" s="61" t="e">
        <f t="shared" si="9"/>
        <v>#REF!</v>
      </c>
      <c r="T9" s="61" t="e">
        <f t="shared" si="9"/>
        <v>#REF!</v>
      </c>
      <c r="U9" s="59" t="e">
        <f t="shared" si="35"/>
        <v>#REF!</v>
      </c>
      <c r="V9" s="59" t="e">
        <f t="shared" si="10"/>
        <v>#REF!</v>
      </c>
      <c r="W9" s="60" t="e">
        <f t="shared" si="11"/>
        <v>#REF!</v>
      </c>
      <c r="X9" s="60" t="e">
        <f t="shared" si="12"/>
        <v>#REF!</v>
      </c>
      <c r="Y9" s="60" t="e">
        <f t="shared" si="13"/>
        <v>#REF!</v>
      </c>
      <c r="Z9" s="61" t="e">
        <f t="shared" si="14"/>
        <v>#REF!</v>
      </c>
      <c r="AA9" s="61" t="e">
        <f t="shared" si="15"/>
        <v>#REF!</v>
      </c>
      <c r="AB9" s="61" t="e">
        <f t="shared" si="15"/>
        <v>#REF!</v>
      </c>
      <c r="AC9" s="59" t="e">
        <f t="shared" si="36"/>
        <v>#REF!</v>
      </c>
      <c r="AD9" s="59" t="e">
        <f t="shared" si="16"/>
        <v>#REF!</v>
      </c>
      <c r="AE9" s="60" t="e">
        <f t="shared" si="17"/>
        <v>#REF!</v>
      </c>
      <c r="AF9" s="60" t="e">
        <f t="shared" si="18"/>
        <v>#REF!</v>
      </c>
      <c r="AG9" s="60" t="e">
        <f t="shared" si="19"/>
        <v>#REF!</v>
      </c>
      <c r="AH9" s="62" t="e">
        <f t="shared" si="39"/>
        <v>#REF!</v>
      </c>
      <c r="AI9" s="59" t="e">
        <f t="shared" si="37"/>
        <v>#REF!</v>
      </c>
      <c r="AJ9" s="59" t="e">
        <f t="shared" si="20"/>
        <v>#REF!</v>
      </c>
      <c r="AK9" s="60" t="e">
        <f t="shared" si="21"/>
        <v>#REF!</v>
      </c>
      <c r="AL9" s="60" t="e">
        <f t="shared" si="22"/>
        <v>#REF!</v>
      </c>
      <c r="AM9" s="60" t="e">
        <f t="shared" si="23"/>
        <v>#REF!</v>
      </c>
      <c r="AN9" s="62" t="e">
        <f t="shared" si="24"/>
        <v>#REF!</v>
      </c>
      <c r="AO9" s="59" t="e">
        <f t="shared" si="38"/>
        <v>#REF!</v>
      </c>
      <c r="AP9" s="59" t="e">
        <f t="shared" si="25"/>
        <v>#REF!</v>
      </c>
      <c r="AQ9" s="60" t="e">
        <f t="shared" si="26"/>
        <v>#REF!</v>
      </c>
      <c r="AR9" s="60" t="e">
        <f t="shared" si="27"/>
        <v>#REF!</v>
      </c>
      <c r="AS9" s="60" t="e">
        <f t="shared" si="28"/>
        <v>#REF!</v>
      </c>
      <c r="AT9" s="64" t="e">
        <f t="shared" si="29"/>
        <v>#REF!</v>
      </c>
      <c r="AU9" s="61" t="e">
        <f t="shared" si="30"/>
        <v>#REF!</v>
      </c>
      <c r="AV9" s="61" t="e">
        <f t="shared" si="30"/>
        <v>#REF!</v>
      </c>
      <c r="AW9" s="63" t="e">
        <f t="shared" si="40"/>
        <v>#REF!</v>
      </c>
      <c r="AX9" s="57" t="e">
        <f t="shared" si="31"/>
        <v>#REF!</v>
      </c>
    </row>
    <row r="10" spans="1:51" ht="14.4" x14ac:dyDescent="0.3">
      <c r="A10" s="113" t="e">
        <f>+GETPIVOTDATA("Mín de Score",#REF!,"Rango",8)</f>
        <v>#REF!</v>
      </c>
      <c r="B10" t="e">
        <f>+GETPIVOTDATA("Máx de Score",#REF!,"Rango",8)</f>
        <v>#REF!</v>
      </c>
      <c r="C10" s="122" t="e">
        <f t="shared" si="32"/>
        <v>#REF!</v>
      </c>
      <c r="D10" t="e">
        <f>+GETPIVOTDATA("Rango",#REF!,"Var Dependiente",0,"Rango",8)</f>
        <v>#REF!</v>
      </c>
      <c r="E10" t="e">
        <f>+GETPIVOTDATA("Rango",#REF!,"Var Dependiente",1,"Rango",8)</f>
        <v>#REF!</v>
      </c>
      <c r="F10" t="e">
        <f>+GETPIVOTDATA("Rango",#REF!,"Var Dependiente",2,"Rango",8)</f>
        <v>#REF!</v>
      </c>
      <c r="G10" t="e">
        <f>+GETPIVOTDATA("Rango",#REF!,"Var Dependiente",3,"Rango",8)</f>
        <v>#REF!</v>
      </c>
      <c r="H10" s="59" t="e">
        <f t="shared" si="33"/>
        <v>#REF!</v>
      </c>
      <c r="I10" s="59" t="e">
        <f t="shared" si="0"/>
        <v>#REF!</v>
      </c>
      <c r="J10" s="60" t="e">
        <f t="shared" si="1"/>
        <v>#REF!</v>
      </c>
      <c r="K10" s="60" t="e">
        <f t="shared" si="2"/>
        <v>#REF!</v>
      </c>
      <c r="L10" s="60" t="e">
        <f t="shared" si="3"/>
        <v>#REF!</v>
      </c>
      <c r="M10" s="59" t="e">
        <f t="shared" si="34"/>
        <v>#REF!</v>
      </c>
      <c r="N10" s="59" t="e">
        <f t="shared" si="4"/>
        <v>#REF!</v>
      </c>
      <c r="O10" s="60" t="e">
        <f t="shared" si="5"/>
        <v>#REF!</v>
      </c>
      <c r="P10" s="60" t="e">
        <f t="shared" si="6"/>
        <v>#REF!</v>
      </c>
      <c r="Q10" s="60" t="e">
        <f t="shared" si="7"/>
        <v>#REF!</v>
      </c>
      <c r="R10" s="61" t="e">
        <f t="shared" si="8"/>
        <v>#REF!</v>
      </c>
      <c r="S10" s="61" t="e">
        <f t="shared" si="9"/>
        <v>#REF!</v>
      </c>
      <c r="T10" s="61" t="e">
        <f t="shared" si="9"/>
        <v>#REF!</v>
      </c>
      <c r="U10" s="59" t="e">
        <f t="shared" si="35"/>
        <v>#REF!</v>
      </c>
      <c r="V10" s="59" t="e">
        <f t="shared" si="10"/>
        <v>#REF!</v>
      </c>
      <c r="W10" s="60" t="e">
        <f t="shared" si="11"/>
        <v>#REF!</v>
      </c>
      <c r="X10" s="60" t="e">
        <f t="shared" si="12"/>
        <v>#REF!</v>
      </c>
      <c r="Y10" s="60" t="e">
        <f t="shared" si="13"/>
        <v>#REF!</v>
      </c>
      <c r="Z10" s="61" t="e">
        <f t="shared" si="14"/>
        <v>#REF!</v>
      </c>
      <c r="AA10" s="61" t="e">
        <f t="shared" si="15"/>
        <v>#REF!</v>
      </c>
      <c r="AB10" s="61" t="e">
        <f t="shared" si="15"/>
        <v>#REF!</v>
      </c>
      <c r="AC10" s="59" t="e">
        <f t="shared" si="36"/>
        <v>#REF!</v>
      </c>
      <c r="AD10" s="59" t="e">
        <f t="shared" si="16"/>
        <v>#REF!</v>
      </c>
      <c r="AE10" s="60" t="e">
        <f t="shared" si="17"/>
        <v>#REF!</v>
      </c>
      <c r="AF10" s="60" t="e">
        <f t="shared" si="18"/>
        <v>#REF!</v>
      </c>
      <c r="AG10" s="60" t="e">
        <f t="shared" si="19"/>
        <v>#REF!</v>
      </c>
      <c r="AH10" s="62" t="e">
        <f t="shared" si="39"/>
        <v>#REF!</v>
      </c>
      <c r="AI10" s="59" t="e">
        <f t="shared" si="37"/>
        <v>#REF!</v>
      </c>
      <c r="AJ10" s="59" t="e">
        <f t="shared" si="20"/>
        <v>#REF!</v>
      </c>
      <c r="AK10" s="60" t="e">
        <f t="shared" si="21"/>
        <v>#REF!</v>
      </c>
      <c r="AL10" s="60" t="e">
        <f t="shared" si="22"/>
        <v>#REF!</v>
      </c>
      <c r="AM10" s="60" t="e">
        <f t="shared" si="23"/>
        <v>#REF!</v>
      </c>
      <c r="AN10" s="62" t="e">
        <f t="shared" si="24"/>
        <v>#REF!</v>
      </c>
      <c r="AO10" s="59" t="e">
        <f t="shared" si="38"/>
        <v>#REF!</v>
      </c>
      <c r="AP10" s="59" t="e">
        <f t="shared" si="25"/>
        <v>#REF!</v>
      </c>
      <c r="AQ10" s="60" t="e">
        <f t="shared" si="26"/>
        <v>#REF!</v>
      </c>
      <c r="AR10" s="60" t="e">
        <f t="shared" si="27"/>
        <v>#REF!</v>
      </c>
      <c r="AS10" s="60" t="e">
        <f t="shared" si="28"/>
        <v>#REF!</v>
      </c>
      <c r="AT10" s="61" t="e">
        <f t="shared" si="29"/>
        <v>#REF!</v>
      </c>
      <c r="AU10" s="61" t="e">
        <f t="shared" si="30"/>
        <v>#REF!</v>
      </c>
      <c r="AV10" s="61" t="e">
        <f t="shared" si="30"/>
        <v>#REF!</v>
      </c>
      <c r="AW10" s="63" t="e">
        <f t="shared" si="40"/>
        <v>#REF!</v>
      </c>
      <c r="AX10" s="57" t="e">
        <f t="shared" si="31"/>
        <v>#REF!</v>
      </c>
    </row>
    <row r="11" spans="1:51" ht="14.4" x14ac:dyDescent="0.3">
      <c r="A11" s="113" t="e">
        <f>+GETPIVOTDATA("Mín de Score",#REF!,"Rango",9)</f>
        <v>#REF!</v>
      </c>
      <c r="B11" t="e">
        <f>+GETPIVOTDATA("Máx de Score",#REF!,"Rango",9)</f>
        <v>#REF!</v>
      </c>
      <c r="C11" s="122" t="e">
        <f t="shared" si="32"/>
        <v>#REF!</v>
      </c>
      <c r="D11" t="e">
        <f>+GETPIVOTDATA("Rango",#REF!,"Var Dependiente",0,"Rango",9)</f>
        <v>#REF!</v>
      </c>
      <c r="E11" t="e">
        <f>+GETPIVOTDATA("Rango",#REF!,"Var Dependiente",1,"Rango",9)</f>
        <v>#REF!</v>
      </c>
      <c r="F11" t="e">
        <f>+GETPIVOTDATA("Rango",#REF!,"Var Dependiente",2,"Rango",9)</f>
        <v>#REF!</v>
      </c>
      <c r="G11" t="e">
        <f>+GETPIVOTDATA("Rango",#REF!,"Var Dependiente",3,"Rango",9)</f>
        <v>#REF!</v>
      </c>
      <c r="H11" s="59" t="e">
        <f t="shared" si="33"/>
        <v>#REF!</v>
      </c>
      <c r="I11" s="59" t="e">
        <f t="shared" si="0"/>
        <v>#REF!</v>
      </c>
      <c r="J11" s="60" t="e">
        <f t="shared" si="1"/>
        <v>#REF!</v>
      </c>
      <c r="K11" s="60" t="e">
        <f t="shared" si="2"/>
        <v>#REF!</v>
      </c>
      <c r="L11" s="60" t="e">
        <f t="shared" si="3"/>
        <v>#REF!</v>
      </c>
      <c r="M11" s="59" t="e">
        <f t="shared" si="34"/>
        <v>#REF!</v>
      </c>
      <c r="N11" s="59" t="e">
        <f t="shared" si="4"/>
        <v>#REF!</v>
      </c>
      <c r="O11" s="60" t="e">
        <f t="shared" si="5"/>
        <v>#REF!</v>
      </c>
      <c r="P11" s="60" t="e">
        <f t="shared" si="6"/>
        <v>#REF!</v>
      </c>
      <c r="Q11" s="60" t="e">
        <f t="shared" si="7"/>
        <v>#REF!</v>
      </c>
      <c r="R11" s="61" t="e">
        <f t="shared" si="8"/>
        <v>#REF!</v>
      </c>
      <c r="S11" s="61" t="e">
        <f t="shared" si="9"/>
        <v>#REF!</v>
      </c>
      <c r="T11" s="61" t="e">
        <f t="shared" si="9"/>
        <v>#REF!</v>
      </c>
      <c r="U11" s="59" t="e">
        <f t="shared" si="35"/>
        <v>#REF!</v>
      </c>
      <c r="V11" s="59" t="e">
        <f t="shared" si="10"/>
        <v>#REF!</v>
      </c>
      <c r="W11" s="60" t="e">
        <f t="shared" si="11"/>
        <v>#REF!</v>
      </c>
      <c r="X11" s="60" t="e">
        <f t="shared" si="12"/>
        <v>#REF!</v>
      </c>
      <c r="Y11" s="60" t="e">
        <f t="shared" si="13"/>
        <v>#REF!</v>
      </c>
      <c r="Z11" s="61" t="e">
        <f t="shared" si="14"/>
        <v>#REF!</v>
      </c>
      <c r="AA11" s="61" t="e">
        <f t="shared" si="15"/>
        <v>#REF!</v>
      </c>
      <c r="AB11" s="61" t="e">
        <f t="shared" si="15"/>
        <v>#REF!</v>
      </c>
      <c r="AC11" s="59" t="e">
        <f t="shared" si="36"/>
        <v>#REF!</v>
      </c>
      <c r="AD11" s="59" t="e">
        <f t="shared" si="16"/>
        <v>#REF!</v>
      </c>
      <c r="AE11" s="60" t="e">
        <f t="shared" si="17"/>
        <v>#REF!</v>
      </c>
      <c r="AF11" s="60" t="e">
        <f t="shared" si="18"/>
        <v>#REF!</v>
      </c>
      <c r="AG11" s="60" t="e">
        <f t="shared" si="19"/>
        <v>#REF!</v>
      </c>
      <c r="AH11" s="62" t="e">
        <f>ROUND($G11*R11+D11,0)</f>
        <v>#REF!</v>
      </c>
      <c r="AI11" s="59" t="e">
        <f t="shared" si="37"/>
        <v>#REF!</v>
      </c>
      <c r="AJ11" s="59" t="e">
        <f t="shared" si="20"/>
        <v>#REF!</v>
      </c>
      <c r="AK11" s="60" t="e">
        <f t="shared" si="21"/>
        <v>#REF!</v>
      </c>
      <c r="AL11" s="60" t="e">
        <f t="shared" si="22"/>
        <v>#REF!</v>
      </c>
      <c r="AM11" s="60" t="e">
        <f t="shared" si="23"/>
        <v>#REF!</v>
      </c>
      <c r="AN11" s="62" t="e">
        <f t="shared" si="24"/>
        <v>#REF!</v>
      </c>
      <c r="AO11" s="59" t="e">
        <f t="shared" si="38"/>
        <v>#REF!</v>
      </c>
      <c r="AP11" s="59" t="e">
        <f t="shared" si="25"/>
        <v>#REF!</v>
      </c>
      <c r="AQ11" s="60" t="e">
        <f t="shared" si="26"/>
        <v>#REF!</v>
      </c>
      <c r="AR11" s="60" t="e">
        <f t="shared" si="27"/>
        <v>#REF!</v>
      </c>
      <c r="AS11" s="60" t="e">
        <f t="shared" si="28"/>
        <v>#REF!</v>
      </c>
      <c r="AT11" s="61" t="e">
        <f t="shared" si="29"/>
        <v>#REF!</v>
      </c>
      <c r="AU11" s="61" t="e">
        <f t="shared" si="30"/>
        <v>#REF!</v>
      </c>
      <c r="AV11" s="61" t="e">
        <f t="shared" si="30"/>
        <v>#REF!</v>
      </c>
      <c r="AW11" s="63" t="e">
        <f t="shared" si="40"/>
        <v>#REF!</v>
      </c>
      <c r="AX11" s="57" t="e">
        <f t="shared" si="31"/>
        <v>#REF!</v>
      </c>
    </row>
    <row r="12" spans="1:51" ht="14.4" x14ac:dyDescent="0.3">
      <c r="A12" s="113" t="e">
        <f>+GETPIVOTDATA("Mín de Score",#REF!,"Rango",10)</f>
        <v>#REF!</v>
      </c>
      <c r="B12" t="e">
        <f>+GETPIVOTDATA("Máx de Score",#REF!,"Rango",10)</f>
        <v>#REF!</v>
      </c>
      <c r="C12" s="122" t="e">
        <f t="shared" si="32"/>
        <v>#REF!</v>
      </c>
      <c r="D12" t="e">
        <f>+GETPIVOTDATA("Rango",#REF!,"Var Dependiente",0,"Rango",10)</f>
        <v>#REF!</v>
      </c>
      <c r="E12" t="e">
        <f>+GETPIVOTDATA("Rango",#REF!,"Var Dependiente",1,"Rango",10)</f>
        <v>#REF!</v>
      </c>
      <c r="F12" t="e">
        <f>+GETPIVOTDATA("Rango",#REF!,"Var Dependiente",2,"Rango",10)</f>
        <v>#REF!</v>
      </c>
      <c r="G12" t="e">
        <f>+GETPIVOTDATA("Rango",#REF!,"Var Dependiente",3,"Rango",10)</f>
        <v>#REF!</v>
      </c>
      <c r="H12" s="59" t="e">
        <f t="shared" si="33"/>
        <v>#REF!</v>
      </c>
      <c r="I12" s="59" t="e">
        <f>C12</f>
        <v>#REF!</v>
      </c>
      <c r="J12" s="60" t="e">
        <f t="shared" si="1"/>
        <v>#REF!</v>
      </c>
      <c r="K12" s="60" t="e">
        <f t="shared" si="2"/>
        <v>#REF!</v>
      </c>
      <c r="L12" s="60" t="e">
        <f t="shared" si="3"/>
        <v>#REF!</v>
      </c>
      <c r="M12" s="59" t="e">
        <f t="shared" si="34"/>
        <v>#REF!</v>
      </c>
      <c r="N12" s="59" t="e">
        <f>D12</f>
        <v>#REF!</v>
      </c>
      <c r="O12" s="60" t="e">
        <f t="shared" si="5"/>
        <v>#REF!</v>
      </c>
      <c r="P12" s="60" t="e">
        <f t="shared" si="6"/>
        <v>#REF!</v>
      </c>
      <c r="Q12" s="60" t="e">
        <f t="shared" si="7"/>
        <v>#REF!</v>
      </c>
      <c r="R12" s="61" t="e">
        <f>D12/(D12+E12+F12)</f>
        <v>#REF!</v>
      </c>
      <c r="S12" s="61" t="e">
        <f t="shared" si="9"/>
        <v>#REF!</v>
      </c>
      <c r="T12" s="61" t="e">
        <f t="shared" si="9"/>
        <v>#REF!</v>
      </c>
      <c r="U12" s="59" t="e">
        <f t="shared" si="35"/>
        <v>#REF!</v>
      </c>
      <c r="V12" s="59" t="e">
        <f>E12</f>
        <v>#REF!</v>
      </c>
      <c r="W12" s="60" t="e">
        <f t="shared" si="11"/>
        <v>#REF!</v>
      </c>
      <c r="X12" s="60" t="e">
        <f t="shared" si="12"/>
        <v>#REF!</v>
      </c>
      <c r="Y12" s="60" t="e">
        <f t="shared" si="13"/>
        <v>#REF!</v>
      </c>
      <c r="Z12" s="61" t="e">
        <f t="shared" si="14"/>
        <v>#REF!</v>
      </c>
      <c r="AA12" s="61" t="e">
        <f t="shared" si="15"/>
        <v>#REF!</v>
      </c>
      <c r="AB12" s="61" t="e">
        <f t="shared" si="15"/>
        <v>#REF!</v>
      </c>
      <c r="AC12" s="59" t="e">
        <f t="shared" si="36"/>
        <v>#REF!</v>
      </c>
      <c r="AD12" s="59" t="e">
        <f>F12</f>
        <v>#REF!</v>
      </c>
      <c r="AE12" s="60" t="e">
        <f t="shared" si="17"/>
        <v>#REF!</v>
      </c>
      <c r="AF12" s="60" t="e">
        <f t="shared" si="18"/>
        <v>#REF!</v>
      </c>
      <c r="AG12" s="60" t="e">
        <f t="shared" si="19"/>
        <v>#REF!</v>
      </c>
      <c r="AH12" s="62" t="e">
        <f>ROUND($G12*R12+D12,0)</f>
        <v>#REF!</v>
      </c>
      <c r="AI12" s="59" t="e">
        <f t="shared" si="37"/>
        <v>#REF!</v>
      </c>
      <c r="AJ12" s="59" t="e">
        <f>AH12</f>
        <v>#REF!</v>
      </c>
      <c r="AK12" s="60" t="e">
        <f t="shared" si="21"/>
        <v>#REF!</v>
      </c>
      <c r="AL12" s="60" t="e">
        <f t="shared" si="22"/>
        <v>#REF!</v>
      </c>
      <c r="AM12" s="60" t="e">
        <f t="shared" si="23"/>
        <v>#REF!</v>
      </c>
      <c r="AN12" s="62" t="e">
        <f t="shared" si="24"/>
        <v>#REF!</v>
      </c>
      <c r="AO12" s="59" t="e">
        <f t="shared" si="38"/>
        <v>#REF!</v>
      </c>
      <c r="AP12" s="59" t="e">
        <f>AN12</f>
        <v>#REF!</v>
      </c>
      <c r="AQ12" s="60" t="e">
        <f t="shared" si="26"/>
        <v>#REF!</v>
      </c>
      <c r="AR12" s="60" t="e">
        <f t="shared" si="27"/>
        <v>#REF!</v>
      </c>
      <c r="AS12" s="60" t="e">
        <f t="shared" si="28"/>
        <v>#REF!</v>
      </c>
      <c r="AT12" s="61" t="e">
        <f t="shared" si="29"/>
        <v>#REF!</v>
      </c>
      <c r="AU12" s="61" t="e">
        <f t="shared" si="30"/>
        <v>#REF!</v>
      </c>
      <c r="AV12" s="61" t="e">
        <f t="shared" si="30"/>
        <v>#REF!</v>
      </c>
      <c r="AW12" s="63" t="e">
        <f t="shared" si="40"/>
        <v>#REF!</v>
      </c>
      <c r="AX12" s="57" t="e">
        <f t="shared" si="31"/>
        <v>#REF!</v>
      </c>
    </row>
    <row r="13" spans="1:51" s="73" customFormat="1" ht="12" customHeight="1" x14ac:dyDescent="0.3">
      <c r="A13" s="229" t="s">
        <v>5</v>
      </c>
      <c r="B13" s="229"/>
      <c r="C13" s="114" t="e">
        <f>SUM(C3:C12)</f>
        <v>#REF!</v>
      </c>
      <c r="D13" s="114" t="e">
        <f>SUM(D3:D12)</f>
        <v>#REF!</v>
      </c>
      <c r="E13" s="114" t="e">
        <f>SUM(E3:E12)</f>
        <v>#REF!</v>
      </c>
      <c r="F13" s="114" t="e">
        <f>SUM(F3:F12)</f>
        <v>#REF!</v>
      </c>
      <c r="G13" s="114" t="e">
        <f>SUM(G3:G12)</f>
        <v>#REF!</v>
      </c>
      <c r="H13" s="65"/>
      <c r="I13" s="65"/>
      <c r="J13" s="66"/>
      <c r="K13" s="66"/>
      <c r="L13" s="66"/>
      <c r="M13" s="65"/>
      <c r="N13" s="65"/>
      <c r="O13" s="66"/>
      <c r="P13" s="66"/>
      <c r="Q13" s="66"/>
      <c r="R13" s="67"/>
      <c r="S13" s="68"/>
      <c r="T13" s="68"/>
      <c r="U13" s="65"/>
      <c r="V13" s="65"/>
      <c r="W13" s="66"/>
      <c r="X13" s="66"/>
      <c r="Y13" s="66"/>
      <c r="Z13" s="67"/>
      <c r="AA13" s="68"/>
      <c r="AB13" s="68"/>
      <c r="AC13" s="65"/>
      <c r="AD13" s="65"/>
      <c r="AE13" s="66"/>
      <c r="AF13" s="66"/>
      <c r="AG13" s="66"/>
      <c r="AH13" s="69" t="e">
        <f>SUM(AH3:AH12)</f>
        <v>#REF!</v>
      </c>
      <c r="AI13" s="69"/>
      <c r="AJ13" s="69"/>
      <c r="AK13" s="66"/>
      <c r="AL13" s="66"/>
      <c r="AM13" s="66"/>
      <c r="AN13" s="69" t="e">
        <f>SUM(AN3:AN12)</f>
        <v>#REF!</v>
      </c>
      <c r="AO13" s="69"/>
      <c r="AP13" s="69"/>
      <c r="AQ13" s="66"/>
      <c r="AR13" s="66"/>
      <c r="AS13" s="66"/>
      <c r="AT13" s="67"/>
      <c r="AU13" s="67"/>
      <c r="AV13" s="67"/>
      <c r="AW13" s="70" t="e">
        <f>MAX(AW3:AW12)</f>
        <v>#REF!</v>
      </c>
      <c r="AX13" s="71" t="e">
        <f>SUM(AX3:AX12)</f>
        <v>#REF!</v>
      </c>
      <c r="AY13" s="72" t="e">
        <f>2*AX13-1</f>
        <v>#REF!</v>
      </c>
    </row>
    <row r="16" spans="1:51" s="82" customFormat="1" x14ac:dyDescent="0.3">
      <c r="A16" s="78" t="s">
        <v>46</v>
      </c>
      <c r="B16" s="79"/>
      <c r="C16" s="80"/>
      <c r="D16" s="80"/>
      <c r="E16" s="80"/>
      <c r="F16" s="80"/>
      <c r="H16" s="80"/>
      <c r="I16" s="80"/>
      <c r="J16" s="79"/>
      <c r="K16" s="79"/>
      <c r="L16" s="79"/>
      <c r="M16" s="80"/>
      <c r="N16" s="80"/>
      <c r="O16" s="79"/>
      <c r="P16" s="79"/>
      <c r="Q16" s="79"/>
      <c r="R16" s="81"/>
      <c r="S16" s="79"/>
      <c r="T16" s="79"/>
      <c r="U16" s="80"/>
      <c r="V16" s="80"/>
      <c r="W16" s="79"/>
      <c r="X16" s="79"/>
      <c r="Y16" s="79"/>
      <c r="Z16" s="81"/>
      <c r="AA16" s="79"/>
      <c r="AB16" s="79"/>
      <c r="AC16" s="80"/>
      <c r="AD16" s="80"/>
      <c r="AE16" s="79"/>
      <c r="AF16" s="79"/>
      <c r="AG16" s="79"/>
      <c r="AH16" s="83"/>
      <c r="AI16" s="83"/>
      <c r="AJ16" s="83"/>
      <c r="AK16" s="79"/>
      <c r="AL16" s="79"/>
      <c r="AM16" s="79"/>
      <c r="AN16" s="83"/>
      <c r="AO16" s="83"/>
      <c r="AP16" s="83"/>
      <c r="AQ16" s="79"/>
      <c r="AR16" s="79"/>
      <c r="AS16" s="79"/>
      <c r="AT16" s="81"/>
      <c r="AU16" s="81"/>
      <c r="AV16" s="81"/>
    </row>
    <row r="19" spans="1:15" hidden="1" x14ac:dyDescent="0.25">
      <c r="A19" s="211" t="s">
        <v>47</v>
      </c>
      <c r="B19" s="211"/>
      <c r="C19" s="211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</row>
    <row r="20" spans="1:15" hidden="1" x14ac:dyDescent="0.25">
      <c r="A20" s="210" t="s">
        <v>48</v>
      </c>
      <c r="B20" s="210"/>
      <c r="C20" s="210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</row>
    <row r="21" spans="1:15" ht="37.200000000000003" hidden="1" thickTop="1" thickBot="1" x14ac:dyDescent="0.3">
      <c r="A21" s="115" t="s">
        <v>49</v>
      </c>
      <c r="B21" s="85" t="s">
        <v>50</v>
      </c>
      <c r="C21" s="86" t="s">
        <v>51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</row>
    <row r="22" spans="1:15" ht="14.4" hidden="1" thickTop="1" x14ac:dyDescent="0.25">
      <c r="A22" s="87" t="s">
        <v>52</v>
      </c>
      <c r="B22" s="88">
        <v>41</v>
      </c>
      <c r="C22" s="89">
        <v>45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</row>
    <row r="23" spans="1:15" hidden="1" x14ac:dyDescent="0.25">
      <c r="A23" s="90" t="s">
        <v>53</v>
      </c>
      <c r="B23" s="91">
        <v>37</v>
      </c>
      <c r="C23" s="92">
        <v>41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</row>
    <row r="24" spans="1:15" hidden="1" x14ac:dyDescent="0.25">
      <c r="A24" s="90" t="s">
        <v>54</v>
      </c>
      <c r="B24" s="91">
        <v>34</v>
      </c>
      <c r="C24" s="92">
        <v>37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</row>
    <row r="25" spans="1:15" hidden="1" x14ac:dyDescent="0.25">
      <c r="A25" s="90" t="s">
        <v>55</v>
      </c>
      <c r="B25" s="91">
        <v>31</v>
      </c>
      <c r="C25" s="92">
        <v>34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</row>
    <row r="26" spans="1:15" hidden="1" x14ac:dyDescent="0.25">
      <c r="A26" s="90" t="s">
        <v>56</v>
      </c>
      <c r="B26" s="91">
        <v>27</v>
      </c>
      <c r="C26" s="92">
        <v>31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5" hidden="1" x14ac:dyDescent="0.25">
      <c r="A27" s="90" t="s">
        <v>57</v>
      </c>
      <c r="B27" s="91">
        <v>22</v>
      </c>
      <c r="C27" s="92">
        <v>27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</row>
    <row r="28" spans="1:15" hidden="1" x14ac:dyDescent="0.25">
      <c r="A28" s="90" t="s">
        <v>58</v>
      </c>
      <c r="B28" s="91">
        <v>17</v>
      </c>
      <c r="C28" s="92">
        <v>22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</row>
    <row r="29" spans="1:15" hidden="1" x14ac:dyDescent="0.25">
      <c r="A29" s="90" t="s">
        <v>59</v>
      </c>
      <c r="B29" s="91">
        <v>11</v>
      </c>
      <c r="C29" s="92">
        <v>17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</row>
    <row r="30" spans="1:15" hidden="1" x14ac:dyDescent="0.25">
      <c r="A30" s="90" t="s">
        <v>60</v>
      </c>
      <c r="B30" s="91">
        <v>5</v>
      </c>
      <c r="C30" s="92">
        <v>11</v>
      </c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</row>
    <row r="31" spans="1:15" hidden="1" x14ac:dyDescent="0.25">
      <c r="A31" s="90" t="s">
        <v>61</v>
      </c>
      <c r="B31" s="91">
        <v>1</v>
      </c>
      <c r="C31" s="92">
        <v>5</v>
      </c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</row>
    <row r="32" spans="1:15" ht="14.4" hidden="1" thickBot="1" x14ac:dyDescent="0.3">
      <c r="A32" s="93" t="s">
        <v>5</v>
      </c>
      <c r="B32" s="94">
        <v>1</v>
      </c>
      <c r="C32" s="95">
        <v>45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5" hidden="1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</row>
    <row r="34" spans="1:15" hidden="1" x14ac:dyDescent="0.25">
      <c r="A34" s="211" t="s">
        <v>62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84"/>
      <c r="M34" s="84"/>
      <c r="N34" s="84"/>
      <c r="O34" s="84"/>
    </row>
    <row r="35" spans="1:15" ht="14.4" hidden="1" thickTop="1" x14ac:dyDescent="0.25">
      <c r="A35" s="212"/>
      <c r="B35" s="213"/>
      <c r="C35" s="218" t="s">
        <v>63</v>
      </c>
      <c r="D35" s="219"/>
      <c r="E35" s="219"/>
      <c r="F35" s="219"/>
      <c r="G35" s="219"/>
      <c r="H35" s="219"/>
      <c r="I35" s="219" t="s">
        <v>5</v>
      </c>
      <c r="J35" s="219"/>
      <c r="K35" s="220"/>
      <c r="L35" s="84"/>
      <c r="M35" s="84"/>
      <c r="N35" s="84"/>
      <c r="O35" s="84"/>
    </row>
    <row r="36" spans="1:15" hidden="1" x14ac:dyDescent="0.25">
      <c r="A36" s="214"/>
      <c r="B36" s="215"/>
      <c r="C36" s="223" t="s">
        <v>64</v>
      </c>
      <c r="D36" s="221"/>
      <c r="E36" s="221"/>
      <c r="F36" s="221" t="s">
        <v>65</v>
      </c>
      <c r="G36" s="221"/>
      <c r="H36" s="221"/>
      <c r="I36" s="221"/>
      <c r="J36" s="221"/>
      <c r="K36" s="222"/>
      <c r="L36" s="84"/>
      <c r="M36" s="84"/>
      <c r="N36" s="84"/>
      <c r="O36" s="84"/>
    </row>
    <row r="37" spans="1:15" ht="96.6" hidden="1" thickBot="1" x14ac:dyDescent="0.3">
      <c r="A37" s="216"/>
      <c r="B37" s="217"/>
      <c r="C37" s="96" t="s">
        <v>66</v>
      </c>
      <c r="D37" s="97" t="s">
        <v>67</v>
      </c>
      <c r="E37" s="97" t="s">
        <v>68</v>
      </c>
      <c r="F37" s="97" t="s">
        <v>66</v>
      </c>
      <c r="G37" s="97" t="s">
        <v>67</v>
      </c>
      <c r="H37" s="97" t="s">
        <v>68</v>
      </c>
      <c r="I37" s="97" t="s">
        <v>66</v>
      </c>
      <c r="J37" s="97" t="s">
        <v>67</v>
      </c>
      <c r="K37" s="98" t="s">
        <v>68</v>
      </c>
      <c r="L37" s="84"/>
      <c r="M37" s="84"/>
      <c r="N37" s="84"/>
      <c r="O37" s="84"/>
    </row>
    <row r="38" spans="1:15" ht="14.4" hidden="1" thickTop="1" x14ac:dyDescent="0.25">
      <c r="A38" s="206" t="s">
        <v>49</v>
      </c>
      <c r="B38" s="99" t="s">
        <v>52</v>
      </c>
      <c r="C38" s="100">
        <v>2652</v>
      </c>
      <c r="D38" s="101">
        <v>0.83606557377049184</v>
      </c>
      <c r="E38" s="101">
        <v>0.11968589222854048</v>
      </c>
      <c r="F38" s="102">
        <v>520</v>
      </c>
      <c r="G38" s="101">
        <v>0.16393442622950818</v>
      </c>
      <c r="H38" s="101">
        <v>5.4342146514787332E-2</v>
      </c>
      <c r="I38" s="102">
        <v>3172</v>
      </c>
      <c r="J38" s="101">
        <v>1</v>
      </c>
      <c r="K38" s="103">
        <v>9.9977936773095466E-2</v>
      </c>
      <c r="L38" s="84"/>
      <c r="M38" s="84"/>
      <c r="N38" s="84"/>
      <c r="O38" s="84"/>
    </row>
    <row r="39" spans="1:15" hidden="1" x14ac:dyDescent="0.25">
      <c r="A39" s="207"/>
      <c r="B39" s="104" t="s">
        <v>53</v>
      </c>
      <c r="C39" s="105">
        <v>2495</v>
      </c>
      <c r="D39" s="106">
        <v>0.78632209265679165</v>
      </c>
      <c r="E39" s="106">
        <v>0.11260041519992779</v>
      </c>
      <c r="F39" s="107">
        <v>678</v>
      </c>
      <c r="G39" s="106">
        <v>0.21367790734320832</v>
      </c>
      <c r="H39" s="106">
        <v>7.0853798725049641E-2</v>
      </c>
      <c r="I39" s="107">
        <v>3173</v>
      </c>
      <c r="J39" s="106">
        <v>1</v>
      </c>
      <c r="K39" s="108">
        <v>0.10000945566867336</v>
      </c>
      <c r="L39" s="84"/>
      <c r="M39" s="84"/>
      <c r="N39" s="84"/>
      <c r="O39" s="84"/>
    </row>
    <row r="40" spans="1:15" hidden="1" x14ac:dyDescent="0.25">
      <c r="A40" s="207"/>
      <c r="B40" s="104" t="s">
        <v>54</v>
      </c>
      <c r="C40" s="105">
        <v>2405</v>
      </c>
      <c r="D40" s="106">
        <v>0.75795776867317999</v>
      </c>
      <c r="E40" s="106">
        <v>0.1085386767758823</v>
      </c>
      <c r="F40" s="107">
        <v>768</v>
      </c>
      <c r="G40" s="106">
        <v>0.24204223132682004</v>
      </c>
      <c r="H40" s="106">
        <v>8.025917023722437E-2</v>
      </c>
      <c r="I40" s="107">
        <v>3173</v>
      </c>
      <c r="J40" s="106">
        <v>1</v>
      </c>
      <c r="K40" s="108">
        <v>0.10000945566867336</v>
      </c>
      <c r="L40" s="84"/>
      <c r="M40" s="84"/>
      <c r="N40" s="84"/>
      <c r="O40" s="84"/>
    </row>
    <row r="41" spans="1:15" hidden="1" x14ac:dyDescent="0.25">
      <c r="A41" s="207"/>
      <c r="B41" s="104" t="s">
        <v>55</v>
      </c>
      <c r="C41" s="105">
        <v>2368</v>
      </c>
      <c r="D41" s="106">
        <v>0.74629687992436178</v>
      </c>
      <c r="E41" s="106">
        <v>0.10686885097933027</v>
      </c>
      <c r="F41" s="107">
        <v>805</v>
      </c>
      <c r="G41" s="106">
        <v>0.25370312007563817</v>
      </c>
      <c r="H41" s="106">
        <v>8.4125822970007313E-2</v>
      </c>
      <c r="I41" s="107">
        <v>3173</v>
      </c>
      <c r="J41" s="106">
        <v>1</v>
      </c>
      <c r="K41" s="108">
        <v>0.10000945566867336</v>
      </c>
      <c r="L41" s="84"/>
      <c r="M41" s="84"/>
      <c r="N41" s="84"/>
      <c r="O41" s="84"/>
    </row>
    <row r="42" spans="1:15" hidden="1" x14ac:dyDescent="0.25">
      <c r="A42" s="207"/>
      <c r="B42" s="104" t="s">
        <v>56</v>
      </c>
      <c r="C42" s="105">
        <v>2294</v>
      </c>
      <c r="D42" s="106">
        <v>0.72320302648171508</v>
      </c>
      <c r="E42" s="106">
        <v>0.10352919938622619</v>
      </c>
      <c r="F42" s="107">
        <v>878</v>
      </c>
      <c r="G42" s="106">
        <v>0.27679697351828497</v>
      </c>
      <c r="H42" s="106">
        <v>9.175462430766014E-2</v>
      </c>
      <c r="I42" s="107">
        <v>3172</v>
      </c>
      <c r="J42" s="106">
        <v>1</v>
      </c>
      <c r="K42" s="108">
        <v>9.9977936773095466E-2</v>
      </c>
      <c r="L42" s="84"/>
      <c r="M42" s="84"/>
      <c r="N42" s="84"/>
      <c r="O42" s="84"/>
    </row>
    <row r="43" spans="1:15" hidden="1" x14ac:dyDescent="0.25">
      <c r="A43" s="207"/>
      <c r="B43" s="104" t="s">
        <v>57</v>
      </c>
      <c r="C43" s="105">
        <v>2178</v>
      </c>
      <c r="D43" s="106">
        <v>0.68641664040340378</v>
      </c>
      <c r="E43" s="106">
        <v>9.8294069861900896E-2</v>
      </c>
      <c r="F43" s="107">
        <v>995</v>
      </c>
      <c r="G43" s="106">
        <v>0.31358335959659628</v>
      </c>
      <c r="H43" s="106">
        <v>0.10398160727348729</v>
      </c>
      <c r="I43" s="107">
        <v>3173</v>
      </c>
      <c r="J43" s="106">
        <v>1</v>
      </c>
      <c r="K43" s="108">
        <v>0.10000945566867336</v>
      </c>
      <c r="L43" s="84"/>
      <c r="M43" s="84"/>
      <c r="N43" s="84"/>
      <c r="O43" s="84"/>
    </row>
    <row r="44" spans="1:15" hidden="1" x14ac:dyDescent="0.25">
      <c r="A44" s="207"/>
      <c r="B44" s="104" t="s">
        <v>58</v>
      </c>
      <c r="C44" s="105">
        <v>2130</v>
      </c>
      <c r="D44" s="106">
        <v>0.6712890009454775</v>
      </c>
      <c r="E44" s="106">
        <v>9.6127809369076639E-2</v>
      </c>
      <c r="F44" s="107">
        <v>1043</v>
      </c>
      <c r="G44" s="106">
        <v>0.32871099905452256</v>
      </c>
      <c r="H44" s="106">
        <v>0.10899780541331383</v>
      </c>
      <c r="I44" s="107">
        <v>3173</v>
      </c>
      <c r="J44" s="106">
        <v>1</v>
      </c>
      <c r="K44" s="108">
        <v>0.10000945566867336</v>
      </c>
      <c r="L44" s="84"/>
      <c r="M44" s="84"/>
      <c r="N44" s="84"/>
      <c r="O44" s="84"/>
    </row>
    <row r="45" spans="1:15" hidden="1" x14ac:dyDescent="0.25">
      <c r="A45" s="207"/>
      <c r="B45" s="104" t="s">
        <v>59</v>
      </c>
      <c r="C45" s="105">
        <v>2025</v>
      </c>
      <c r="D45" s="106">
        <v>0.63819728963126376</v>
      </c>
      <c r="E45" s="106">
        <v>9.1389114541023553E-2</v>
      </c>
      <c r="F45" s="107">
        <v>1148</v>
      </c>
      <c r="G45" s="106">
        <v>0.36180271036873618</v>
      </c>
      <c r="H45" s="106">
        <v>0.11997073884418434</v>
      </c>
      <c r="I45" s="107">
        <v>3173</v>
      </c>
      <c r="J45" s="106">
        <v>1</v>
      </c>
      <c r="K45" s="108">
        <v>0.10000945566867336</v>
      </c>
      <c r="L45" s="84"/>
      <c r="M45" s="84"/>
      <c r="N45" s="84"/>
      <c r="O45" s="84"/>
    </row>
    <row r="46" spans="1:15" hidden="1" x14ac:dyDescent="0.25">
      <c r="A46" s="207"/>
      <c r="B46" s="104" t="s">
        <v>60</v>
      </c>
      <c r="C46" s="105">
        <v>1901</v>
      </c>
      <c r="D46" s="106">
        <v>0.59911755436495429</v>
      </c>
      <c r="E46" s="106">
        <v>8.5792941601227551E-2</v>
      </c>
      <c r="F46" s="107">
        <v>1272</v>
      </c>
      <c r="G46" s="106">
        <v>0.40088244563504566</v>
      </c>
      <c r="H46" s="106">
        <v>0.13292925070540287</v>
      </c>
      <c r="I46" s="107">
        <v>3173</v>
      </c>
      <c r="J46" s="106">
        <v>1</v>
      </c>
      <c r="K46" s="108">
        <v>0.10000945566867336</v>
      </c>
      <c r="L46" s="84"/>
      <c r="M46" s="84"/>
      <c r="N46" s="84"/>
      <c r="O46" s="84"/>
    </row>
    <row r="47" spans="1:15" hidden="1" x14ac:dyDescent="0.25">
      <c r="A47" s="207"/>
      <c r="B47" s="104" t="s">
        <v>61</v>
      </c>
      <c r="C47" s="105">
        <v>1710</v>
      </c>
      <c r="D47" s="106">
        <v>0.5390920554854981</v>
      </c>
      <c r="E47" s="106">
        <v>7.7173030056864336E-2</v>
      </c>
      <c r="F47" s="107">
        <v>1462</v>
      </c>
      <c r="G47" s="106">
        <v>0.46090794451450184</v>
      </c>
      <c r="H47" s="106">
        <v>0.15278503500888285</v>
      </c>
      <c r="I47" s="107">
        <v>3172</v>
      </c>
      <c r="J47" s="106">
        <v>1</v>
      </c>
      <c r="K47" s="108">
        <v>9.9977936773095466E-2</v>
      </c>
      <c r="L47" s="84"/>
      <c r="M47" s="84"/>
      <c r="N47" s="84"/>
      <c r="O47" s="84"/>
    </row>
    <row r="48" spans="1:15" ht="14.4" hidden="1" thickBot="1" x14ac:dyDescent="0.3">
      <c r="A48" s="208" t="s">
        <v>5</v>
      </c>
      <c r="B48" s="209"/>
      <c r="C48" s="109">
        <v>22158</v>
      </c>
      <c r="D48" s="110">
        <v>0.69839568821508491</v>
      </c>
      <c r="E48" s="110">
        <v>1</v>
      </c>
      <c r="F48" s="111">
        <v>9569</v>
      </c>
      <c r="G48" s="110">
        <v>0.30160431178491509</v>
      </c>
      <c r="H48" s="110">
        <v>1</v>
      </c>
      <c r="I48" s="111">
        <v>31727</v>
      </c>
      <c r="J48" s="110">
        <v>1</v>
      </c>
      <c r="K48" s="112">
        <v>1</v>
      </c>
      <c r="L48" s="84"/>
      <c r="M48" s="84"/>
      <c r="N48" s="84"/>
      <c r="O48" s="84"/>
    </row>
  </sheetData>
  <mergeCells count="21">
    <mergeCell ref="A19:C19"/>
    <mergeCell ref="A1:B1"/>
    <mergeCell ref="H1:L1"/>
    <mergeCell ref="M1:Q1"/>
    <mergeCell ref="R1:T1"/>
    <mergeCell ref="AC1:AG1"/>
    <mergeCell ref="AH1:AM1"/>
    <mergeCell ref="AN1:AS1"/>
    <mergeCell ref="AT1:AV1"/>
    <mergeCell ref="A13:B13"/>
    <mergeCell ref="U1:Y1"/>
    <mergeCell ref="Z1:AB1"/>
    <mergeCell ref="A38:A47"/>
    <mergeCell ref="A48:B48"/>
    <mergeCell ref="A20:C20"/>
    <mergeCell ref="A34:K34"/>
    <mergeCell ref="A35:B37"/>
    <mergeCell ref="C35:H35"/>
    <mergeCell ref="I35:K36"/>
    <mergeCell ref="C36:E36"/>
    <mergeCell ref="F36:H36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Performance_BM</vt:lpstr>
      <vt:lpstr>Gains Chart</vt:lpstr>
      <vt:lpstr>Performance_Total</vt:lpstr>
    </vt:vector>
  </TitlesOfParts>
  <Company>Equifax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Equifax User</dc:creator>
  <cp:lastModifiedBy>KEVIN DARIO QUISHPE MORALES</cp:lastModifiedBy>
  <cp:lastPrinted>2014-01-15T16:38:35Z</cp:lastPrinted>
  <dcterms:created xsi:type="dcterms:W3CDTF">2010-10-11T18:09:29Z</dcterms:created>
  <dcterms:modified xsi:type="dcterms:W3CDTF">2024-06-11T00:54:13Z</dcterms:modified>
</cp:coreProperties>
</file>