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AT_workspace\projects\CAT_MEP\"/>
    </mc:Choice>
  </mc:AlternateContent>
  <xr:revisionPtr revIDLastSave="0" documentId="8_{BC8CAE11-08C8-425B-AA8A-B980659D2A3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AT_MEP" sheetId="1" r:id="rId1"/>
  </sheets>
  <definedNames>
    <definedName name="BoardQty" localSheetId="0">CAT_MEP!$I$1</definedName>
    <definedName name="PURCHASE_DESCRIPTION" localSheetId="0">CAT_MEP!$I$28</definedName>
    <definedName name="TotalCost" localSheetId="0">CAT_MEP!$I$3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8" i="1" l="1" a="1"/>
  <c r="K66" i="1" s="1"/>
  <c r="N27" i="1"/>
  <c r="I27" i="1" s="1"/>
  <c r="K27" i="1"/>
  <c r="L25" i="1"/>
  <c r="N25" i="1" s="1"/>
  <c r="G25" i="1"/>
  <c r="G24" i="1"/>
  <c r="L24" i="1" s="1"/>
  <c r="G23" i="1"/>
  <c r="L23" i="1" s="1"/>
  <c r="I22" i="1"/>
  <c r="H22" i="1"/>
  <c r="G22" i="1"/>
  <c r="G21" i="1"/>
  <c r="G20" i="1"/>
  <c r="L20" i="1" s="1"/>
  <c r="G19" i="1"/>
  <c r="L19" i="1" s="1"/>
  <c r="L18" i="1"/>
  <c r="H18" i="1" s="1"/>
  <c r="I18" i="1" s="1"/>
  <c r="G18" i="1"/>
  <c r="G17" i="1"/>
  <c r="G16" i="1"/>
  <c r="L16" i="1" s="1"/>
  <c r="G15" i="1"/>
  <c r="L15" i="1" s="1"/>
  <c r="L14" i="1"/>
  <c r="H14" i="1" s="1"/>
  <c r="I14" i="1" s="1"/>
  <c r="G14" i="1"/>
  <c r="H13" i="1"/>
  <c r="G13" i="1"/>
  <c r="I13" i="1" s="1"/>
  <c r="L12" i="1"/>
  <c r="N12" i="1" s="1"/>
  <c r="G12" i="1"/>
  <c r="H11" i="1"/>
  <c r="G11" i="1"/>
  <c r="I11" i="1" s="1"/>
  <c r="G10" i="1"/>
  <c r="L10" i="1" s="1"/>
  <c r="L9" i="1"/>
  <c r="H9" i="1" s="1"/>
  <c r="G9" i="1"/>
  <c r="L8" i="1"/>
  <c r="N8" i="1" s="1"/>
  <c r="G8" i="1"/>
  <c r="G7" i="1"/>
  <c r="L7" i="1" s="1"/>
  <c r="N16" i="1" l="1"/>
  <c r="H16" i="1"/>
  <c r="N20" i="1"/>
  <c r="H20" i="1"/>
  <c r="I9" i="1"/>
  <c r="N15" i="1"/>
  <c r="H15" i="1"/>
  <c r="N19" i="1"/>
  <c r="H19" i="1"/>
  <c r="N7" i="1"/>
  <c r="H7" i="1"/>
  <c r="N10" i="1"/>
  <c r="H10" i="1"/>
  <c r="I10" i="1" s="1"/>
  <c r="N23" i="1"/>
  <c r="H23" i="1"/>
  <c r="I23" i="1" s="1"/>
  <c r="N24" i="1"/>
  <c r="H24" i="1"/>
  <c r="I24" i="1" s="1"/>
  <c r="I12" i="1"/>
  <c r="K48" i="1"/>
  <c r="N9" i="1"/>
  <c r="N14" i="1"/>
  <c r="N18" i="1"/>
  <c r="K49" i="1"/>
  <c r="K50" i="1"/>
  <c r="K51" i="1"/>
  <c r="I15" i="1"/>
  <c r="I19" i="1"/>
  <c r="K52" i="1"/>
  <c r="K53" i="1"/>
  <c r="K54" i="1"/>
  <c r="K55" i="1"/>
  <c r="I7" i="1"/>
  <c r="K56" i="1"/>
  <c r="I16" i="1"/>
  <c r="I20" i="1"/>
  <c r="K57" i="1"/>
  <c r="H12" i="1"/>
  <c r="K58" i="1"/>
  <c r="H25" i="1"/>
  <c r="I25" i="1" s="1"/>
  <c r="K59" i="1"/>
  <c r="H8" i="1"/>
  <c r="I8" i="1" s="1"/>
  <c r="K60" i="1"/>
  <c r="K61" i="1"/>
  <c r="L17" i="1"/>
  <c r="L21" i="1"/>
  <c r="K63" i="1"/>
  <c r="K64" i="1"/>
  <c r="K65" i="1"/>
  <c r="K62" i="1"/>
  <c r="N21" i="1" l="1"/>
  <c r="H21" i="1"/>
  <c r="I21" i="1" s="1"/>
  <c r="N17" i="1"/>
  <c r="H17" i="1"/>
  <c r="I17" i="1" s="1"/>
  <c r="I3" i="1" s="1"/>
  <c r="I2" i="1" s="1"/>
  <c r="O3" i="1"/>
  <c r="N3" i="1"/>
  <c r="K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3" authorId="0" shapeId="0" xr:uid="{00000000-0006-0000-0000-000001000000}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O3" authorId="0" shapeId="0" xr:uid="{00000000-0006-0000-0000-000002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 shapeId="0" xr:uid="{00000000-0006-0000-0000-000003000000}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 shapeId="0" xr:uid="{00000000-0006-0000-0000-000004000000}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 shapeId="0" xr:uid="{00000000-0006-0000-0000-000005000000}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 shapeId="0" xr:uid="{00000000-0006-0000-0000-000006000000}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 shapeId="0" xr:uid="{00000000-0006-0000-0000-000007000000}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 shapeId="0" xr:uid="{00000000-0006-0000-0000-000008000000}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G6" authorId="0" shapeId="0" xr:uid="{00000000-0006-0000-0000-000009000000}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H6" authorId="0" shapeId="0" xr:uid="{00000000-0006-0000-0000-00000A000000}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 shapeId="0" xr:uid="{00000000-0006-0000-0000-00000B000000}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 shapeId="0" xr:uid="{00000000-0006-0000-0000-00000C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K6" authorId="0" shapeId="0" xr:uid="{00000000-0006-0000-0000-00000D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L6" authorId="0" shapeId="0" xr:uid="{00000000-0006-0000-0000-00000E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M6" authorId="0" shapeId="0" xr:uid="{00000000-0006-0000-0000-00000F000000}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N6" authorId="0" shapeId="0" xr:uid="{00000000-0006-0000-0000-000010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O6" authorId="0" shapeId="0" xr:uid="{00000000-0006-0000-0000-000011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J7" authorId="0" shapeId="0" xr:uid="{00000000-0006-0000-0000-000012000000}">
      <text>
        <r>
          <rPr>
            <sz val="8"/>
            <color indexed="81"/>
            <rFont val="Tahoma"/>
            <family val="2"/>
          </rPr>
          <t>36127 Auf Lager</t>
        </r>
      </text>
    </comment>
    <comment ref="L7" authorId="0" shapeId="0" xr:uid="{00000000-0006-0000-0000-000013000000}">
      <text>
        <r>
          <rPr>
            <sz val="8"/>
            <color indexed="81"/>
            <rFont val="Tahoma"/>
            <family val="2"/>
          </rPr>
          <t>Qty/Price Breaks (CHF):
  Qty  -  UnitCHF  -  ExtCHF
================
     1 CHF0.29    CHF0.29
    10 CHF0.19    CHF1.93
   100 CHF0.12   CHF11.70
  1000 CHF0.08   CHF78.00
  2000 CHF0.07  CHF146.00
 10000 CHF0.06  CHF630.00
 24000 CHF0.06 CHF1,440.00
 50000 CHF0.06 CHF2,800.00
100000 CHF0.05 CHF5,300.00</t>
        </r>
      </text>
    </comment>
    <comment ref="O7" authorId="0" shapeId="0" xr:uid="{00000000-0006-0000-0000-000014000000}">
      <text>
        <r>
          <rPr>
            <sz val="8"/>
            <color indexed="81"/>
            <rFont val="Tahoma"/>
            <family val="2"/>
          </rPr>
          <t>Desc: Kondensator aus mehreren Keramikschichten MLCC - SMD/SMT 10.0uF +/-10% 10V X7R 0805</t>
        </r>
      </text>
    </comment>
    <comment ref="J8" authorId="0" shapeId="0" xr:uid="{00000000-0006-0000-0000-000015000000}">
      <text>
        <r>
          <rPr>
            <sz val="8"/>
            <color indexed="81"/>
            <rFont val="Tahoma"/>
            <family val="2"/>
          </rPr>
          <t>46021 Auf Lager</t>
        </r>
      </text>
    </comment>
    <comment ref="L8" authorId="0" shapeId="0" xr:uid="{00000000-0006-0000-0000-000016000000}">
      <text>
        <r>
          <rPr>
            <sz val="8"/>
            <color indexed="81"/>
            <rFont val="Tahoma"/>
            <family val="2"/>
          </rPr>
          <t>Qty/Price Breaks (CHF):
  Qty  -  UnitCHF  -  ExtCHF
================
     1 CHF0.09    CHF0.09
    10 CHF0.01    CHF0.11
   100 CHF0.01    CHF1.00
  1000 CHF0.01    CHF7.00
 10000 CHF0.01   CHF50.00
100000 CHF0.00  CHF300.00</t>
        </r>
      </text>
    </comment>
    <comment ref="O8" authorId="0" shapeId="0" xr:uid="{00000000-0006-0000-0000-000017000000}">
      <text>
        <r>
          <rPr>
            <sz val="8"/>
            <color indexed="81"/>
            <rFont val="Tahoma"/>
            <family val="2"/>
          </rPr>
          <t>Desc: Kondensator aus mehreren Keramikschichten MLCC - SMD/SMT 1nF+/-10% 16V X7R 10 0402</t>
        </r>
      </text>
    </comment>
    <comment ref="J9" authorId="0" shapeId="0" xr:uid="{00000000-0006-0000-0000-000018000000}">
      <text>
        <r>
          <rPr>
            <sz val="8"/>
            <color indexed="81"/>
            <rFont val="Tahoma"/>
            <family val="2"/>
          </rPr>
          <t>51709 Auf Lager</t>
        </r>
      </text>
    </comment>
    <comment ref="L9" authorId="0" shapeId="0" xr:uid="{00000000-0006-0000-0000-000019000000}">
      <text>
        <r>
          <rPr>
            <sz val="8"/>
            <color indexed="81"/>
            <rFont val="Tahoma"/>
            <family val="2"/>
          </rPr>
          <t>Qty/Price Breaks (CHF):
  Qty  -  UnitCHF  -  ExtCHF
================
     1 CHF0.22    CHF0.22
    10 CHF0.09    CHF0.91
   100 CHF0.05    CHF5.30
  1000 CHF0.04   CHF45.00
  2500 CHF0.04  CHF102.50
 10000 CHF0.03  CHF340.00
 20000 CHF0.03  CHF660.00
 50000 CHF0.03 CHF1,550.00
100000 CHF0.03 CHF2,600.00</t>
        </r>
      </text>
    </comment>
    <comment ref="O9" authorId="0" shapeId="0" xr:uid="{00000000-0006-0000-0000-00001A000000}">
      <text>
        <r>
          <rPr>
            <sz val="8"/>
            <color indexed="81"/>
            <rFont val="Tahoma"/>
            <family val="2"/>
          </rPr>
          <t>Desc: Kondensator aus mehreren Keramikschichten MLCC - SMD/SMT 2.2uF+/-10% 16V X5R 0402</t>
        </r>
      </text>
    </comment>
    <comment ref="J10" authorId="0" shapeId="0" xr:uid="{00000000-0006-0000-0000-00001B000000}">
      <text>
        <r>
          <rPr>
            <sz val="8"/>
            <color indexed="81"/>
            <rFont val="Tahoma"/>
            <family val="2"/>
          </rPr>
          <t>2639 Auf Lager</t>
        </r>
      </text>
    </comment>
    <comment ref="L10" authorId="0" shapeId="0" xr:uid="{00000000-0006-0000-0000-00001C000000}">
      <text>
        <r>
          <rPr>
            <sz val="8"/>
            <color indexed="81"/>
            <rFont val="Tahoma"/>
            <family val="2"/>
          </rPr>
          <t>Qty/Price Breaks (CHF):
  Qty  -  UnitCHF  -  ExtCHF
================
     1 CHF0.09    CHF0.09
    10 CHF0.02    CHF0.22
   100 CHF0.01    CHF1.20
  1000 CHF0.01    CHF7.00
 10000 CHF0.01   CHF60.00
100000 CHF0.01  CHF500.00</t>
        </r>
      </text>
    </comment>
    <comment ref="O10" authorId="0" shapeId="0" xr:uid="{00000000-0006-0000-0000-00001D000000}">
      <text>
        <r>
          <rPr>
            <sz val="8"/>
            <color indexed="81"/>
            <rFont val="Tahoma"/>
            <family val="2"/>
          </rPr>
          <t>Desc: Kondensator aus mehreren Keramikschichten MLCC - SMD/SMT 16V 0.1uF X7R 0402 10 %</t>
        </r>
      </text>
    </comment>
    <comment ref="J11" authorId="0" shapeId="0" xr:uid="{00000000-0006-0000-0000-00001E000000}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O11" authorId="0" shapeId="0" xr:uid="{00000000-0006-0000-0000-00001F000000}">
      <text>
        <r>
          <rPr>
            <sz val="8"/>
            <color indexed="81"/>
            <rFont val="Tahoma"/>
            <family val="2"/>
          </rPr>
          <t>Desc: Schottky Dioden &amp; Gleichrichter</t>
        </r>
      </text>
    </comment>
    <comment ref="J12" authorId="0" shapeId="0" xr:uid="{00000000-0006-0000-0000-000020000000}">
      <text>
        <r>
          <rPr>
            <sz val="8"/>
            <color indexed="81"/>
            <rFont val="Tahoma"/>
            <family val="2"/>
          </rPr>
          <t>23688 Auf Lager</t>
        </r>
      </text>
    </comment>
    <comment ref="L12" authorId="0" shapeId="0" xr:uid="{00000000-0006-0000-0000-000021000000}">
      <text>
        <r>
          <rPr>
            <sz val="8"/>
            <color indexed="81"/>
            <rFont val="Tahoma"/>
            <family val="2"/>
          </rPr>
          <t>Qty/Price Breaks (CHF):
  Qty  -  UnitCHF  -  ExtCHF
================
     1 CHF0.78    CHF0.78
    10 CHF0.64    CHF6.38
   100 CHF0.54   CHF53.80
   500 CHF0.53  CHF266.50
  1400 CHF0.43  CHF602.00
  2800 CHF0.39 CHF1,092.00
  4200 CHF0.38 CHF1,596.00
 23800 CHF0.35 CHF8,306.20</t>
        </r>
      </text>
    </comment>
    <comment ref="O12" authorId="0" shapeId="0" xr:uid="{00000000-0006-0000-0000-000022000000}">
      <text>
        <r>
          <rPr>
            <sz val="8"/>
            <color indexed="81"/>
            <rFont val="Tahoma"/>
            <family val="2"/>
          </rPr>
          <t>Desc: USB-Stecker Mid-Mnt SMT CH-0.52 16Ckt Type C Rec.</t>
        </r>
      </text>
    </comment>
    <comment ref="J14" authorId="0" shapeId="0" xr:uid="{00000000-0006-0000-0000-000023000000}">
      <text>
        <r>
          <rPr>
            <sz val="8"/>
            <color indexed="81"/>
            <rFont val="Tahoma"/>
            <family val="2"/>
          </rPr>
          <t>9936 Auf Lager</t>
        </r>
      </text>
    </comment>
    <comment ref="L14" authorId="0" shapeId="0" xr:uid="{00000000-0006-0000-0000-000024000000}">
      <text>
        <r>
          <rPr>
            <sz val="8"/>
            <color indexed="81"/>
            <rFont val="Tahoma"/>
            <family val="2"/>
          </rPr>
          <t>Qty/Price Breaks (CHF):
  Qty  -  UnitCHF  -  ExtCHF
================
     1 CHF0.23    CHF0.23
    10 CHF0.18    CHF1.84
   100 CHF0.13   CHF13.10
  1000 CHF0.10  CHF101.00
  2000 CHF0.09  CHF172.00
 10000 CHF0.08  CHF840.00
 24000 CHF0.08 CHF1,968.00
 50000 CHF0.08 CHF4,000.00</t>
        </r>
      </text>
    </comment>
    <comment ref="O14" authorId="0" shapeId="0" xr:uid="{00000000-0006-0000-0000-000025000000}">
      <text>
        <r>
          <rPr>
            <sz val="8"/>
            <color indexed="81"/>
            <rFont val="Tahoma"/>
            <family val="2"/>
          </rPr>
          <t>Desc: Leistungsinduktivitäten – SMD Ind,3.2x2.5x1mm,2.2uH+/-20%,4A,shd</t>
        </r>
      </text>
    </comment>
    <comment ref="J15" authorId="0" shapeId="0" xr:uid="{00000000-0006-0000-0000-000026000000}">
      <text>
        <r>
          <rPr>
            <sz val="8"/>
            <color indexed="81"/>
            <rFont val="Tahoma"/>
            <family val="2"/>
          </rPr>
          <t>383496 Auf Lager</t>
        </r>
      </text>
    </comment>
    <comment ref="L15" authorId="0" shapeId="0" xr:uid="{00000000-0006-0000-0000-000027000000}">
      <text>
        <r>
          <rPr>
            <sz val="8"/>
            <color indexed="81"/>
            <rFont val="Tahoma"/>
            <family val="2"/>
          </rPr>
          <t>Qty/Price Breaks (CHF):
  Qty  -  UnitCHF  -  ExtCHF
================
     1 CHF0.09    CHF0.09
    10 CHF0.01    CHF0.07
   100 CHF0.01    CHF0.50
  1000 CHF0.00    CHF4.00
  2500 CHF0.00    CHF7.50
 10000 CHF0.00   CHF20.00</t>
        </r>
      </text>
    </comment>
    <comment ref="O15" authorId="0" shapeId="0" xr:uid="{00000000-0006-0000-0000-000028000000}">
      <text>
        <r>
          <rPr>
            <sz val="8"/>
            <color indexed="81"/>
            <rFont val="Tahoma"/>
            <family val="2"/>
          </rPr>
          <t>Desc: Dickfilmwiderstände - SMD 27 Ohms 62.5mW 0402  1%</t>
        </r>
      </text>
    </comment>
    <comment ref="J16" authorId="0" shapeId="0" xr:uid="{00000000-0006-0000-0000-000029000000}">
      <text>
        <r>
          <rPr>
            <sz val="8"/>
            <color indexed="81"/>
            <rFont val="Tahoma"/>
            <family val="2"/>
          </rPr>
          <t>506263 Auf Lager</t>
        </r>
      </text>
    </comment>
    <comment ref="L16" authorId="0" shapeId="0" xr:uid="{00000000-0006-0000-0000-00002A000000}">
      <text>
        <r>
          <rPr>
            <sz val="8"/>
            <color indexed="81"/>
            <rFont val="Tahoma"/>
            <family val="2"/>
          </rPr>
          <t>Qty/Price Breaks (CHF):
  Qty  -  UnitCHF  -  ExtCHF
================
     1 CHF0.09    CHF0.09
    10 CHF0.01    CHF0.07
   100 CHF0.01    CHF0.50
  1000 CHF0.00    CHF4.00
  2500 CHF0.00    CHF7.50
 10000 CHF0.00   CHF20.00</t>
        </r>
      </text>
    </comment>
    <comment ref="O16" authorId="0" shapeId="0" xr:uid="{00000000-0006-0000-0000-00002B000000}">
      <text>
        <r>
          <rPr>
            <sz val="8"/>
            <color indexed="81"/>
            <rFont val="Tahoma"/>
            <family val="2"/>
          </rPr>
          <t>Desc: Dickfilmwiderstände - SMD 5.1 kOhms 62.5mW 0402 1%</t>
        </r>
      </text>
    </comment>
    <comment ref="J17" authorId="0" shapeId="0" xr:uid="{00000000-0006-0000-0000-00002C000000}">
      <text>
        <r>
          <rPr>
            <sz val="8"/>
            <color indexed="81"/>
            <rFont val="Tahoma"/>
            <family val="2"/>
          </rPr>
          <t>8489302 Auf Lager</t>
        </r>
      </text>
    </comment>
    <comment ref="L17" authorId="0" shapeId="0" xr:uid="{00000000-0006-0000-0000-00002D000000}">
      <text>
        <r>
          <rPr>
            <sz val="8"/>
            <color indexed="81"/>
            <rFont val="Tahoma"/>
            <family val="2"/>
          </rPr>
          <t>Qty/Price Breaks (CHF):
  Qty  -  UnitCHF  -  ExtCHF
================
     1 CHF0.09    CHF0.09
    10 CHF0.01    CHF0.07
   100 CHF0.01    CHF0.50
  1000 CHF0.00    CHF4.00
  2500 CHF0.00    CHF7.50
 10000 CHF0.00   CHF20.00</t>
        </r>
      </text>
    </comment>
    <comment ref="O17" authorId="0" shapeId="0" xr:uid="{00000000-0006-0000-0000-00002E000000}">
      <text>
        <r>
          <rPr>
            <sz val="8"/>
            <color indexed="81"/>
            <rFont val="Tahoma"/>
            <family val="2"/>
          </rPr>
          <t>Desc: Dickfilmwiderstände - SMD 10 kOhms 62.5mW 0402 1%</t>
        </r>
      </text>
    </comment>
    <comment ref="J18" authorId="0" shapeId="0" xr:uid="{00000000-0006-0000-0000-00002F000000}">
      <text>
        <r>
          <rPr>
            <sz val="8"/>
            <color indexed="81"/>
            <rFont val="Tahoma"/>
            <family val="2"/>
          </rPr>
          <t>10757219 Auf Lager</t>
        </r>
      </text>
    </comment>
    <comment ref="L18" authorId="0" shapeId="0" xr:uid="{00000000-0006-0000-0000-000030000000}">
      <text>
        <r>
          <rPr>
            <sz val="8"/>
            <color indexed="81"/>
            <rFont val="Tahoma"/>
            <family val="2"/>
          </rPr>
          <t>Qty/Price Breaks (CHF):
  Qty  -  UnitCHF  -  ExtCHF
================
     1 CHF0.09    CHF0.09
    10 CHF0.01    CHF0.07
   100 CHF0.01    CHF0.50
  1000 CHF0.00    CHF4.00
  2500 CHF0.00    CHF7.50
 10000 CHF0.00   CHF20.00</t>
        </r>
      </text>
    </comment>
    <comment ref="O18" authorId="0" shapeId="0" xr:uid="{00000000-0006-0000-0000-000031000000}">
      <text>
        <r>
          <rPr>
            <sz val="8"/>
            <color indexed="81"/>
            <rFont val="Tahoma"/>
            <family val="2"/>
          </rPr>
          <t>Desc: Dickfilmwiderstände - SMD 1 kOhms 62.5mW 0402 1%</t>
        </r>
      </text>
    </comment>
    <comment ref="J19" authorId="0" shapeId="0" xr:uid="{00000000-0006-0000-0000-000032000000}">
      <text>
        <r>
          <rPr>
            <sz val="8"/>
            <color indexed="81"/>
            <rFont val="Tahoma"/>
            <family val="2"/>
          </rPr>
          <t>573917 Auf Lager</t>
        </r>
      </text>
    </comment>
    <comment ref="L19" authorId="0" shapeId="0" xr:uid="{00000000-0006-0000-0000-000033000000}">
      <text>
        <r>
          <rPr>
            <sz val="8"/>
            <color indexed="81"/>
            <rFont val="Tahoma"/>
            <family val="2"/>
          </rPr>
          <t>Qty/Price Breaks (CHF):
  Qty  -  UnitCHF  -  ExtCHF
================
     1 CHF0.09    CHF0.09
    10 CHF0.01    CHF0.07
   100 CHF0.01    CHF0.50
  1000 CHF0.00    CHF4.00
  2500 CHF0.00    CHF7.50
 10000 CHF0.00   CHF20.00</t>
        </r>
      </text>
    </comment>
    <comment ref="O19" authorId="0" shapeId="0" xr:uid="{00000000-0006-0000-0000-000034000000}">
      <text>
        <r>
          <rPr>
            <sz val="8"/>
            <color indexed="81"/>
            <rFont val="Tahoma"/>
            <family val="2"/>
          </rPr>
          <t>Desc: Dickfilmwiderstände - SMD 3.3 kOhms 62.5mW 0402 1%</t>
        </r>
      </text>
    </comment>
    <comment ref="J20" authorId="0" shapeId="0" xr:uid="{00000000-0006-0000-0000-000035000000}">
      <text>
        <r>
          <rPr>
            <sz val="8"/>
            <color indexed="81"/>
            <rFont val="Tahoma"/>
            <family val="2"/>
          </rPr>
          <t>46673 Auf Lager</t>
        </r>
      </text>
    </comment>
    <comment ref="L20" authorId="0" shapeId="0" xr:uid="{00000000-0006-0000-0000-000036000000}">
      <text>
        <r>
          <rPr>
            <sz val="8"/>
            <color indexed="81"/>
            <rFont val="Tahoma"/>
            <family val="2"/>
          </rPr>
          <t>Qty/Price Breaks (CHF):
  Qty  -  UnitCHF  -  ExtCHF
================
     1 CHF0.17    CHF0.17
    10 CHF0.16    CHF1.59
   100 CHF0.14   CHF14.40
   500 CHF0.14   CHF68.00
  1000 CHF0.12  CHF125.00
  3000 CHF0.10  CHF312.00
  9000 CHF0.09  CHF846.00
 24000 CHF0.09 CHF2,160.00
 45000 CHF0.09 CHF3,825.00</t>
        </r>
      </text>
    </comment>
    <comment ref="O20" authorId="0" shapeId="0" xr:uid="{00000000-0006-0000-0000-000037000000}">
      <text>
        <r>
          <rPr>
            <sz val="8"/>
            <color indexed="81"/>
            <rFont val="Tahoma"/>
            <family val="2"/>
          </rPr>
          <t>Desc: Sensorschalter Tact Switch, 12 VDC, 50 mA, 4.2x3.2, 2.5mm H, 180gf, J leads</t>
        </r>
      </text>
    </comment>
    <comment ref="J21" authorId="0" shapeId="0" xr:uid="{00000000-0006-0000-0000-000038000000}">
      <text>
        <r>
          <rPr>
            <sz val="8"/>
            <color indexed="81"/>
            <rFont val="Tahoma"/>
            <family val="2"/>
          </rPr>
          <t>5236 Auf Lager</t>
        </r>
      </text>
    </comment>
    <comment ref="L21" authorId="0" shapeId="0" xr:uid="{00000000-0006-0000-0000-000039000000}">
      <text>
        <r>
          <rPr>
            <sz val="8"/>
            <color indexed="81"/>
            <rFont val="Tahoma"/>
            <family val="2"/>
          </rPr>
          <t>Qty/Price Breaks (CHF):
  Qty  -  UnitCHF  -  ExtCHF
================
     1 CHF1.75    CHF1.75
    10 CHF1.49   CHF14.90
   100 CHF1.26  CHF126.00
   250 CHF1.18  CHF295.00
   500 CHF1.04  CHF520.00
  1000 CHF0.86  CHF858.00
  3000 CHF0.80 CHF2,397.00
  6000 CHF0.77 CHF4,620.00
  9000 CHF0.76 CHF6,867.00</t>
        </r>
      </text>
    </comment>
    <comment ref="O21" authorId="0" shapeId="0" xr:uid="{00000000-0006-0000-0000-00003A000000}">
      <text>
        <r>
          <rPr>
            <sz val="8"/>
            <color indexed="81"/>
            <rFont val="Tahoma"/>
            <family val="2"/>
          </rPr>
          <t>Desc: Schaltspannungsregler Tiny Single Inductor Buck Boost Converter 12-VQFN-HR -40 to 125</t>
        </r>
      </text>
    </comment>
    <comment ref="J23" authorId="0" shapeId="0" xr:uid="{00000000-0006-0000-0000-00003B000000}">
      <text>
        <r>
          <rPr>
            <sz val="8"/>
            <color indexed="81"/>
            <rFont val="Tahoma"/>
            <family val="2"/>
          </rPr>
          <t>26619 Auf Lager</t>
        </r>
      </text>
    </comment>
    <comment ref="L23" authorId="0" shapeId="0" xr:uid="{00000000-0006-0000-0000-00003C000000}">
      <text>
        <r>
          <rPr>
            <sz val="8"/>
            <color indexed="81"/>
            <rFont val="Tahoma"/>
            <family val="2"/>
          </rPr>
          <t>Qty/Price Breaks (CHF):
  Qty  -  UnitCHF  -  ExtCHF
================
     1 CHF0.48    CHF0.48
    10 CHF0.43    CHF4.33
   100 CHF0.38   CHF38.20
   500 CHF0.38  CHF188.50
  1000 CHF0.36  CHF361.00
  2000 CHF0.36  CHF716.00
  4000 CHF0.34 CHF1,344.00
  8000 CHF0.32 CHF2,520.00
 24000 CHF0.30 CHF7,248.00</t>
        </r>
      </text>
    </comment>
    <comment ref="O23" authorId="0" shapeId="0" xr:uid="{00000000-0006-0000-0000-00003D000000}">
      <text>
        <r>
          <rPr>
            <sz val="8"/>
            <color indexed="81"/>
            <rFont val="Tahoma"/>
            <family val="2"/>
          </rPr>
          <t>Desc: NOR-Flash spiFlash, 3V, 16M-bit, 4Kb Uniform Sector, DTR</t>
        </r>
      </text>
    </comment>
    <comment ref="J24" authorId="0" shapeId="0" xr:uid="{00000000-0006-0000-0000-00003E000000}">
      <text>
        <r>
          <rPr>
            <sz val="8"/>
            <color indexed="81"/>
            <rFont val="Tahoma"/>
            <family val="2"/>
          </rPr>
          <t>3724 Auf Lager</t>
        </r>
      </text>
    </comment>
    <comment ref="L24" authorId="0" shapeId="0" xr:uid="{00000000-0006-0000-0000-00003F000000}">
      <text>
        <r>
          <rPr>
            <sz val="8"/>
            <color indexed="81"/>
            <rFont val="Tahoma"/>
            <family val="2"/>
          </rPr>
          <t>Qty/Price Breaks (CHF):
  Qty  -  UnitCHF  -  ExtCHF
================
     1 CHF2.16    CHF2.16
    10 CHF1.33   CHF13.30
   100 CHF1.26  CHF126.00
   500 CHF1.06  CHF530.00
  1000 CHF0.99  CHF986.00
  2500 CHF0.97 CHF2,417.50
  5000 CHF0.91 CHF4,545.00
 10000 CHF0.86 CHF8,580.00</t>
        </r>
      </text>
    </comment>
    <comment ref="O24" authorId="0" shapeId="0" xr:uid="{00000000-0006-0000-0000-000040000000}">
      <text>
        <r>
          <rPr>
            <sz val="8"/>
            <color indexed="81"/>
            <rFont val="Tahoma"/>
            <family val="2"/>
          </rPr>
          <t>Desc: Feuchtigkeitssensoren für Plattenmontage RH/ T Sensor</t>
        </r>
      </text>
    </comment>
    <comment ref="J25" authorId="0" shapeId="0" xr:uid="{00000000-0006-0000-0000-000041000000}">
      <text>
        <r>
          <rPr>
            <sz val="8"/>
            <color indexed="81"/>
            <rFont val="Tahoma"/>
            <family val="2"/>
          </rPr>
          <t>206009 Auf Lager</t>
        </r>
      </text>
    </comment>
    <comment ref="L25" authorId="0" shapeId="0" xr:uid="{00000000-0006-0000-0000-000042000000}">
      <text>
        <r>
          <rPr>
            <sz val="8"/>
            <color indexed="81"/>
            <rFont val="Tahoma"/>
            <family val="2"/>
          </rPr>
          <t>Qty/Price Breaks (CHF):
  Qty  -  UnitCHF  -  ExtCHF
================
     1 CHF0.29    CHF0.29
    10 CHF0.23    CHF2.33
    50 CHF0.21   CHF10.50
   100 CHF0.19   CHF18.70
   500 CHF0.18   CHF89.00
  1000 CHF0.15  CHF150.00
  2000 CHF0.14  CHF274.00
  3000 CHF0.14  CHF405.00
  9000 CHF0.13 CHF1,170.00</t>
        </r>
      </text>
    </comment>
    <comment ref="O25" authorId="0" shapeId="0" xr:uid="{00000000-0006-0000-0000-000043000000}">
      <text>
        <r>
          <rPr>
            <sz val="8"/>
            <color indexed="81"/>
            <rFont val="Tahoma"/>
            <family val="2"/>
          </rPr>
          <t>Desc: Resonatoren 12.0   MHZ     33PF</t>
        </r>
      </text>
    </comment>
    <comment ref="H27" authorId="0" shapeId="0" xr:uid="{00000000-0006-0000-0000-000044000000}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K27" authorId="0" shapeId="0" xr:uid="{00000000-0006-0000-0000-000045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H28" authorId="0" shapeId="0" xr:uid="{00000000-0006-0000-0000-000046000000}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<sst xmlns="http://schemas.openxmlformats.org/spreadsheetml/2006/main" count="161" uniqueCount="135">
  <si>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</si>
  <si>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</si>
  <si>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</si>
  <si>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</si>
  <si>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</si>
  <si>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</si>
  <si>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</si>
  <si>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</si>
  <si>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</si>
  <si>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</si>
  <si>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C1-C3</t>
  </si>
  <si>
    <t>10u</t>
  </si>
  <si>
    <t>Kondensator aus mehreren Keramikschichten MLCC - SMD/SMT 10.0uF +/-10% 10V X7R 0805</t>
  </si>
  <si>
    <t>C_0805</t>
  </si>
  <si>
    <t>Samsung</t>
  </si>
  <si>
    <t>CL21B106KPY6PNE</t>
  </si>
  <si>
    <t>C4</t>
  </si>
  <si>
    <t>1n</t>
  </si>
  <si>
    <t>MLCC</t>
  </si>
  <si>
    <t>C_0402</t>
  </si>
  <si>
    <t>CL05B102KO5NNWC</t>
  </si>
  <si>
    <t>C5,C12</t>
  </si>
  <si>
    <t>2u2</t>
  </si>
  <si>
    <t>CL05A225KO5NQNC</t>
  </si>
  <si>
    <t>C6-C11,C13-C17</t>
  </si>
  <si>
    <t>100n</t>
  </si>
  <si>
    <t/>
  </si>
  <si>
    <t>Taiyo Yuden</t>
  </si>
  <si>
    <t>MCASE105SB7104KFNA01</t>
  </si>
  <si>
    <t>D1</t>
  </si>
  <si>
    <t>PMEG2005CT</t>
  </si>
  <si>
    <t>SOT-23</t>
  </si>
  <si>
    <t>nexperia</t>
  </si>
  <si>
    <t>J1</t>
  </si>
  <si>
    <t>USB_C_Receptacle_Molex_216990-0001</t>
  </si>
  <si>
    <t>USB-Stecker Mid-Mnt SMT CH-0.52 16Ckt Type C Rec.</t>
  </si>
  <si>
    <t>USB_C_Receptacle_MidMnt_Molex_16_Contact_216990-0001</t>
  </si>
  <si>
    <t>Molex</t>
  </si>
  <si>
    <t>216990-0001</t>
  </si>
  <si>
    <t>J4</t>
  </si>
  <si>
    <t>TC2030-IDC-NL</t>
  </si>
  <si>
    <t>6-Pin, No Legs, micro-connector for Cortex processors</t>
  </si>
  <si>
    <t>Tag-Connect</t>
  </si>
  <si>
    <t>L1</t>
  </si>
  <si>
    <t>Shielded Power Inductor</t>
  </si>
  <si>
    <t>L_3.2mmx2.5mm</t>
  </si>
  <si>
    <t>Bourns</t>
  </si>
  <si>
    <t>SRP3212-2R2M</t>
  </si>
  <si>
    <t>R1,R2</t>
  </si>
  <si>
    <t>27R</t>
  </si>
  <si>
    <t>R_0402</t>
  </si>
  <si>
    <t>Yageo</t>
  </si>
  <si>
    <t>RC0402FR-0727RL</t>
  </si>
  <si>
    <t>R3,R4</t>
  </si>
  <si>
    <t>5k1</t>
  </si>
  <si>
    <t>RC0402FR-075K1L</t>
  </si>
  <si>
    <t>R5</t>
  </si>
  <si>
    <t>10k</t>
  </si>
  <si>
    <t>RC0402FR-0710KL</t>
  </si>
  <si>
    <t>R6</t>
  </si>
  <si>
    <t>1k</t>
  </si>
  <si>
    <t>RC0402FR-071KL</t>
  </si>
  <si>
    <t>R7,R8</t>
  </si>
  <si>
    <t>3k3</t>
  </si>
  <si>
    <t>RC0402FR-073K3L</t>
  </si>
  <si>
    <t>SW1</t>
  </si>
  <si>
    <t>PTS815-SJM</t>
  </si>
  <si>
    <t>Miniature SMD Top Actuated Switch</t>
  </si>
  <si>
    <t>PTS815-Series</t>
  </si>
  <si>
    <t>C&amp;K</t>
  </si>
  <si>
    <t>PTS815 SJM 250 SMTR LFS</t>
  </si>
  <si>
    <t>U1</t>
  </si>
  <si>
    <t>TPS63051</t>
  </si>
  <si>
    <t>IC REG BCK-BST 3.3V 500MA 12VQFN</t>
  </si>
  <si>
    <t>VQFN-12-1EP_2.5x2.5mm_P0.5mm</t>
  </si>
  <si>
    <t>TI</t>
  </si>
  <si>
    <t>TPS63051RMWR</t>
  </si>
  <si>
    <t>U2</t>
  </si>
  <si>
    <t>RP2040</t>
  </si>
  <si>
    <t>Raspberry Pi Pico Mikrocontroller RP2040, Dual ARM Cortex M0+</t>
  </si>
  <si>
    <t>QFN-56-1EP_7x7mm_P0.4mm_EP3.2x3.2mm</t>
  </si>
  <si>
    <t>U3</t>
  </si>
  <si>
    <t>W25Q16JV</t>
  </si>
  <si>
    <t>3V 16Mbit dual/quad SPI serial Flash</t>
  </si>
  <si>
    <t>USON_2x3x0.6mm</t>
  </si>
  <si>
    <t>Winbond</t>
  </si>
  <si>
    <t>W25Q16JVUXIQ TR</t>
  </si>
  <si>
    <t>U4</t>
  </si>
  <si>
    <t>SHT40-AD1B</t>
  </si>
  <si>
    <t>i2c (adr 0x44) temperature/humidity sensor</t>
  </si>
  <si>
    <t>SHT4x</t>
  </si>
  <si>
    <t>Sensirion</t>
  </si>
  <si>
    <t>SHT40-AD1B-R3</t>
  </si>
  <si>
    <t>Y1</t>
  </si>
  <si>
    <t>CSTNE12M0GH5L000R0</t>
  </si>
  <si>
    <t>Three pin ceramic resonator, 12MHz, consumer, 0.07%</t>
  </si>
  <si>
    <t>Resonator_SMD_Murata_CSTxExxV-3Pin_3.0x1.1mm</t>
  </si>
  <si>
    <t>muRata</t>
  </si>
  <si>
    <t>Mouser</t>
  </si>
  <si>
    <t>Avail</t>
  </si>
  <si>
    <t>Purch</t>
  </si>
  <si>
    <t>MOQ</t>
  </si>
  <si>
    <t>Cat#</t>
  </si>
  <si>
    <t>187-CL21B106KPY6PNE</t>
  </si>
  <si>
    <t>187-CL05B102KO5NNWC</t>
  </si>
  <si>
    <t>187-CL05A225KO5NQNC</t>
  </si>
  <si>
    <t>963-MCASE105SB7104KF</t>
  </si>
  <si>
    <t>N/A</t>
  </si>
  <si>
    <t>NonStk</t>
  </si>
  <si>
    <t>538-216990-0001</t>
  </si>
  <si>
    <t>652-SRP3212-2R2M</t>
  </si>
  <si>
    <t>603-RC0402FR-0727RL</t>
  </si>
  <si>
    <t>603-RC0402FR-075K1L</t>
  </si>
  <si>
    <t>603-RC0402FR-0710KL</t>
  </si>
  <si>
    <t>603-RC0402FR-071KL</t>
  </si>
  <si>
    <t>603-RC0402FR-073K3L</t>
  </si>
  <si>
    <t>611-PTS815SJM250SMTR</t>
  </si>
  <si>
    <t>595-TPS63051RMWR</t>
  </si>
  <si>
    <t>454-W25Q16JVUXIQTR</t>
  </si>
  <si>
    <t>403-SHT40-AD1B-R3</t>
  </si>
  <si>
    <t>81-CSTNE12M0GH5L000R</t>
  </si>
  <si>
    <t>Buy here</t>
  </si>
  <si>
    <t>Total Purchase:</t>
  </si>
  <si>
    <t>Purchase description:</t>
  </si>
  <si>
    <t>Prj:</t>
  </si>
  <si>
    <t>CAT_MEP</t>
  </si>
  <si>
    <t>Co.:</t>
  </si>
  <si>
    <t>Prj date:</t>
  </si>
  <si>
    <t>2024-02-16T13:51:28+0100</t>
  </si>
  <si>
    <t>Board Qty:</t>
  </si>
  <si>
    <t>Total Cost:</t>
  </si>
  <si>
    <t>Unit Cost:</t>
  </si>
  <si>
    <t>$ date:</t>
  </si>
  <si>
    <t>2024-02-16 14:20:06</t>
  </si>
  <si>
    <t>KiCost® v1.1.18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</si>
</sst>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4A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horizontal="right" vertical="center"/>
    </xf>
    <xf numFmtId="0" fontId="9" fillId="0" borderId="0" xfId="1" applyAlignment="1" applyProtection="1"/>
    <xf numFmtId="0" fontId="0" fillId="0" borderId="0" xfId="0" applyAlignment="1">
      <alignment horizontal="right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/>
  </cellXfs>
  <cellStyles count="2">
    <cellStyle name="Link" xfId="1" builtinId="8"/>
    <cellStyle name="Standard" xfId="0" builtinId="0"/>
  </cellStyles>
  <dxfs count="14"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h/ProductDetail/Molex/216990-0001?qs=DRkmTr78QAS%252B9wQ3YlpV3Q%3D%3D" TargetMode="External"/><Relationship Id="rId13" Type="http://schemas.openxmlformats.org/officeDocument/2006/relationships/hyperlink" Target="https://www.mouser.ch/ProductDetail/YAGEO/RC0402FR-071KL?qs=V1yeUXFNrknDEmWLmm5v6g%3D%3D" TargetMode="External"/><Relationship Id="rId18" Type="http://schemas.openxmlformats.org/officeDocument/2006/relationships/hyperlink" Target="https://www.mouser.ch/ProductDetail/Sensirion/SHT40-AD1B-R3?qs=zW32dvEIR3sa7U6cFW6pBw%3D%3D" TargetMode="External"/><Relationship Id="rId3" Type="http://schemas.openxmlformats.org/officeDocument/2006/relationships/hyperlink" Target="https://www.mouser.ch/ProductDetail/Samsung-Electro-Mechanics/CL05B102KO5NNWC?qs=f6khj2Jg0FhkmBC2%252BGr0%252Bg%3D%3D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https://www.mouser.ch/ProductDetail/Nexperia/PMEG2005CT?qs=vHuUswq2%252Bsz1z4YCBWTmKA%3D%3D" TargetMode="External"/><Relationship Id="rId12" Type="http://schemas.openxmlformats.org/officeDocument/2006/relationships/hyperlink" Target="https://www.mouser.ch/ProductDetail/YAGEO/RC0402FR-0710KL?qs=I1mnnYJTTsxUoNwrUsQExA%3D%3D" TargetMode="External"/><Relationship Id="rId17" Type="http://schemas.openxmlformats.org/officeDocument/2006/relationships/hyperlink" Target="https://www.mouser.ch/ProductDetail/Winbond/W25Q16JVUXIQ-TR?qs=qSfuJ%252Bfl%2Fd7SDdIHLGOd1g%3D%3D" TargetMode="External"/><Relationship Id="rId2" Type="http://schemas.openxmlformats.org/officeDocument/2006/relationships/hyperlink" Target="https://www.mouser.com/datasheet/2/585/MLCC-1837944.pdf" TargetMode="External"/><Relationship Id="rId16" Type="http://schemas.openxmlformats.org/officeDocument/2006/relationships/hyperlink" Target="https://www.mouser.ch/ProductDetail/Texas-Instruments/TPS63051RMWR?qs=xufs61hA5Mbg7xwMistv%252Bg%3D%3D" TargetMode="External"/><Relationship Id="rId20" Type="http://schemas.openxmlformats.org/officeDocument/2006/relationships/hyperlink" Target="https://mouser.com/bom/" TargetMode="External"/><Relationship Id="rId1" Type="http://schemas.openxmlformats.org/officeDocument/2006/relationships/hyperlink" Target="https://www.mouser.ch/ProductDetail/Samsung-Electro-Mechanics/CL21B106KPY6PNE?qs=Jm2GQyTW%2FbjnLPs5ATgMGQ%3D%3D" TargetMode="External"/><Relationship Id="rId6" Type="http://schemas.openxmlformats.org/officeDocument/2006/relationships/hyperlink" Target="https://www.mouser.ch/ProductDetail/TAIYO-YUDEN/MCASE105SB7104KFNA01?qs=tlsG%2FOw5FFhdvu4Ewdz6Rg%3D%3D" TargetMode="External"/><Relationship Id="rId11" Type="http://schemas.openxmlformats.org/officeDocument/2006/relationships/hyperlink" Target="https://www.mouser.ch/ProductDetail/YAGEO/RC0402FR-075K1L?qs=YUgVZYePFqCSmQuaha43RA%3D%3D" TargetMode="External"/><Relationship Id="rId5" Type="http://schemas.openxmlformats.org/officeDocument/2006/relationships/hyperlink" Target="https://www.mouser.com/datasheet/2/396/Taiyo_Yuden_1102023_MC_mlcc_all_e-3081584.pdf" TargetMode="External"/><Relationship Id="rId15" Type="http://schemas.openxmlformats.org/officeDocument/2006/relationships/hyperlink" Target="https://www.mouser.ch/ProductDetail/CK/PTS815-SJM-250-SMTR-LFS?qs=ahcBuItHZ3xKWmfV%2F2E6bA%3D%3D" TargetMode="External"/><Relationship Id="rId10" Type="http://schemas.openxmlformats.org/officeDocument/2006/relationships/hyperlink" Target="https://www.mouser.ch/ProductDetail/YAGEO/RC0402FR-0727RL?qs=UOUeRUa%252B8Wlb37UyFHw9Bw%3D%3D" TargetMode="External"/><Relationship Id="rId19" Type="http://schemas.openxmlformats.org/officeDocument/2006/relationships/hyperlink" Target="https://www.mouser.ch/ProductDetail/Murata-Electronics/CSTNE12M0GH5L000R0?qs=y6ZabgHbY%252BzEJZ2mXGdjdg%3D%3D" TargetMode="External"/><Relationship Id="rId4" Type="http://schemas.openxmlformats.org/officeDocument/2006/relationships/hyperlink" Target="https://www.mouser.ch/ProductDetail/Samsung-Electro-Mechanics/CL05A225KO5NQNC?qs=X6jEic%2FHinDoCj%2F5P%2FSkcA%3D%3D" TargetMode="External"/><Relationship Id="rId9" Type="http://schemas.openxmlformats.org/officeDocument/2006/relationships/hyperlink" Target="https://www.mouser.ch/ProductDetail/Bourns/SRP3212-2R2M?qs=t7xnP681wgW9NT%2FfJNx1CA%3D%3D" TargetMode="External"/><Relationship Id="rId14" Type="http://schemas.openxmlformats.org/officeDocument/2006/relationships/hyperlink" Target="https://www.mouser.ch/ProductDetail/YAGEO/RC0402FR-073K3L?qs=V1yeUXFNrkl65xQvAbNjdg%3D%3D" TargetMode="Externa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baseColWidth="10" defaultColWidth="8.7265625" defaultRowHeight="14.5" outlineLevelCol="3" x14ac:dyDescent="0.35"/>
  <cols>
    <col min="1" max="1" width="15.7265625" customWidth="1"/>
    <col min="2" max="2" width="31.7265625" customWidth="1"/>
    <col min="3" max="4" width="33.7265625" customWidth="1" outlineLevel="2"/>
    <col min="5" max="5" width="12.7265625" customWidth="1" outlineLevel="1"/>
    <col min="6" max="6" width="24.7265625" customWidth="1" outlineLevel="1"/>
    <col min="7" max="7" width="9.1796875" outlineLevel="1"/>
    <col min="8" max="8" width="22.7265625" customWidth="1"/>
    <col min="9" max="9" width="16.7265625" customWidth="1"/>
    <col min="10" max="10" width="9.7265625" customWidth="1" outlineLevel="1"/>
    <col min="11" max="11" width="9.1796875" outlineLevel="2"/>
    <col min="12" max="12" width="10.7265625" customWidth="1" outlineLevel="2"/>
    <col min="13" max="13" width="0" hidden="1" customWidth="1" outlineLevel="3" collapsed="1"/>
    <col min="14" max="14" width="16.7265625" customWidth="1"/>
    <col min="15" max="15" width="21.7265625" customWidth="1" outlineLevel="2"/>
  </cols>
  <sheetData>
    <row r="1" spans="1:15" ht="17" x14ac:dyDescent="0.4">
      <c r="A1" s="1" t="s">
        <v>124</v>
      </c>
      <c r="B1" s="2" t="s">
        <v>125</v>
      </c>
      <c r="H1" s="3" t="s">
        <v>129</v>
      </c>
      <c r="I1" s="3">
        <v>100</v>
      </c>
    </row>
    <row r="2" spans="1:15" ht="17" x14ac:dyDescent="0.35">
      <c r="A2" s="1" t="s">
        <v>126</v>
      </c>
      <c r="B2" s="2"/>
      <c r="H2" s="1" t="s">
        <v>131</v>
      </c>
      <c r="I2" s="4">
        <f>TotalCost/BoardQty</f>
        <v>4.4860000000000007</v>
      </c>
    </row>
    <row r="3" spans="1:15" ht="17" x14ac:dyDescent="0.35">
      <c r="A3" s="1" t="s">
        <v>127</v>
      </c>
      <c r="B3" s="2" t="s">
        <v>128</v>
      </c>
      <c r="H3" s="1" t="s">
        <v>130</v>
      </c>
      <c r="I3" s="5">
        <f>SUM(I7:I25)</f>
        <v>448.6</v>
      </c>
      <c r="N3" s="5">
        <f>SUM(N7:N25)</f>
        <v>448.6</v>
      </c>
      <c r="O3" s="6" t="str">
        <f>(COUNTA(N7:N25)&amp;" of "&amp;ROWS(N7:N25)&amp;" parts found")</f>
        <v>16 of 19 parts found</v>
      </c>
    </row>
    <row r="4" spans="1:15" ht="17" x14ac:dyDescent="0.35">
      <c r="A4" s="1" t="s">
        <v>132</v>
      </c>
      <c r="B4" s="2" t="s">
        <v>133</v>
      </c>
    </row>
    <row r="5" spans="1:15" ht="18.5" x14ac:dyDescent="0.35">
      <c r="A5" s="13" t="s">
        <v>0</v>
      </c>
      <c r="B5" s="13"/>
      <c r="C5" s="13"/>
      <c r="D5" s="13"/>
      <c r="E5" s="13"/>
      <c r="F5" s="13"/>
      <c r="G5" s="13"/>
      <c r="H5" s="13"/>
      <c r="I5" s="13"/>
      <c r="J5" s="14" t="s">
        <v>98</v>
      </c>
      <c r="K5" s="14"/>
      <c r="L5" s="14"/>
      <c r="M5" s="14"/>
      <c r="N5" s="14"/>
      <c r="O5" s="14"/>
    </row>
    <row r="6" spans="1:15" ht="15.5" x14ac:dyDescent="0.35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</v>
      </c>
      <c r="I6" s="7" t="s">
        <v>9</v>
      </c>
      <c r="J6" s="7" t="s">
        <v>99</v>
      </c>
      <c r="K6" s="7" t="s">
        <v>100</v>
      </c>
      <c r="L6" s="7" t="s">
        <v>8</v>
      </c>
      <c r="M6" s="7" t="s">
        <v>101</v>
      </c>
      <c r="N6" s="7" t="s">
        <v>9</v>
      </c>
      <c r="O6" s="7" t="s">
        <v>102</v>
      </c>
    </row>
    <row r="7" spans="1:15" ht="45" customHeight="1" x14ac:dyDescent="0.35">
      <c r="A7" s="8" t="s">
        <v>10</v>
      </c>
      <c r="B7" s="8" t="s">
        <v>11</v>
      </c>
      <c r="C7" s="8" t="s">
        <v>12</v>
      </c>
      <c r="D7" s="8" t="s">
        <v>13</v>
      </c>
      <c r="E7" s="8" t="s">
        <v>14</v>
      </c>
      <c r="F7" s="8" t="s">
        <v>15</v>
      </c>
      <c r="G7" s="8">
        <f>CEILING(BoardQty*3,1)</f>
        <v>300</v>
      </c>
      <c r="H7" s="9">
        <f t="shared" ref="H7:H25" si="0">IF(MIN(L7)&lt;&gt;0,MIN(L7),"")</f>
        <v>0.11700000000000001</v>
      </c>
      <c r="I7" s="9">
        <f t="shared" ref="I7:I25" si="1">IF(AND(ISNUMBER(G7),ISNUMBER(H7)),G7*H7,"")</f>
        <v>35.1</v>
      </c>
      <c r="J7" s="8">
        <v>36127</v>
      </c>
      <c r="K7" s="8"/>
      <c r="L7" s="9">
        <f>IFERROR(IF(OR(K7&gt;=M7,G7&gt;=M7),LOOKUP(IF(K7="",G7,K7),{0,1,10,100,1000,2000,10000,24000,50000,100000},{0,0.294,0.193,0.117,0.078,0.073,0.063,0.06,0.056,0.053}),"MOQ="&amp;M7),"")</f>
        <v>0.11700000000000001</v>
      </c>
      <c r="M7" s="8">
        <v>1</v>
      </c>
      <c r="N7" s="9">
        <f>IFERROR(IF(K7="",G7,K7)*L7,"")</f>
        <v>35.1</v>
      </c>
      <c r="O7" s="8" t="s">
        <v>103</v>
      </c>
    </row>
    <row r="8" spans="1:15" x14ac:dyDescent="0.35">
      <c r="A8" s="8" t="s">
        <v>16</v>
      </c>
      <c r="B8" s="8" t="s">
        <v>17</v>
      </c>
      <c r="C8" s="8" t="s">
        <v>18</v>
      </c>
      <c r="D8" s="8" t="s">
        <v>19</v>
      </c>
      <c r="E8" s="8" t="s">
        <v>14</v>
      </c>
      <c r="F8" s="8" t="s">
        <v>20</v>
      </c>
      <c r="G8" s="8">
        <f>CEILING(BoardQty*1,1)</f>
        <v>100</v>
      </c>
      <c r="H8" s="9">
        <f t="shared" si="0"/>
        <v>0.01</v>
      </c>
      <c r="I8" s="9">
        <f t="shared" si="1"/>
        <v>1</v>
      </c>
      <c r="J8" s="8">
        <v>46021</v>
      </c>
      <c r="K8" s="8"/>
      <c r="L8" s="9">
        <f>IFERROR(IF(OR(K8&gt;=M8,G8&gt;=M8),LOOKUP(IF(K8="",G8,K8),{0,1,10,100,1000,10000,100000},{0,0.086,0.011,0.01,0.007,0.005,0.003}),"MOQ="&amp;M8),"")</f>
        <v>0.01</v>
      </c>
      <c r="M8" s="8">
        <v>1</v>
      </c>
      <c r="N8" s="9">
        <f>IFERROR(IF(K8="",G8,K8)*L8,"")</f>
        <v>1</v>
      </c>
      <c r="O8" s="8" t="s">
        <v>104</v>
      </c>
    </row>
    <row r="9" spans="1:15" x14ac:dyDescent="0.35">
      <c r="A9" s="8" t="s">
        <v>21</v>
      </c>
      <c r="B9" s="8" t="s">
        <v>22</v>
      </c>
      <c r="C9" s="8" t="s">
        <v>18</v>
      </c>
      <c r="D9" s="8" t="s">
        <v>19</v>
      </c>
      <c r="E9" s="8" t="s">
        <v>14</v>
      </c>
      <c r="F9" s="8" t="s">
        <v>23</v>
      </c>
      <c r="G9" s="8">
        <f>CEILING(BoardQty*2,1)</f>
        <v>200</v>
      </c>
      <c r="H9" s="9">
        <f t="shared" si="0"/>
        <v>5.2999999999999999E-2</v>
      </c>
      <c r="I9" s="9">
        <f t="shared" si="1"/>
        <v>10.6</v>
      </c>
      <c r="J9" s="8">
        <v>51709</v>
      </c>
      <c r="K9" s="8"/>
      <c r="L9" s="9">
        <f>IFERROR(IF(OR(K9&gt;=M9,G9&gt;=M9),LOOKUP(IF(K9="",G9,K9),{0,1,10,100,1000,2500,10000,20000,50000,100000},{0,0.217,0.091,0.053,0.045,0.041,0.034,0.033,0.031,0.026}),"MOQ="&amp;M9),"")</f>
        <v>5.2999999999999999E-2</v>
      </c>
      <c r="M9" s="8">
        <v>1</v>
      </c>
      <c r="N9" s="9">
        <f>IFERROR(IF(K9="",G9,K9)*L9,"")</f>
        <v>10.6</v>
      </c>
      <c r="O9" s="8" t="s">
        <v>105</v>
      </c>
    </row>
    <row r="10" spans="1:15" x14ac:dyDescent="0.35">
      <c r="A10" s="8" t="s">
        <v>24</v>
      </c>
      <c r="B10" s="8" t="s">
        <v>25</v>
      </c>
      <c r="C10" s="8" t="s">
        <v>26</v>
      </c>
      <c r="D10" s="8" t="s">
        <v>19</v>
      </c>
      <c r="E10" s="8" t="s">
        <v>27</v>
      </c>
      <c r="F10" s="8" t="s">
        <v>28</v>
      </c>
      <c r="G10" s="8">
        <f>CEILING(BoardQty*11,1)</f>
        <v>1100</v>
      </c>
      <c r="H10" s="9">
        <f t="shared" si="0"/>
        <v>7.0000000000000001E-3</v>
      </c>
      <c r="I10" s="9">
        <f t="shared" si="1"/>
        <v>7.7</v>
      </c>
      <c r="J10" s="8">
        <v>2639</v>
      </c>
      <c r="K10" s="8"/>
      <c r="L10" s="9">
        <f>IFERROR(IF(OR(K10&gt;=M10,G10&gt;=M10),LOOKUP(IF(K10="",G10,K10),{0,1,10,100,1000,10000,100000},{0,0.086,0.022,0.012,0.007,0.006,0.005}),"MOQ="&amp;M10),"")</f>
        <v>7.0000000000000001E-3</v>
      </c>
      <c r="M10" s="8">
        <v>1</v>
      </c>
      <c r="N10" s="9">
        <f>IFERROR(IF(K10="",G10,K10)*L10,"")</f>
        <v>7.7</v>
      </c>
      <c r="O10" s="8" t="s">
        <v>106</v>
      </c>
    </row>
    <row r="11" spans="1:15" x14ac:dyDescent="0.35">
      <c r="A11" s="8" t="s">
        <v>29</v>
      </c>
      <c r="B11" s="8" t="s">
        <v>30</v>
      </c>
      <c r="C11" s="8" t="s">
        <v>26</v>
      </c>
      <c r="D11" s="8" t="s">
        <v>31</v>
      </c>
      <c r="E11" s="8" t="s">
        <v>32</v>
      </c>
      <c r="F11" s="8" t="s">
        <v>30</v>
      </c>
      <c r="G11" s="8">
        <f>CEILING(BoardQty*1,1)</f>
        <v>100</v>
      </c>
      <c r="H11" s="9" t="str">
        <f t="shared" si="0"/>
        <v/>
      </c>
      <c r="I11" s="9" t="str">
        <f t="shared" si="1"/>
        <v/>
      </c>
      <c r="J11" s="10" t="s">
        <v>108</v>
      </c>
      <c r="K11" s="8"/>
      <c r="O11" s="8" t="s">
        <v>107</v>
      </c>
    </row>
    <row r="12" spans="1:15" ht="30" customHeight="1" x14ac:dyDescent="0.35">
      <c r="A12" s="8" t="s">
        <v>33</v>
      </c>
      <c r="B12" s="8" t="s">
        <v>34</v>
      </c>
      <c r="C12" s="8" t="s">
        <v>35</v>
      </c>
      <c r="D12" s="8" t="s">
        <v>36</v>
      </c>
      <c r="E12" s="8" t="s">
        <v>37</v>
      </c>
      <c r="F12" s="8" t="s">
        <v>38</v>
      </c>
      <c r="G12" s="8">
        <f>CEILING(BoardQty*1,1)</f>
        <v>100</v>
      </c>
      <c r="H12" s="9">
        <f t="shared" si="0"/>
        <v>0.53800000000000003</v>
      </c>
      <c r="I12" s="9">
        <f t="shared" si="1"/>
        <v>53.800000000000004</v>
      </c>
      <c r="J12" s="8">
        <v>23688</v>
      </c>
      <c r="K12" s="8"/>
      <c r="L12" s="9">
        <f>IFERROR(IF(OR(K12&gt;=M12,G12&gt;=M12),LOOKUP(IF(K12="",G12,K12),{0,1,10,100,500,1400,2800,4200,23800},{0,0.778,0.638,0.538,0.533,0.43,0.39,0.38,0.349}),"MOQ="&amp;M12),"")</f>
        <v>0.53800000000000003</v>
      </c>
      <c r="M12" s="8">
        <v>1</v>
      </c>
      <c r="N12" s="9">
        <f>IFERROR(IF(K12="",G12,K12)*L12,"")</f>
        <v>53.800000000000004</v>
      </c>
      <c r="O12" s="8" t="s">
        <v>109</v>
      </c>
    </row>
    <row r="13" spans="1:15" ht="30" customHeight="1" x14ac:dyDescent="0.35">
      <c r="A13" s="8" t="s">
        <v>39</v>
      </c>
      <c r="B13" s="8" t="s">
        <v>40</v>
      </c>
      <c r="C13" s="8" t="s">
        <v>41</v>
      </c>
      <c r="D13" s="8" t="s">
        <v>40</v>
      </c>
      <c r="E13" s="8" t="s">
        <v>42</v>
      </c>
      <c r="F13" s="8" t="s">
        <v>40</v>
      </c>
      <c r="G13" s="8">
        <f>CEILING(BoardQty*1,1)</f>
        <v>100</v>
      </c>
      <c r="H13" s="9" t="str">
        <f t="shared" si="0"/>
        <v/>
      </c>
      <c r="I13" s="9" t="str">
        <f t="shared" si="1"/>
        <v/>
      </c>
    </row>
    <row r="14" spans="1:15" x14ac:dyDescent="0.35">
      <c r="A14" s="8" t="s">
        <v>43</v>
      </c>
      <c r="B14" s="8" t="s">
        <v>22</v>
      </c>
      <c r="C14" s="8" t="s">
        <v>44</v>
      </c>
      <c r="D14" s="8" t="s">
        <v>45</v>
      </c>
      <c r="E14" s="8" t="s">
        <v>46</v>
      </c>
      <c r="F14" s="8" t="s">
        <v>47</v>
      </c>
      <c r="G14" s="8">
        <f>CEILING(BoardQty*1,1)</f>
        <v>100</v>
      </c>
      <c r="H14" s="9">
        <f t="shared" si="0"/>
        <v>0.13100000000000001</v>
      </c>
      <c r="I14" s="9">
        <f t="shared" si="1"/>
        <v>13.100000000000001</v>
      </c>
      <c r="J14" s="8">
        <v>9936</v>
      </c>
      <c r="K14" s="8"/>
      <c r="L14" s="9">
        <f>IFERROR(IF(OR(K14&gt;=M14,G14&gt;=M14),LOOKUP(IF(K14="",G14,K14),{0,1,10,100,1000,2000,10000,24000,50000},{0,0.225,0.184,0.131,0.101,0.086,0.084,0.082,0.08}),"MOQ="&amp;M14),"")</f>
        <v>0.13100000000000001</v>
      </c>
      <c r="M14" s="8">
        <v>1</v>
      </c>
      <c r="N14" s="9">
        <f t="shared" ref="N14:N21" si="2">IFERROR(IF(K14="",G14,K14)*L14,"")</f>
        <v>13.100000000000001</v>
      </c>
      <c r="O14" s="8" t="s">
        <v>110</v>
      </c>
    </row>
    <row r="15" spans="1:15" x14ac:dyDescent="0.35">
      <c r="A15" s="8" t="s">
        <v>48</v>
      </c>
      <c r="B15" s="8" t="s">
        <v>49</v>
      </c>
      <c r="C15" s="8" t="s">
        <v>26</v>
      </c>
      <c r="D15" s="8" t="s">
        <v>50</v>
      </c>
      <c r="E15" s="8" t="s">
        <v>51</v>
      </c>
      <c r="F15" s="8" t="s">
        <v>52</v>
      </c>
      <c r="G15" s="8">
        <f>CEILING(BoardQty*2,1)</f>
        <v>200</v>
      </c>
      <c r="H15" s="9">
        <f t="shared" si="0"/>
        <v>5.0000000000000001E-3</v>
      </c>
      <c r="I15" s="9">
        <f t="shared" si="1"/>
        <v>1</v>
      </c>
      <c r="J15" s="8">
        <v>383496</v>
      </c>
      <c r="K15" s="8"/>
      <c r="L15" s="9">
        <f>IFERROR(IF(OR(K15&gt;=M15,G15&gt;=M15),LOOKUP(IF(K15="",G15,K15),{0,1,10,100,1000,2500,10000},{0,0.086,0.007,0.005,0.004,0.003,0.002}),"MOQ="&amp;M15),"")</f>
        <v>5.0000000000000001E-3</v>
      </c>
      <c r="M15" s="8">
        <v>1</v>
      </c>
      <c r="N15" s="9">
        <f t="shared" si="2"/>
        <v>1</v>
      </c>
      <c r="O15" s="8" t="s">
        <v>111</v>
      </c>
    </row>
    <row r="16" spans="1:15" x14ac:dyDescent="0.35">
      <c r="A16" s="8" t="s">
        <v>53</v>
      </c>
      <c r="B16" s="8" t="s">
        <v>54</v>
      </c>
      <c r="C16" s="8" t="s">
        <v>26</v>
      </c>
      <c r="D16" s="8" t="s">
        <v>50</v>
      </c>
      <c r="E16" s="8" t="s">
        <v>51</v>
      </c>
      <c r="F16" s="8" t="s">
        <v>55</v>
      </c>
      <c r="G16" s="8">
        <f>CEILING(BoardQty*2,1)</f>
        <v>200</v>
      </c>
      <c r="H16" s="9">
        <f t="shared" si="0"/>
        <v>5.0000000000000001E-3</v>
      </c>
      <c r="I16" s="9">
        <f t="shared" si="1"/>
        <v>1</v>
      </c>
      <c r="J16" s="8">
        <v>506263</v>
      </c>
      <c r="K16" s="8"/>
      <c r="L16" s="9">
        <f>IFERROR(IF(OR(K16&gt;=M16,G16&gt;=M16),LOOKUP(IF(K16="",G16,K16),{0,1,10,100,1000,2500,10000},{0,0.086,0.007,0.005,0.004,0.003,0.002}),"MOQ="&amp;M16),"")</f>
        <v>5.0000000000000001E-3</v>
      </c>
      <c r="M16" s="8">
        <v>1</v>
      </c>
      <c r="N16" s="9">
        <f t="shared" si="2"/>
        <v>1</v>
      </c>
      <c r="O16" s="8" t="s">
        <v>112</v>
      </c>
    </row>
    <row r="17" spans="1:15" x14ac:dyDescent="0.35">
      <c r="A17" s="8" t="s">
        <v>56</v>
      </c>
      <c r="B17" s="8" t="s">
        <v>57</v>
      </c>
      <c r="C17" s="8" t="s">
        <v>26</v>
      </c>
      <c r="D17" s="8" t="s">
        <v>50</v>
      </c>
      <c r="E17" s="8" t="s">
        <v>51</v>
      </c>
      <c r="F17" s="8" t="s">
        <v>58</v>
      </c>
      <c r="G17" s="8">
        <f>CEILING(BoardQty*1,1)</f>
        <v>100</v>
      </c>
      <c r="H17" s="9">
        <f t="shared" si="0"/>
        <v>5.0000000000000001E-3</v>
      </c>
      <c r="I17" s="9">
        <f t="shared" si="1"/>
        <v>0.5</v>
      </c>
      <c r="J17" s="8">
        <v>8489302</v>
      </c>
      <c r="K17" s="8"/>
      <c r="L17" s="9">
        <f>IFERROR(IF(OR(K17&gt;=M17,G17&gt;=M17),LOOKUP(IF(K17="",G17,K17),{0,1,10,100,1000,2500,10000},{0,0.086,0.007,0.005,0.004,0.003,0.002}),"MOQ="&amp;M17),"")</f>
        <v>5.0000000000000001E-3</v>
      </c>
      <c r="M17" s="8">
        <v>1</v>
      </c>
      <c r="N17" s="9">
        <f t="shared" si="2"/>
        <v>0.5</v>
      </c>
      <c r="O17" s="8" t="s">
        <v>113</v>
      </c>
    </row>
    <row r="18" spans="1:15" x14ac:dyDescent="0.35">
      <c r="A18" s="8" t="s">
        <v>59</v>
      </c>
      <c r="B18" s="8" t="s">
        <v>60</v>
      </c>
      <c r="C18" s="8" t="s">
        <v>26</v>
      </c>
      <c r="D18" s="8" t="s">
        <v>50</v>
      </c>
      <c r="E18" s="8" t="s">
        <v>51</v>
      </c>
      <c r="F18" s="8" t="s">
        <v>61</v>
      </c>
      <c r="G18" s="8">
        <f>CEILING(BoardQty*1,1)</f>
        <v>100</v>
      </c>
      <c r="H18" s="9">
        <f t="shared" si="0"/>
        <v>5.0000000000000001E-3</v>
      </c>
      <c r="I18" s="9">
        <f t="shared" si="1"/>
        <v>0.5</v>
      </c>
      <c r="J18" s="8">
        <v>10757219</v>
      </c>
      <c r="K18" s="8"/>
      <c r="L18" s="9">
        <f>IFERROR(IF(OR(K18&gt;=M18,G18&gt;=M18),LOOKUP(IF(K18="",G18,K18),{0,1,10,100,1000,2500,10000},{0,0.086,0.007,0.005,0.004,0.003,0.002}),"MOQ="&amp;M18),"")</f>
        <v>5.0000000000000001E-3</v>
      </c>
      <c r="M18" s="8">
        <v>1</v>
      </c>
      <c r="N18" s="9">
        <f t="shared" si="2"/>
        <v>0.5</v>
      </c>
      <c r="O18" s="8" t="s">
        <v>114</v>
      </c>
    </row>
    <row r="19" spans="1:15" x14ac:dyDescent="0.35">
      <c r="A19" s="8" t="s">
        <v>62</v>
      </c>
      <c r="B19" s="8" t="s">
        <v>63</v>
      </c>
      <c r="C19" s="8" t="s">
        <v>26</v>
      </c>
      <c r="D19" s="8" t="s">
        <v>50</v>
      </c>
      <c r="E19" s="8" t="s">
        <v>51</v>
      </c>
      <c r="F19" s="8" t="s">
        <v>64</v>
      </c>
      <c r="G19" s="8">
        <f>CEILING(BoardQty*2,1)</f>
        <v>200</v>
      </c>
      <c r="H19" s="9">
        <f t="shared" si="0"/>
        <v>5.0000000000000001E-3</v>
      </c>
      <c r="I19" s="9">
        <f t="shared" si="1"/>
        <v>1</v>
      </c>
      <c r="J19" s="8">
        <v>573917</v>
      </c>
      <c r="K19" s="8"/>
      <c r="L19" s="9">
        <f>IFERROR(IF(OR(K19&gt;=M19,G19&gt;=M19),LOOKUP(IF(K19="",G19,K19),{0,1,10,100,1000,2500,10000},{0,0.086,0.007,0.005,0.004,0.003,0.002}),"MOQ="&amp;M19),"")</f>
        <v>5.0000000000000001E-3</v>
      </c>
      <c r="M19" s="8">
        <v>1</v>
      </c>
      <c r="N19" s="9">
        <f t="shared" si="2"/>
        <v>1</v>
      </c>
      <c r="O19" s="8" t="s">
        <v>115</v>
      </c>
    </row>
    <row r="20" spans="1:15" ht="30" customHeight="1" x14ac:dyDescent="0.35">
      <c r="A20" s="8" t="s">
        <v>65</v>
      </c>
      <c r="B20" s="8" t="s">
        <v>66</v>
      </c>
      <c r="C20" s="8" t="s">
        <v>67</v>
      </c>
      <c r="D20" s="8" t="s">
        <v>68</v>
      </c>
      <c r="E20" s="8" t="s">
        <v>69</v>
      </c>
      <c r="F20" s="8" t="s">
        <v>70</v>
      </c>
      <c r="G20" s="8">
        <f t="shared" ref="G20:G25" si="3">CEILING(BoardQty*1,1)</f>
        <v>100</v>
      </c>
      <c r="H20" s="9">
        <f t="shared" si="0"/>
        <v>0.14399999999999999</v>
      </c>
      <c r="I20" s="9">
        <f t="shared" si="1"/>
        <v>14.399999999999999</v>
      </c>
      <c r="J20" s="8">
        <v>46673</v>
      </c>
      <c r="K20" s="8"/>
      <c r="L20" s="9">
        <f>IFERROR(IF(OR(K20&gt;=M20,G20&gt;=M20),LOOKUP(IF(K20="",G20,K20),{0,1,10,100,500,1000,3000,9000,24000,45000},{0,0.165,0.159,0.144,0.136,0.125,0.104,0.094,0.09,0.085}),"MOQ="&amp;M20),"")</f>
        <v>0.14399999999999999</v>
      </c>
      <c r="M20" s="8">
        <v>1</v>
      </c>
      <c r="N20" s="9">
        <f t="shared" si="2"/>
        <v>14.399999999999999</v>
      </c>
      <c r="O20" s="8" t="s">
        <v>116</v>
      </c>
    </row>
    <row r="21" spans="1:15" x14ac:dyDescent="0.35">
      <c r="A21" s="8" t="s">
        <v>71</v>
      </c>
      <c r="B21" s="8" t="s">
        <v>72</v>
      </c>
      <c r="C21" s="8" t="s">
        <v>73</v>
      </c>
      <c r="D21" s="8" t="s">
        <v>74</v>
      </c>
      <c r="E21" s="8" t="s">
        <v>75</v>
      </c>
      <c r="F21" s="8" t="s">
        <v>76</v>
      </c>
      <c r="G21" s="8">
        <f t="shared" si="3"/>
        <v>100</v>
      </c>
      <c r="H21" s="9">
        <f t="shared" si="0"/>
        <v>1.26</v>
      </c>
      <c r="I21" s="9">
        <f t="shared" si="1"/>
        <v>126</v>
      </c>
      <c r="J21" s="8">
        <v>5236</v>
      </c>
      <c r="K21" s="8"/>
      <c r="L21" s="9">
        <f>IFERROR(IF(OR(K21&gt;=M21,G21&gt;=M21),LOOKUP(IF(K21="",G21,K21),{0,1,10,100,250,500,1000,3000,6000,9000},{0,1.75,1.49,1.26,1.18,1.04,0.858,0.799,0.77,0.763}),"MOQ="&amp;M21),"")</f>
        <v>1.26</v>
      </c>
      <c r="M21" s="8">
        <v>1</v>
      </c>
      <c r="N21" s="9">
        <f t="shared" si="2"/>
        <v>126</v>
      </c>
      <c r="O21" s="8" t="s">
        <v>117</v>
      </c>
    </row>
    <row r="22" spans="1:15" ht="45" customHeight="1" x14ac:dyDescent="0.35">
      <c r="A22" s="8" t="s">
        <v>77</v>
      </c>
      <c r="B22" s="8" t="s">
        <v>78</v>
      </c>
      <c r="C22" s="8" t="s">
        <v>79</v>
      </c>
      <c r="D22" s="8" t="s">
        <v>80</v>
      </c>
      <c r="G22" s="8">
        <f t="shared" si="3"/>
        <v>100</v>
      </c>
      <c r="H22" s="9" t="str">
        <f t="shared" si="0"/>
        <v/>
      </c>
      <c r="I22" s="9" t="str">
        <f t="shared" si="1"/>
        <v/>
      </c>
    </row>
    <row r="23" spans="1:15" ht="30" customHeight="1" x14ac:dyDescent="0.35">
      <c r="A23" s="8" t="s">
        <v>81</v>
      </c>
      <c r="B23" s="8" t="s">
        <v>82</v>
      </c>
      <c r="C23" s="8" t="s">
        <v>83</v>
      </c>
      <c r="D23" s="8" t="s">
        <v>84</v>
      </c>
      <c r="E23" s="8" t="s">
        <v>85</v>
      </c>
      <c r="F23" s="8" t="s">
        <v>86</v>
      </c>
      <c r="G23" s="8">
        <f t="shared" si="3"/>
        <v>100</v>
      </c>
      <c r="H23" s="9">
        <f t="shared" si="0"/>
        <v>0.38200000000000001</v>
      </c>
      <c r="I23" s="9">
        <f t="shared" si="1"/>
        <v>38.200000000000003</v>
      </c>
      <c r="J23" s="8">
        <v>26619</v>
      </c>
      <c r="K23" s="8"/>
      <c r="L23" s="9">
        <f>IFERROR(IF(OR(K23&gt;=M23,G23&gt;=M23),LOOKUP(IF(K23="",G23,K23),{0,1,10,100,500,1000,2000,4000,8000,24000},{0,0.485,0.433,0.382,0.377,0.361,0.358,0.336,0.315,0.302}),"MOQ="&amp;M23),"")</f>
        <v>0.38200000000000001</v>
      </c>
      <c r="M23" s="8">
        <v>1</v>
      </c>
      <c r="N23" s="9">
        <f>IFERROR(IF(K23="",G23,K23)*L23,"")</f>
        <v>38.200000000000003</v>
      </c>
      <c r="O23" s="8" t="s">
        <v>118</v>
      </c>
    </row>
    <row r="24" spans="1:15" ht="30" customHeight="1" x14ac:dyDescent="0.35">
      <c r="A24" s="8" t="s">
        <v>87</v>
      </c>
      <c r="B24" s="8" t="s">
        <v>88</v>
      </c>
      <c r="C24" s="8" t="s">
        <v>89</v>
      </c>
      <c r="D24" s="8" t="s">
        <v>90</v>
      </c>
      <c r="E24" s="8" t="s">
        <v>91</v>
      </c>
      <c r="F24" s="8" t="s">
        <v>92</v>
      </c>
      <c r="G24" s="8">
        <f t="shared" si="3"/>
        <v>100</v>
      </c>
      <c r="H24" s="9">
        <f t="shared" si="0"/>
        <v>1.26</v>
      </c>
      <c r="I24" s="9">
        <f t="shared" si="1"/>
        <v>126</v>
      </c>
      <c r="J24" s="8">
        <v>3724</v>
      </c>
      <c r="K24" s="8"/>
      <c r="L24" s="9">
        <f>IFERROR(IF(OR(K24&gt;=M24,G24&gt;=M24),LOOKUP(IF(K24="",G24,K24),{0,1,10,100,500,1000,2500,5000,10000},{0,2.16,1.33,1.26,1.06,0.986,0.967,0.909,0.858}),"MOQ="&amp;M24),"")</f>
        <v>1.26</v>
      </c>
      <c r="M24" s="8">
        <v>1</v>
      </c>
      <c r="N24" s="9">
        <f>IFERROR(IF(K24="",G24,K24)*L24,"")</f>
        <v>126</v>
      </c>
      <c r="O24" s="8" t="s">
        <v>119</v>
      </c>
    </row>
    <row r="25" spans="1:15" ht="30" customHeight="1" x14ac:dyDescent="0.35">
      <c r="A25" s="8" t="s">
        <v>93</v>
      </c>
      <c r="B25" s="8" t="s">
        <v>94</v>
      </c>
      <c r="C25" s="8" t="s">
        <v>95</v>
      </c>
      <c r="D25" s="8" t="s">
        <v>96</v>
      </c>
      <c r="E25" s="8" t="s">
        <v>97</v>
      </c>
      <c r="F25" s="8" t="s">
        <v>94</v>
      </c>
      <c r="G25" s="8">
        <f t="shared" si="3"/>
        <v>100</v>
      </c>
      <c r="H25" s="9">
        <f t="shared" si="0"/>
        <v>0.187</v>
      </c>
      <c r="I25" s="9">
        <f t="shared" si="1"/>
        <v>18.7</v>
      </c>
      <c r="J25" s="8">
        <v>206009</v>
      </c>
      <c r="K25" s="8"/>
      <c r="L25" s="9">
        <f>IFERROR(IF(OR(K25&gt;=M25,G25&gt;=M25),LOOKUP(IF(K25="",G25,K25),{0,1,10,50,100,500,1000,2000,3000,9000},{0,0.286,0.233,0.21,0.187,0.178,0.15,0.137,0.135,0.13}),"MOQ="&amp;M25),"")</f>
        <v>0.187</v>
      </c>
      <c r="M25" s="8">
        <v>1</v>
      </c>
      <c r="N25" s="9">
        <f>IFERROR(IF(K25="",G25,K25)*L25,"")</f>
        <v>18.7</v>
      </c>
      <c r="O25" s="8" t="s">
        <v>120</v>
      </c>
    </row>
    <row r="27" spans="1:15" ht="17" x14ac:dyDescent="0.35">
      <c r="H27" s="1" t="s">
        <v>122</v>
      </c>
      <c r="I27" s="5">
        <f>SUM(N27)</f>
        <v>0</v>
      </c>
      <c r="J27" s="11" t="s">
        <v>121</v>
      </c>
      <c r="K27" s="6" t="str">
        <f>IFERROR(IF(COUNTIF(K7:K25,"&gt;0")&gt;0,COUNTIF(K7:K25,"&gt;0")&amp;" of "&amp;(ROWS(M7:M25)-COUNTBLANK(M7:M25))&amp;" parts purchased",""),"")</f>
        <v/>
      </c>
      <c r="N27" s="5">
        <f>SUMIF(K7:K25,"&gt;0",N7:N25)</f>
        <v>0</v>
      </c>
    </row>
    <row r="28" spans="1:15" ht="15.5" x14ac:dyDescent="0.35">
      <c r="A28" s="2" t="s">
        <v>134</v>
      </c>
      <c r="H28" s="12" t="s">
        <v>123</v>
      </c>
      <c r="K28" s="15" t="str">
        <f>CONCATENATE(K48,K49,K50,K51,K52,K53,K54,K55,K56,K57,K58,K59,K60,K61,K62,K63,K64,K65,K66)</f>
        <v/>
      </c>
      <c r="L28" s="16"/>
      <c r="M28" s="16"/>
      <c r="N28" s="16"/>
    </row>
    <row r="29" spans="1:15" x14ac:dyDescent="0.35">
      <c r="K29" s="16"/>
      <c r="L29" s="16"/>
      <c r="M29" s="16"/>
      <c r="N29" s="16"/>
    </row>
    <row r="30" spans="1:15" x14ac:dyDescent="0.35">
      <c r="K30" s="16"/>
      <c r="L30" s="16"/>
      <c r="M30" s="16"/>
      <c r="N30" s="16"/>
    </row>
    <row r="31" spans="1:15" x14ac:dyDescent="0.35">
      <c r="K31" s="16"/>
      <c r="L31" s="16"/>
      <c r="M31" s="16"/>
      <c r="N31" s="16"/>
    </row>
    <row r="32" spans="1:15" x14ac:dyDescent="0.35">
      <c r="K32" s="16"/>
      <c r="L32" s="16"/>
      <c r="M32" s="16"/>
      <c r="N32" s="16"/>
    </row>
    <row r="33" spans="11:14" x14ac:dyDescent="0.35">
      <c r="K33" s="16"/>
      <c r="L33" s="16"/>
      <c r="M33" s="16"/>
      <c r="N33" s="16"/>
    </row>
    <row r="34" spans="11:14" x14ac:dyDescent="0.35">
      <c r="K34" s="16"/>
      <c r="L34" s="16"/>
      <c r="M34" s="16"/>
      <c r="N34" s="16"/>
    </row>
    <row r="35" spans="11:14" x14ac:dyDescent="0.35">
      <c r="K35" s="16"/>
      <c r="L35" s="16"/>
      <c r="M35" s="16"/>
      <c r="N35" s="16"/>
    </row>
    <row r="36" spans="11:14" x14ac:dyDescent="0.35">
      <c r="K36" s="16"/>
      <c r="L36" s="16"/>
      <c r="M36" s="16"/>
      <c r="N36" s="16"/>
    </row>
    <row r="37" spans="11:14" x14ac:dyDescent="0.35">
      <c r="K37" s="16"/>
      <c r="L37" s="16"/>
      <c r="M37" s="16"/>
      <c r="N37" s="16"/>
    </row>
    <row r="38" spans="11:14" x14ac:dyDescent="0.35">
      <c r="K38" s="16"/>
      <c r="L38" s="16"/>
      <c r="M38" s="16"/>
      <c r="N38" s="16"/>
    </row>
    <row r="39" spans="11:14" x14ac:dyDescent="0.35">
      <c r="K39" s="16"/>
      <c r="L39" s="16"/>
      <c r="M39" s="16"/>
      <c r="N39" s="16"/>
    </row>
    <row r="40" spans="11:14" x14ac:dyDescent="0.35">
      <c r="K40" s="16"/>
      <c r="L40" s="16"/>
      <c r="M40" s="16"/>
      <c r="N40" s="16"/>
    </row>
    <row r="41" spans="11:14" x14ac:dyDescent="0.35">
      <c r="K41" s="16"/>
      <c r="L41" s="16"/>
      <c r="M41" s="16"/>
      <c r="N41" s="16"/>
    </row>
    <row r="42" spans="11:14" x14ac:dyDescent="0.35">
      <c r="K42" s="16"/>
      <c r="L42" s="16"/>
      <c r="M42" s="16"/>
      <c r="N42" s="16"/>
    </row>
    <row r="43" spans="11:14" x14ac:dyDescent="0.35">
      <c r="K43" s="16"/>
      <c r="L43" s="16"/>
      <c r="M43" s="16"/>
      <c r="N43" s="16"/>
    </row>
    <row r="44" spans="11:14" x14ac:dyDescent="0.35">
      <c r="K44" s="16"/>
      <c r="L44" s="16"/>
      <c r="M44" s="16"/>
      <c r="N44" s="16"/>
    </row>
    <row r="45" spans="11:14" x14ac:dyDescent="0.35">
      <c r="K45" s="16"/>
      <c r="L45" s="16"/>
      <c r="M45" s="16"/>
      <c r="N45" s="16"/>
    </row>
    <row r="46" spans="11:14" x14ac:dyDescent="0.35">
      <c r="K46" s="16"/>
      <c r="L46" s="16"/>
      <c r="M46" s="16"/>
      <c r="N46" s="16"/>
    </row>
    <row r="47" spans="11:14" x14ac:dyDescent="0.35">
      <c r="K47" s="16"/>
      <c r="L47" s="16"/>
      <c r="M47" s="16"/>
      <c r="N47" s="16"/>
    </row>
    <row r="48" spans="11:14" ht="30" hidden="1" customHeight="1" x14ac:dyDescent="0.35">
      <c r="K48" t="str">
        <f t="array" ref="K48:K66">IF(ISNUMBER(K7:K25)*(K7:K25&gt;=M7:M25)*(O7:O25&lt;&gt;""),O7:O25&amp;"|"&amp;TEXT(ROUNDUP(K7:K25/IF(ISNUMBER(M7:M25),M7:M25,1),0)*M7:M25,"##0")&amp;"|"&amp;SUBSTITUTE(SUBSTITUTE(SUBSTITUTE(IF(PURCHASE_DESCRIPTION&lt;&gt;"",PURCHASE_DESCRIPTION&amp;":","")&amp;A7:A25,"|",";")," ","_"),"
","_")&amp;CHAR(10),"")</f>
        <v/>
      </c>
    </row>
    <row r="49" spans="11:11" ht="30" hidden="1" customHeight="1" x14ac:dyDescent="0.35">
      <c r="K49" t="str">
        <v/>
      </c>
    </row>
    <row r="50" spans="11:11" ht="30" hidden="1" customHeight="1" x14ac:dyDescent="0.35">
      <c r="K50" t="str">
        <v/>
      </c>
    </row>
    <row r="51" spans="11:11" ht="30" hidden="1" customHeight="1" x14ac:dyDescent="0.35">
      <c r="K51" t="str">
        <v/>
      </c>
    </row>
    <row r="52" spans="11:11" ht="30" hidden="1" customHeight="1" x14ac:dyDescent="0.35">
      <c r="K52" t="str">
        <v/>
      </c>
    </row>
    <row r="53" spans="11:11" ht="30" hidden="1" customHeight="1" x14ac:dyDescent="0.35">
      <c r="K53" t="str">
        <v/>
      </c>
    </row>
    <row r="54" spans="11:11" ht="30" hidden="1" customHeight="1" x14ac:dyDescent="0.35">
      <c r="K54" t="str">
        <v/>
      </c>
    </row>
    <row r="55" spans="11:11" ht="30" hidden="1" customHeight="1" x14ac:dyDescent="0.35">
      <c r="K55" t="str">
        <v/>
      </c>
    </row>
    <row r="56" spans="11:11" ht="30" hidden="1" customHeight="1" x14ac:dyDescent="0.35">
      <c r="K56" t="str">
        <v/>
      </c>
    </row>
    <row r="57" spans="11:11" ht="30" hidden="1" customHeight="1" x14ac:dyDescent="0.35">
      <c r="K57" t="str">
        <v/>
      </c>
    </row>
    <row r="58" spans="11:11" ht="30" hidden="1" customHeight="1" x14ac:dyDescent="0.35">
      <c r="K58" t="str">
        <v/>
      </c>
    </row>
    <row r="59" spans="11:11" ht="30" hidden="1" customHeight="1" x14ac:dyDescent="0.35">
      <c r="K59" t="str">
        <v/>
      </c>
    </row>
    <row r="60" spans="11:11" ht="30" hidden="1" customHeight="1" x14ac:dyDescent="0.35">
      <c r="K60" t="str">
        <v/>
      </c>
    </row>
    <row r="61" spans="11:11" ht="30" hidden="1" customHeight="1" x14ac:dyDescent="0.35">
      <c r="K61" t="str">
        <v/>
      </c>
    </row>
    <row r="62" spans="11:11" ht="30" hidden="1" customHeight="1" x14ac:dyDescent="0.35">
      <c r="K62" t="str">
        <v/>
      </c>
    </row>
    <row r="63" spans="11:11" ht="30" hidden="1" customHeight="1" x14ac:dyDescent="0.35">
      <c r="K63" t="str">
        <v/>
      </c>
    </row>
    <row r="64" spans="11:11" ht="30" hidden="1" customHeight="1" x14ac:dyDescent="0.35">
      <c r="K64" t="str">
        <v/>
      </c>
    </row>
    <row r="65" spans="11:11" ht="30" hidden="1" customHeight="1" x14ac:dyDescent="0.35">
      <c r="K65" t="str">
        <v/>
      </c>
    </row>
    <row r="66" spans="11:11" ht="30" hidden="1" customHeight="1" x14ac:dyDescent="0.35">
      <c r="K66" t="str">
        <v/>
      </c>
    </row>
  </sheetData>
  <mergeCells count="3">
    <mergeCell ref="A5:I5"/>
    <mergeCell ref="J5:O5"/>
    <mergeCell ref="K28:N47"/>
  </mergeCells>
  <conditionalFormatting sqref="G7:G9">
    <cfRule type="cellIs" dxfId="13" priority="36" operator="greaterThan">
      <formula>SUM(IF(ISNUMBER(L7),K7,0))</formula>
    </cfRule>
  </conditionalFormatting>
  <conditionalFormatting sqref="G7:G25">
    <cfRule type="cellIs" dxfId="12" priority="35" operator="greaterThan">
      <formula>SUM(J7)</formula>
    </cfRule>
    <cfRule type="expression" dxfId="11" priority="33">
      <formula>AND(ISBLANK(F7),ISBLANK(N7))</formula>
    </cfRule>
    <cfRule type="expression" dxfId="10" priority="34">
      <formula>IF(SUM(J7)=0,1,0)</formula>
    </cfRule>
  </conditionalFormatting>
  <conditionalFormatting sqref="G10">
    <cfRule type="cellIs" dxfId="9" priority="48" operator="greaterThan">
      <formula>SUM(IF(ISNUMBER(L10),K10,0))</formula>
    </cfRule>
  </conditionalFormatting>
  <conditionalFormatting sqref="G11:G25">
    <cfRule type="cellIs" dxfId="8" priority="52" operator="greaterThan">
      <formula>SUM(IF(ISNUMBER(L11),K11,0))</formula>
    </cfRule>
  </conditionalFormatting>
  <conditionalFormatting sqref="J7:J10">
    <cfRule type="cellIs" dxfId="7" priority="1" operator="lessThan">
      <formula>G7</formula>
    </cfRule>
  </conditionalFormatting>
  <conditionalFormatting sqref="J12">
    <cfRule type="cellIs" dxfId="6" priority="9" operator="lessThan">
      <formula>G12</formula>
    </cfRule>
  </conditionalFormatting>
  <conditionalFormatting sqref="J14:J21">
    <cfRule type="cellIs" dxfId="5" priority="11" operator="lessThan">
      <formula>G14</formula>
    </cfRule>
  </conditionalFormatting>
  <conditionalFormatting sqref="J23:J25">
    <cfRule type="cellIs" dxfId="4" priority="27" operator="lessThan">
      <formula>G23</formula>
    </cfRule>
  </conditionalFormatting>
  <conditionalFormatting sqref="K7:K10">
    <cfRule type="expression" dxfId="3" priority="2">
      <formula>AND(NOT(ISBLANK(K7)),OR(J7="NonStk",K7&gt;J7))</formula>
    </cfRule>
  </conditionalFormatting>
  <conditionalFormatting sqref="K12">
    <cfRule type="expression" dxfId="2" priority="10">
      <formula>AND(NOT(ISBLANK(K12)),OR(J12="NonStk",K12&gt;J12))</formula>
    </cfRule>
  </conditionalFormatting>
  <conditionalFormatting sqref="K14:K21">
    <cfRule type="expression" dxfId="1" priority="12">
      <formula>AND(NOT(ISBLANK(K14)),OR(J14="NonStk",K14&gt;J14))</formula>
    </cfRule>
  </conditionalFormatting>
  <conditionalFormatting sqref="K23:K25">
    <cfRule type="expression" dxfId="0" priority="28">
      <formula>AND(NOT(ISBLANK(K23)),OR(J23="NonStk",K23&gt;J23))</formula>
    </cfRule>
  </conditionalFormatting>
  <hyperlinks>
    <hyperlink ref="O7" r:id="rId1" xr:uid="{00000000-0004-0000-0000-000000000000}"/>
    <hyperlink ref="F8" r:id="rId2" xr:uid="{00000000-0004-0000-0000-000001000000}"/>
    <hyperlink ref="O8" r:id="rId3" xr:uid="{00000000-0004-0000-0000-000002000000}"/>
    <hyperlink ref="O9" r:id="rId4" xr:uid="{00000000-0004-0000-0000-000003000000}"/>
    <hyperlink ref="F10" r:id="rId5" xr:uid="{00000000-0004-0000-0000-000004000000}"/>
    <hyperlink ref="O10" r:id="rId6" xr:uid="{00000000-0004-0000-0000-000005000000}"/>
    <hyperlink ref="O11" r:id="rId7" xr:uid="{00000000-0004-0000-0000-000006000000}"/>
    <hyperlink ref="O12" r:id="rId8" xr:uid="{00000000-0004-0000-0000-000007000000}"/>
    <hyperlink ref="O14" r:id="rId9" xr:uid="{00000000-0004-0000-0000-000008000000}"/>
    <hyperlink ref="O15" r:id="rId10" xr:uid="{00000000-0004-0000-0000-000009000000}"/>
    <hyperlink ref="O16" r:id="rId11" xr:uid="{00000000-0004-0000-0000-00000A000000}"/>
    <hyperlink ref="O17" r:id="rId12" xr:uid="{00000000-0004-0000-0000-00000B000000}"/>
    <hyperlink ref="O18" r:id="rId13" xr:uid="{00000000-0004-0000-0000-00000C000000}"/>
    <hyperlink ref="O19" r:id="rId14" xr:uid="{00000000-0004-0000-0000-00000D000000}"/>
    <hyperlink ref="O20" r:id="rId15" xr:uid="{00000000-0004-0000-0000-00000E000000}"/>
    <hyperlink ref="O21" r:id="rId16" xr:uid="{00000000-0004-0000-0000-00000F000000}"/>
    <hyperlink ref="O23" r:id="rId17" xr:uid="{00000000-0004-0000-0000-000010000000}"/>
    <hyperlink ref="O24" r:id="rId18" xr:uid="{00000000-0004-0000-0000-000011000000}"/>
    <hyperlink ref="O25" r:id="rId19" xr:uid="{00000000-0004-0000-0000-000012000000}"/>
    <hyperlink ref="J27" r:id="rId20" xr:uid="{00000000-0004-0000-0000-000013000000}"/>
  </hyperlinks>
  <pageMargins left="0.7" right="0.7" top="0.75" bottom="0.75" header="0.3" footer="0.3"/>
  <legacy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CAT_MEP</vt:lpstr>
      <vt:lpstr>CAT_MEP!BoardQty</vt:lpstr>
      <vt:lpstr>CAT_MEP!PURCHASE_DESCRIPTION</vt:lpstr>
      <vt:lpstr>CAT_MEP!TotalCost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Scheuber</dc:creator>
  <cp:lastModifiedBy>Dario Scheuber</cp:lastModifiedBy>
  <dcterms:created xsi:type="dcterms:W3CDTF">2024-02-16T13:20:06Z</dcterms:created>
  <dcterms:modified xsi:type="dcterms:W3CDTF">2024-02-16T13:20:40Z</dcterms:modified>
</cp:coreProperties>
</file>