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hotoPrint\"/>
    </mc:Choice>
  </mc:AlternateContent>
  <xr:revisionPtr revIDLastSave="0" documentId="13_ncr:1_{75A8249E-C407-4E5C-AEDE-B72BF007166B}" xr6:coauthVersionLast="47" xr6:coauthVersionMax="47" xr10:uidLastSave="{00000000-0000-0000-0000-000000000000}"/>
  <bookViews>
    <workbookView xWindow="28680" yWindow="-120" windowWidth="29040" windowHeight="15840" activeTab="2" xr2:uid="{796D66BC-BA5F-4B67-B2D6-0B25F1D37C86}"/>
  </bookViews>
  <sheets>
    <sheet name="Calculations" sheetId="1" r:id="rId1"/>
    <sheet name="Sheet1" sheetId="8" r:id="rId2"/>
    <sheet name="Settings" sheetId="2" r:id="rId3"/>
    <sheet name="Чувствительность" sheetId="3" r:id="rId4"/>
    <sheet name="Задачи" sheetId="5" r:id="rId5"/>
    <sheet name="Пример - Отчет по прод. - Мендр" sheetId="7" r:id="rId6"/>
    <sheet name="NPV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D99" i="1"/>
  <c r="E99" i="1"/>
  <c r="F99" i="1"/>
  <c r="C99" i="1"/>
  <c r="D86" i="1"/>
  <c r="D20" i="1" s="1"/>
  <c r="E86" i="1"/>
  <c r="E20" i="1" s="1"/>
  <c r="F86" i="1"/>
  <c r="F20" i="1" s="1"/>
  <c r="C86" i="1"/>
  <c r="C20" i="1" s="1"/>
  <c r="C26" i="2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7" i="1"/>
  <c r="D41" i="1"/>
  <c r="E41" i="1"/>
  <c r="C41" i="1"/>
  <c r="F53" i="1"/>
  <c r="F54" i="1" s="1"/>
  <c r="E54" i="1"/>
  <c r="D54" i="1"/>
  <c r="C54" i="1"/>
  <c r="C33" i="2"/>
  <c r="C35" i="2" s="1"/>
  <c r="V84" i="1" s="1"/>
  <c r="V86" i="1" s="1"/>
  <c r="V73" i="1" s="1"/>
  <c r="B11" i="4"/>
  <c r="H11" i="4"/>
  <c r="G11" i="4"/>
  <c r="F11" i="4"/>
  <c r="E11" i="4"/>
  <c r="D11" i="4"/>
  <c r="C11" i="4"/>
  <c r="D4" i="4"/>
  <c r="C4" i="4"/>
  <c r="B5" i="4"/>
  <c r="E67" i="1"/>
  <c r="D67" i="1"/>
  <c r="C6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D48" i="1"/>
  <c r="C4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7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3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D18" i="1"/>
  <c r="C18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D13" i="1"/>
  <c r="C13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8" i="1"/>
  <c r="E92" i="1" l="1"/>
  <c r="D92" i="1"/>
  <c r="V20" i="1"/>
  <c r="C92" i="1"/>
  <c r="F92" i="1"/>
  <c r="C73" i="1"/>
  <c r="F73" i="1"/>
  <c r="E73" i="1"/>
  <c r="D73" i="1"/>
  <c r="C69" i="1"/>
  <c r="C70" i="1" s="1"/>
  <c r="F69" i="1"/>
  <c r="F70" i="1" s="1"/>
  <c r="E69" i="1"/>
  <c r="E70" i="1" s="1"/>
  <c r="D69" i="1"/>
  <c r="D70" i="1" s="1"/>
  <c r="C28" i="2"/>
  <c r="H84" i="1"/>
  <c r="V31" i="1"/>
  <c r="V41" i="1" s="1"/>
  <c r="G53" i="1"/>
  <c r="E32" i="1"/>
  <c r="C32" i="1"/>
  <c r="V66" i="1"/>
  <c r="V67" i="1" s="1"/>
  <c r="V69" i="1" s="1"/>
  <c r="G84" i="1"/>
  <c r="R84" i="1"/>
  <c r="N84" i="1"/>
  <c r="J84" i="1"/>
  <c r="U84" i="1"/>
  <c r="Q84" i="1"/>
  <c r="M84" i="1"/>
  <c r="I84" i="1"/>
  <c r="T84" i="1"/>
  <c r="P84" i="1"/>
  <c r="L84" i="1"/>
  <c r="S84" i="1"/>
  <c r="O84" i="1"/>
  <c r="K84" i="1"/>
  <c r="C89" i="1"/>
  <c r="E89" i="1"/>
  <c r="D89" i="1"/>
  <c r="V70" i="1" l="1"/>
  <c r="O86" i="1"/>
  <c r="G31" i="1"/>
  <c r="G41" i="1" s="1"/>
  <c r="S86" i="1"/>
  <c r="T86" i="1"/>
  <c r="I86" i="1"/>
  <c r="J86" i="1"/>
  <c r="M86" i="1"/>
  <c r="N86" i="1"/>
  <c r="U86" i="1"/>
  <c r="L86" i="1"/>
  <c r="K86" i="1"/>
  <c r="P86" i="1"/>
  <c r="P31" i="1"/>
  <c r="P41" i="1" s="1"/>
  <c r="Q86" i="1"/>
  <c r="R86" i="1"/>
  <c r="H66" i="1"/>
  <c r="H67" i="1" s="1"/>
  <c r="H86" i="1"/>
  <c r="H31" i="1"/>
  <c r="H41" i="1" s="1"/>
  <c r="H42" i="1" s="1"/>
  <c r="H43" i="1" s="1"/>
  <c r="H53" i="1"/>
  <c r="G54" i="1"/>
  <c r="D32" i="1"/>
  <c r="F89" i="1"/>
  <c r="F31" i="1"/>
  <c r="F41" i="1" s="1"/>
  <c r="O66" i="1"/>
  <c r="O67" i="1" s="1"/>
  <c r="O31" i="1"/>
  <c r="O41" i="1" s="1"/>
  <c r="U66" i="1"/>
  <c r="U67" i="1" s="1"/>
  <c r="S66" i="1"/>
  <c r="S67" i="1" s="1"/>
  <c r="S31" i="1"/>
  <c r="J66" i="1"/>
  <c r="J67" i="1" s="1"/>
  <c r="L66" i="1"/>
  <c r="L67" i="1" s="1"/>
  <c r="L31" i="1"/>
  <c r="L41" i="1" s="1"/>
  <c r="M66" i="1"/>
  <c r="M67" i="1" s="1"/>
  <c r="N66" i="1"/>
  <c r="N67" i="1" s="1"/>
  <c r="T66" i="1"/>
  <c r="T67" i="1" s="1"/>
  <c r="T31" i="1"/>
  <c r="T41" i="1" s="1"/>
  <c r="G66" i="1"/>
  <c r="G67" i="1" s="1"/>
  <c r="I66" i="1"/>
  <c r="I67" i="1" s="1"/>
  <c r="K66" i="1"/>
  <c r="K67" i="1" s="1"/>
  <c r="K31" i="1"/>
  <c r="K41" i="1" s="1"/>
  <c r="P66" i="1"/>
  <c r="P67" i="1" s="1"/>
  <c r="Q66" i="1"/>
  <c r="Q67" i="1" s="1"/>
  <c r="Q31" i="1"/>
  <c r="Q41" i="1" s="1"/>
  <c r="R66" i="1"/>
  <c r="R67" i="1" s="1"/>
  <c r="D42" i="1"/>
  <c r="D43" i="1" s="1"/>
  <c r="D60" i="1"/>
  <c r="D61" i="1" s="1"/>
  <c r="C42" i="1"/>
  <c r="C43" i="1" s="1"/>
  <c r="C60" i="1"/>
  <c r="C61" i="1" s="1"/>
  <c r="E42" i="1"/>
  <c r="E43" i="1" s="1"/>
  <c r="E60" i="1"/>
  <c r="E61" i="1" s="1"/>
  <c r="V32" i="1"/>
  <c r="V42" i="1"/>
  <c r="V43" i="1" s="1"/>
  <c r="V89" i="1"/>
  <c r="L73" i="1" l="1"/>
  <c r="H73" i="1"/>
  <c r="U73" i="1"/>
  <c r="I73" i="1"/>
  <c r="G73" i="1"/>
  <c r="P73" i="1"/>
  <c r="N73" i="1"/>
  <c r="T73" i="1"/>
  <c r="O73" i="1"/>
  <c r="Q73" i="1"/>
  <c r="J73" i="1"/>
  <c r="R73" i="1"/>
  <c r="K73" i="1"/>
  <c r="M73" i="1"/>
  <c r="S73" i="1"/>
  <c r="C75" i="1"/>
  <c r="C78" i="1" s="1"/>
  <c r="D75" i="1"/>
  <c r="D78" i="1" s="1"/>
  <c r="E75" i="1"/>
  <c r="E78" i="1" s="1"/>
  <c r="R20" i="1"/>
  <c r="R69" i="1"/>
  <c r="K20" i="1"/>
  <c r="K69" i="1"/>
  <c r="M20" i="1"/>
  <c r="M69" i="1"/>
  <c r="S20" i="1"/>
  <c r="S69" i="1"/>
  <c r="Q20" i="1"/>
  <c r="Q69" i="1"/>
  <c r="L20" i="1"/>
  <c r="L69" i="1"/>
  <c r="J20" i="1"/>
  <c r="J69" i="1"/>
  <c r="H20" i="1"/>
  <c r="H69" i="1"/>
  <c r="U20" i="1"/>
  <c r="U69" i="1"/>
  <c r="I20" i="1"/>
  <c r="I69" i="1"/>
  <c r="G20" i="1"/>
  <c r="G69" i="1"/>
  <c r="P20" i="1"/>
  <c r="P69" i="1"/>
  <c r="N20" i="1"/>
  <c r="N69" i="1"/>
  <c r="T20" i="1"/>
  <c r="T69" i="1"/>
  <c r="O20" i="1"/>
  <c r="O69" i="1"/>
  <c r="H32" i="1"/>
  <c r="H89" i="1"/>
  <c r="S32" i="1"/>
  <c r="S41" i="1"/>
  <c r="S42" i="1" s="1"/>
  <c r="S43" i="1" s="1"/>
  <c r="O89" i="1"/>
  <c r="I53" i="1"/>
  <c r="H54" i="1"/>
  <c r="G89" i="1"/>
  <c r="F66" i="1"/>
  <c r="F67" i="1" s="1"/>
  <c r="L89" i="1"/>
  <c r="S89" i="1"/>
  <c r="Q89" i="1"/>
  <c r="J31" i="1"/>
  <c r="R31" i="1"/>
  <c r="I31" i="1"/>
  <c r="I41" i="1" s="1"/>
  <c r="M31" i="1"/>
  <c r="U31" i="1"/>
  <c r="N31" i="1"/>
  <c r="N41" i="1" s="1"/>
  <c r="O42" i="1"/>
  <c r="O43" i="1" s="1"/>
  <c r="O32" i="1"/>
  <c r="J89" i="1"/>
  <c r="T89" i="1"/>
  <c r="I32" i="1"/>
  <c r="I89" i="1"/>
  <c r="U89" i="1"/>
  <c r="N89" i="1"/>
  <c r="Q32" i="1"/>
  <c r="R89" i="1"/>
  <c r="M89" i="1"/>
  <c r="P89" i="1"/>
  <c r="K89" i="1"/>
  <c r="L32" i="1"/>
  <c r="T32" i="1"/>
  <c r="G32" i="1"/>
  <c r="F32" i="1"/>
  <c r="P32" i="1"/>
  <c r="T70" i="1" l="1"/>
  <c r="P70" i="1"/>
  <c r="I70" i="1"/>
  <c r="H70" i="1"/>
  <c r="L70" i="1"/>
  <c r="S70" i="1"/>
  <c r="K70" i="1"/>
  <c r="O70" i="1"/>
  <c r="N70" i="1"/>
  <c r="G70" i="1"/>
  <c r="U70" i="1"/>
  <c r="J70" i="1"/>
  <c r="Q70" i="1"/>
  <c r="M70" i="1"/>
  <c r="R70" i="1"/>
  <c r="U32" i="1"/>
  <c r="U41" i="1"/>
  <c r="U42" i="1" s="1"/>
  <c r="U43" i="1" s="1"/>
  <c r="J32" i="1"/>
  <c r="J41" i="1"/>
  <c r="J42" i="1" s="1"/>
  <c r="J43" i="1" s="1"/>
  <c r="M32" i="1"/>
  <c r="M41" i="1"/>
  <c r="N60" i="1" s="1"/>
  <c r="N61" i="1" s="1"/>
  <c r="R41" i="1"/>
  <c r="R42" i="1" s="1"/>
  <c r="R43" i="1" s="1"/>
  <c r="J53" i="1"/>
  <c r="I54" i="1"/>
  <c r="I42" i="1"/>
  <c r="I43" i="1" s="1"/>
  <c r="I60" i="1"/>
  <c r="I61" i="1" s="1"/>
  <c r="N32" i="1"/>
  <c r="R32" i="1"/>
  <c r="O60" i="1"/>
  <c r="O61" i="1" s="1"/>
  <c r="N42" i="1"/>
  <c r="N43" i="1" s="1"/>
  <c r="Q60" i="1"/>
  <c r="Q61" i="1" s="1"/>
  <c r="E81" i="1"/>
  <c r="E38" i="1" s="1"/>
  <c r="D81" i="1"/>
  <c r="D38" i="1" s="1"/>
  <c r="C81" i="1"/>
  <c r="C38" i="1" s="1"/>
  <c r="K32" i="1"/>
  <c r="L60" i="1"/>
  <c r="L61" i="1" s="1"/>
  <c r="L42" i="1"/>
  <c r="L43" i="1" s="1"/>
  <c r="T42" i="1"/>
  <c r="T43" i="1" s="1"/>
  <c r="T60" i="1"/>
  <c r="T61" i="1" s="1"/>
  <c r="P42" i="1"/>
  <c r="P43" i="1" s="1"/>
  <c r="P60" i="1"/>
  <c r="P61" i="1" s="1"/>
  <c r="G42" i="1"/>
  <c r="G43" i="1" s="1"/>
  <c r="H60" i="1"/>
  <c r="H61" i="1" s="1"/>
  <c r="H75" i="1" s="1"/>
  <c r="F42" i="1"/>
  <c r="F43" i="1" s="1"/>
  <c r="G60" i="1"/>
  <c r="G61" i="1" s="1"/>
  <c r="F60" i="1"/>
  <c r="F61" i="1" s="1"/>
  <c r="G75" i="1" l="1"/>
  <c r="G78" i="1" s="1"/>
  <c r="F75" i="1"/>
  <c r="F78" i="1" s="1"/>
  <c r="I75" i="1"/>
  <c r="I78" i="1" s="1"/>
  <c r="I81" i="1" s="1"/>
  <c r="I38" i="1" s="1"/>
  <c r="M60" i="1"/>
  <c r="M61" i="1" s="1"/>
  <c r="S60" i="1"/>
  <c r="S61" i="1" s="1"/>
  <c r="M42" i="1"/>
  <c r="M43" i="1" s="1"/>
  <c r="V60" i="1"/>
  <c r="V61" i="1" s="1"/>
  <c r="U60" i="1"/>
  <c r="U61" i="1" s="1"/>
  <c r="J60" i="1"/>
  <c r="J61" i="1" s="1"/>
  <c r="K53" i="1"/>
  <c r="J54" i="1"/>
  <c r="D79" i="1"/>
  <c r="D55" i="1"/>
  <c r="E79" i="1"/>
  <c r="E55" i="1"/>
  <c r="H78" i="1"/>
  <c r="H81" i="1" s="1"/>
  <c r="H38" i="1" s="1"/>
  <c r="C79" i="1"/>
  <c r="C55" i="1"/>
  <c r="Q42" i="1"/>
  <c r="Q43" i="1" s="1"/>
  <c r="R60" i="1"/>
  <c r="R61" i="1" s="1"/>
  <c r="C91" i="1"/>
  <c r="C19" i="1"/>
  <c r="C44" i="1"/>
  <c r="C24" i="1"/>
  <c r="C49" i="1"/>
  <c r="C9" i="1"/>
  <c r="C28" i="1"/>
  <c r="C62" i="1"/>
  <c r="C14" i="1"/>
  <c r="C33" i="1"/>
  <c r="C68" i="1"/>
  <c r="D91" i="1"/>
  <c r="D33" i="1"/>
  <c r="D14" i="1"/>
  <c r="D44" i="1"/>
  <c r="D19" i="1"/>
  <c r="D49" i="1"/>
  <c r="D24" i="1"/>
  <c r="D62" i="1"/>
  <c r="D28" i="1"/>
  <c r="D9" i="1"/>
  <c r="D68" i="1"/>
  <c r="E91" i="1"/>
  <c r="E62" i="1"/>
  <c r="E28" i="1"/>
  <c r="E9" i="1"/>
  <c r="E33" i="1"/>
  <c r="E14" i="1"/>
  <c r="E44" i="1"/>
  <c r="E19" i="1"/>
  <c r="E49" i="1"/>
  <c r="E24" i="1"/>
  <c r="E68" i="1"/>
  <c r="K60" i="1"/>
  <c r="K61" i="1" s="1"/>
  <c r="K42" i="1"/>
  <c r="K43" i="1" s="1"/>
  <c r="E96" i="1" l="1"/>
  <c r="E98" i="1" s="1"/>
  <c r="J75" i="1"/>
  <c r="J78" i="1" s="1"/>
  <c r="J81" i="1" s="1"/>
  <c r="J38" i="1" s="1"/>
  <c r="C96" i="1"/>
  <c r="C98" i="1" s="1"/>
  <c r="D96" i="1"/>
  <c r="D98" i="1" s="1"/>
  <c r="L53" i="1"/>
  <c r="K54" i="1"/>
  <c r="H79" i="1"/>
  <c r="H55" i="1"/>
  <c r="I79" i="1"/>
  <c r="I55" i="1"/>
  <c r="F81" i="1"/>
  <c r="F38" i="1" s="1"/>
  <c r="H91" i="1"/>
  <c r="H92" i="1" s="1"/>
  <c r="H33" i="1"/>
  <c r="H14" i="1"/>
  <c r="H44" i="1"/>
  <c r="H19" i="1"/>
  <c r="H49" i="1"/>
  <c r="H24" i="1"/>
  <c r="H62" i="1"/>
  <c r="H28" i="1"/>
  <c r="H9" i="1"/>
  <c r="H68" i="1"/>
  <c r="C93" i="1"/>
  <c r="C94" i="1" s="1"/>
  <c r="E93" i="1"/>
  <c r="E94" i="1" s="1"/>
  <c r="D93" i="1"/>
  <c r="D94" i="1" s="1"/>
  <c r="G81" i="1"/>
  <c r="I91" i="1"/>
  <c r="I92" i="1" s="1"/>
  <c r="I62" i="1"/>
  <c r="I28" i="1"/>
  <c r="I9" i="1"/>
  <c r="I33" i="1"/>
  <c r="I14" i="1"/>
  <c r="I44" i="1"/>
  <c r="I19" i="1"/>
  <c r="I49" i="1"/>
  <c r="I24" i="1"/>
  <c r="I68" i="1"/>
  <c r="D100" i="1" l="1"/>
  <c r="D101" i="1" s="1"/>
  <c r="E100" i="1"/>
  <c r="E101" i="1" s="1"/>
  <c r="C100" i="1"/>
  <c r="C101" i="1" s="1"/>
  <c r="H96" i="1"/>
  <c r="H98" i="1" s="1"/>
  <c r="H99" i="1" s="1"/>
  <c r="I96" i="1"/>
  <c r="I98" i="1" s="1"/>
  <c r="I99" i="1" s="1"/>
  <c r="K75" i="1"/>
  <c r="K78" i="1" s="1"/>
  <c r="K81" i="1" s="1"/>
  <c r="K38" i="1" s="1"/>
  <c r="J28" i="1"/>
  <c r="J91" i="1"/>
  <c r="J92" i="1" s="1"/>
  <c r="J19" i="1"/>
  <c r="J14" i="1"/>
  <c r="J9" i="1"/>
  <c r="J55" i="1"/>
  <c r="J44" i="1"/>
  <c r="J62" i="1"/>
  <c r="J49" i="1"/>
  <c r="J68" i="1"/>
  <c r="J33" i="1"/>
  <c r="J24" i="1"/>
  <c r="J79" i="1"/>
  <c r="G55" i="1"/>
  <c r="G38" i="1"/>
  <c r="M53" i="1"/>
  <c r="L54" i="1"/>
  <c r="L75" i="1" s="1"/>
  <c r="F79" i="1"/>
  <c r="F55" i="1"/>
  <c r="G91" i="1"/>
  <c r="G92" i="1" s="1"/>
  <c r="G44" i="1"/>
  <c r="G19" i="1"/>
  <c r="G49" i="1"/>
  <c r="G24" i="1"/>
  <c r="G62" i="1"/>
  <c r="G28" i="1"/>
  <c r="G9" i="1"/>
  <c r="G33" i="1"/>
  <c r="G14" i="1"/>
  <c r="G68" i="1"/>
  <c r="G79" i="1"/>
  <c r="F91" i="1"/>
  <c r="F49" i="1"/>
  <c r="F24" i="1"/>
  <c r="F62" i="1"/>
  <c r="F28" i="1"/>
  <c r="F9" i="1"/>
  <c r="F33" i="1"/>
  <c r="F14" i="1"/>
  <c r="F44" i="1"/>
  <c r="F19" i="1"/>
  <c r="F68" i="1"/>
  <c r="J96" i="1" l="1"/>
  <c r="J98" i="1" s="1"/>
  <c r="J99" i="1" s="1"/>
  <c r="F96" i="1"/>
  <c r="F98" i="1" s="1"/>
  <c r="G96" i="1"/>
  <c r="G98" i="1" s="1"/>
  <c r="G99" i="1" s="1"/>
  <c r="L78" i="1"/>
  <c r="L81" i="1" s="1"/>
  <c r="N53" i="1"/>
  <c r="M54" i="1"/>
  <c r="K79" i="1"/>
  <c r="K55" i="1"/>
  <c r="F93" i="1"/>
  <c r="F94" i="1" s="1"/>
  <c r="H93" i="1"/>
  <c r="H94" i="1" s="1"/>
  <c r="G93" i="1"/>
  <c r="G94" i="1" s="1"/>
  <c r="I93" i="1"/>
  <c r="I94" i="1" s="1"/>
  <c r="J93" i="1"/>
  <c r="J94" i="1" s="1"/>
  <c r="K91" i="1"/>
  <c r="K92" i="1" s="1"/>
  <c r="K44" i="1"/>
  <c r="K19" i="1"/>
  <c r="K49" i="1"/>
  <c r="K24" i="1"/>
  <c r="K62" i="1"/>
  <c r="K28" i="1"/>
  <c r="K9" i="1"/>
  <c r="K33" i="1"/>
  <c r="K14" i="1"/>
  <c r="K68" i="1"/>
  <c r="H100" i="1" l="1"/>
  <c r="H101" i="1" s="1"/>
  <c r="I100" i="1"/>
  <c r="I101" i="1" s="1"/>
  <c r="J100" i="1"/>
  <c r="J101" i="1" s="1"/>
  <c r="F100" i="1"/>
  <c r="F101" i="1" s="1"/>
  <c r="G100" i="1"/>
  <c r="G101" i="1" s="1"/>
  <c r="K96" i="1"/>
  <c r="K98" i="1" s="1"/>
  <c r="K99" i="1" s="1"/>
  <c r="M75" i="1"/>
  <c r="M78" i="1" s="1"/>
  <c r="M81" i="1" s="1"/>
  <c r="M38" i="1" s="1"/>
  <c r="L55" i="1"/>
  <c r="L38" i="1"/>
  <c r="O53" i="1"/>
  <c r="N54" i="1"/>
  <c r="N75" i="1" s="1"/>
  <c r="L33" i="1"/>
  <c r="L49" i="1"/>
  <c r="L9" i="1"/>
  <c r="L24" i="1"/>
  <c r="L68" i="1"/>
  <c r="L44" i="1"/>
  <c r="L19" i="1"/>
  <c r="L28" i="1"/>
  <c r="L14" i="1"/>
  <c r="L62" i="1"/>
  <c r="L91" i="1"/>
  <c r="L92" i="1" s="1"/>
  <c r="L79" i="1"/>
  <c r="K93" i="1"/>
  <c r="K94" i="1" s="1"/>
  <c r="K100" i="1" l="1"/>
  <c r="K101" i="1" s="1"/>
  <c r="L93" i="1"/>
  <c r="L94" i="1" s="1"/>
  <c r="L96" i="1"/>
  <c r="L98" i="1" s="1"/>
  <c r="M79" i="1"/>
  <c r="M55" i="1"/>
  <c r="M14" i="1"/>
  <c r="M68" i="1"/>
  <c r="M28" i="1"/>
  <c r="M62" i="1"/>
  <c r="M44" i="1"/>
  <c r="M9" i="1"/>
  <c r="M19" i="1"/>
  <c r="M24" i="1"/>
  <c r="M91" i="1"/>
  <c r="M92" i="1" s="1"/>
  <c r="M33" i="1"/>
  <c r="M49" i="1"/>
  <c r="P53" i="1"/>
  <c r="O54" i="1"/>
  <c r="L100" i="1" l="1"/>
  <c r="L101" i="1" s="1"/>
  <c r="L99" i="1"/>
  <c r="M93" i="1"/>
  <c r="M94" i="1" s="1"/>
  <c r="M96" i="1"/>
  <c r="M98" i="1" s="1"/>
  <c r="M99" i="1" s="1"/>
  <c r="O75" i="1"/>
  <c r="O78" i="1" s="1"/>
  <c r="O81" i="1" s="1"/>
  <c r="Q53" i="1"/>
  <c r="P54" i="1"/>
  <c r="N78" i="1"/>
  <c r="N81" i="1" s="1"/>
  <c r="N38" i="1" s="1"/>
  <c r="M100" i="1" l="1"/>
  <c r="M101" i="1" s="1"/>
  <c r="P75" i="1"/>
  <c r="P78" i="1" s="1"/>
  <c r="O79" i="1"/>
  <c r="O38" i="1"/>
  <c r="N79" i="1"/>
  <c r="N62" i="1"/>
  <c r="N14" i="1"/>
  <c r="N19" i="1"/>
  <c r="N33" i="1"/>
  <c r="N91" i="1"/>
  <c r="N92" i="1" s="1"/>
  <c r="N24" i="1"/>
  <c r="N44" i="1"/>
  <c r="N68" i="1"/>
  <c r="N28" i="1"/>
  <c r="N49" i="1"/>
  <c r="N9" i="1"/>
  <c r="N55" i="1"/>
  <c r="R53" i="1"/>
  <c r="Q54" i="1"/>
  <c r="O91" i="1"/>
  <c r="O92" i="1" s="1"/>
  <c r="O24" i="1"/>
  <c r="O33" i="1"/>
  <c r="O19" i="1"/>
  <c r="O68" i="1"/>
  <c r="O9" i="1"/>
  <c r="O44" i="1"/>
  <c r="O62" i="1"/>
  <c r="O14" i="1"/>
  <c r="O28" i="1"/>
  <c r="O49" i="1"/>
  <c r="O55" i="1"/>
  <c r="O96" i="1" l="1"/>
  <c r="O98" i="1" s="1"/>
  <c r="O99" i="1" s="1"/>
  <c r="N93" i="1"/>
  <c r="N94" i="1" s="1"/>
  <c r="N96" i="1"/>
  <c r="N98" i="1" s="1"/>
  <c r="N99" i="1" s="1"/>
  <c r="Q75" i="1"/>
  <c r="Q78" i="1" s="1"/>
  <c r="Q81" i="1" s="1"/>
  <c r="Q44" i="1" s="1"/>
  <c r="P81" i="1"/>
  <c r="P33" i="1" s="1"/>
  <c r="S53" i="1"/>
  <c r="R54" i="1"/>
  <c r="O93" i="1"/>
  <c r="P24" i="1" l="1"/>
  <c r="P55" i="1"/>
  <c r="N100" i="1"/>
  <c r="N101" i="1" s="1"/>
  <c r="O100" i="1"/>
  <c r="O101" i="1" s="1"/>
  <c r="P44" i="1"/>
  <c r="P68" i="1"/>
  <c r="P14" i="1"/>
  <c r="P62" i="1"/>
  <c r="P49" i="1"/>
  <c r="R75" i="1"/>
  <c r="R78" i="1" s="1"/>
  <c r="P91" i="1"/>
  <c r="P92" i="1" s="1"/>
  <c r="P19" i="1"/>
  <c r="P28" i="1"/>
  <c r="P9" i="1"/>
  <c r="P38" i="1"/>
  <c r="P79" i="1"/>
  <c r="Q79" i="1"/>
  <c r="Q38" i="1"/>
  <c r="Q62" i="1"/>
  <c r="Q14" i="1"/>
  <c r="Q33" i="1"/>
  <c r="Q24" i="1"/>
  <c r="Q68" i="1"/>
  <c r="Q28" i="1"/>
  <c r="Q49" i="1"/>
  <c r="Q91" i="1"/>
  <c r="Q92" i="1" s="1"/>
  <c r="Q55" i="1"/>
  <c r="Q19" i="1"/>
  <c r="Q9" i="1"/>
  <c r="T53" i="1"/>
  <c r="S54" i="1"/>
  <c r="O94" i="1"/>
  <c r="Q96" i="1" l="1"/>
  <c r="Q98" i="1" s="1"/>
  <c r="Q99" i="1" s="1"/>
  <c r="P93" i="1"/>
  <c r="P94" i="1" s="1"/>
  <c r="P96" i="1"/>
  <c r="P98" i="1" s="1"/>
  <c r="P99" i="1" s="1"/>
  <c r="Q93" i="1"/>
  <c r="Q94" i="1" s="1"/>
  <c r="R81" i="1"/>
  <c r="R38" i="1" s="1"/>
  <c r="S75" i="1"/>
  <c r="S78" i="1" s="1"/>
  <c r="S81" i="1" s="1"/>
  <c r="S33" i="1" s="1"/>
  <c r="U53" i="1"/>
  <c r="T54" i="1"/>
  <c r="R49" i="1" l="1"/>
  <c r="R9" i="1"/>
  <c r="R55" i="1"/>
  <c r="R68" i="1"/>
  <c r="P100" i="1"/>
  <c r="P101" i="1" s="1"/>
  <c r="R44" i="1"/>
  <c r="Q100" i="1"/>
  <c r="Q101" i="1" s="1"/>
  <c r="R28" i="1"/>
  <c r="R33" i="1"/>
  <c r="R19" i="1"/>
  <c r="R14" i="1"/>
  <c r="R79" i="1"/>
  <c r="R24" i="1"/>
  <c r="R62" i="1"/>
  <c r="R91" i="1"/>
  <c r="R92" i="1" s="1"/>
  <c r="T75" i="1"/>
  <c r="T78" i="1" s="1"/>
  <c r="S44" i="1"/>
  <c r="S49" i="1"/>
  <c r="S68" i="1"/>
  <c r="S91" i="1"/>
  <c r="S92" i="1" s="1"/>
  <c r="S55" i="1"/>
  <c r="S14" i="1"/>
  <c r="S28" i="1"/>
  <c r="S24" i="1"/>
  <c r="S79" i="1"/>
  <c r="S38" i="1"/>
  <c r="S9" i="1"/>
  <c r="S19" i="1"/>
  <c r="S62" i="1"/>
  <c r="V53" i="1"/>
  <c r="V54" i="1" s="1"/>
  <c r="U54" i="1"/>
  <c r="R93" i="1" l="1"/>
  <c r="R94" i="1" s="1"/>
  <c r="R96" i="1"/>
  <c r="R98" i="1" s="1"/>
  <c r="S96" i="1"/>
  <c r="S98" i="1" s="1"/>
  <c r="S99" i="1" s="1"/>
  <c r="S93" i="1"/>
  <c r="S94" i="1" s="1"/>
  <c r="T81" i="1"/>
  <c r="T79" i="1" s="1"/>
  <c r="U75" i="1"/>
  <c r="U78" i="1" s="1"/>
  <c r="V75" i="1"/>
  <c r="V78" i="1" s="1"/>
  <c r="V81" i="1" s="1"/>
  <c r="V28" i="1" s="1"/>
  <c r="R100" i="1" l="1"/>
  <c r="R101" i="1" s="1"/>
  <c r="R99" i="1"/>
  <c r="S100" i="1"/>
  <c r="S101" i="1" s="1"/>
  <c r="U81" i="1"/>
  <c r="U79" i="1" s="1"/>
  <c r="T38" i="1"/>
  <c r="T28" i="1"/>
  <c r="T44" i="1"/>
  <c r="T62" i="1"/>
  <c r="T49" i="1"/>
  <c r="T55" i="1"/>
  <c r="T91" i="1"/>
  <c r="T92" i="1" s="1"/>
  <c r="T14" i="1"/>
  <c r="T9" i="1"/>
  <c r="T68" i="1"/>
  <c r="T33" i="1"/>
  <c r="T19" i="1"/>
  <c r="T24" i="1"/>
  <c r="V19" i="1"/>
  <c r="V62" i="1"/>
  <c r="V91" i="1"/>
  <c r="V92" i="1" s="1"/>
  <c r="V33" i="1"/>
  <c r="V55" i="1"/>
  <c r="V14" i="1"/>
  <c r="V9" i="1"/>
  <c r="V44" i="1"/>
  <c r="V68" i="1"/>
  <c r="V49" i="1"/>
  <c r="V24" i="1"/>
  <c r="V79" i="1"/>
  <c r="V38" i="1"/>
  <c r="T93" i="1" l="1"/>
  <c r="T94" i="1" s="1"/>
  <c r="T96" i="1"/>
  <c r="T98" i="1" s="1"/>
  <c r="V96" i="1"/>
  <c r="V98" i="1" s="1"/>
  <c r="V99" i="1" s="1"/>
  <c r="U38" i="1"/>
  <c r="U9" i="1"/>
  <c r="U44" i="1"/>
  <c r="U14" i="1"/>
  <c r="U62" i="1"/>
  <c r="U33" i="1"/>
  <c r="U68" i="1"/>
  <c r="U24" i="1"/>
  <c r="U49" i="1"/>
  <c r="U55" i="1"/>
  <c r="U19" i="1"/>
  <c r="U91" i="1"/>
  <c r="U92" i="1" s="1"/>
  <c r="U28" i="1"/>
  <c r="T100" i="1" l="1"/>
  <c r="T101" i="1" s="1"/>
  <c r="T99" i="1"/>
  <c r="U96" i="1"/>
  <c r="U98" i="1" s="1"/>
  <c r="U93" i="1"/>
  <c r="V93" i="1"/>
  <c r="V94" i="1" s="1"/>
  <c r="U100" i="1" l="1"/>
  <c r="U101" i="1" s="1"/>
  <c r="U99" i="1"/>
  <c r="V100" i="1"/>
  <c r="U94" i="1"/>
  <c r="C104" i="1" l="1"/>
  <c r="V101" i="1"/>
  <c r="C106" i="1" l="1"/>
  <c r="C107" i="1" s="1"/>
  <c r="C105" i="1"/>
</calcChain>
</file>

<file path=xl/sharedStrings.xml><?xml version="1.0" encoding="utf-8"?>
<sst xmlns="http://schemas.openxmlformats.org/spreadsheetml/2006/main" count="178" uniqueCount="107">
  <si>
    <t>Расходы</t>
  </si>
  <si>
    <t>Всего</t>
  </si>
  <si>
    <t>Доходы</t>
  </si>
  <si>
    <t>Программист</t>
  </si>
  <si>
    <t>чел</t>
  </si>
  <si>
    <t>$</t>
  </si>
  <si>
    <t>Параметры</t>
  </si>
  <si>
    <t>Программст (зп)</t>
  </si>
  <si>
    <t>Дизайнер (зп)</t>
  </si>
  <si>
    <t>Маркетолог (зп)</t>
  </si>
  <si>
    <t>Бухгалтер</t>
  </si>
  <si>
    <t>Бухгалтер (зп)</t>
  </si>
  <si>
    <t>Юрист (зп)</t>
  </si>
  <si>
    <t>Менеджер по продажам</t>
  </si>
  <si>
    <t>Офис  - аренда (м2)</t>
  </si>
  <si>
    <t>Резерв</t>
  </si>
  <si>
    <t>Хостинг</t>
  </si>
  <si>
    <t>Хостинг (мес)</t>
  </si>
  <si>
    <t>ПК (цена за 1шт)</t>
  </si>
  <si>
    <t>Дизайнер</t>
  </si>
  <si>
    <t>Маркетолог</t>
  </si>
  <si>
    <t>Юрист</t>
  </si>
  <si>
    <t>Менеджер по пр.</t>
  </si>
  <si>
    <t>Зарплата</t>
  </si>
  <si>
    <t>Офис</t>
  </si>
  <si>
    <t>м2</t>
  </si>
  <si>
    <t>ед</t>
  </si>
  <si>
    <t>Оборудование</t>
  </si>
  <si>
    <t>ПК</t>
  </si>
  <si>
    <t>шт</t>
  </si>
  <si>
    <t>Прочее</t>
  </si>
  <si>
    <t>Сумма</t>
  </si>
  <si>
    <t>Реклама</t>
  </si>
  <si>
    <t>Фото - доход с м2 ($)</t>
  </si>
  <si>
    <t>Налоги (%)</t>
  </si>
  <si>
    <t>Целевая аудитория (чел)</t>
  </si>
  <si>
    <t>Куммул. Прибыль</t>
  </si>
  <si>
    <t>Показатели</t>
  </si>
  <si>
    <t>Инвестиции ($)</t>
  </si>
  <si>
    <t>Офис - м2 / чел</t>
  </si>
  <si>
    <t>Реклама ($/m2)</t>
  </si>
  <si>
    <t>Окупаемость (кв)</t>
  </si>
  <si>
    <t>%</t>
  </si>
  <si>
    <t>Всего население</t>
  </si>
  <si>
    <t>Целевая аудитория (%)</t>
  </si>
  <si>
    <t>Параметр</t>
  </si>
  <si>
    <t>Доход с м2</t>
  </si>
  <si>
    <t>t</t>
  </si>
  <si>
    <t>NPV</t>
  </si>
  <si>
    <t>Ставка дисконта</t>
  </si>
  <si>
    <t>Продажи (m2/чел)</t>
  </si>
  <si>
    <t>Фотографии</t>
  </si>
  <si>
    <t>Менеджер по зак.</t>
  </si>
  <si>
    <t>Задачи</t>
  </si>
  <si>
    <t>Кварталы</t>
  </si>
  <si>
    <t>Финанльное и приемочное тестирование
Подготовка сайта и приложений к публикации
Размещение сайта v.1.0 на хостинге
Размещение приложений в GooglePlay &amp; AppStore</t>
  </si>
  <si>
    <t>Разработка</t>
  </si>
  <si>
    <t>Разработка и тестирование
Размещение бете-версий</t>
  </si>
  <si>
    <t>Разработка и тестирование</t>
  </si>
  <si>
    <t>Разработка архитектуры приложения
Разработка UI/UX
Начало разработки</t>
  </si>
  <si>
    <t>Маркетинг</t>
  </si>
  <si>
    <t xml:space="preserve">Подготовка рекламных материалов
Закупка контекстой рекламы
Размещение материалов </t>
  </si>
  <si>
    <t>Разработка рекламной стратегии</t>
  </si>
  <si>
    <t>?</t>
  </si>
  <si>
    <t>Юрист + Бухгалтер</t>
  </si>
  <si>
    <t>Аутсорс, поддержка операционной деятельности компанни</t>
  </si>
  <si>
    <t>Найм,  обучение работе с приложением, знакомство с процессами</t>
  </si>
  <si>
    <t>Менеджер по закупкам</t>
  </si>
  <si>
    <t>Типография</t>
  </si>
  <si>
    <t>Выбор типографий</t>
  </si>
  <si>
    <t>Финанльное и приемочное тестирование, интеграция с типографиями (адрес, контактное лицо, технические детали)
Печать
Проверка качества
Отрбаотка процесса с менеджером по пр.</t>
  </si>
  <si>
    <t>Продано квартир+домов (2019)</t>
  </si>
  <si>
    <t>Покупка - м2. на 1 объект</t>
  </si>
  <si>
    <t>Комментарии</t>
  </si>
  <si>
    <t>Значение выбрано из расчета: 1 объек =  3шт x 0.5м2 каждый (2х-км. кв + кухня)</t>
  </si>
  <si>
    <t>Общий макс. Объем</t>
  </si>
  <si>
    <t>Целевой объем рынка</t>
  </si>
  <si>
    <t>Продажа на 1 чел в кв. (м2)</t>
  </si>
  <si>
    <t>Продажи (м2)</t>
  </si>
  <si>
    <t>Продажи ($)</t>
  </si>
  <si>
    <t>Целевой объем продаж (м2)</t>
  </si>
  <si>
    <t>По рынку недвижимости</t>
  </si>
  <si>
    <t>По населению</t>
  </si>
  <si>
    <t>Статистика за 2019 по Украине - 
2019 - https://domik.ua/novosti/skolko-kvartir-i-zhilyx-domov-prodali-v-2019-godu-v-ukraine-n259463.html
2020 - https://www.epravda.com.ua/rus/news/2021/02/9/670832/</t>
  </si>
  <si>
    <t>Васичкин</t>
  </si>
  <si>
    <t>Хуясичкин</t>
  </si>
  <si>
    <t>Крава</t>
  </si>
  <si>
    <t>Доза</t>
  </si>
  <si>
    <t>Продажи - USD</t>
  </si>
  <si>
    <t>% затрат</t>
  </si>
  <si>
    <t>% оборота</t>
  </si>
  <si>
    <t>% + маркетолог</t>
  </si>
  <si>
    <t>Платежный сервис</t>
  </si>
  <si>
    <t>Налоги ($)</t>
  </si>
  <si>
    <t>EBITDA ($)</t>
  </si>
  <si>
    <t>Доходность (%/год)</t>
  </si>
  <si>
    <t>100*(1+0.3)</t>
  </si>
  <si>
    <t>100*(1+0.3)*(1+0.3)</t>
  </si>
  <si>
    <t>100*(1+X)*(1+X)*(1+X)</t>
  </si>
  <si>
    <t>(1+X) = 1.2986</t>
  </si>
  <si>
    <t>X = 1.2986 - 1 = 0.2986</t>
  </si>
  <si>
    <t>(1+X)*(1+X)*(1+X) = 2.19</t>
  </si>
  <si>
    <t>Чистая прибыль       ($)</t>
  </si>
  <si>
    <t>% от оборот</t>
  </si>
  <si>
    <t>Закупка - цена 1 фото на фотостоке ($)</t>
  </si>
  <si>
    <t>Покупка фото в кв (для добавления на сервис)</t>
  </si>
  <si>
    <t>Продажи в квартал (м2 / 1 менеджера)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</si>
</sst>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10" fontId="0" fillId="0" borderId="0" xfId="0" applyNumberFormat="1"/>
    <xf numFmtId="164" fontId="0" fillId="0" borderId="0" xfId="0" applyNumberFormat="1"/>
    <xf numFmtId="4" fontId="5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3" borderId="0" xfId="0" applyFont="1" applyFill="1"/>
    <xf numFmtId="4" fontId="0" fillId="0" borderId="0" xfId="0" applyNumberFormat="1" applyAlignment="1">
      <alignment vertical="top"/>
    </xf>
    <xf numFmtId="17" fontId="0" fillId="0" borderId="0" xfId="0" applyNumberFormat="1"/>
    <xf numFmtId="0" fontId="0" fillId="0" borderId="0" xfId="0" applyAlignment="1">
      <alignment horizontal="center"/>
    </xf>
    <xf numFmtId="4" fontId="6" fillId="0" borderId="0" xfId="0" applyNumberFormat="1" applyFont="1"/>
    <xf numFmtId="0" fontId="4" fillId="0" borderId="0" xfId="0" applyFont="1" applyAlignment="1">
      <alignment horizontal="right"/>
    </xf>
    <xf numFmtId="10" fontId="4" fillId="0" borderId="0" xfId="0" applyNumberFormat="1" applyFont="1"/>
  </cellXfs>
  <cellStyles count="1">
    <cellStyle name="Normal" xfId="0" builtinId="0"/>
  </cellStyles>
  <dxfs count="1"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Куммул. прибыль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Calculations!$C$93:$V$93</c:f>
              <c:numCache>
                <c:formatCode>#,##0.00</c:formatCode>
                <c:ptCount val="20"/>
                <c:pt idx="0">
                  <c:v>-54120</c:v>
                </c:pt>
                <c:pt idx="1">
                  <c:v>-88440</c:v>
                </c:pt>
                <c:pt idx="2">
                  <c:v>-128480</c:v>
                </c:pt>
                <c:pt idx="3">
                  <c:v>-219982.4</c:v>
                </c:pt>
                <c:pt idx="4">
                  <c:v>-282716.92</c:v>
                </c:pt>
                <c:pt idx="5">
                  <c:v>-311155.19999999995</c:v>
                </c:pt>
                <c:pt idx="6">
                  <c:v>-311907.99999999994</c:v>
                </c:pt>
                <c:pt idx="7">
                  <c:v>-284964.55999999994</c:v>
                </c:pt>
                <c:pt idx="8">
                  <c:v>-259815.63999999993</c:v>
                </c:pt>
                <c:pt idx="9">
                  <c:v>-198170.47999999992</c:v>
                </c:pt>
                <c:pt idx="10">
                  <c:v>-108839.83999999991</c:v>
                </c:pt>
                <c:pt idx="11">
                  <c:v>8187.0400000000955</c:v>
                </c:pt>
                <c:pt idx="12">
                  <c:v>123419.40000000008</c:v>
                </c:pt>
                <c:pt idx="13">
                  <c:v>275148.00000000006</c:v>
                </c:pt>
                <c:pt idx="14">
                  <c:v>454562.08</c:v>
                </c:pt>
                <c:pt idx="15">
                  <c:v>661672.4</c:v>
                </c:pt>
                <c:pt idx="16">
                  <c:v>866988.2</c:v>
                </c:pt>
                <c:pt idx="17">
                  <c:v>1108800.24</c:v>
                </c:pt>
                <c:pt idx="18">
                  <c:v>1378297.76</c:v>
                </c:pt>
                <c:pt idx="19">
                  <c:v>1703187.76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E-4F2C-B675-AC2866C2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60704"/>
        <c:axId val="2067958208"/>
      </c:lineChart>
      <c:catAx>
        <c:axId val="206796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58208"/>
        <c:crosses val="autoZero"/>
        <c:auto val="1"/>
        <c:lblAlgn val="ctr"/>
        <c:lblOffset val="100"/>
        <c:noMultiLvlLbl val="0"/>
      </c:catAx>
      <c:valAx>
        <c:axId val="20679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16934</xdr:colOff>
      <xdr:row>103</xdr:row>
      <xdr:rowOff>86677</xdr:rowOff>
    </xdr:from>
    <xdr:to>
      <xdr:col>19</xdr:col>
      <xdr:colOff>125095</xdr:colOff>
      <xdr:row>132</xdr:row>
      <xdr:rowOff>86572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C485-9D97-48AB-AB98-BAAF21493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85C3-D42E-456A-9308-28AFC2A9FFCF}">
  <dimension ref="B2:V107"/>
  <sheetViews>
    <sheetView topLeftCell="A41" zoomScale="90" zoomScaleNormal="90" workbookViewId="0">
      <selection activeCell="J53" sqref="J53"/>
    </sheetView>
  </sheetViews>
  <sheetFormatPr defaultRowHeight="14.4" x14ac:dyDescent="0.3"/>
  <cols>
    <col min="1" max="1" width="3.6640625" customWidth="1"/>
    <col min="2" max="2" width="19.77734375" customWidth="1"/>
    <col min="3" max="3" width="15.33203125" customWidth="1"/>
    <col min="4" max="22" width="12.77734375" customWidth="1"/>
  </cols>
  <sheetData>
    <row r="2" spans="2:22" x14ac:dyDescent="0.3">
      <c r="C2" s="27">
        <v>1</v>
      </c>
      <c r="D2" s="27"/>
      <c r="E2" s="27"/>
      <c r="F2" s="27"/>
      <c r="G2" s="27">
        <v>2</v>
      </c>
      <c r="H2" s="27"/>
      <c r="I2" s="27"/>
      <c r="J2" s="27"/>
      <c r="K2" s="27">
        <v>3</v>
      </c>
      <c r="L2" s="27"/>
      <c r="M2" s="27"/>
      <c r="N2" s="27"/>
      <c r="O2" s="27">
        <v>4</v>
      </c>
      <c r="P2" s="27"/>
      <c r="Q2" s="27"/>
      <c r="R2" s="27"/>
      <c r="S2" s="27">
        <v>5</v>
      </c>
      <c r="T2" s="27"/>
      <c r="U2" s="27"/>
      <c r="V2" s="27"/>
    </row>
    <row r="3" spans="2:22" x14ac:dyDescent="0.3">
      <c r="B3" s="1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</row>
    <row r="4" spans="2:22" x14ac:dyDescent="0.3">
      <c r="B4" t="s">
        <v>0</v>
      </c>
    </row>
    <row r="5" spans="2:22" x14ac:dyDescent="0.3">
      <c r="B5" s="2" t="s">
        <v>23</v>
      </c>
    </row>
    <row r="6" spans="2:22" x14ac:dyDescent="0.3">
      <c r="B6" s="5" t="s">
        <v>3</v>
      </c>
    </row>
    <row r="7" spans="2:22" x14ac:dyDescent="0.3">
      <c r="B7" s="3" t="s">
        <v>4</v>
      </c>
      <c r="C7">
        <v>4</v>
      </c>
      <c r="D7">
        <v>4</v>
      </c>
      <c r="E7">
        <v>4</v>
      </c>
      <c r="F7">
        <v>4</v>
      </c>
      <c r="G7">
        <v>6</v>
      </c>
      <c r="H7">
        <v>6</v>
      </c>
      <c r="I7">
        <v>6</v>
      </c>
      <c r="J7">
        <v>6</v>
      </c>
      <c r="K7">
        <v>8</v>
      </c>
      <c r="L7">
        <v>8</v>
      </c>
      <c r="M7">
        <v>8</v>
      </c>
      <c r="N7">
        <v>8</v>
      </c>
      <c r="O7">
        <v>10</v>
      </c>
      <c r="P7">
        <v>10</v>
      </c>
      <c r="Q7">
        <v>10</v>
      </c>
      <c r="R7">
        <v>10</v>
      </c>
      <c r="S7">
        <v>12</v>
      </c>
      <c r="T7">
        <v>12</v>
      </c>
      <c r="U7">
        <v>12</v>
      </c>
      <c r="V7">
        <v>12</v>
      </c>
    </row>
    <row r="8" spans="2:22" x14ac:dyDescent="0.3">
      <c r="B8" s="3" t="s">
        <v>5</v>
      </c>
      <c r="C8">
        <f>C7*Settings!$C$3</f>
        <v>20000</v>
      </c>
      <c r="D8">
        <f>D7*Settings!$C$3</f>
        <v>20000</v>
      </c>
      <c r="E8">
        <f>E7*Settings!$C$3</f>
        <v>20000</v>
      </c>
      <c r="F8">
        <f>F7*Settings!$C$3</f>
        <v>20000</v>
      </c>
      <c r="G8">
        <f>G7*Settings!$C$3</f>
        <v>30000</v>
      </c>
      <c r="H8">
        <f>H7*Settings!$C$3</f>
        <v>30000</v>
      </c>
      <c r="I8">
        <f>I7*Settings!$C$3</f>
        <v>30000</v>
      </c>
      <c r="J8">
        <f>J7*Settings!$C$3</f>
        <v>30000</v>
      </c>
      <c r="K8">
        <f>K7*Settings!$C$3</f>
        <v>40000</v>
      </c>
      <c r="L8">
        <f>L7*Settings!$C$3</f>
        <v>40000</v>
      </c>
      <c r="M8">
        <f>M7*Settings!$C$3</f>
        <v>40000</v>
      </c>
      <c r="N8">
        <f>N7*Settings!$C$3</f>
        <v>40000</v>
      </c>
      <c r="O8">
        <f>O7*Settings!$C$3</f>
        <v>50000</v>
      </c>
      <c r="P8">
        <f>P7*Settings!$C$3</f>
        <v>50000</v>
      </c>
      <c r="Q8">
        <f>Q7*Settings!$C$3</f>
        <v>50000</v>
      </c>
      <c r="R8">
        <f>R7*Settings!$C$3</f>
        <v>50000</v>
      </c>
      <c r="S8">
        <f>S7*Settings!$C$3</f>
        <v>60000</v>
      </c>
      <c r="T8">
        <f>T7*Settings!$C$3</f>
        <v>60000</v>
      </c>
      <c r="U8">
        <f>U7*Settings!$C$3</f>
        <v>60000</v>
      </c>
      <c r="V8">
        <f>V7*Settings!$C$3</f>
        <v>60000</v>
      </c>
    </row>
    <row r="9" spans="2:22" x14ac:dyDescent="0.3">
      <c r="B9" s="3" t="s">
        <v>89</v>
      </c>
      <c r="C9" s="14">
        <f>C8/C81</f>
        <v>0.36954915003695493</v>
      </c>
      <c r="D9" s="14">
        <f>D8/D81</f>
        <v>0.58275058275058278</v>
      </c>
      <c r="E9" s="14">
        <f>E8/E81</f>
        <v>0.49950049950049952</v>
      </c>
      <c r="F9" s="14">
        <f>F8/F81</f>
        <v>0.218573501897218</v>
      </c>
      <c r="G9" s="14">
        <f>G8/G81</f>
        <v>0.26270962914857915</v>
      </c>
      <c r="H9" s="14">
        <f>H8/H81</f>
        <v>0.2283482475185396</v>
      </c>
      <c r="I9" s="14">
        <f>I8/I81</f>
        <v>0.1933577737559361</v>
      </c>
      <c r="J9" s="14">
        <f>J8/J81</f>
        <v>0.16765718531752261</v>
      </c>
      <c r="K9" s="14">
        <f>K8/K81</f>
        <v>0.17227190639709331</v>
      </c>
      <c r="L9" s="14">
        <f>L8/L81</f>
        <v>0.16182876865622731</v>
      </c>
      <c r="M9" s="14">
        <f>M8/M81</f>
        <v>0.14762906249344898</v>
      </c>
      <c r="N9" s="14">
        <f>N8/N81</f>
        <v>0.13571599961348083</v>
      </c>
      <c r="O9" s="14">
        <f>O8/O81</f>
        <v>0.14368326415271529</v>
      </c>
      <c r="P9" s="14">
        <f>P8/P81</f>
        <v>0.13775190001195686</v>
      </c>
      <c r="Q9" s="14">
        <f>Q8/Q81</f>
        <v>0.12928384609719992</v>
      </c>
      <c r="R9" s="14">
        <f>R8/R81</f>
        <v>0.12179387370969134</v>
      </c>
      <c r="S9" s="14">
        <f>S8/S81</f>
        <v>0.12937051326888668</v>
      </c>
      <c r="T9" s="14">
        <f>T8/T81</f>
        <v>0.12532166939491943</v>
      </c>
      <c r="U9" s="14">
        <f>U8/U81</f>
        <v>0.11939289192030095</v>
      </c>
      <c r="V9" s="14">
        <f>V8/V81</f>
        <v>0.10906909527185472</v>
      </c>
    </row>
    <row r="10" spans="2:22" x14ac:dyDescent="0.3">
      <c r="B10" s="3" t="s">
        <v>90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2:22" x14ac:dyDescent="0.3">
      <c r="B11" s="5" t="s">
        <v>19</v>
      </c>
    </row>
    <row r="12" spans="2:22" x14ac:dyDescent="0.3">
      <c r="B12" s="3" t="s">
        <v>4</v>
      </c>
      <c r="C12">
        <v>1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2</v>
      </c>
      <c r="K12">
        <v>3</v>
      </c>
      <c r="L12">
        <v>3</v>
      </c>
      <c r="M12">
        <v>3</v>
      </c>
      <c r="N12">
        <v>3</v>
      </c>
      <c r="O12">
        <v>4</v>
      </c>
      <c r="P12">
        <v>4</v>
      </c>
      <c r="Q12">
        <v>4</v>
      </c>
      <c r="R12">
        <v>4</v>
      </c>
      <c r="S12">
        <v>5</v>
      </c>
      <c r="T12">
        <v>5</v>
      </c>
      <c r="U12">
        <v>5</v>
      </c>
      <c r="V12">
        <v>5</v>
      </c>
    </row>
    <row r="13" spans="2:22" x14ac:dyDescent="0.3">
      <c r="B13" s="3" t="s">
        <v>5</v>
      </c>
      <c r="C13">
        <f>C12*Settings!$C$4</f>
        <v>4000</v>
      </c>
      <c r="D13">
        <f>D12*Settings!$C$4</f>
        <v>4000</v>
      </c>
      <c r="E13">
        <f>E12*Settings!$C$4</f>
        <v>4000</v>
      </c>
      <c r="F13">
        <f>F12*Settings!$C$4</f>
        <v>4000</v>
      </c>
      <c r="G13">
        <f>G12*Settings!$C$4</f>
        <v>8000</v>
      </c>
      <c r="H13">
        <f>H12*Settings!$C$4</f>
        <v>8000</v>
      </c>
      <c r="I13">
        <f>I12*Settings!$C$4</f>
        <v>8000</v>
      </c>
      <c r="J13">
        <f>J12*Settings!$C$4</f>
        <v>8000</v>
      </c>
      <c r="K13">
        <f>K12*Settings!$C$4</f>
        <v>12000</v>
      </c>
      <c r="L13">
        <f>L12*Settings!$C$4</f>
        <v>12000</v>
      </c>
      <c r="M13">
        <f>M12*Settings!$C$4</f>
        <v>12000</v>
      </c>
      <c r="N13">
        <f>N12*Settings!$C$4</f>
        <v>12000</v>
      </c>
      <c r="O13">
        <f>O12*Settings!$C$4</f>
        <v>16000</v>
      </c>
      <c r="P13">
        <f>P12*Settings!$C$4</f>
        <v>16000</v>
      </c>
      <c r="Q13">
        <f>Q12*Settings!$C$4</f>
        <v>16000</v>
      </c>
      <c r="R13">
        <f>R12*Settings!$C$4</f>
        <v>16000</v>
      </c>
      <c r="S13">
        <f>S12*Settings!$C$4</f>
        <v>20000</v>
      </c>
      <c r="T13">
        <f>T12*Settings!$C$4</f>
        <v>20000</v>
      </c>
      <c r="U13">
        <f>U12*Settings!$C$4</f>
        <v>20000</v>
      </c>
      <c r="V13">
        <f>V12*Settings!$C$4</f>
        <v>20000</v>
      </c>
    </row>
    <row r="14" spans="2:22" x14ac:dyDescent="0.3">
      <c r="B14" s="3" t="s">
        <v>89</v>
      </c>
      <c r="C14" s="14">
        <f>C13/C81</f>
        <v>7.3909830007390986E-2</v>
      </c>
      <c r="D14" s="14">
        <f>D13/D81</f>
        <v>0.11655011655011654</v>
      </c>
      <c r="E14" s="14">
        <f>E13/E81</f>
        <v>9.9900099900099903E-2</v>
      </c>
      <c r="F14" s="14">
        <f>F13/F81</f>
        <v>4.3714700379443604E-2</v>
      </c>
      <c r="G14" s="14">
        <f>G13/G81</f>
        <v>7.0055901106287774E-2</v>
      </c>
      <c r="H14" s="14">
        <f>H13/H81</f>
        <v>6.0892866004943889E-2</v>
      </c>
      <c r="I14" s="14">
        <f>I13/I81</f>
        <v>5.1562073001582963E-2</v>
      </c>
      <c r="J14" s="14">
        <f>J13/J81</f>
        <v>4.4708582751339355E-2</v>
      </c>
      <c r="K14" s="14">
        <f>K13/K81</f>
        <v>5.1681571919127992E-2</v>
      </c>
      <c r="L14" s="14">
        <f>L13/L81</f>
        <v>4.8548630596868196E-2</v>
      </c>
      <c r="M14" s="14">
        <f>M13/M81</f>
        <v>4.4288718748034688E-2</v>
      </c>
      <c r="N14" s="14">
        <f>N13/N81</f>
        <v>4.071479988404425E-2</v>
      </c>
      <c r="O14" s="14">
        <f>O13/O81</f>
        <v>4.5978644528868899E-2</v>
      </c>
      <c r="P14" s="14">
        <f>P13/P81</f>
        <v>4.4080608003826197E-2</v>
      </c>
      <c r="Q14" s="14">
        <f>Q13/Q81</f>
        <v>4.1370830751103975E-2</v>
      </c>
      <c r="R14" s="14">
        <f>R13/R81</f>
        <v>3.8974039587101231E-2</v>
      </c>
      <c r="S14" s="14">
        <f>S13/S81</f>
        <v>4.3123504422962228E-2</v>
      </c>
      <c r="T14" s="14">
        <f>T13/T81</f>
        <v>4.1773889798306471E-2</v>
      </c>
      <c r="U14" s="14">
        <f>U13/U81</f>
        <v>3.9797630640100314E-2</v>
      </c>
      <c r="V14" s="14">
        <f>V13/V81</f>
        <v>3.6356365090618237E-2</v>
      </c>
    </row>
    <row r="15" spans="2:22" x14ac:dyDescent="0.3">
      <c r="B15" s="3" t="s">
        <v>90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2:22" x14ac:dyDescent="0.3">
      <c r="B16" s="5" t="s">
        <v>20</v>
      </c>
    </row>
    <row r="17" spans="2:22" x14ac:dyDescent="0.3">
      <c r="B17" s="3" t="s">
        <v>4</v>
      </c>
      <c r="C17">
        <v>1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3</v>
      </c>
      <c r="L17">
        <v>3</v>
      </c>
      <c r="M17">
        <v>3</v>
      </c>
      <c r="N17">
        <v>3</v>
      </c>
      <c r="O17">
        <v>4</v>
      </c>
      <c r="P17">
        <v>4</v>
      </c>
      <c r="Q17">
        <v>4</v>
      </c>
      <c r="R17">
        <v>4</v>
      </c>
      <c r="S17">
        <v>5</v>
      </c>
      <c r="T17">
        <v>5</v>
      </c>
      <c r="U17">
        <v>5</v>
      </c>
      <c r="V17">
        <v>5</v>
      </c>
    </row>
    <row r="18" spans="2:22" x14ac:dyDescent="0.3">
      <c r="B18" s="3" t="s">
        <v>5</v>
      </c>
      <c r="C18">
        <f>C17*Settings!$C$5</f>
        <v>3000</v>
      </c>
      <c r="D18">
        <f>D17*Settings!$C$5</f>
        <v>3000</v>
      </c>
      <c r="E18">
        <f>E17*Settings!$C$5</f>
        <v>6000</v>
      </c>
      <c r="F18">
        <f>F17*Settings!$C$5</f>
        <v>6000</v>
      </c>
      <c r="G18">
        <f>G17*Settings!$C$5</f>
        <v>6000</v>
      </c>
      <c r="H18">
        <f>H17*Settings!$C$5</f>
        <v>6000</v>
      </c>
      <c r="I18">
        <f>I17*Settings!$C$5</f>
        <v>6000</v>
      </c>
      <c r="J18">
        <f>J17*Settings!$C$5</f>
        <v>6000</v>
      </c>
      <c r="K18">
        <f>K17*Settings!$C$5</f>
        <v>9000</v>
      </c>
      <c r="L18">
        <f>L17*Settings!$C$5</f>
        <v>9000</v>
      </c>
      <c r="M18">
        <f>M17*Settings!$C$5</f>
        <v>9000</v>
      </c>
      <c r="N18">
        <f>N17*Settings!$C$5</f>
        <v>9000</v>
      </c>
      <c r="O18">
        <f>O17*Settings!$C$5</f>
        <v>12000</v>
      </c>
      <c r="P18">
        <f>P17*Settings!$C$5</f>
        <v>12000</v>
      </c>
      <c r="Q18">
        <f>Q17*Settings!$C$5</f>
        <v>12000</v>
      </c>
      <c r="R18">
        <f>R17*Settings!$C$5</f>
        <v>12000</v>
      </c>
      <c r="S18">
        <f>S17*Settings!$C$5</f>
        <v>15000</v>
      </c>
      <c r="T18">
        <f>T17*Settings!$C$5</f>
        <v>15000</v>
      </c>
      <c r="U18">
        <f>U17*Settings!$C$5</f>
        <v>15000</v>
      </c>
      <c r="V18">
        <f>V17*Settings!$C$5</f>
        <v>15000</v>
      </c>
    </row>
    <row r="19" spans="2:22" x14ac:dyDescent="0.3">
      <c r="B19" s="3" t="s">
        <v>89</v>
      </c>
      <c r="C19" s="14">
        <f>C18/C81</f>
        <v>5.543237250554324E-2</v>
      </c>
      <c r="D19" s="14">
        <f>D18/D81</f>
        <v>8.7412587412587409E-2</v>
      </c>
      <c r="E19" s="14">
        <f>E18/E81</f>
        <v>0.14985014985014986</v>
      </c>
      <c r="F19" s="14">
        <f>F18/F81</f>
        <v>6.5572050569165402E-2</v>
      </c>
      <c r="G19" s="14">
        <f>G18/G81</f>
        <v>5.2541925829715827E-2</v>
      </c>
      <c r="H19" s="14">
        <f>H18/H81</f>
        <v>4.5669649503707922E-2</v>
      </c>
      <c r="I19" s="14">
        <f>I18/I81</f>
        <v>3.867155475118722E-2</v>
      </c>
      <c r="J19" s="14">
        <f>J18/J81</f>
        <v>3.3531437063504518E-2</v>
      </c>
      <c r="K19" s="14">
        <f>K18/K81</f>
        <v>3.876117893934599E-2</v>
      </c>
      <c r="L19" s="14">
        <f>L18/L81</f>
        <v>3.6411472947651145E-2</v>
      </c>
      <c r="M19" s="14">
        <f>M18/M81</f>
        <v>3.3216539061026021E-2</v>
      </c>
      <c r="N19" s="14">
        <f>N18/N81</f>
        <v>3.0536099913033188E-2</v>
      </c>
      <c r="O19" s="14">
        <f>O18/O81</f>
        <v>3.4483983396651673E-2</v>
      </c>
      <c r="P19" s="14">
        <f>P18/P81</f>
        <v>3.3060456002869644E-2</v>
      </c>
      <c r="Q19" s="14">
        <f>Q18/Q81</f>
        <v>3.1028123063327983E-2</v>
      </c>
      <c r="R19" s="14">
        <f>R18/R81</f>
        <v>2.9230529690325923E-2</v>
      </c>
      <c r="S19" s="14">
        <f>S18/S81</f>
        <v>3.2342628317221671E-2</v>
      </c>
      <c r="T19" s="14">
        <f>T18/T81</f>
        <v>3.1330417348729857E-2</v>
      </c>
      <c r="U19" s="14">
        <f>U18/U81</f>
        <v>2.9848222980075237E-2</v>
      </c>
      <c r="V19" s="14">
        <f>V18/V81</f>
        <v>2.7267273817963681E-2</v>
      </c>
    </row>
    <row r="20" spans="2:22" x14ac:dyDescent="0.3">
      <c r="B20" s="3" t="s">
        <v>90</v>
      </c>
      <c r="C20" s="14">
        <f>IF(C86 &gt; 0, C18/C86,0)</f>
        <v>0</v>
      </c>
      <c r="D20" s="14">
        <f t="shared" ref="D20:V20" si="0">IF(D86 &gt; 0, D18/D86,0)</f>
        <v>0</v>
      </c>
      <c r="E20" s="14">
        <f t="shared" si="0"/>
        <v>0</v>
      </c>
      <c r="F20" s="14">
        <f t="shared" si="0"/>
        <v>0</v>
      </c>
      <c r="G20" s="14">
        <f t="shared" si="0"/>
        <v>0.11659541391371939</v>
      </c>
      <c r="H20" s="14">
        <f t="shared" si="0"/>
        <v>5.8286380415776183E-2</v>
      </c>
      <c r="I20" s="14">
        <f t="shared" si="0"/>
        <v>3.8860103626943004E-2</v>
      </c>
      <c r="J20" s="14">
        <f t="shared" si="0"/>
        <v>2.9143190207888092E-2</v>
      </c>
      <c r="K20" s="14">
        <f t="shared" si="0"/>
        <v>3.4973187223128935E-2</v>
      </c>
      <c r="L20" s="14">
        <f t="shared" si="0"/>
        <v>2.9143190207888092E-2</v>
      </c>
      <c r="M20" s="14">
        <f t="shared" si="0"/>
        <v>2.4980570667258797E-2</v>
      </c>
      <c r="N20" s="14">
        <f t="shared" si="0"/>
        <v>2.1857392655916068E-2</v>
      </c>
      <c r="O20" s="14">
        <f t="shared" si="0"/>
        <v>2.5905617201329823E-2</v>
      </c>
      <c r="P20" s="14">
        <f t="shared" si="0"/>
        <v>2.3314552166310471E-2</v>
      </c>
      <c r="Q20" s="14">
        <f t="shared" si="0"/>
        <v>2.1195421788893599E-2</v>
      </c>
      <c r="R20" s="14">
        <f t="shared" si="0"/>
        <v>1.9428793471925394E-2</v>
      </c>
      <c r="S20" s="14">
        <f t="shared" si="0"/>
        <v>2.2418173666118667E-2</v>
      </c>
      <c r="T20" s="14">
        <f t="shared" si="0"/>
        <v>2.0816564434205778E-2</v>
      </c>
      <c r="U20" s="14">
        <f t="shared" si="0"/>
        <v>1.9429045127195482E-2</v>
      </c>
      <c r="V20" s="14">
        <f t="shared" si="0"/>
        <v>1.7142857142857144E-2</v>
      </c>
    </row>
    <row r="21" spans="2:22" x14ac:dyDescent="0.3">
      <c r="B21" s="5" t="s">
        <v>10</v>
      </c>
    </row>
    <row r="22" spans="2:22" x14ac:dyDescent="0.3">
      <c r="B22" s="3" t="s">
        <v>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">
      <c r="B23" s="3" t="s">
        <v>5</v>
      </c>
      <c r="C23">
        <f>C22*Settings!$C$6</f>
        <v>600</v>
      </c>
      <c r="D23">
        <f>D22*Settings!$C$6</f>
        <v>600</v>
      </c>
      <c r="E23">
        <f>E22*Settings!$C$6</f>
        <v>600</v>
      </c>
      <c r="F23">
        <f>F22*Settings!$C$6</f>
        <v>600</v>
      </c>
      <c r="G23">
        <f>G22*Settings!$C$6</f>
        <v>600</v>
      </c>
      <c r="H23">
        <f>H22*Settings!$C$6</f>
        <v>600</v>
      </c>
      <c r="I23">
        <f>I22*Settings!$C$6</f>
        <v>600</v>
      </c>
      <c r="J23">
        <f>J22*Settings!$C$6</f>
        <v>600</v>
      </c>
      <c r="K23">
        <f>K22*Settings!$C$6</f>
        <v>600</v>
      </c>
      <c r="L23">
        <f>L22*Settings!$C$6</f>
        <v>600</v>
      </c>
      <c r="M23">
        <f>M22*Settings!$C$6</f>
        <v>600</v>
      </c>
      <c r="N23">
        <f>N22*Settings!$C$6</f>
        <v>600</v>
      </c>
      <c r="O23">
        <f>O22*Settings!$C$6</f>
        <v>600</v>
      </c>
      <c r="P23">
        <f>P22*Settings!$C$6</f>
        <v>600</v>
      </c>
      <c r="Q23">
        <f>Q22*Settings!$C$6</f>
        <v>600</v>
      </c>
      <c r="R23">
        <f>R22*Settings!$C$6</f>
        <v>600</v>
      </c>
      <c r="S23">
        <f>S22*Settings!$C$6</f>
        <v>600</v>
      </c>
      <c r="T23">
        <f>T22*Settings!$C$6</f>
        <v>600</v>
      </c>
      <c r="U23">
        <f>U22*Settings!$C$6</f>
        <v>600</v>
      </c>
      <c r="V23">
        <f>V22*Settings!$C$6</f>
        <v>600</v>
      </c>
    </row>
    <row r="24" spans="2:22" x14ac:dyDescent="0.3">
      <c r="B24" s="3" t="s">
        <v>42</v>
      </c>
      <c r="C24" s="14">
        <f>C23/C81</f>
        <v>1.1086474501108648E-2</v>
      </c>
      <c r="D24" s="14">
        <f>D23/D81</f>
        <v>1.7482517482517484E-2</v>
      </c>
      <c r="E24" s="14">
        <f>E23/E81</f>
        <v>1.4985014985014986E-2</v>
      </c>
      <c r="F24" s="14">
        <f>F23/F81</f>
        <v>6.55720505691654E-3</v>
      </c>
      <c r="G24" s="14">
        <f>G23/G81</f>
        <v>5.2541925829715829E-3</v>
      </c>
      <c r="H24" s="14">
        <f>H23/H81</f>
        <v>4.5669649503707922E-3</v>
      </c>
      <c r="I24" s="14">
        <f>I23/I81</f>
        <v>3.8671554751187219E-3</v>
      </c>
      <c r="J24" s="14">
        <f>J23/J81</f>
        <v>3.3531437063504519E-3</v>
      </c>
      <c r="K24" s="14">
        <f>K23/K81</f>
        <v>2.5840785959563993E-3</v>
      </c>
      <c r="L24" s="14">
        <f>L23/L81</f>
        <v>2.4274315298434095E-3</v>
      </c>
      <c r="M24" s="14">
        <f>M23/M81</f>
        <v>2.2144359374017346E-3</v>
      </c>
      <c r="N24" s="14">
        <f>N23/N81</f>
        <v>2.0357399942022127E-3</v>
      </c>
      <c r="O24" s="14">
        <f>O23/O81</f>
        <v>1.7241991698325836E-3</v>
      </c>
      <c r="P24" s="14">
        <f>P23/P81</f>
        <v>1.6530228001434824E-3</v>
      </c>
      <c r="Q24" s="14">
        <f>Q23/Q81</f>
        <v>1.551406153166399E-3</v>
      </c>
      <c r="R24" s="14">
        <f>R23/R81</f>
        <v>1.4615264845162961E-3</v>
      </c>
      <c r="S24" s="14">
        <f>S23/S81</f>
        <v>1.2937051326888669E-3</v>
      </c>
      <c r="T24" s="14">
        <f>T23/T81</f>
        <v>1.2532166939491943E-3</v>
      </c>
      <c r="U24" s="14">
        <f>U23/U81</f>
        <v>1.1939289192030094E-3</v>
      </c>
      <c r="V24" s="14">
        <f>V23/V81</f>
        <v>1.0906909527185471E-3</v>
      </c>
    </row>
    <row r="25" spans="2:22" x14ac:dyDescent="0.3">
      <c r="B25" s="5" t="s">
        <v>21</v>
      </c>
    </row>
    <row r="26" spans="2:22" x14ac:dyDescent="0.3">
      <c r="B26" s="3" t="s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2:22" x14ac:dyDescent="0.3">
      <c r="B27" s="3" t="s">
        <v>5</v>
      </c>
      <c r="C27">
        <f>C26*Settings!$C$7</f>
        <v>800</v>
      </c>
      <c r="D27">
        <f>D26*Settings!$C$7</f>
        <v>800</v>
      </c>
      <c r="E27">
        <f>E26*Settings!$C$7</f>
        <v>800</v>
      </c>
      <c r="F27">
        <f>F26*Settings!$C$7</f>
        <v>800</v>
      </c>
      <c r="G27">
        <f>G26*Settings!$C$7</f>
        <v>800</v>
      </c>
      <c r="H27">
        <f>H26*Settings!$C$7</f>
        <v>800</v>
      </c>
      <c r="I27">
        <f>I26*Settings!$C$7</f>
        <v>800</v>
      </c>
      <c r="J27">
        <f>J26*Settings!$C$7</f>
        <v>800</v>
      </c>
      <c r="K27">
        <f>K26*Settings!$C$7</f>
        <v>800</v>
      </c>
      <c r="L27">
        <f>L26*Settings!$C$7</f>
        <v>800</v>
      </c>
      <c r="M27">
        <f>M26*Settings!$C$7</f>
        <v>800</v>
      </c>
      <c r="N27">
        <f>N26*Settings!$C$7</f>
        <v>800</v>
      </c>
      <c r="O27">
        <f>O26*Settings!$C$7</f>
        <v>800</v>
      </c>
      <c r="P27">
        <f>P26*Settings!$C$7</f>
        <v>800</v>
      </c>
      <c r="Q27">
        <f>Q26*Settings!$C$7</f>
        <v>800</v>
      </c>
      <c r="R27">
        <f>R26*Settings!$C$7</f>
        <v>800</v>
      </c>
      <c r="S27">
        <f>S26*Settings!$C$7</f>
        <v>800</v>
      </c>
      <c r="T27">
        <f>T26*Settings!$C$7</f>
        <v>800</v>
      </c>
      <c r="U27">
        <f>U26*Settings!$C$7</f>
        <v>800</v>
      </c>
      <c r="V27">
        <f>V26*Settings!$C$7</f>
        <v>800</v>
      </c>
    </row>
    <row r="28" spans="2:22" x14ac:dyDescent="0.3">
      <c r="B28" s="3" t="s">
        <v>89</v>
      </c>
      <c r="C28" s="14">
        <f>C27/C81</f>
        <v>1.4781966001478197E-2</v>
      </c>
      <c r="D28" s="14">
        <f>D27/D81</f>
        <v>2.3310023310023312E-2</v>
      </c>
      <c r="E28" s="14">
        <f>E27/E81</f>
        <v>1.998001998001998E-2</v>
      </c>
      <c r="F28" s="14">
        <f>F27/F81</f>
        <v>8.74294007588872E-3</v>
      </c>
      <c r="G28" s="14">
        <f>G27/G81</f>
        <v>7.0055901106287769E-3</v>
      </c>
      <c r="H28" s="14">
        <f>H27/H81</f>
        <v>6.0892866004943896E-3</v>
      </c>
      <c r="I28" s="14">
        <f>I27/I81</f>
        <v>5.1562073001582961E-3</v>
      </c>
      <c r="J28" s="14">
        <f>J27/J81</f>
        <v>4.4708582751339359E-3</v>
      </c>
      <c r="K28" s="14">
        <f>K27/K81</f>
        <v>3.4454381279418662E-3</v>
      </c>
      <c r="L28" s="14">
        <f>L27/L81</f>
        <v>3.2365753731245462E-3</v>
      </c>
      <c r="M28" s="14">
        <f>M27/M81</f>
        <v>2.9525812498689794E-3</v>
      </c>
      <c r="N28" s="14">
        <f>N27/N81</f>
        <v>2.7143199922696165E-3</v>
      </c>
      <c r="O28" s="14">
        <f>O27/O81</f>
        <v>2.2989322264434448E-3</v>
      </c>
      <c r="P28" s="14">
        <f>P27/P81</f>
        <v>2.2040304001913098E-3</v>
      </c>
      <c r="Q28" s="14">
        <f>Q27/Q81</f>
        <v>2.0685415375551988E-3</v>
      </c>
      <c r="R28" s="14">
        <f>R27/R81</f>
        <v>1.9487019793550616E-3</v>
      </c>
      <c r="S28" s="14">
        <f>S27/S81</f>
        <v>1.7249401769184893E-3</v>
      </c>
      <c r="T28" s="14">
        <f>T27/T81</f>
        <v>1.6709555919322589E-3</v>
      </c>
      <c r="U28" s="14">
        <f>U27/U81</f>
        <v>1.5919052256040127E-3</v>
      </c>
      <c r="V28" s="14">
        <f>V27/V81</f>
        <v>1.4542546036247295E-3</v>
      </c>
    </row>
    <row r="29" spans="2:22" x14ac:dyDescent="0.3">
      <c r="B29" s="3" t="s">
        <v>90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2:22" x14ac:dyDescent="0.3">
      <c r="B30" s="5" t="s">
        <v>22</v>
      </c>
    </row>
    <row r="31" spans="2:22" x14ac:dyDescent="0.3">
      <c r="B31" s="3" t="s">
        <v>4</v>
      </c>
      <c r="C31">
        <v>0</v>
      </c>
      <c r="D31">
        <v>0</v>
      </c>
      <c r="E31">
        <v>0</v>
      </c>
      <c r="F31">
        <f>MAX(1,_xlfn.FLOOR.MATH(F85/Settings!$C$16))</f>
        <v>1</v>
      </c>
      <c r="G31">
        <f>MAX(1,_xlfn.FLOOR.MATH(G85/Settings!$C$16))</f>
        <v>1</v>
      </c>
      <c r="H31">
        <f>MAX(1,_xlfn.FLOOR.MATH(H85/Settings!$C$16))</f>
        <v>1</v>
      </c>
      <c r="I31">
        <f>MAX(1,_xlfn.FLOOR.MATH(I85/Settings!$C$16))</f>
        <v>1</v>
      </c>
      <c r="J31">
        <f>MAX(1,_xlfn.FLOOR.MATH(J85/Settings!$C$16))</f>
        <v>1</v>
      </c>
      <c r="K31">
        <f>MAX(1,_xlfn.FLOOR.MATH(K85/Settings!$C$16))</f>
        <v>1</v>
      </c>
      <c r="L31">
        <f>MAX(1,_xlfn.FLOOR.MATH(L85/Settings!$C$16))</f>
        <v>1</v>
      </c>
      <c r="M31">
        <f>MAX(1,_xlfn.FLOOR.MATH(M85/Settings!$C$16))</f>
        <v>1</v>
      </c>
      <c r="N31">
        <f>MAX(1,_xlfn.FLOOR.MATH(N85/Settings!$C$16))</f>
        <v>1</v>
      </c>
      <c r="O31">
        <f>MAX(1,_xlfn.FLOOR.MATH(O85/Settings!$C$16))</f>
        <v>1</v>
      </c>
      <c r="P31">
        <f>MAX(1,_xlfn.FLOOR.MATH(P85/Settings!$C$16))</f>
        <v>1</v>
      </c>
      <c r="Q31">
        <f>MAX(1,_xlfn.FLOOR.MATH(Q85/Settings!$C$16))</f>
        <v>1</v>
      </c>
      <c r="R31">
        <f>MAX(1,_xlfn.FLOOR.MATH(R85/Settings!$C$16))</f>
        <v>1</v>
      </c>
      <c r="S31">
        <f>MAX(1,_xlfn.FLOOR.MATH(S85/Settings!$C$16))</f>
        <v>1</v>
      </c>
      <c r="T31">
        <f>MAX(1,_xlfn.FLOOR.MATH(T85/Settings!$C$16))</f>
        <v>1</v>
      </c>
      <c r="U31">
        <f>MAX(1,_xlfn.FLOOR.MATH(U85/Settings!$C$16))</f>
        <v>1</v>
      </c>
      <c r="V31">
        <f>MAX(1,_xlfn.FLOOR.MATH(V85/Settings!$C$16))</f>
        <v>1</v>
      </c>
    </row>
    <row r="32" spans="2:22" x14ac:dyDescent="0.3">
      <c r="B32" s="3" t="s">
        <v>5</v>
      </c>
      <c r="C32">
        <f>C31*Settings!$C$8</f>
        <v>0</v>
      </c>
      <c r="D32">
        <f>D31*Settings!$C$8</f>
        <v>0</v>
      </c>
      <c r="E32">
        <f>E31*Settings!$C$8</f>
        <v>0</v>
      </c>
      <c r="F32">
        <f>F31*Settings!$C$8</f>
        <v>1000</v>
      </c>
      <c r="G32">
        <f>G31*Settings!$C$8</f>
        <v>1000</v>
      </c>
      <c r="H32">
        <f>H31*Settings!$C$8</f>
        <v>1000</v>
      </c>
      <c r="I32">
        <f>I31*Settings!$C$8</f>
        <v>1000</v>
      </c>
      <c r="J32">
        <f>J31*Settings!$C$8</f>
        <v>1000</v>
      </c>
      <c r="K32">
        <f>K31*Settings!$C$8</f>
        <v>1000</v>
      </c>
      <c r="L32">
        <f>L31*Settings!$C$8</f>
        <v>1000</v>
      </c>
      <c r="M32">
        <f>M31*Settings!$C$8</f>
        <v>1000</v>
      </c>
      <c r="N32">
        <f>N31*Settings!$C$8</f>
        <v>1000</v>
      </c>
      <c r="O32">
        <f>O31*Settings!$C$8</f>
        <v>1000</v>
      </c>
      <c r="P32">
        <f>P31*Settings!$C$8</f>
        <v>1000</v>
      </c>
      <c r="Q32">
        <f>Q31*Settings!$C$8</f>
        <v>1000</v>
      </c>
      <c r="R32">
        <f>R31*Settings!$C$8</f>
        <v>1000</v>
      </c>
      <c r="S32">
        <f>S31*Settings!$C$8</f>
        <v>1000</v>
      </c>
      <c r="T32">
        <f>T31*Settings!$C$8</f>
        <v>1000</v>
      </c>
      <c r="U32">
        <f>U31*Settings!$C$8</f>
        <v>1000</v>
      </c>
      <c r="V32">
        <f>V31*Settings!$C$8</f>
        <v>1000</v>
      </c>
    </row>
    <row r="33" spans="2:22" x14ac:dyDescent="0.3">
      <c r="B33" s="3" t="s">
        <v>89</v>
      </c>
      <c r="C33" s="14">
        <f>C32/C81</f>
        <v>0</v>
      </c>
      <c r="D33" s="14">
        <f>D32/D81</f>
        <v>0</v>
      </c>
      <c r="E33" s="14">
        <f>E32/E81</f>
        <v>0</v>
      </c>
      <c r="F33" s="14">
        <f>F32/F81</f>
        <v>1.0928675094860901E-2</v>
      </c>
      <c r="G33" s="14">
        <f>G32/G81</f>
        <v>8.7569876382859718E-3</v>
      </c>
      <c r="H33" s="14">
        <f>H32/H81</f>
        <v>7.6116082506179862E-3</v>
      </c>
      <c r="I33" s="14">
        <f>I32/I81</f>
        <v>6.4452591251978704E-3</v>
      </c>
      <c r="J33" s="14">
        <f>J32/J81</f>
        <v>5.5885728439174194E-3</v>
      </c>
      <c r="K33" s="14">
        <f>K32/K81</f>
        <v>4.3067976599273326E-3</v>
      </c>
      <c r="L33" s="14">
        <f>L32/L81</f>
        <v>4.045719216405683E-3</v>
      </c>
      <c r="M33" s="14">
        <f>M32/M81</f>
        <v>3.6907265623362241E-3</v>
      </c>
      <c r="N33" s="14">
        <f>N32/N81</f>
        <v>3.3928999903370207E-3</v>
      </c>
      <c r="O33" s="14">
        <f>O32/O81</f>
        <v>2.8736652830543062E-3</v>
      </c>
      <c r="P33" s="14">
        <f>P32/P81</f>
        <v>2.7550380002391373E-3</v>
      </c>
      <c r="Q33" s="14">
        <f>Q32/Q81</f>
        <v>2.5856769219439984E-3</v>
      </c>
      <c r="R33" s="14">
        <f>R32/R81</f>
        <v>2.4358774741938269E-3</v>
      </c>
      <c r="S33" s="14">
        <f>S32/S81</f>
        <v>2.1561752211481113E-3</v>
      </c>
      <c r="T33" s="14">
        <f>T32/T81</f>
        <v>2.0886944899153235E-3</v>
      </c>
      <c r="U33" s="14">
        <f>U32/U81</f>
        <v>1.9898815320050158E-3</v>
      </c>
      <c r="V33" s="14">
        <f>V32/V81</f>
        <v>1.8178182545309121E-3</v>
      </c>
    </row>
    <row r="34" spans="2:22" x14ac:dyDescent="0.3">
      <c r="B34" s="3" t="s">
        <v>90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2:22" x14ac:dyDescent="0.3">
      <c r="B35" s="5" t="s">
        <v>52</v>
      </c>
    </row>
    <row r="36" spans="2:22" x14ac:dyDescent="0.3">
      <c r="B36" s="3" t="s">
        <v>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</row>
    <row r="37" spans="2:22" x14ac:dyDescent="0.3">
      <c r="B37" s="3" t="s">
        <v>5</v>
      </c>
      <c r="C37">
        <f>C36*Settings!$C$9</f>
        <v>1000</v>
      </c>
      <c r="D37">
        <f>D36*Settings!$C$9</f>
        <v>1000</v>
      </c>
      <c r="E37">
        <f>E36*Settings!$C$9</f>
        <v>1000</v>
      </c>
      <c r="F37">
        <f>F36*Settings!$C$9</f>
        <v>1000</v>
      </c>
      <c r="G37">
        <f>G36*Settings!$C$9</f>
        <v>1000</v>
      </c>
      <c r="H37">
        <f>H36*Settings!$C$9</f>
        <v>1000</v>
      </c>
      <c r="I37">
        <f>I36*Settings!$C$9</f>
        <v>1000</v>
      </c>
      <c r="J37">
        <f>J36*Settings!$C$9</f>
        <v>1000</v>
      </c>
      <c r="K37">
        <f>K36*Settings!$C$9</f>
        <v>1000</v>
      </c>
      <c r="L37">
        <f>L36*Settings!$C$9</f>
        <v>1000</v>
      </c>
      <c r="M37">
        <f>M36*Settings!$C$9</f>
        <v>1000</v>
      </c>
      <c r="N37">
        <f>N36*Settings!$C$9</f>
        <v>1000</v>
      </c>
      <c r="O37">
        <f>O36*Settings!$C$9</f>
        <v>1000</v>
      </c>
      <c r="P37">
        <f>P36*Settings!$C$9</f>
        <v>1000</v>
      </c>
      <c r="Q37">
        <f>Q36*Settings!$C$9</f>
        <v>1000</v>
      </c>
      <c r="R37">
        <f>R36*Settings!$C$9</f>
        <v>1000</v>
      </c>
      <c r="S37">
        <f>S36*Settings!$C$9</f>
        <v>1000</v>
      </c>
      <c r="T37">
        <f>T36*Settings!$C$9</f>
        <v>1000</v>
      </c>
      <c r="U37">
        <f>U36*Settings!$C$9</f>
        <v>1000</v>
      </c>
      <c r="V37">
        <f>V36*Settings!$C$9</f>
        <v>1000</v>
      </c>
    </row>
    <row r="38" spans="2:22" x14ac:dyDescent="0.3">
      <c r="B38" s="3" t="s">
        <v>89</v>
      </c>
      <c r="C38" s="14">
        <f>C37/C81</f>
        <v>1.8477457501847747E-2</v>
      </c>
      <c r="D38" s="14">
        <f>D37/D81</f>
        <v>2.9137529137529136E-2</v>
      </c>
      <c r="E38" s="14">
        <f>E37/E81</f>
        <v>2.4975024975024976E-2</v>
      </c>
      <c r="F38" s="14">
        <f>F37/F81</f>
        <v>1.0928675094860901E-2</v>
      </c>
      <c r="G38" s="14">
        <f>G37/G81</f>
        <v>8.7569876382859718E-3</v>
      </c>
      <c r="H38" s="14">
        <f>H37/H81</f>
        <v>7.6116082506179862E-3</v>
      </c>
      <c r="I38" s="14">
        <f>I37/I81</f>
        <v>6.4452591251978704E-3</v>
      </c>
      <c r="J38" s="14">
        <f>J37/J81</f>
        <v>5.5885728439174194E-3</v>
      </c>
      <c r="K38" s="14">
        <f>K37/K81</f>
        <v>4.3067976599273326E-3</v>
      </c>
      <c r="L38" s="14">
        <f>L37/L81</f>
        <v>4.045719216405683E-3</v>
      </c>
      <c r="M38" s="14">
        <f>M37/M81</f>
        <v>3.6907265623362241E-3</v>
      </c>
      <c r="N38" s="14">
        <f>N37/N81</f>
        <v>3.3928999903370207E-3</v>
      </c>
      <c r="O38" s="14">
        <f>O37/O81</f>
        <v>2.8736652830543062E-3</v>
      </c>
      <c r="P38" s="14">
        <f>P37/P81</f>
        <v>2.7550380002391373E-3</v>
      </c>
      <c r="Q38" s="14">
        <f>Q37/Q81</f>
        <v>2.5856769219439984E-3</v>
      </c>
      <c r="R38" s="14">
        <f>R37/R81</f>
        <v>2.4358774741938269E-3</v>
      </c>
      <c r="S38" s="14">
        <f>S37/S81</f>
        <v>2.1561752211481113E-3</v>
      </c>
      <c r="T38" s="14">
        <f>T37/T81</f>
        <v>2.0886944899153235E-3</v>
      </c>
      <c r="U38" s="14">
        <f>U37/U81</f>
        <v>1.9898815320050158E-3</v>
      </c>
      <c r="V38" s="14">
        <f>V37/V81</f>
        <v>1.8178182545309121E-3</v>
      </c>
    </row>
    <row r="39" spans="2:22" x14ac:dyDescent="0.3">
      <c r="B39" s="3" t="s">
        <v>90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2:22" x14ac:dyDescent="0.3">
      <c r="B40" s="2" t="s">
        <v>24</v>
      </c>
    </row>
    <row r="41" spans="2:22" x14ac:dyDescent="0.3">
      <c r="B41" s="3" t="s">
        <v>4</v>
      </c>
      <c r="C41">
        <f>SUM(C7,C12,C17,C22,C26,C31, C36)</f>
        <v>9</v>
      </c>
      <c r="D41">
        <f>SUM(D7,D12,D17,D22,D26,D31, D36)</f>
        <v>9</v>
      </c>
      <c r="E41">
        <f>SUM(E7,E12,E17,E22,E26,E31, E36)</f>
        <v>10</v>
      </c>
      <c r="F41">
        <f>SUM(F7,F12,F17,F22,F26,F31, F36)</f>
        <v>11</v>
      </c>
      <c r="G41">
        <f>SUM(G7,G12,G17,G22,G26,G31, G36)</f>
        <v>14</v>
      </c>
      <c r="H41">
        <f>SUM(H7,H12,H17,H22,H26,H31, H36)</f>
        <v>14</v>
      </c>
      <c r="I41">
        <f>SUM(I7,I12,I17,I22,I26,I31, I36)</f>
        <v>14</v>
      </c>
      <c r="J41">
        <f>SUM(J7,J12,J17,J22,J26,J31, J36)</f>
        <v>14</v>
      </c>
      <c r="K41">
        <f>SUM(K7,K12,K17,K22,K26,K31, K36)</f>
        <v>18</v>
      </c>
      <c r="L41">
        <f>SUM(L7,L12,L17,L22,L26,L31, L36)</f>
        <v>18</v>
      </c>
      <c r="M41">
        <f>SUM(M7,M12,M17,M22,M26,M31, M36)</f>
        <v>18</v>
      </c>
      <c r="N41">
        <f>SUM(N7,N12,N17,N22,N26,N31, N36)</f>
        <v>18</v>
      </c>
      <c r="O41">
        <f>SUM(O7,O12,O17,O22,O26,O31, O36)</f>
        <v>22</v>
      </c>
      <c r="P41">
        <f>SUM(P7,P12,P17,P22,P26,P31, P36)</f>
        <v>22</v>
      </c>
      <c r="Q41">
        <f>SUM(Q7,Q12,Q17,Q22,Q26,Q31, Q36)</f>
        <v>22</v>
      </c>
      <c r="R41">
        <f>SUM(R7,R12,R17,R22,R26,R31, R36)</f>
        <v>22</v>
      </c>
      <c r="S41">
        <f>SUM(S7,S12,S17,S22,S26,S31, S36)</f>
        <v>26</v>
      </c>
      <c r="T41">
        <f>SUM(T7,T12,T17,T22,T26,T31, T36)</f>
        <v>26</v>
      </c>
      <c r="U41">
        <f>SUM(U7,U12,U17,U22,U26,U31, U36)</f>
        <v>26</v>
      </c>
      <c r="V41">
        <f>SUM(V7,V12,V17,V22,V26,V31, V36)</f>
        <v>26</v>
      </c>
    </row>
    <row r="42" spans="2:22" x14ac:dyDescent="0.3">
      <c r="B42" s="3" t="s">
        <v>25</v>
      </c>
      <c r="C42">
        <f>C41*Settings!$C$11</f>
        <v>90</v>
      </c>
      <c r="D42">
        <f>D41*Settings!$C$11</f>
        <v>90</v>
      </c>
      <c r="E42">
        <f>E41*Settings!$C$11</f>
        <v>100</v>
      </c>
      <c r="F42">
        <f>F41*Settings!$C$11</f>
        <v>110</v>
      </c>
      <c r="G42">
        <f>G41*Settings!$C$11</f>
        <v>140</v>
      </c>
      <c r="H42">
        <f>H41*Settings!$C$11</f>
        <v>140</v>
      </c>
      <c r="I42">
        <f>I41*Settings!$C$11</f>
        <v>140</v>
      </c>
      <c r="J42">
        <f>J41*Settings!$C$11</f>
        <v>140</v>
      </c>
      <c r="K42">
        <f>K41*Settings!$C$11</f>
        <v>180</v>
      </c>
      <c r="L42">
        <f>L41*Settings!$C$11</f>
        <v>180</v>
      </c>
      <c r="M42">
        <f>M41*Settings!$C$11</f>
        <v>180</v>
      </c>
      <c r="N42">
        <f>N41*Settings!$C$11</f>
        <v>180</v>
      </c>
      <c r="O42">
        <f>O41*Settings!$C$11</f>
        <v>220</v>
      </c>
      <c r="P42">
        <f>P41*Settings!$C$11</f>
        <v>220</v>
      </c>
      <c r="Q42">
        <f>Q41*Settings!$C$11</f>
        <v>220</v>
      </c>
      <c r="R42">
        <f>R41*Settings!$C$11</f>
        <v>220</v>
      </c>
      <c r="S42">
        <f>S41*Settings!$C$11</f>
        <v>260</v>
      </c>
      <c r="T42">
        <f>T41*Settings!$C$11</f>
        <v>260</v>
      </c>
      <c r="U42">
        <f>U41*Settings!$C$11</f>
        <v>260</v>
      </c>
      <c r="V42">
        <f>V41*Settings!$C$11</f>
        <v>260</v>
      </c>
    </row>
    <row r="43" spans="2:22" x14ac:dyDescent="0.3">
      <c r="B43" s="3" t="s">
        <v>5</v>
      </c>
      <c r="C43">
        <f>C42*Settings!$C$10</f>
        <v>1800</v>
      </c>
      <c r="D43">
        <f>D42*Settings!$C$10</f>
        <v>1800</v>
      </c>
      <c r="E43">
        <f>E42*Settings!$C$10</f>
        <v>2000</v>
      </c>
      <c r="F43">
        <f>F42*Settings!$C$10</f>
        <v>2200</v>
      </c>
      <c r="G43">
        <f>G42*Settings!$C$10</f>
        <v>2800</v>
      </c>
      <c r="H43">
        <f>H42*Settings!$C$10</f>
        <v>2800</v>
      </c>
      <c r="I43">
        <f>I42*Settings!$C$10</f>
        <v>2800</v>
      </c>
      <c r="J43">
        <f>J42*Settings!$C$10</f>
        <v>2800</v>
      </c>
      <c r="K43">
        <f>K42*Settings!$C$10</f>
        <v>3600</v>
      </c>
      <c r="L43">
        <f>L42*Settings!$C$10</f>
        <v>3600</v>
      </c>
      <c r="M43">
        <f>M42*Settings!$C$10</f>
        <v>3600</v>
      </c>
      <c r="N43">
        <f>N42*Settings!$C$10</f>
        <v>3600</v>
      </c>
      <c r="O43">
        <f>O42*Settings!$C$10</f>
        <v>4400</v>
      </c>
      <c r="P43">
        <f>P42*Settings!$C$10</f>
        <v>4400</v>
      </c>
      <c r="Q43">
        <f>Q42*Settings!$C$10</f>
        <v>4400</v>
      </c>
      <c r="R43">
        <f>R42*Settings!$C$10</f>
        <v>4400</v>
      </c>
      <c r="S43">
        <f>S42*Settings!$C$10</f>
        <v>5200</v>
      </c>
      <c r="T43">
        <f>T42*Settings!$C$10</f>
        <v>5200</v>
      </c>
      <c r="U43">
        <f>U42*Settings!$C$10</f>
        <v>5200</v>
      </c>
      <c r="V43">
        <f>V42*Settings!$C$10</f>
        <v>5200</v>
      </c>
    </row>
    <row r="44" spans="2:22" x14ac:dyDescent="0.3">
      <c r="B44" s="3" t="s">
        <v>42</v>
      </c>
      <c r="C44" s="14">
        <f>C43/C81</f>
        <v>3.325942350332594E-2</v>
      </c>
      <c r="D44" s="14">
        <f t="shared" ref="D44:V44" si="1">D43/D81</f>
        <v>5.2447552447552448E-2</v>
      </c>
      <c r="E44" s="14">
        <f t="shared" si="1"/>
        <v>4.9950049950049952E-2</v>
      </c>
      <c r="F44" s="14">
        <f t="shared" si="1"/>
        <v>2.4043085208693981E-2</v>
      </c>
      <c r="G44" s="14">
        <f t="shared" si="1"/>
        <v>2.451956538720072E-2</v>
      </c>
      <c r="H44" s="14">
        <f t="shared" si="1"/>
        <v>2.1312503101730364E-2</v>
      </c>
      <c r="I44" s="14">
        <f t="shared" si="1"/>
        <v>1.8046725550554036E-2</v>
      </c>
      <c r="J44" s="14">
        <f t="shared" si="1"/>
        <v>1.5648003962968775E-2</v>
      </c>
      <c r="K44" s="14">
        <f t="shared" si="1"/>
        <v>1.5504471575738397E-2</v>
      </c>
      <c r="L44" s="14">
        <f t="shared" si="1"/>
        <v>1.4564589179060458E-2</v>
      </c>
      <c r="M44" s="14">
        <f t="shared" si="1"/>
        <v>1.3286615624410407E-2</v>
      </c>
      <c r="N44" s="14">
        <f t="shared" si="1"/>
        <v>1.2214439965213274E-2</v>
      </c>
      <c r="O44" s="14">
        <f t="shared" si="1"/>
        <v>1.2644127245438947E-2</v>
      </c>
      <c r="P44" s="14">
        <f t="shared" si="1"/>
        <v>1.2122167201052204E-2</v>
      </c>
      <c r="Q44" s="14">
        <f t="shared" si="1"/>
        <v>1.1376978456553593E-2</v>
      </c>
      <c r="R44" s="14">
        <f t="shared" si="1"/>
        <v>1.0717860886452839E-2</v>
      </c>
      <c r="S44" s="14">
        <f t="shared" si="1"/>
        <v>1.1212111149970181E-2</v>
      </c>
      <c r="T44" s="14">
        <f t="shared" si="1"/>
        <v>1.0861211347559683E-2</v>
      </c>
      <c r="U44" s="14">
        <f t="shared" si="1"/>
        <v>1.0347383966426083E-2</v>
      </c>
      <c r="V44" s="14">
        <f t="shared" si="1"/>
        <v>9.4526549235607431E-3</v>
      </c>
    </row>
    <row r="45" spans="2:22" x14ac:dyDescent="0.3">
      <c r="B45" s="3" t="s">
        <v>90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2:22" x14ac:dyDescent="0.3">
      <c r="B46" s="2" t="s">
        <v>16</v>
      </c>
    </row>
    <row r="47" spans="2:22" x14ac:dyDescent="0.3">
      <c r="B47" s="3" t="s">
        <v>26</v>
      </c>
      <c r="C47">
        <v>1</v>
      </c>
      <c r="D47">
        <v>1</v>
      </c>
      <c r="E47">
        <v>1</v>
      </c>
      <c r="F47">
        <v>1</v>
      </c>
      <c r="G47">
        <v>2</v>
      </c>
      <c r="H47">
        <v>2</v>
      </c>
      <c r="I47">
        <v>2</v>
      </c>
      <c r="J47">
        <v>2</v>
      </c>
      <c r="K47">
        <v>3</v>
      </c>
      <c r="L47">
        <v>3</v>
      </c>
      <c r="M47">
        <v>3</v>
      </c>
      <c r="N47">
        <v>3</v>
      </c>
      <c r="O47">
        <v>4</v>
      </c>
      <c r="P47">
        <v>4</v>
      </c>
      <c r="Q47">
        <v>4</v>
      </c>
      <c r="R47">
        <v>4</v>
      </c>
      <c r="S47">
        <v>5</v>
      </c>
      <c r="T47">
        <v>5</v>
      </c>
      <c r="U47">
        <v>5</v>
      </c>
      <c r="V47">
        <v>5</v>
      </c>
    </row>
    <row r="48" spans="2:22" x14ac:dyDescent="0.3">
      <c r="B48" s="3" t="s">
        <v>5</v>
      </c>
      <c r="C48">
        <f>C47*Settings!$C$13</f>
        <v>1000</v>
      </c>
      <c r="D48">
        <f>D47*Settings!$C$13</f>
        <v>1000</v>
      </c>
      <c r="E48">
        <f>E47*Settings!$C$13</f>
        <v>1000</v>
      </c>
      <c r="F48">
        <f>F47*Settings!$C$13</f>
        <v>1000</v>
      </c>
      <c r="G48">
        <f>G47*Settings!$C$13</f>
        <v>2000</v>
      </c>
      <c r="H48">
        <f>H47*Settings!$C$13</f>
        <v>2000</v>
      </c>
      <c r="I48">
        <f>I47*Settings!$C$13</f>
        <v>2000</v>
      </c>
      <c r="J48">
        <f>J47*Settings!$C$13</f>
        <v>2000</v>
      </c>
      <c r="K48">
        <f>K47*Settings!$C$13</f>
        <v>3000</v>
      </c>
      <c r="L48">
        <f>L47*Settings!$C$13</f>
        <v>3000</v>
      </c>
      <c r="M48">
        <f>M47*Settings!$C$13</f>
        <v>3000</v>
      </c>
      <c r="N48">
        <f>N47*Settings!$C$13</f>
        <v>3000</v>
      </c>
      <c r="O48">
        <f>O47*Settings!$C$13</f>
        <v>4000</v>
      </c>
      <c r="P48">
        <f>P47*Settings!$C$13</f>
        <v>4000</v>
      </c>
      <c r="Q48">
        <f>Q47*Settings!$C$13</f>
        <v>4000</v>
      </c>
      <c r="R48">
        <f>R47*Settings!$C$13</f>
        <v>4000</v>
      </c>
      <c r="S48">
        <f>S47*Settings!$C$13</f>
        <v>5000</v>
      </c>
      <c r="T48">
        <f>T47*Settings!$C$13</f>
        <v>5000</v>
      </c>
      <c r="U48">
        <f>U47*Settings!$C$13</f>
        <v>5000</v>
      </c>
      <c r="V48">
        <f>V47*Settings!$C$13</f>
        <v>5000</v>
      </c>
    </row>
    <row r="49" spans="2:22" x14ac:dyDescent="0.3">
      <c r="B49" s="3" t="s">
        <v>89</v>
      </c>
      <c r="C49" s="14">
        <f>C48/C81</f>
        <v>1.8477457501847747E-2</v>
      </c>
      <c r="D49" s="14">
        <f t="shared" ref="D49:V49" si="2">D48/D81</f>
        <v>2.9137529137529136E-2</v>
      </c>
      <c r="E49" s="14">
        <f t="shared" si="2"/>
        <v>2.4975024975024976E-2</v>
      </c>
      <c r="F49" s="14">
        <f t="shared" si="2"/>
        <v>1.0928675094860901E-2</v>
      </c>
      <c r="G49" s="14">
        <f t="shared" si="2"/>
        <v>1.7513975276571944E-2</v>
      </c>
      <c r="H49" s="14">
        <f t="shared" si="2"/>
        <v>1.5223216501235972E-2</v>
      </c>
      <c r="I49" s="14">
        <f t="shared" si="2"/>
        <v>1.2890518250395741E-2</v>
      </c>
      <c r="J49" s="14">
        <f t="shared" si="2"/>
        <v>1.1177145687834839E-2</v>
      </c>
      <c r="K49" s="14">
        <f t="shared" si="2"/>
        <v>1.2920392979781998E-2</v>
      </c>
      <c r="L49" s="14">
        <f t="shared" si="2"/>
        <v>1.2137157649217049E-2</v>
      </c>
      <c r="M49" s="14">
        <f t="shared" si="2"/>
        <v>1.1072179687008672E-2</v>
      </c>
      <c r="N49" s="14">
        <f t="shared" si="2"/>
        <v>1.0178699971011063E-2</v>
      </c>
      <c r="O49" s="14">
        <f t="shared" si="2"/>
        <v>1.1494661132217225E-2</v>
      </c>
      <c r="P49" s="14">
        <f t="shared" si="2"/>
        <v>1.1020152000956549E-2</v>
      </c>
      <c r="Q49" s="14">
        <f t="shared" si="2"/>
        <v>1.0342707687775994E-2</v>
      </c>
      <c r="R49" s="14">
        <f t="shared" si="2"/>
        <v>9.7435098967753077E-3</v>
      </c>
      <c r="S49" s="14">
        <f t="shared" si="2"/>
        <v>1.0780876105740557E-2</v>
      </c>
      <c r="T49" s="14">
        <f t="shared" si="2"/>
        <v>1.0443472449576618E-2</v>
      </c>
      <c r="U49" s="14">
        <f t="shared" si="2"/>
        <v>9.9494076600250784E-3</v>
      </c>
      <c r="V49" s="14">
        <f t="shared" si="2"/>
        <v>9.0890912726545592E-3</v>
      </c>
    </row>
    <row r="50" spans="2:22" x14ac:dyDescent="0.3">
      <c r="B50" s="3" t="s">
        <v>90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2:22" x14ac:dyDescent="0.3">
      <c r="B51" s="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2:22" x14ac:dyDescent="0.3">
      <c r="B52" s="3" t="s">
        <v>51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2:22" x14ac:dyDescent="0.3">
      <c r="B53" s="3" t="s">
        <v>29</v>
      </c>
      <c r="C53" s="17">
        <v>0</v>
      </c>
      <c r="D53" s="17">
        <v>0</v>
      </c>
      <c r="E53" s="17">
        <v>0</v>
      </c>
      <c r="F53" s="8">
        <f>Settings!$C$19</f>
        <v>500</v>
      </c>
      <c r="G53" s="17">
        <f>F53+Settings!$C$19</f>
        <v>1000</v>
      </c>
      <c r="H53" s="17">
        <f>G53+Settings!$C$19</f>
        <v>1500</v>
      </c>
      <c r="I53" s="17">
        <f>H53+Settings!$C$19</f>
        <v>2000</v>
      </c>
      <c r="J53" s="17">
        <f>I53+Settings!$C$19</f>
        <v>2500</v>
      </c>
      <c r="K53" s="17">
        <f>J53+Settings!$C$19</f>
        <v>3000</v>
      </c>
      <c r="L53" s="17">
        <f>K53+Settings!$C$19</f>
        <v>3500</v>
      </c>
      <c r="M53" s="17">
        <f>L53+Settings!$C$19</f>
        <v>4000</v>
      </c>
      <c r="N53" s="17">
        <f>M53+Settings!$C$19</f>
        <v>4500</v>
      </c>
      <c r="O53" s="17">
        <f>N53+Settings!$C$19</f>
        <v>5000</v>
      </c>
      <c r="P53" s="17">
        <f>O53+Settings!$C$19</f>
        <v>5500</v>
      </c>
      <c r="Q53" s="17">
        <f>P53+Settings!$C$19</f>
        <v>6000</v>
      </c>
      <c r="R53" s="17">
        <f>Q53+Settings!$C$19</f>
        <v>6500</v>
      </c>
      <c r="S53" s="17">
        <f>R53+Settings!$C$19</f>
        <v>7000</v>
      </c>
      <c r="T53" s="17">
        <f>S53+Settings!$C$19</f>
        <v>7500</v>
      </c>
      <c r="U53" s="17">
        <f>T53+Settings!$C$19</f>
        <v>8000</v>
      </c>
      <c r="V53" s="17">
        <f>U53+Settings!$C$19</f>
        <v>8500</v>
      </c>
    </row>
    <row r="54" spans="2:22" x14ac:dyDescent="0.3">
      <c r="B54" s="3" t="s">
        <v>5</v>
      </c>
      <c r="C54" s="8">
        <f>C53*Settings!$C$17</f>
        <v>0</v>
      </c>
      <c r="D54" s="8">
        <f>(D53-C53)*Settings!$C$17</f>
        <v>0</v>
      </c>
      <c r="E54" s="8">
        <f>(E53-D53)*Settings!$C$17</f>
        <v>0</v>
      </c>
      <c r="F54" s="8">
        <f>(F53-E53)*Settings!$C$17</f>
        <v>25000</v>
      </c>
      <c r="G54" s="8">
        <f>(G53-F53)*Settings!$C$17</f>
        <v>25000</v>
      </c>
      <c r="H54" s="8">
        <f>(H53-G53)*Settings!$C$17</f>
        <v>25000</v>
      </c>
      <c r="I54" s="8">
        <f>(I53-H53)*Settings!$C$17</f>
        <v>25000</v>
      </c>
      <c r="J54" s="8">
        <f>(J53-I53)*Settings!$C$17</f>
        <v>25000</v>
      </c>
      <c r="K54" s="8">
        <f>(K53-J53)*Settings!$C$17</f>
        <v>25000</v>
      </c>
      <c r="L54" s="8">
        <f>(L53-K53)*Settings!$C$17</f>
        <v>25000</v>
      </c>
      <c r="M54" s="8">
        <f>(M53-L53)*Settings!$C$17</f>
        <v>25000</v>
      </c>
      <c r="N54" s="8">
        <f>(N53-M53)*Settings!$C$17</f>
        <v>25000</v>
      </c>
      <c r="O54" s="8">
        <f>(O53-N53)*Settings!$C$17</f>
        <v>25000</v>
      </c>
      <c r="P54" s="8">
        <f>(P53-O53)*Settings!$C$17</f>
        <v>25000</v>
      </c>
      <c r="Q54" s="8">
        <f>(Q53-P53)*Settings!$C$17</f>
        <v>25000</v>
      </c>
      <c r="R54" s="8">
        <f>(R53-Q53)*Settings!$C$17</f>
        <v>25000</v>
      </c>
      <c r="S54" s="8">
        <f>(S53-R53)*Settings!$C$17</f>
        <v>25000</v>
      </c>
      <c r="T54" s="8">
        <f>(T53-S53)*Settings!$C$17</f>
        <v>25000</v>
      </c>
      <c r="U54" s="8">
        <f>(U53-T53)*Settings!$C$17</f>
        <v>25000</v>
      </c>
      <c r="V54" s="8">
        <f>(V53-U53)*Settings!$C$17</f>
        <v>25000</v>
      </c>
    </row>
    <row r="55" spans="2:22" x14ac:dyDescent="0.3">
      <c r="B55" s="3" t="s">
        <v>89</v>
      </c>
      <c r="C55" s="14">
        <f>C54/C81</f>
        <v>0</v>
      </c>
      <c r="D55" s="14">
        <f t="shared" ref="D55:V55" si="3">D54/D81</f>
        <v>0</v>
      </c>
      <c r="E55" s="14">
        <f t="shared" si="3"/>
        <v>0</v>
      </c>
      <c r="F55" s="14">
        <f t="shared" si="3"/>
        <v>0.2732168773715225</v>
      </c>
      <c r="G55" s="14">
        <f t="shared" si="3"/>
        <v>0.21892469095714928</v>
      </c>
      <c r="H55" s="14">
        <f t="shared" si="3"/>
        <v>0.19029020626544965</v>
      </c>
      <c r="I55" s="14">
        <f t="shared" si="3"/>
        <v>0.16113147812994674</v>
      </c>
      <c r="J55" s="14">
        <f t="shared" si="3"/>
        <v>0.1397143210979355</v>
      </c>
      <c r="K55" s="14">
        <f t="shared" si="3"/>
        <v>0.10766994149818332</v>
      </c>
      <c r="L55" s="14">
        <f t="shared" si="3"/>
        <v>0.10114298041014207</v>
      </c>
      <c r="M55" s="14">
        <f t="shared" si="3"/>
        <v>9.22681640584056E-2</v>
      </c>
      <c r="N55" s="14">
        <f t="shared" si="3"/>
        <v>8.4822499758425526E-2</v>
      </c>
      <c r="O55" s="14">
        <f t="shared" si="3"/>
        <v>7.1841632076357645E-2</v>
      </c>
      <c r="P55" s="14">
        <f t="shared" si="3"/>
        <v>6.8875950005978431E-2</v>
      </c>
      <c r="Q55" s="14">
        <f t="shared" si="3"/>
        <v>6.4641923048599961E-2</v>
      </c>
      <c r="R55" s="14">
        <f t="shared" si="3"/>
        <v>6.0896936854845672E-2</v>
      </c>
      <c r="S55" s="14">
        <f t="shared" si="3"/>
        <v>5.3904380528702785E-2</v>
      </c>
      <c r="T55" s="14">
        <f t="shared" si="3"/>
        <v>5.2217362247883092E-2</v>
      </c>
      <c r="U55" s="14">
        <f t="shared" si="3"/>
        <v>4.9747038300125397E-2</v>
      </c>
      <c r="V55" s="14">
        <f t="shared" si="3"/>
        <v>4.5445456363272803E-2</v>
      </c>
    </row>
    <row r="56" spans="2:22" x14ac:dyDescent="0.3">
      <c r="B56" s="3" t="s">
        <v>90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2:22" x14ac:dyDescent="0.3">
      <c r="B57" s="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2:22" x14ac:dyDescent="0.3">
      <c r="B58" s="2" t="s">
        <v>27</v>
      </c>
    </row>
    <row r="59" spans="2:22" x14ac:dyDescent="0.3">
      <c r="B59" s="4" t="s">
        <v>28</v>
      </c>
    </row>
    <row r="60" spans="2:22" x14ac:dyDescent="0.3">
      <c r="B60" s="3" t="s">
        <v>29</v>
      </c>
      <c r="C60">
        <f>C41</f>
        <v>9</v>
      </c>
      <c r="D60">
        <f>IF(D41&lt;&gt;C41,D41-C41,0)</f>
        <v>0</v>
      </c>
      <c r="E60">
        <f t="shared" ref="E60:V60" si="4">IF(E41&lt;&gt;D41,E41-D41,0)</f>
        <v>1</v>
      </c>
      <c r="F60">
        <f t="shared" si="4"/>
        <v>1</v>
      </c>
      <c r="G60">
        <f t="shared" si="4"/>
        <v>3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4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4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4</v>
      </c>
      <c r="T60">
        <f t="shared" si="4"/>
        <v>0</v>
      </c>
      <c r="U60">
        <f t="shared" si="4"/>
        <v>0</v>
      </c>
      <c r="V60">
        <f t="shared" si="4"/>
        <v>0</v>
      </c>
    </row>
    <row r="61" spans="2:22" x14ac:dyDescent="0.3">
      <c r="B61" s="3" t="s">
        <v>5</v>
      </c>
      <c r="C61">
        <f>C60*Settings!$C$14</f>
        <v>18000</v>
      </c>
      <c r="D61">
        <f>D60*Settings!$C$14</f>
        <v>0</v>
      </c>
      <c r="E61">
        <f>E60*Settings!$C$14</f>
        <v>2000</v>
      </c>
      <c r="F61">
        <f>F60*Settings!$C$14</f>
        <v>2000</v>
      </c>
      <c r="G61">
        <f>G60*Settings!$C$14</f>
        <v>6000</v>
      </c>
      <c r="H61">
        <f>H60*Settings!$C$14</f>
        <v>0</v>
      </c>
      <c r="I61">
        <f>I60*Settings!$C$14</f>
        <v>0</v>
      </c>
      <c r="J61">
        <f>J60*Settings!$C$14</f>
        <v>0</v>
      </c>
      <c r="K61">
        <f>K60*Settings!$C$14</f>
        <v>8000</v>
      </c>
      <c r="L61">
        <f>L60*Settings!$C$14</f>
        <v>0</v>
      </c>
      <c r="M61">
        <f>M60*Settings!$C$14</f>
        <v>0</v>
      </c>
      <c r="N61">
        <f>N60*Settings!$C$14</f>
        <v>0</v>
      </c>
      <c r="O61">
        <f>O60*Settings!$C$14</f>
        <v>8000</v>
      </c>
      <c r="P61">
        <f>P60*Settings!$C$14</f>
        <v>0</v>
      </c>
      <c r="Q61">
        <f>Q60*Settings!$C$14</f>
        <v>0</v>
      </c>
      <c r="R61">
        <f>R60*Settings!$C$14</f>
        <v>0</v>
      </c>
      <c r="S61">
        <f>S60*Settings!$C$14</f>
        <v>8000</v>
      </c>
      <c r="T61">
        <f>T60*Settings!$C$14</f>
        <v>0</v>
      </c>
      <c r="U61">
        <f>U60*Settings!$C$14</f>
        <v>0</v>
      </c>
      <c r="V61">
        <f>V60*Settings!$C$14</f>
        <v>0</v>
      </c>
    </row>
    <row r="62" spans="2:22" x14ac:dyDescent="0.3">
      <c r="B62" s="3" t="s">
        <v>89</v>
      </c>
      <c r="C62" s="14">
        <f>C61/C81</f>
        <v>0.33259423503325941</v>
      </c>
      <c r="D62" s="14">
        <f t="shared" ref="D62:V62" si="5">D61/D81</f>
        <v>0</v>
      </c>
      <c r="E62" s="14">
        <f t="shared" si="5"/>
        <v>4.9950049950049952E-2</v>
      </c>
      <c r="F62" s="14">
        <f t="shared" si="5"/>
        <v>2.1857350189721802E-2</v>
      </c>
      <c r="G62" s="14">
        <f t="shared" si="5"/>
        <v>5.2541925829715827E-2</v>
      </c>
      <c r="H62" s="14">
        <f t="shared" si="5"/>
        <v>0</v>
      </c>
      <c r="I62" s="14">
        <f t="shared" si="5"/>
        <v>0</v>
      </c>
      <c r="J62" s="14">
        <f t="shared" si="5"/>
        <v>0</v>
      </c>
      <c r="K62" s="14">
        <f t="shared" si="5"/>
        <v>3.4454381279418661E-2</v>
      </c>
      <c r="L62" s="14">
        <f t="shared" si="5"/>
        <v>0</v>
      </c>
      <c r="M62" s="14">
        <f t="shared" si="5"/>
        <v>0</v>
      </c>
      <c r="N62" s="14">
        <f t="shared" si="5"/>
        <v>0</v>
      </c>
      <c r="O62" s="14">
        <f t="shared" si="5"/>
        <v>2.298932226443445E-2</v>
      </c>
      <c r="P62" s="14">
        <f t="shared" si="5"/>
        <v>0</v>
      </c>
      <c r="Q62" s="14">
        <f t="shared" si="5"/>
        <v>0</v>
      </c>
      <c r="R62" s="14">
        <f t="shared" si="5"/>
        <v>0</v>
      </c>
      <c r="S62" s="14">
        <f t="shared" si="5"/>
        <v>1.724940176918489E-2</v>
      </c>
      <c r="T62" s="14">
        <f t="shared" si="5"/>
        <v>0</v>
      </c>
      <c r="U62" s="14">
        <f t="shared" si="5"/>
        <v>0</v>
      </c>
      <c r="V62" s="14">
        <f t="shared" si="5"/>
        <v>0</v>
      </c>
    </row>
    <row r="63" spans="2:22" x14ac:dyDescent="0.3">
      <c r="B63" s="3" t="s">
        <v>90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2:22" x14ac:dyDescent="0.3">
      <c r="B64" s="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2:22" x14ac:dyDescent="0.3">
      <c r="B65" s="2" t="s">
        <v>32</v>
      </c>
    </row>
    <row r="66" spans="2:22" x14ac:dyDescent="0.3">
      <c r="B66" s="3" t="s">
        <v>29</v>
      </c>
      <c r="C66">
        <v>0</v>
      </c>
      <c r="D66">
        <v>0</v>
      </c>
      <c r="E66">
        <v>0</v>
      </c>
      <c r="F66">
        <f>G66</f>
        <v>2573</v>
      </c>
      <c r="G66">
        <f t="shared" ref="G66:V66" si="6">G84</f>
        <v>2573</v>
      </c>
      <c r="H66">
        <f t="shared" si="6"/>
        <v>5147</v>
      </c>
      <c r="I66">
        <f t="shared" si="6"/>
        <v>7720</v>
      </c>
      <c r="J66">
        <f t="shared" si="6"/>
        <v>10294</v>
      </c>
      <c r="K66">
        <f t="shared" si="6"/>
        <v>12867</v>
      </c>
      <c r="L66">
        <f t="shared" si="6"/>
        <v>15441</v>
      </c>
      <c r="M66">
        <f t="shared" si="6"/>
        <v>18014</v>
      </c>
      <c r="N66">
        <f t="shared" si="6"/>
        <v>20588</v>
      </c>
      <c r="O66">
        <f t="shared" si="6"/>
        <v>23161</v>
      </c>
      <c r="P66">
        <f t="shared" si="6"/>
        <v>25735</v>
      </c>
      <c r="Q66">
        <f t="shared" si="6"/>
        <v>28308</v>
      </c>
      <c r="R66">
        <f t="shared" si="6"/>
        <v>30882</v>
      </c>
      <c r="S66">
        <f t="shared" si="6"/>
        <v>33455</v>
      </c>
      <c r="T66">
        <f t="shared" si="6"/>
        <v>36029</v>
      </c>
      <c r="U66">
        <f t="shared" si="6"/>
        <v>38602</v>
      </c>
      <c r="V66">
        <f t="shared" si="6"/>
        <v>43750</v>
      </c>
    </row>
    <row r="67" spans="2:22" x14ac:dyDescent="0.3">
      <c r="B67" s="3" t="s">
        <v>5</v>
      </c>
      <c r="C67">
        <f>C66*Settings!$C$15</f>
        <v>0</v>
      </c>
      <c r="D67">
        <f>D66*Settings!$C$15</f>
        <v>0</v>
      </c>
      <c r="E67">
        <f>E66*Settings!$C$15</f>
        <v>0</v>
      </c>
      <c r="F67">
        <f>F66*Settings!$C$15</f>
        <v>20584</v>
      </c>
      <c r="G67">
        <f>G66*Settings!$C$15</f>
        <v>20584</v>
      </c>
      <c r="H67">
        <f>H66*Settings!$C$15</f>
        <v>41176</v>
      </c>
      <c r="I67">
        <f>I66*Settings!$C$15</f>
        <v>61760</v>
      </c>
      <c r="J67">
        <f>J66*Settings!$C$15</f>
        <v>82352</v>
      </c>
      <c r="K67">
        <f>K66*Settings!$C$15</f>
        <v>102936</v>
      </c>
      <c r="L67">
        <f>L66*Settings!$C$15</f>
        <v>123528</v>
      </c>
      <c r="M67">
        <f>M66*Settings!$C$15</f>
        <v>144112</v>
      </c>
      <c r="N67">
        <f>N66*Settings!$C$15</f>
        <v>164704</v>
      </c>
      <c r="O67">
        <f>O66*Settings!$C$15</f>
        <v>185288</v>
      </c>
      <c r="P67">
        <f>P66*Settings!$C$15</f>
        <v>205880</v>
      </c>
      <c r="Q67">
        <f>Q66*Settings!$C$15</f>
        <v>226464</v>
      </c>
      <c r="R67">
        <f>R66*Settings!$C$15</f>
        <v>247056</v>
      </c>
      <c r="S67">
        <f>S66*Settings!$C$15</f>
        <v>267640</v>
      </c>
      <c r="T67">
        <f>T66*Settings!$C$15</f>
        <v>288232</v>
      </c>
      <c r="U67">
        <f>U66*Settings!$C$15</f>
        <v>308816</v>
      </c>
      <c r="V67">
        <f>V66*Settings!$C$15</f>
        <v>350000</v>
      </c>
    </row>
    <row r="68" spans="2:22" x14ac:dyDescent="0.3">
      <c r="B68" s="3" t="s">
        <v>89</v>
      </c>
      <c r="C68" s="14">
        <f>C67/C81</f>
        <v>0</v>
      </c>
      <c r="D68" s="14">
        <f t="shared" ref="D68:V68" si="7">D67/D81</f>
        <v>0</v>
      </c>
      <c r="E68" s="14">
        <f t="shared" si="7"/>
        <v>0</v>
      </c>
      <c r="F68" s="14">
        <f t="shared" si="7"/>
        <v>0.22495584815261677</v>
      </c>
      <c r="G68" s="14">
        <f t="shared" si="7"/>
        <v>0.18025383354647842</v>
      </c>
      <c r="H68" s="14">
        <f t="shared" si="7"/>
        <v>0.31341558132744624</v>
      </c>
      <c r="I68" s="14">
        <f t="shared" si="7"/>
        <v>0.39805920357222047</v>
      </c>
      <c r="J68" s="14">
        <f t="shared" si="7"/>
        <v>0.46023015084228736</v>
      </c>
      <c r="K68" s="14">
        <f t="shared" si="7"/>
        <v>0.44332452392227989</v>
      </c>
      <c r="L68" s="14">
        <f t="shared" si="7"/>
        <v>0.4997596033641612</v>
      </c>
      <c r="M68" s="14">
        <f t="shared" si="7"/>
        <v>0.53187798635139794</v>
      </c>
      <c r="N68" s="14">
        <f t="shared" si="7"/>
        <v>0.55882420000846866</v>
      </c>
      <c r="O68" s="14">
        <f t="shared" si="7"/>
        <v>0.53245569296656625</v>
      </c>
      <c r="P68" s="14">
        <f t="shared" si="7"/>
        <v>0.56720722348923358</v>
      </c>
      <c r="Q68" s="14">
        <f t="shared" si="7"/>
        <v>0.58556273845112572</v>
      </c>
      <c r="R68" s="14">
        <f t="shared" si="7"/>
        <v>0.6017981452644301</v>
      </c>
      <c r="S68" s="14">
        <f t="shared" si="7"/>
        <v>0.57707873618808059</v>
      </c>
      <c r="T68" s="14">
        <f t="shared" si="7"/>
        <v>0.60202859021727362</v>
      </c>
      <c r="U68" s="14">
        <f t="shared" si="7"/>
        <v>0.61450725518766103</v>
      </c>
      <c r="V68" s="14">
        <f t="shared" si="7"/>
        <v>0.63623638908581925</v>
      </c>
    </row>
    <row r="69" spans="2:22" x14ac:dyDescent="0.3">
      <c r="B69" s="3" t="s">
        <v>90</v>
      </c>
      <c r="C69" s="14">
        <f>IF(C86 &gt; 0, C67/C86,0)</f>
        <v>0</v>
      </c>
      <c r="D69" s="14">
        <f t="shared" ref="D69:V69" si="8">IF(D86 &gt; 0, D67/D86,0)</f>
        <v>0</v>
      </c>
      <c r="E69" s="14">
        <f t="shared" si="8"/>
        <v>0</v>
      </c>
      <c r="F69" s="14">
        <f t="shared" si="8"/>
        <v>0</v>
      </c>
      <c r="G69" s="14">
        <f t="shared" si="8"/>
        <v>0.4</v>
      </c>
      <c r="H69" s="14">
        <f t="shared" si="8"/>
        <v>0.4</v>
      </c>
      <c r="I69" s="14">
        <f t="shared" si="8"/>
        <v>0.4</v>
      </c>
      <c r="J69" s="14">
        <f t="shared" si="8"/>
        <v>0.4</v>
      </c>
      <c r="K69" s="14">
        <f t="shared" si="8"/>
        <v>0.4</v>
      </c>
      <c r="L69" s="14">
        <f t="shared" si="8"/>
        <v>0.4</v>
      </c>
      <c r="M69" s="14">
        <f t="shared" si="8"/>
        <v>0.4</v>
      </c>
      <c r="N69" s="14">
        <f t="shared" si="8"/>
        <v>0.4</v>
      </c>
      <c r="O69" s="14">
        <f t="shared" si="8"/>
        <v>0.4</v>
      </c>
      <c r="P69" s="14">
        <f t="shared" si="8"/>
        <v>0.4</v>
      </c>
      <c r="Q69" s="14">
        <f t="shared" si="8"/>
        <v>0.4</v>
      </c>
      <c r="R69" s="14">
        <f t="shared" si="8"/>
        <v>0.4</v>
      </c>
      <c r="S69" s="14">
        <f t="shared" si="8"/>
        <v>0.4</v>
      </c>
      <c r="T69" s="14">
        <f t="shared" si="8"/>
        <v>0.4</v>
      </c>
      <c r="U69" s="14">
        <f t="shared" si="8"/>
        <v>0.4</v>
      </c>
      <c r="V69" s="14">
        <f t="shared" si="8"/>
        <v>0.4</v>
      </c>
    </row>
    <row r="70" spans="2:22" x14ac:dyDescent="0.3">
      <c r="B70" s="3" t="s">
        <v>91</v>
      </c>
      <c r="C70" s="14">
        <f>C69+C20</f>
        <v>0</v>
      </c>
      <c r="D70" s="14">
        <f t="shared" ref="D70:V70" si="9">D69+D20</f>
        <v>0</v>
      </c>
      <c r="E70" s="14">
        <f t="shared" si="9"/>
        <v>0</v>
      </c>
      <c r="F70" s="14">
        <f t="shared" si="9"/>
        <v>0</v>
      </c>
      <c r="G70" s="14">
        <f t="shared" si="9"/>
        <v>0.51659541391371944</v>
      </c>
      <c r="H70" s="14">
        <f t="shared" si="9"/>
        <v>0.45828638041577618</v>
      </c>
      <c r="I70" s="14">
        <f t="shared" si="9"/>
        <v>0.43886010362694305</v>
      </c>
      <c r="J70" s="14">
        <f t="shared" si="9"/>
        <v>0.4291431902078881</v>
      </c>
      <c r="K70" s="14">
        <f t="shared" si="9"/>
        <v>0.43497318722312894</v>
      </c>
      <c r="L70" s="14">
        <f t="shared" si="9"/>
        <v>0.4291431902078881</v>
      </c>
      <c r="M70" s="14">
        <f t="shared" si="9"/>
        <v>0.42498057066725881</v>
      </c>
      <c r="N70" s="14">
        <f t="shared" si="9"/>
        <v>0.4218573926559161</v>
      </c>
      <c r="O70" s="14">
        <f t="shared" si="9"/>
        <v>0.42590561720132986</v>
      </c>
      <c r="P70" s="14">
        <f t="shared" si="9"/>
        <v>0.42331455216631048</v>
      </c>
      <c r="Q70" s="14">
        <f t="shared" si="9"/>
        <v>0.42119542178889363</v>
      </c>
      <c r="R70" s="14">
        <f t="shared" si="9"/>
        <v>0.41942879347192541</v>
      </c>
      <c r="S70" s="14">
        <f t="shared" si="9"/>
        <v>0.42241817366611867</v>
      </c>
      <c r="T70" s="14">
        <f t="shared" si="9"/>
        <v>0.42081656443420579</v>
      </c>
      <c r="U70" s="14">
        <f t="shared" si="9"/>
        <v>0.41942904512719548</v>
      </c>
      <c r="V70" s="14">
        <f t="shared" si="9"/>
        <v>0.41714285714285715</v>
      </c>
    </row>
    <row r="71" spans="2:22" x14ac:dyDescent="0.3">
      <c r="B71" s="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2:22" x14ac:dyDescent="0.3">
      <c r="B72" s="3" t="s">
        <v>92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2:22" x14ac:dyDescent="0.3">
      <c r="B73" s="3" t="s">
        <v>5</v>
      </c>
      <c r="C73" s="8">
        <f>C86*Settings!$C$20</f>
        <v>0</v>
      </c>
      <c r="D73" s="8">
        <f>D86*Settings!$C$20</f>
        <v>0</v>
      </c>
      <c r="E73" s="8">
        <f>E86*Settings!$C$20</f>
        <v>0</v>
      </c>
      <c r="F73" s="8">
        <f>F86*Settings!$C$20</f>
        <v>0</v>
      </c>
      <c r="G73" s="8">
        <f>G86*Settings!$C$20</f>
        <v>1029.2</v>
      </c>
      <c r="H73" s="8">
        <f>H86*Settings!$C$20</f>
        <v>2058.8000000000002</v>
      </c>
      <c r="I73" s="8">
        <f>I86*Settings!$C$20</f>
        <v>3088</v>
      </c>
      <c r="J73" s="8">
        <f>J86*Settings!$C$20</f>
        <v>4117.6000000000004</v>
      </c>
      <c r="K73" s="8">
        <f>K86*Settings!$C$20</f>
        <v>5146.8</v>
      </c>
      <c r="L73" s="8">
        <f>L86*Settings!$C$20</f>
        <v>6176.4000000000005</v>
      </c>
      <c r="M73" s="8">
        <f>M86*Settings!$C$20</f>
        <v>7205.6</v>
      </c>
      <c r="N73" s="8">
        <f>N86*Settings!$C$20</f>
        <v>8235.2000000000007</v>
      </c>
      <c r="O73" s="8">
        <f>O86*Settings!$C$20</f>
        <v>9264.4</v>
      </c>
      <c r="P73" s="8">
        <f>P86*Settings!$C$20</f>
        <v>10294</v>
      </c>
      <c r="Q73" s="8">
        <f>Q86*Settings!$C$20</f>
        <v>11323.2</v>
      </c>
      <c r="R73" s="8">
        <f>R86*Settings!$C$20</f>
        <v>12352.800000000001</v>
      </c>
      <c r="S73" s="8">
        <f>S86*Settings!$C$20</f>
        <v>13382</v>
      </c>
      <c r="T73" s="8">
        <f>T86*Settings!$C$20</f>
        <v>14411.6</v>
      </c>
      <c r="U73" s="8">
        <f>U86*Settings!$C$20</f>
        <v>15440.800000000001</v>
      </c>
      <c r="V73" s="8">
        <f>V86*Settings!$C$20</f>
        <v>17500</v>
      </c>
    </row>
    <row r="74" spans="2:22" x14ac:dyDescent="0.3">
      <c r="B74" s="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2:22" x14ac:dyDescent="0.3">
      <c r="B75" s="6" t="s">
        <v>31</v>
      </c>
      <c r="C75" s="8">
        <f>SUM(C8,C13,C18,C23,C27,C32,C43,C48,C61,C67,C54,C73)</f>
        <v>49200</v>
      </c>
      <c r="D75" s="8">
        <f t="shared" ref="D75:V75" si="10">SUM(D8,D13,D18,D23,D27,D32,D43,D48,D61,D67,D54,D73)</f>
        <v>31200</v>
      </c>
      <c r="E75" s="8">
        <f t="shared" si="10"/>
        <v>36400</v>
      </c>
      <c r="F75" s="8">
        <f t="shared" si="10"/>
        <v>83184</v>
      </c>
      <c r="G75" s="8">
        <f t="shared" si="10"/>
        <v>103813.2</v>
      </c>
      <c r="H75" s="8">
        <f t="shared" si="10"/>
        <v>119434.8</v>
      </c>
      <c r="I75" s="8">
        <f t="shared" si="10"/>
        <v>141048</v>
      </c>
      <c r="J75" s="8">
        <f t="shared" si="10"/>
        <v>162669.6</v>
      </c>
      <c r="K75" s="8">
        <f t="shared" si="10"/>
        <v>211082.8</v>
      </c>
      <c r="L75" s="8">
        <f t="shared" si="10"/>
        <v>224704.4</v>
      </c>
      <c r="M75" s="8">
        <f t="shared" si="10"/>
        <v>246317.6</v>
      </c>
      <c r="N75" s="8">
        <f t="shared" si="10"/>
        <v>267939.20000000001</v>
      </c>
      <c r="O75" s="8">
        <f t="shared" si="10"/>
        <v>316352.40000000002</v>
      </c>
      <c r="P75" s="8">
        <f t="shared" si="10"/>
        <v>329974</v>
      </c>
      <c r="Q75" s="8">
        <f t="shared" si="10"/>
        <v>351587.2</v>
      </c>
      <c r="R75" s="8">
        <f t="shared" si="10"/>
        <v>373208.8</v>
      </c>
      <c r="S75" s="8">
        <f t="shared" si="10"/>
        <v>421622</v>
      </c>
      <c r="T75" s="8">
        <f t="shared" si="10"/>
        <v>435243.6</v>
      </c>
      <c r="U75" s="8">
        <f t="shared" si="10"/>
        <v>456856.8</v>
      </c>
      <c r="V75" s="8">
        <f t="shared" si="10"/>
        <v>500100</v>
      </c>
    </row>
    <row r="76" spans="2:22" x14ac:dyDescent="0.3">
      <c r="B76" s="3"/>
    </row>
    <row r="77" spans="2:22" x14ac:dyDescent="0.3">
      <c r="B77" s="2" t="s">
        <v>30</v>
      </c>
    </row>
    <row r="78" spans="2:22" x14ac:dyDescent="0.3">
      <c r="B78" s="4" t="s">
        <v>15</v>
      </c>
      <c r="C78">
        <f>C75*Settings!$C$12</f>
        <v>4920</v>
      </c>
      <c r="D78">
        <f>D75*Settings!$C$12</f>
        <v>3120</v>
      </c>
      <c r="E78">
        <f>E75*Settings!$C$12</f>
        <v>3640</v>
      </c>
      <c r="F78">
        <f>F75*Settings!$C$12</f>
        <v>8318.4</v>
      </c>
      <c r="G78">
        <f>G75*Settings!$C$12</f>
        <v>10381.32</v>
      </c>
      <c r="H78">
        <f>H75*Settings!$C$12</f>
        <v>11943.480000000001</v>
      </c>
      <c r="I78">
        <f>I75*Settings!$C$12</f>
        <v>14104.800000000001</v>
      </c>
      <c r="J78">
        <f>J75*Settings!$C$12</f>
        <v>16266.960000000001</v>
      </c>
      <c r="K78">
        <f>K75*Settings!$C$12</f>
        <v>21108.28</v>
      </c>
      <c r="L78">
        <f>L75*Settings!$C$12</f>
        <v>22470.440000000002</v>
      </c>
      <c r="M78">
        <f>M75*Settings!$C$12</f>
        <v>24631.760000000002</v>
      </c>
      <c r="N78">
        <f>N75*Settings!$C$12</f>
        <v>26793.920000000002</v>
      </c>
      <c r="O78">
        <f>O75*Settings!$C$12</f>
        <v>31635.240000000005</v>
      </c>
      <c r="P78">
        <f>P75*Settings!$C$12</f>
        <v>32997.4</v>
      </c>
      <c r="Q78">
        <f>Q75*Settings!$C$12</f>
        <v>35158.720000000001</v>
      </c>
      <c r="R78">
        <f>R75*Settings!$C$12</f>
        <v>37320.879999999997</v>
      </c>
      <c r="S78">
        <f>S75*Settings!$C$12</f>
        <v>42162.200000000004</v>
      </c>
      <c r="T78">
        <f>T75*Settings!$C$12</f>
        <v>43524.36</v>
      </c>
      <c r="U78">
        <f>U75*Settings!$C$12</f>
        <v>45685.68</v>
      </c>
      <c r="V78">
        <f>V75*Settings!$C$12</f>
        <v>50010</v>
      </c>
    </row>
    <row r="79" spans="2:22" x14ac:dyDescent="0.3">
      <c r="B79" s="3" t="s">
        <v>42</v>
      </c>
      <c r="C79" s="14">
        <f>C78/C81</f>
        <v>9.0909090909090912E-2</v>
      </c>
      <c r="D79" s="14">
        <f t="shared" ref="D79:V79" si="11">D78/D81</f>
        <v>9.0909090909090912E-2</v>
      </c>
      <c r="E79" s="14">
        <f t="shared" si="11"/>
        <v>9.0909090909090912E-2</v>
      </c>
      <c r="F79" s="14">
        <f t="shared" si="11"/>
        <v>9.0909090909090912E-2</v>
      </c>
      <c r="G79" s="14">
        <f t="shared" si="11"/>
        <v>9.0909090909090912E-2</v>
      </c>
      <c r="H79" s="14">
        <f t="shared" si="11"/>
        <v>9.0909090909090925E-2</v>
      </c>
      <c r="I79" s="14">
        <f t="shared" si="11"/>
        <v>9.0909090909090925E-2</v>
      </c>
      <c r="J79" s="14">
        <f t="shared" si="11"/>
        <v>9.0909090909090912E-2</v>
      </c>
      <c r="K79" s="14">
        <f t="shared" si="11"/>
        <v>9.0909090909090912E-2</v>
      </c>
      <c r="L79" s="14">
        <f t="shared" si="11"/>
        <v>9.0909090909090925E-2</v>
      </c>
      <c r="M79" s="14">
        <f t="shared" si="11"/>
        <v>9.0909090909090925E-2</v>
      </c>
      <c r="N79" s="14">
        <f t="shared" si="11"/>
        <v>9.0909090909090912E-2</v>
      </c>
      <c r="O79" s="14">
        <f t="shared" si="11"/>
        <v>9.0909090909090925E-2</v>
      </c>
      <c r="P79" s="14">
        <f t="shared" si="11"/>
        <v>9.0909090909090912E-2</v>
      </c>
      <c r="Q79" s="14">
        <f t="shared" si="11"/>
        <v>9.0909090909090898E-2</v>
      </c>
      <c r="R79" s="14">
        <f t="shared" si="11"/>
        <v>9.0909090909090898E-2</v>
      </c>
      <c r="S79" s="14">
        <f t="shared" si="11"/>
        <v>9.0909090909090912E-2</v>
      </c>
      <c r="T79" s="14">
        <f t="shared" si="11"/>
        <v>9.0909090909090912E-2</v>
      </c>
      <c r="U79" s="14">
        <f t="shared" si="11"/>
        <v>9.0909090909090912E-2</v>
      </c>
      <c r="V79" s="14">
        <f t="shared" si="11"/>
        <v>9.0909090909090912E-2</v>
      </c>
    </row>
    <row r="81" spans="2:22" s="7" customFormat="1" x14ac:dyDescent="0.3">
      <c r="B81" s="7" t="s">
        <v>1</v>
      </c>
      <c r="C81" s="9">
        <f>SUM(C75,C78)</f>
        <v>54120</v>
      </c>
      <c r="D81" s="9">
        <f t="shared" ref="D81:V81" si="12">SUM(D75,D78)</f>
        <v>34320</v>
      </c>
      <c r="E81" s="9">
        <f t="shared" si="12"/>
        <v>40040</v>
      </c>
      <c r="F81" s="9">
        <f t="shared" si="12"/>
        <v>91502.399999999994</v>
      </c>
      <c r="G81" s="9">
        <f t="shared" si="12"/>
        <v>114194.51999999999</v>
      </c>
      <c r="H81" s="9">
        <f t="shared" si="12"/>
        <v>131378.28</v>
      </c>
      <c r="I81" s="9">
        <f t="shared" si="12"/>
        <v>155152.79999999999</v>
      </c>
      <c r="J81" s="9">
        <f t="shared" si="12"/>
        <v>178936.56</v>
      </c>
      <c r="K81" s="9">
        <f t="shared" si="12"/>
        <v>232191.08</v>
      </c>
      <c r="L81" s="9">
        <f t="shared" si="12"/>
        <v>247174.84</v>
      </c>
      <c r="M81" s="9">
        <f t="shared" si="12"/>
        <v>270949.36</v>
      </c>
      <c r="N81" s="9">
        <f t="shared" si="12"/>
        <v>294733.12</v>
      </c>
      <c r="O81" s="9">
        <f t="shared" si="12"/>
        <v>347987.64</v>
      </c>
      <c r="P81" s="9">
        <f t="shared" si="12"/>
        <v>362971.4</v>
      </c>
      <c r="Q81" s="9">
        <f t="shared" si="12"/>
        <v>386745.92000000004</v>
      </c>
      <c r="R81" s="9">
        <f t="shared" si="12"/>
        <v>410529.68</v>
      </c>
      <c r="S81" s="9">
        <f t="shared" si="12"/>
        <v>463784.2</v>
      </c>
      <c r="T81" s="9">
        <f t="shared" si="12"/>
        <v>478767.95999999996</v>
      </c>
      <c r="U81" s="9">
        <f t="shared" si="12"/>
        <v>502542.48</v>
      </c>
      <c r="V81" s="9">
        <f t="shared" si="12"/>
        <v>550110</v>
      </c>
    </row>
    <row r="83" spans="2:22" x14ac:dyDescent="0.3">
      <c r="B83" t="s">
        <v>2</v>
      </c>
    </row>
    <row r="84" spans="2:22" x14ac:dyDescent="0.3">
      <c r="B84" s="3" t="s">
        <v>78</v>
      </c>
      <c r="C84">
        <v>0</v>
      </c>
      <c r="D84">
        <v>0</v>
      </c>
      <c r="E84">
        <v>0</v>
      </c>
      <c r="F84">
        <v>0</v>
      </c>
      <c r="G84">
        <f>_xlfn.FLOOR.MATH($V$84*((G3-4)/17))</f>
        <v>2573</v>
      </c>
      <c r="H84">
        <f>_xlfn.FLOOR.MATH($V$84*((H3-4)/17))</f>
        <v>5147</v>
      </c>
      <c r="I84">
        <f>_xlfn.FLOOR.MATH($V$84*((I3-4)/17))</f>
        <v>7720</v>
      </c>
      <c r="J84">
        <f>_xlfn.FLOOR.MATH($V$84*((J3-4)/17))</f>
        <v>10294</v>
      </c>
      <c r="K84">
        <f>_xlfn.FLOOR.MATH($V$84*((K3-4)/17))</f>
        <v>12867</v>
      </c>
      <c r="L84">
        <f>_xlfn.FLOOR.MATH($V$84*((L3-4)/17))</f>
        <v>15441</v>
      </c>
      <c r="M84">
        <f>_xlfn.FLOOR.MATH($V$84*((M3-4)/17))</f>
        <v>18014</v>
      </c>
      <c r="N84">
        <f>_xlfn.FLOOR.MATH($V$84*((N3-4)/17))</f>
        <v>20588</v>
      </c>
      <c r="O84">
        <f>_xlfn.FLOOR.MATH($V$84*((O3-4)/17))</f>
        <v>23161</v>
      </c>
      <c r="P84">
        <f>_xlfn.FLOOR.MATH($V$84*((P3-4)/17))</f>
        <v>25735</v>
      </c>
      <c r="Q84">
        <f>_xlfn.FLOOR.MATH($V$84*((Q3-4)/17))</f>
        <v>28308</v>
      </c>
      <c r="R84">
        <f>_xlfn.FLOOR.MATH($V$84*((R3-4)/17))</f>
        <v>30882</v>
      </c>
      <c r="S84">
        <f>_xlfn.FLOOR.MATH($V$84*((S3-4)/17))</f>
        <v>33455</v>
      </c>
      <c r="T84">
        <f>_xlfn.FLOOR.MATH($V$84*((T3-4)/17))</f>
        <v>36029</v>
      </c>
      <c r="U84">
        <f>_xlfn.FLOOR.MATH($V$84*((U3-4)/17))</f>
        <v>38602</v>
      </c>
      <c r="V84" s="8">
        <f>Settings!C35</f>
        <v>43750</v>
      </c>
    </row>
    <row r="85" spans="2:22" x14ac:dyDescent="0.3">
      <c r="B85" s="3"/>
      <c r="V85" s="8"/>
    </row>
    <row r="86" spans="2:22" x14ac:dyDescent="0.3">
      <c r="B86" s="3" t="s">
        <v>79</v>
      </c>
      <c r="C86" s="8">
        <f>C84*Settings!$C$18</f>
        <v>0</v>
      </c>
      <c r="D86" s="8">
        <f>D84*Settings!$C$18</f>
        <v>0</v>
      </c>
      <c r="E86" s="8">
        <f>E84*Settings!$C$18</f>
        <v>0</v>
      </c>
      <c r="F86" s="8">
        <f>F84*Settings!$C$18</f>
        <v>0</v>
      </c>
      <c r="G86" s="8">
        <f>G84*Settings!$C$18</f>
        <v>51460</v>
      </c>
      <c r="H86" s="8">
        <f>H84*Settings!$C$18</f>
        <v>102940</v>
      </c>
      <c r="I86" s="8">
        <f>I84*Settings!$C$18</f>
        <v>154400</v>
      </c>
      <c r="J86" s="8">
        <f>J84*Settings!$C$18</f>
        <v>205880</v>
      </c>
      <c r="K86" s="8">
        <f>K84*Settings!$C$18</f>
        <v>257340</v>
      </c>
      <c r="L86" s="8">
        <f>L84*Settings!$C$18</f>
        <v>308820</v>
      </c>
      <c r="M86" s="8">
        <f>M84*Settings!$C$18</f>
        <v>360280</v>
      </c>
      <c r="N86" s="8">
        <f>N84*Settings!$C$18</f>
        <v>411760</v>
      </c>
      <c r="O86" s="8">
        <f>O84*Settings!$C$18</f>
        <v>463220</v>
      </c>
      <c r="P86" s="8">
        <f>P84*Settings!$C$18</f>
        <v>514700</v>
      </c>
      <c r="Q86" s="8">
        <f>Q84*Settings!$C$18</f>
        <v>566160</v>
      </c>
      <c r="R86" s="8">
        <f>R84*Settings!$C$18</f>
        <v>617640</v>
      </c>
      <c r="S86" s="8">
        <f>S84*Settings!$C$18</f>
        <v>669100</v>
      </c>
      <c r="T86" s="8">
        <f>T84*Settings!$C$18</f>
        <v>720580</v>
      </c>
      <c r="U86" s="8">
        <f>U84*Settings!$C$18</f>
        <v>772040</v>
      </c>
      <c r="V86" s="8">
        <f>V84*Settings!$C$18</f>
        <v>875000</v>
      </c>
    </row>
    <row r="87" spans="2:22" x14ac:dyDescent="0.3">
      <c r="B87" s="3"/>
    </row>
    <row r="89" spans="2:22" s="10" customFormat="1" x14ac:dyDescent="0.3">
      <c r="B89" s="10" t="s">
        <v>1</v>
      </c>
      <c r="C89" s="11">
        <f>C86</f>
        <v>0</v>
      </c>
      <c r="D89" s="11">
        <f t="shared" ref="D89:V89" si="13">D86</f>
        <v>0</v>
      </c>
      <c r="E89" s="11">
        <f t="shared" si="13"/>
        <v>0</v>
      </c>
      <c r="F89" s="11">
        <f t="shared" si="13"/>
        <v>0</v>
      </c>
      <c r="G89" s="11">
        <f t="shared" si="13"/>
        <v>51460</v>
      </c>
      <c r="H89" s="11">
        <f t="shared" si="13"/>
        <v>102940</v>
      </c>
      <c r="I89" s="11">
        <f t="shared" si="13"/>
        <v>154400</v>
      </c>
      <c r="J89" s="11">
        <f t="shared" si="13"/>
        <v>205880</v>
      </c>
      <c r="K89" s="11">
        <f t="shared" si="13"/>
        <v>257340</v>
      </c>
      <c r="L89" s="11">
        <f t="shared" si="13"/>
        <v>308820</v>
      </c>
      <c r="M89" s="11">
        <f t="shared" si="13"/>
        <v>360280</v>
      </c>
      <c r="N89" s="11">
        <f t="shared" si="13"/>
        <v>411760</v>
      </c>
      <c r="O89" s="11">
        <f t="shared" si="13"/>
        <v>463220</v>
      </c>
      <c r="P89" s="11">
        <f t="shared" si="13"/>
        <v>514700</v>
      </c>
      <c r="Q89" s="11">
        <f t="shared" si="13"/>
        <v>566160</v>
      </c>
      <c r="R89" s="11">
        <f t="shared" si="13"/>
        <v>617640</v>
      </c>
      <c r="S89" s="11">
        <f t="shared" si="13"/>
        <v>669100</v>
      </c>
      <c r="T89" s="11">
        <f t="shared" si="13"/>
        <v>720580</v>
      </c>
      <c r="U89" s="11">
        <f t="shared" si="13"/>
        <v>772040</v>
      </c>
      <c r="V89" s="11">
        <f t="shared" si="13"/>
        <v>875000</v>
      </c>
    </row>
    <row r="91" spans="2:22" s="12" customFormat="1" x14ac:dyDescent="0.3">
      <c r="B91" s="12" t="s">
        <v>94</v>
      </c>
      <c r="C91" s="13">
        <f t="shared" ref="C91:V91" si="14">C89-C81</f>
        <v>-54120</v>
      </c>
      <c r="D91" s="13">
        <f t="shared" si="14"/>
        <v>-34320</v>
      </c>
      <c r="E91" s="13">
        <f t="shared" si="14"/>
        <v>-40040</v>
      </c>
      <c r="F91" s="13">
        <f t="shared" si="14"/>
        <v>-91502.399999999994</v>
      </c>
      <c r="G91" s="13">
        <f t="shared" si="14"/>
        <v>-62734.51999999999</v>
      </c>
      <c r="H91" s="13">
        <f t="shared" si="14"/>
        <v>-28438.28</v>
      </c>
      <c r="I91" s="13">
        <f t="shared" si="14"/>
        <v>-752.79999999998836</v>
      </c>
      <c r="J91" s="13">
        <f t="shared" si="14"/>
        <v>26943.440000000002</v>
      </c>
      <c r="K91" s="13">
        <f t="shared" si="14"/>
        <v>25148.920000000013</v>
      </c>
      <c r="L91" s="13">
        <f t="shared" si="14"/>
        <v>61645.16</v>
      </c>
      <c r="M91" s="13">
        <f t="shared" si="14"/>
        <v>89330.640000000014</v>
      </c>
      <c r="N91" s="13">
        <f t="shared" si="14"/>
        <v>117026.88</v>
      </c>
      <c r="O91" s="13">
        <f t="shared" si="14"/>
        <v>115232.35999999999</v>
      </c>
      <c r="P91" s="13">
        <f t="shared" si="14"/>
        <v>151728.59999999998</v>
      </c>
      <c r="Q91" s="13">
        <f t="shared" si="14"/>
        <v>179414.07999999996</v>
      </c>
      <c r="R91" s="13">
        <f t="shared" si="14"/>
        <v>207110.32</v>
      </c>
      <c r="S91" s="13">
        <f t="shared" si="14"/>
        <v>205315.8</v>
      </c>
      <c r="T91" s="13">
        <f t="shared" si="14"/>
        <v>241812.04000000004</v>
      </c>
      <c r="U91" s="13">
        <f t="shared" si="14"/>
        <v>269497.52</v>
      </c>
      <c r="V91" s="13">
        <f t="shared" si="14"/>
        <v>324890</v>
      </c>
    </row>
    <row r="92" spans="2:22" s="12" customFormat="1" x14ac:dyDescent="0.3">
      <c r="B92" s="29" t="s">
        <v>42</v>
      </c>
      <c r="C92" s="30">
        <f>IF(C86&gt;0, C91/C86,0)</f>
        <v>0</v>
      </c>
      <c r="D92" s="30">
        <f t="shared" ref="D92:V92" si="15">IF(D86&gt;0, D91/D86,0)</f>
        <v>0</v>
      </c>
      <c r="E92" s="30">
        <f t="shared" si="15"/>
        <v>0</v>
      </c>
      <c r="F92" s="30">
        <f t="shared" si="15"/>
        <v>0</v>
      </c>
      <c r="G92" s="30">
        <f t="shared" si="15"/>
        <v>-1.2190928876797511</v>
      </c>
      <c r="H92" s="30">
        <f t="shared" si="15"/>
        <v>-0.27626073440839322</v>
      </c>
      <c r="I92" s="30">
        <f t="shared" si="15"/>
        <v>-4.875647668393707E-3</v>
      </c>
      <c r="J92" s="30">
        <f t="shared" si="15"/>
        <v>0.13086963279580338</v>
      </c>
      <c r="K92" s="30">
        <f t="shared" si="15"/>
        <v>9.7726431957721349E-2</v>
      </c>
      <c r="L92" s="30">
        <f t="shared" si="15"/>
        <v>0.19961518036396608</v>
      </c>
      <c r="M92" s="30">
        <f t="shared" si="15"/>
        <v>0.24794781836349511</v>
      </c>
      <c r="N92" s="30">
        <f t="shared" si="15"/>
        <v>0.28421138527297457</v>
      </c>
      <c r="O92" s="30">
        <f t="shared" si="15"/>
        <v>0.24876378394715251</v>
      </c>
      <c r="P92" s="30">
        <f t="shared" si="15"/>
        <v>0.29479036331843789</v>
      </c>
      <c r="Q92" s="30">
        <f t="shared" si="15"/>
        <v>0.31689642503885818</v>
      </c>
      <c r="R92" s="30">
        <f t="shared" si="15"/>
        <v>0.33532530276536493</v>
      </c>
      <c r="S92" s="30">
        <f t="shared" si="15"/>
        <v>0.30685368405320579</v>
      </c>
      <c r="T92" s="30">
        <f t="shared" si="15"/>
        <v>0.33557972744178305</v>
      </c>
      <c r="U92" s="30">
        <f t="shared" si="15"/>
        <v>0.34907196518315114</v>
      </c>
      <c r="V92" s="30">
        <f t="shared" si="15"/>
        <v>0.37130285714285716</v>
      </c>
    </row>
    <row r="93" spans="2:22" x14ac:dyDescent="0.3">
      <c r="B93" t="s">
        <v>36</v>
      </c>
      <c r="C93" s="8">
        <f>SUM($C$91:C91)</f>
        <v>-54120</v>
      </c>
      <c r="D93" s="8">
        <f>SUM($C$91:D91)</f>
        <v>-88440</v>
      </c>
      <c r="E93" s="8">
        <f>SUM($C$91:E91)</f>
        <v>-128480</v>
      </c>
      <c r="F93" s="8">
        <f>SUM($C$91:F91)</f>
        <v>-219982.4</v>
      </c>
      <c r="G93" s="8">
        <f>SUM($C$91:G91)</f>
        <v>-282716.92</v>
      </c>
      <c r="H93" s="8">
        <f>SUM($C$91:H91)</f>
        <v>-311155.19999999995</v>
      </c>
      <c r="I93" s="8">
        <f>SUM($C$91:I91)</f>
        <v>-311907.99999999994</v>
      </c>
      <c r="J93" s="8">
        <f>SUM($C$91:J91)</f>
        <v>-284964.55999999994</v>
      </c>
      <c r="K93" s="8">
        <f>SUM($C$91:K91)</f>
        <v>-259815.63999999993</v>
      </c>
      <c r="L93" s="8">
        <f>SUM($C$91:L91)</f>
        <v>-198170.47999999992</v>
      </c>
      <c r="M93" s="8">
        <f>SUM($C$91:M91)</f>
        <v>-108839.83999999991</v>
      </c>
      <c r="N93" s="8">
        <f>SUM($C$91:N91)</f>
        <v>8187.0400000000955</v>
      </c>
      <c r="O93" s="8">
        <f>SUM($C$91:O91)</f>
        <v>123419.40000000008</v>
      </c>
      <c r="P93" s="8">
        <f>SUM($C$91:P91)</f>
        <v>275148.00000000006</v>
      </c>
      <c r="Q93" s="8">
        <f>SUM($C$91:Q91)</f>
        <v>454562.08</v>
      </c>
      <c r="R93" s="8">
        <f>SUM($C$91:R91)</f>
        <v>661672.4</v>
      </c>
      <c r="S93" s="8">
        <f>SUM($C$91:S91)</f>
        <v>866988.2</v>
      </c>
      <c r="T93" s="8">
        <f>SUM($C$91:T91)</f>
        <v>1108800.24</v>
      </c>
      <c r="U93" s="8">
        <f>SUM($C$91:U91)</f>
        <v>1378297.76</v>
      </c>
      <c r="V93" s="8">
        <f>SUM($C$91:V91)</f>
        <v>1703187.76</v>
      </c>
    </row>
    <row r="94" spans="2:22" x14ac:dyDescent="0.3">
      <c r="B94" t="s">
        <v>48</v>
      </c>
      <c r="C94" s="8">
        <f>C93/POWER(1+Settings!$C$37/4,Calculations!C3)</f>
        <v>-53717.121588089329</v>
      </c>
      <c r="D94" s="8">
        <f>D93/POWER(1+Settings!$C$37/4,Calculations!D3)</f>
        <v>-87128.176394165333</v>
      </c>
      <c r="E94" s="8">
        <f>E93/POWER(1+Settings!$C$37/4,Calculations!E3)</f>
        <v>-125632.02600938866</v>
      </c>
      <c r="F94" s="8">
        <f>F93/POWER(1+Settings!$C$37/4,Calculations!F3)</f>
        <v>-213504.83607075003</v>
      </c>
      <c r="G94" s="8">
        <f>G93/POWER(1+Settings!$C$37/4,Calculations!G3)</f>
        <v>-272349.46519171726</v>
      </c>
      <c r="H94" s="8">
        <f>H93/POWER(1+Settings!$C$37/4,Calculations!H3)</f>
        <v>-297513.53925175447</v>
      </c>
      <c r="I94" s="8">
        <f>I93/POWER(1+Settings!$C$37/4,Calculations!I3)</f>
        <v>-296013.23573948775</v>
      </c>
      <c r="J94" s="8">
        <f>J93/POWER(1+Settings!$C$37/4,Calculations!J3)</f>
        <v>-268429.6055761922</v>
      </c>
      <c r="K94" s="8">
        <f>K93/POWER(1+Settings!$C$37/4,Calculations!K3)</f>
        <v>-242918.05616213716</v>
      </c>
      <c r="L94" s="8">
        <f>L93/POWER(1+Settings!$C$37/4,Calculations!L3)</f>
        <v>-183902.8303056166</v>
      </c>
      <c r="M94" s="8">
        <f>M93/POWER(1+Settings!$C$37/4,Calculations!M3)</f>
        <v>-100251.82601562305</v>
      </c>
      <c r="N94" s="8">
        <f>N93/POWER(1+Settings!$C$37/4,Calculations!N3)</f>
        <v>7484.9043441146287</v>
      </c>
      <c r="O94" s="8">
        <f>O93/POWER(1+Settings!$C$37/4,Calculations!O3)</f>
        <v>111994.76381263272</v>
      </c>
      <c r="P94" s="8">
        <f>P93/POWER(1+Settings!$C$37/4,Calculations!P3)</f>
        <v>247819.56651033793</v>
      </c>
      <c r="Q94" s="8">
        <f>Q93/POWER(1+Settings!$C$37/4,Calculations!Q3)</f>
        <v>406366.01626330696</v>
      </c>
      <c r="R94" s="8">
        <f>R93/POWER(1+Settings!$C$37/4,Calculations!R3)</f>
        <v>587113.60262680484</v>
      </c>
      <c r="S94" s="8">
        <f>S93/POWER(1+Settings!$C$37/4,Calculations!S3)</f>
        <v>763567.18303158123</v>
      </c>
      <c r="T94" s="8">
        <f>T93/POWER(1+Settings!$C$37/4,Calculations!T3)</f>
        <v>969264.54005915904</v>
      </c>
      <c r="U94" s="8">
        <f>U93/POWER(1+Settings!$C$37/4,Calculations!U3)</f>
        <v>1195878.3646886991</v>
      </c>
      <c r="V94" s="8">
        <f>V93/POWER(1+Settings!$C$37/4,Calculations!V3)</f>
        <v>1466768.0154688817</v>
      </c>
    </row>
    <row r="95" spans="2:22" x14ac:dyDescent="0.3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2:22" x14ac:dyDescent="0.3">
      <c r="B96" t="s">
        <v>93</v>
      </c>
      <c r="C96" s="28">
        <f>IF(C91&gt;0,C91*Settings!$C$21,0)</f>
        <v>0</v>
      </c>
      <c r="D96" s="28">
        <f>IF(D91&gt;0,D91*Settings!$C$21,0)</f>
        <v>0</v>
      </c>
      <c r="E96" s="28">
        <f>IF(E91&gt;0,E91*Settings!$C$21,0)</f>
        <v>0</v>
      </c>
      <c r="F96" s="28">
        <f>IF(F91&gt;0,F91*Settings!$C$21,0)</f>
        <v>0</v>
      </c>
      <c r="G96" s="28">
        <f>IF(G91&gt;0,G91*Settings!$C$21,0)</f>
        <v>0</v>
      </c>
      <c r="H96" s="28">
        <f>IF(H91&gt;0,H91*Settings!$C$21,0)</f>
        <v>0</v>
      </c>
      <c r="I96" s="28">
        <f>IF(I91&gt;0,I91*Settings!$C$21,0)</f>
        <v>0</v>
      </c>
      <c r="J96" s="28">
        <f>IF(J91&gt;0,J91*Settings!$C$21,0)</f>
        <v>5388.688000000001</v>
      </c>
      <c r="K96" s="28">
        <f>IF(K91&gt;0,K91*Settings!$C$21,0)</f>
        <v>5029.7840000000033</v>
      </c>
      <c r="L96" s="28">
        <f>IF(L91&gt;0,L91*Settings!$C$21,0)</f>
        <v>12329.032000000001</v>
      </c>
      <c r="M96" s="28">
        <f>IF(M91&gt;0,M91*Settings!$C$21,0)</f>
        <v>17866.128000000004</v>
      </c>
      <c r="N96" s="28">
        <f>IF(N91&gt;0,N91*Settings!$C$21,0)</f>
        <v>23405.376000000004</v>
      </c>
      <c r="O96" s="28">
        <f>IF(O91&gt;0,O91*Settings!$C$21,0)</f>
        <v>23046.471999999998</v>
      </c>
      <c r="P96" s="28">
        <f>IF(P91&gt;0,P91*Settings!$C$21,0)</f>
        <v>30345.719999999998</v>
      </c>
      <c r="Q96" s="28">
        <f>IF(Q91&gt;0,Q91*Settings!$C$21,0)</f>
        <v>35882.815999999992</v>
      </c>
      <c r="R96" s="28">
        <f>IF(R91&gt;0,R91*Settings!$C$21,0)</f>
        <v>41422.064000000006</v>
      </c>
      <c r="S96" s="28">
        <f>IF(S91&gt;0,S91*Settings!$C$21,0)</f>
        <v>41063.160000000003</v>
      </c>
      <c r="T96" s="28">
        <f>IF(T91&gt;0,T91*Settings!$C$21,0)</f>
        <v>48362.40800000001</v>
      </c>
      <c r="U96" s="28">
        <f>IF(U91&gt;0,U91*Settings!$C$21,0)</f>
        <v>53899.504000000008</v>
      </c>
      <c r="V96" s="28">
        <f>IF(V91&gt;0,V91*Settings!$C$21,0)</f>
        <v>64978</v>
      </c>
    </row>
    <row r="97" spans="2:22" x14ac:dyDescent="0.3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2:22" x14ac:dyDescent="0.3">
      <c r="B98" s="12" t="s">
        <v>102</v>
      </c>
      <c r="C98" s="13">
        <f>C91-C96</f>
        <v>-54120</v>
      </c>
      <c r="D98" s="13">
        <f t="shared" ref="D98:V98" si="16">D91-D96</f>
        <v>-34320</v>
      </c>
      <c r="E98" s="13">
        <f t="shared" si="16"/>
        <v>-40040</v>
      </c>
      <c r="F98" s="13">
        <f t="shared" si="16"/>
        <v>-91502.399999999994</v>
      </c>
      <c r="G98" s="13">
        <f t="shared" si="16"/>
        <v>-62734.51999999999</v>
      </c>
      <c r="H98" s="13">
        <f t="shared" si="16"/>
        <v>-28438.28</v>
      </c>
      <c r="I98" s="13">
        <f t="shared" si="16"/>
        <v>-752.79999999998836</v>
      </c>
      <c r="J98" s="13">
        <f t="shared" si="16"/>
        <v>21554.752</v>
      </c>
      <c r="K98" s="13">
        <f t="shared" si="16"/>
        <v>20119.13600000001</v>
      </c>
      <c r="L98" s="13">
        <f t="shared" si="16"/>
        <v>49316.128000000004</v>
      </c>
      <c r="M98" s="13">
        <f t="shared" si="16"/>
        <v>71464.512000000017</v>
      </c>
      <c r="N98" s="13">
        <f t="shared" si="16"/>
        <v>93621.504000000001</v>
      </c>
      <c r="O98" s="13">
        <f t="shared" si="16"/>
        <v>92185.887999999992</v>
      </c>
      <c r="P98" s="13">
        <f t="shared" si="16"/>
        <v>121382.87999999998</v>
      </c>
      <c r="Q98" s="13">
        <f t="shared" si="16"/>
        <v>143531.26399999997</v>
      </c>
      <c r="R98" s="13">
        <f t="shared" si="16"/>
        <v>165688.25599999999</v>
      </c>
      <c r="S98" s="13">
        <f t="shared" si="16"/>
        <v>164252.63999999998</v>
      </c>
      <c r="T98" s="13">
        <f t="shared" si="16"/>
        <v>193449.63200000004</v>
      </c>
      <c r="U98" s="13">
        <f t="shared" si="16"/>
        <v>215598.016</v>
      </c>
      <c r="V98" s="13">
        <f t="shared" si="16"/>
        <v>259912</v>
      </c>
    </row>
    <row r="99" spans="2:22" x14ac:dyDescent="0.3">
      <c r="B99" s="29" t="s">
        <v>103</v>
      </c>
      <c r="C99" s="30">
        <f>IF(C89 &gt;0,C98/C89, 0)</f>
        <v>0</v>
      </c>
      <c r="D99" s="30">
        <f t="shared" ref="D99:H99" si="17">IF(D89 &gt;0,D98/D89, 0)</f>
        <v>0</v>
      </c>
      <c r="E99" s="30">
        <f t="shared" si="17"/>
        <v>0</v>
      </c>
      <c r="F99" s="30">
        <f t="shared" si="17"/>
        <v>0</v>
      </c>
      <c r="G99" s="30">
        <f t="shared" si="17"/>
        <v>-1.2190928876797511</v>
      </c>
      <c r="H99" s="30">
        <f t="shared" si="17"/>
        <v>-0.27626073440839322</v>
      </c>
      <c r="I99" s="30">
        <f t="shared" ref="I99" si="18">IF(I89 &gt;0,I98/I89, 0)</f>
        <v>-4.875647668393707E-3</v>
      </c>
      <c r="J99" s="30">
        <f t="shared" ref="J99" si="19">IF(J89 &gt;0,J98/J89, 0)</f>
        <v>0.1046957062366427</v>
      </c>
      <c r="K99" s="30">
        <f t="shared" ref="K99" si="20">IF(K89 &gt;0,K98/K89, 0)</f>
        <v>7.8181145566177085E-2</v>
      </c>
      <c r="L99" s="30">
        <f t="shared" ref="L99:M99" si="21">IF(L89 &gt;0,L98/L89, 0)</f>
        <v>0.15969214429117287</v>
      </c>
      <c r="M99" s="30">
        <f t="shared" si="21"/>
        <v>0.1983582546907961</v>
      </c>
      <c r="N99" s="30">
        <f t="shared" ref="N99" si="22">IF(N89 &gt;0,N98/N89, 0)</f>
        <v>0.22736910821837963</v>
      </c>
      <c r="O99" s="30">
        <f t="shared" ref="O99" si="23">IF(O89 &gt;0,O98/O89, 0)</f>
        <v>0.19901102715772201</v>
      </c>
      <c r="P99" s="30">
        <f t="shared" ref="P99" si="24">IF(P89 &gt;0,P98/P89, 0)</f>
        <v>0.23583229065475028</v>
      </c>
      <c r="Q99" s="30">
        <f t="shared" ref="Q99:R99" si="25">IF(Q89 &gt;0,Q98/Q89, 0)</f>
        <v>0.25351714003108655</v>
      </c>
      <c r="R99" s="30">
        <f t="shared" si="25"/>
        <v>0.26826024221229194</v>
      </c>
      <c r="S99" s="30">
        <f t="shared" ref="S99" si="26">IF(S89 &gt;0,S98/S89, 0)</f>
        <v>0.24548294724256461</v>
      </c>
      <c r="T99" s="30">
        <f t="shared" ref="T99" si="27">IF(T89 &gt;0,T98/T89, 0)</f>
        <v>0.26846378195342646</v>
      </c>
      <c r="U99" s="30">
        <f t="shared" ref="U99" si="28">IF(U89 &gt;0,U98/U89, 0)</f>
        <v>0.27925757214652092</v>
      </c>
      <c r="V99" s="30">
        <f t="shared" ref="V99" si="29">IF(V89 &gt;0,V98/V89, 0)</f>
        <v>0.2970422857142857</v>
      </c>
    </row>
    <row r="100" spans="2:22" x14ac:dyDescent="0.3">
      <c r="B100" t="s">
        <v>36</v>
      </c>
      <c r="C100" s="8">
        <f>SUM($C$98:C98)</f>
        <v>-54120</v>
      </c>
      <c r="D100" s="8">
        <f>SUM($C$98:D98)</f>
        <v>-88440</v>
      </c>
      <c r="E100" s="8">
        <f>SUM($C$98:E98)</f>
        <v>-128480</v>
      </c>
      <c r="F100" s="8">
        <f>SUM($C$98:F98)</f>
        <v>-219982.4</v>
      </c>
      <c r="G100" s="8">
        <f>SUM($C$98:G98)</f>
        <v>-282716.92</v>
      </c>
      <c r="H100" s="8">
        <f>SUM($C$98:H98)</f>
        <v>-311155.19999999995</v>
      </c>
      <c r="I100" s="8">
        <f>SUM($C$98:I98)</f>
        <v>-311907.99999999994</v>
      </c>
      <c r="J100" s="8">
        <f>SUM($C$98:J98)</f>
        <v>-290353.24799999996</v>
      </c>
      <c r="K100" s="8">
        <f>SUM($C$98:K98)</f>
        <v>-270234.11199999996</v>
      </c>
      <c r="L100" s="8">
        <f>SUM($C$98:L98)</f>
        <v>-220917.98399999997</v>
      </c>
      <c r="M100" s="8">
        <f>SUM($C$98:M98)</f>
        <v>-149453.47199999995</v>
      </c>
      <c r="N100" s="8">
        <f>SUM($C$98:N98)</f>
        <v>-55831.96799999995</v>
      </c>
      <c r="O100" s="8">
        <f>SUM($C$98:O98)</f>
        <v>36353.920000000042</v>
      </c>
      <c r="P100" s="8">
        <f>SUM($C$98:P98)</f>
        <v>157736.80000000002</v>
      </c>
      <c r="Q100" s="8">
        <f>SUM($C$98:Q98)</f>
        <v>301268.06400000001</v>
      </c>
      <c r="R100" s="8">
        <f>SUM($C$98:R98)</f>
        <v>466956.32</v>
      </c>
      <c r="S100" s="8">
        <f>SUM($C$98:S98)</f>
        <v>631208.95999999996</v>
      </c>
      <c r="T100" s="8">
        <f>SUM($C$98:T98)</f>
        <v>824658.59199999995</v>
      </c>
      <c r="U100" s="8">
        <f>SUM($C$98:U98)</f>
        <v>1040256.608</v>
      </c>
      <c r="V100" s="8">
        <f>SUM($C$98:V98)</f>
        <v>1300168.608</v>
      </c>
    </row>
    <row r="101" spans="2:22" x14ac:dyDescent="0.3">
      <c r="B101" t="s">
        <v>48</v>
      </c>
      <c r="C101" s="8">
        <f>C100/POWER(1+Settings!$C$37/4,Calculations!C3)</f>
        <v>-53717.121588089329</v>
      </c>
      <c r="D101" s="8">
        <f>D100/POWER(1+Settings!$C$37/4,Calculations!D3)</f>
        <v>-87128.176394165333</v>
      </c>
      <c r="E101" s="8">
        <f>E100/POWER(1+Settings!$C$37/4,Calculations!E3)</f>
        <v>-125632.02600938866</v>
      </c>
      <c r="F101" s="8">
        <f>F100/POWER(1+Settings!$C$37/4,Calculations!F3)</f>
        <v>-213504.83607075003</v>
      </c>
      <c r="G101" s="8">
        <f>G100/POWER(1+Settings!$C$37/4,Calculations!G3)</f>
        <v>-272349.46519171726</v>
      </c>
      <c r="H101" s="8">
        <f>H100/POWER(1+Settings!$C$37/4,Calculations!H3)</f>
        <v>-297513.53925175447</v>
      </c>
      <c r="I101" s="8">
        <f>I100/POWER(1+Settings!$C$37/4,Calculations!I3)</f>
        <v>-296013.23573948775</v>
      </c>
      <c r="J101" s="8">
        <f>J100/POWER(1+Settings!$C$37/4,Calculations!J3)</f>
        <v>-273505.61711395386</v>
      </c>
      <c r="K101" s="8">
        <f>K100/POWER(1+Settings!$C$37/4,Calculations!K3)</f>
        <v>-252658.94384087605</v>
      </c>
      <c r="L101" s="8">
        <f>L100/POWER(1+Settings!$C$37/4,Calculations!L3)</f>
        <v>-205012.58574441023</v>
      </c>
      <c r="M101" s="8">
        <f>M100/POWER(1+Settings!$C$37/4,Calculations!M3)</f>
        <v>-137660.83699107604</v>
      </c>
      <c r="N101" s="8">
        <f>N100/POWER(1+Settings!$C$37/4,Calculations!N3)</f>
        <v>-51043.715411633959</v>
      </c>
      <c r="O101" s="8">
        <f>O100/POWER(1+Settings!$C$37/4,Calculations!O3)</f>
        <v>32988.725306259366</v>
      </c>
      <c r="P101" s="8">
        <f>P100/POWER(1+Settings!$C$37/4,Calculations!P3)</f>
        <v>142069.96016226854</v>
      </c>
      <c r="Q101" s="8">
        <f>Q100/POWER(1+Settings!$C$37/4,Calculations!Q3)</f>
        <v>269325.37574414263</v>
      </c>
      <c r="R101" s="8">
        <f>R100/POWER(1+Settings!$C$37/4,Calculations!R3)</f>
        <v>414338.58704784291</v>
      </c>
      <c r="S101" s="8">
        <f>S100/POWER(1+Settings!$C$37/4,Calculations!S3)</f>
        <v>555913.5031958844</v>
      </c>
      <c r="T101" s="8">
        <f>T100/POWER(1+Settings!$C$37/4,Calculations!T3)</f>
        <v>720880.37325886008</v>
      </c>
      <c r="U101" s="8">
        <f>U100/POWER(1+Settings!$C$37/4,Calculations!U3)</f>
        <v>902577.37285421765</v>
      </c>
      <c r="V101" s="8">
        <f>V100/POWER(1+Settings!$C$37/4,Calculations!V3)</f>
        <v>1119692.0114850393</v>
      </c>
    </row>
    <row r="103" spans="2:22" x14ac:dyDescent="0.3">
      <c r="B103" s="12" t="s">
        <v>37</v>
      </c>
    </row>
    <row r="104" spans="2:22" x14ac:dyDescent="0.3">
      <c r="B104" t="s">
        <v>38</v>
      </c>
      <c r="C104" s="8">
        <f>ABS(MIN(C100:V100))</f>
        <v>311907.99999999994</v>
      </c>
    </row>
    <row r="105" spans="2:22" x14ac:dyDescent="0.3">
      <c r="B105" t="s">
        <v>41</v>
      </c>
      <c r="C105">
        <f>COUNTIF(C101:V101, "&lt; 0")</f>
        <v>12</v>
      </c>
    </row>
    <row r="106" spans="2:22" x14ac:dyDescent="0.3">
      <c r="B106" t="s">
        <v>48</v>
      </c>
      <c r="C106" s="8">
        <f>SUM(C101:V101)</f>
        <v>1892045.8097072116</v>
      </c>
    </row>
    <row r="107" spans="2:22" x14ac:dyDescent="0.3">
      <c r="B107" t="s">
        <v>95</v>
      </c>
      <c r="C107" s="14">
        <f>POWER(C106/C104,1/5)-1</f>
        <v>0.4341052532157299</v>
      </c>
    </row>
  </sheetData>
  <mergeCells count="5">
    <mergeCell ref="C2:F2"/>
    <mergeCell ref="G2:J2"/>
    <mergeCell ref="K2:N2"/>
    <mergeCell ref="O2:R2"/>
    <mergeCell ref="S2:V2"/>
  </mergeCells>
  <conditionalFormatting sqref="C91:V9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F209-2547-415B-97FE-DD354829E722}">
  <dimension ref="D5:F12"/>
  <sheetViews>
    <sheetView zoomScale="120" zoomScaleNormal="120" workbookViewId="0">
      <selection activeCell="E10" sqref="E10"/>
    </sheetView>
  </sheetViews>
  <sheetFormatPr defaultRowHeight="14.4" x14ac:dyDescent="0.3"/>
  <cols>
    <col min="5" max="5" width="30.109375" customWidth="1"/>
    <col min="6" max="6" width="30.6640625" customWidth="1"/>
  </cols>
  <sheetData>
    <row r="5" spans="4:6" x14ac:dyDescent="0.3">
      <c r="D5">
        <v>0</v>
      </c>
      <c r="E5">
        <v>100</v>
      </c>
      <c r="F5">
        <v>0.3</v>
      </c>
    </row>
    <row r="6" spans="4:6" x14ac:dyDescent="0.3">
      <c r="D6">
        <v>1</v>
      </c>
      <c r="E6" t="s">
        <v>96</v>
      </c>
    </row>
    <row r="7" spans="4:6" x14ac:dyDescent="0.3">
      <c r="D7">
        <v>2</v>
      </c>
      <c r="E7" t="s">
        <v>97</v>
      </c>
    </row>
    <row r="8" spans="4:6" x14ac:dyDescent="0.3">
      <c r="D8">
        <v>3</v>
      </c>
      <c r="E8" t="s">
        <v>98</v>
      </c>
    </row>
    <row r="10" spans="4:6" x14ac:dyDescent="0.3">
      <c r="E10" t="s">
        <v>101</v>
      </c>
    </row>
    <row r="11" spans="4:6" x14ac:dyDescent="0.3">
      <c r="E11" t="s">
        <v>99</v>
      </c>
    </row>
    <row r="12" spans="4:6" x14ac:dyDescent="0.3">
      <c r="E1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70B7-BC9E-4F49-A63D-E2DE33BED136}">
  <dimension ref="B2:D44"/>
  <sheetViews>
    <sheetView tabSelected="1" topLeftCell="A6" workbookViewId="0">
      <selection activeCell="B17" sqref="B17"/>
    </sheetView>
  </sheetViews>
  <sheetFormatPr defaultRowHeight="14.4" x14ac:dyDescent="0.3"/>
  <cols>
    <col min="2" max="2" width="41.88671875" customWidth="1"/>
    <col min="3" max="3" width="17.33203125" customWidth="1"/>
    <col min="4" max="4" width="77" customWidth="1"/>
  </cols>
  <sheetData>
    <row r="2" spans="2:4" x14ac:dyDescent="0.3">
      <c r="B2" s="1" t="s">
        <v>6</v>
      </c>
      <c r="C2" s="1"/>
      <c r="D2" s="24" t="s">
        <v>73</v>
      </c>
    </row>
    <row r="3" spans="2:4" x14ac:dyDescent="0.3">
      <c r="B3" s="20" t="s">
        <v>7</v>
      </c>
      <c r="C3" s="8">
        <v>5000</v>
      </c>
    </row>
    <row r="4" spans="2:4" x14ac:dyDescent="0.3">
      <c r="B4" s="20" t="s">
        <v>8</v>
      </c>
      <c r="C4" s="8">
        <v>4000</v>
      </c>
    </row>
    <row r="5" spans="2:4" x14ac:dyDescent="0.3">
      <c r="B5" s="20" t="s">
        <v>9</v>
      </c>
      <c r="C5" s="8">
        <v>3000</v>
      </c>
    </row>
    <row r="6" spans="2:4" x14ac:dyDescent="0.3">
      <c r="B6" s="20" t="s">
        <v>11</v>
      </c>
      <c r="C6" s="8">
        <v>600</v>
      </c>
    </row>
    <row r="7" spans="2:4" x14ac:dyDescent="0.3">
      <c r="B7" s="20" t="s">
        <v>12</v>
      </c>
      <c r="C7" s="8">
        <v>800</v>
      </c>
    </row>
    <row r="8" spans="2:4" x14ac:dyDescent="0.3">
      <c r="B8" s="20" t="s">
        <v>13</v>
      </c>
      <c r="C8" s="8">
        <v>1000</v>
      </c>
    </row>
    <row r="9" spans="2:4" x14ac:dyDescent="0.3">
      <c r="B9" s="20" t="s">
        <v>67</v>
      </c>
      <c r="C9" s="8">
        <v>1000</v>
      </c>
    </row>
    <row r="10" spans="2:4" x14ac:dyDescent="0.3">
      <c r="B10" s="20" t="s">
        <v>14</v>
      </c>
      <c r="C10" s="8">
        <v>20</v>
      </c>
    </row>
    <row r="11" spans="2:4" x14ac:dyDescent="0.3">
      <c r="B11" s="20" t="s">
        <v>39</v>
      </c>
      <c r="C11" s="8">
        <v>10</v>
      </c>
    </row>
    <row r="12" spans="2:4" x14ac:dyDescent="0.3">
      <c r="B12" s="20" t="s">
        <v>15</v>
      </c>
      <c r="C12" s="8">
        <v>0.1</v>
      </c>
    </row>
    <row r="13" spans="2:4" x14ac:dyDescent="0.3">
      <c r="B13" s="20" t="s">
        <v>17</v>
      </c>
      <c r="C13" s="8">
        <v>1000</v>
      </c>
    </row>
    <row r="14" spans="2:4" x14ac:dyDescent="0.3">
      <c r="B14" s="20" t="s">
        <v>18</v>
      </c>
      <c r="C14" s="8">
        <v>2000</v>
      </c>
    </row>
    <row r="15" spans="2:4" x14ac:dyDescent="0.3">
      <c r="B15" s="20" t="s">
        <v>40</v>
      </c>
      <c r="C15" s="8">
        <v>8</v>
      </c>
    </row>
    <row r="16" spans="2:4" x14ac:dyDescent="0.3">
      <c r="B16" s="20" t="s">
        <v>106</v>
      </c>
      <c r="C16" s="8">
        <v>1000</v>
      </c>
    </row>
    <row r="17" spans="2:4" x14ac:dyDescent="0.3">
      <c r="B17" s="20" t="s">
        <v>104</v>
      </c>
      <c r="C17" s="8">
        <v>50</v>
      </c>
    </row>
    <row r="18" spans="2:4" x14ac:dyDescent="0.3">
      <c r="B18" s="20" t="s">
        <v>33</v>
      </c>
      <c r="C18" s="8">
        <v>20</v>
      </c>
    </row>
    <row r="19" spans="2:4" x14ac:dyDescent="0.3">
      <c r="B19" s="20" t="s">
        <v>105</v>
      </c>
      <c r="C19" s="8">
        <v>500</v>
      </c>
    </row>
    <row r="20" spans="2:4" x14ac:dyDescent="0.3">
      <c r="B20" s="20" t="s">
        <v>92</v>
      </c>
      <c r="C20" s="14">
        <v>0.02</v>
      </c>
    </row>
    <row r="21" spans="2:4" x14ac:dyDescent="0.3">
      <c r="B21" s="20" t="s">
        <v>34</v>
      </c>
      <c r="C21" s="14">
        <v>0.2</v>
      </c>
    </row>
    <row r="22" spans="2:4" x14ac:dyDescent="0.3">
      <c r="B22" s="20"/>
      <c r="C22" s="8"/>
    </row>
    <row r="23" spans="2:4" x14ac:dyDescent="0.3">
      <c r="B23" s="19" t="s">
        <v>81</v>
      </c>
      <c r="C23" s="8"/>
    </row>
    <row r="24" spans="2:4" ht="57.6" x14ac:dyDescent="0.3">
      <c r="B24" s="20" t="s">
        <v>71</v>
      </c>
      <c r="C24" s="25">
        <v>301267</v>
      </c>
      <c r="D24" s="18" t="s">
        <v>83</v>
      </c>
    </row>
    <row r="25" spans="2:4" x14ac:dyDescent="0.3">
      <c r="B25" s="20" t="s">
        <v>72</v>
      </c>
      <c r="C25" s="8">
        <v>1.5</v>
      </c>
      <c r="D25" t="s">
        <v>74</v>
      </c>
    </row>
    <row r="26" spans="2:4" x14ac:dyDescent="0.3">
      <c r="B26" s="20" t="s">
        <v>75</v>
      </c>
      <c r="C26" s="8">
        <f>C24*C25</f>
        <v>451900.5</v>
      </c>
    </row>
    <row r="27" spans="2:4" x14ac:dyDescent="0.3">
      <c r="B27" s="20" t="s">
        <v>76</v>
      </c>
      <c r="C27" s="14">
        <v>0.1</v>
      </c>
    </row>
    <row r="28" spans="2:4" x14ac:dyDescent="0.3">
      <c r="B28" s="20" t="s">
        <v>80</v>
      </c>
      <c r="C28" s="8">
        <f>C26*C27</f>
        <v>45190.05</v>
      </c>
    </row>
    <row r="29" spans="2:4" x14ac:dyDescent="0.3">
      <c r="B29" s="20"/>
      <c r="C29" s="8"/>
    </row>
    <row r="30" spans="2:4" x14ac:dyDescent="0.3">
      <c r="B30" s="19" t="s">
        <v>82</v>
      </c>
      <c r="C30" s="8"/>
    </row>
    <row r="31" spans="2:4" x14ac:dyDescent="0.3">
      <c r="B31" s="20" t="s">
        <v>43</v>
      </c>
      <c r="C31" s="8">
        <v>35000000</v>
      </c>
    </row>
    <row r="32" spans="2:4" x14ac:dyDescent="0.3">
      <c r="B32" s="20" t="s">
        <v>44</v>
      </c>
      <c r="C32" s="15">
        <v>5.0000000000000001E-3</v>
      </c>
    </row>
    <row r="33" spans="2:3" x14ac:dyDescent="0.3">
      <c r="B33" s="20" t="s">
        <v>35</v>
      </c>
      <c r="C33" s="8">
        <f>C31*C32</f>
        <v>175000</v>
      </c>
    </row>
    <row r="34" spans="2:3" x14ac:dyDescent="0.3">
      <c r="B34" s="20" t="s">
        <v>77</v>
      </c>
      <c r="C34" s="8">
        <v>0.25</v>
      </c>
    </row>
    <row r="35" spans="2:3" x14ac:dyDescent="0.3">
      <c r="B35" s="20" t="s">
        <v>80</v>
      </c>
      <c r="C35" s="8">
        <f>C33*C34</f>
        <v>43750</v>
      </c>
    </row>
    <row r="36" spans="2:3" x14ac:dyDescent="0.3">
      <c r="B36" s="20"/>
      <c r="C36" s="8"/>
    </row>
    <row r="37" spans="2:3" x14ac:dyDescent="0.3">
      <c r="B37" s="20" t="s">
        <v>49</v>
      </c>
      <c r="C37" s="14">
        <v>0.03</v>
      </c>
    </row>
    <row r="38" spans="2:3" x14ac:dyDescent="0.3">
      <c r="C38" s="8"/>
    </row>
    <row r="39" spans="2:3" x14ac:dyDescent="0.3">
      <c r="C39" s="8"/>
    </row>
    <row r="40" spans="2:3" x14ac:dyDescent="0.3">
      <c r="C40" s="8"/>
    </row>
    <row r="41" spans="2:3" x14ac:dyDescent="0.3">
      <c r="C41" s="8"/>
    </row>
    <row r="42" spans="2:3" x14ac:dyDescent="0.3">
      <c r="C42" s="8"/>
    </row>
    <row r="43" spans="2:3" x14ac:dyDescent="0.3">
      <c r="C43" s="8"/>
    </row>
    <row r="44" spans="2:3" x14ac:dyDescent="0.3">
      <c r="C44" s="8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5A16-0FAD-4D69-9C1C-EBE13D11681F}">
  <dimension ref="B2:N16"/>
  <sheetViews>
    <sheetView workbookViewId="0">
      <selection activeCell="C3" sqref="C3:I3"/>
    </sheetView>
  </sheetViews>
  <sheetFormatPr defaultRowHeight="14.4" x14ac:dyDescent="0.3"/>
  <cols>
    <col min="2" max="2" width="17.6640625" customWidth="1"/>
    <col min="3" max="3" width="16.77734375" customWidth="1"/>
    <col min="4" max="8" width="12.77734375" customWidth="1"/>
    <col min="9" max="9" width="12.77734375" style="12" customWidth="1"/>
    <col min="10" max="14" width="12.77734375" customWidth="1"/>
  </cols>
  <sheetData>
    <row r="2" spans="2:14" x14ac:dyDescent="0.3">
      <c r="B2" s="1" t="s">
        <v>45</v>
      </c>
      <c r="C2" s="1"/>
      <c r="D2" s="1"/>
      <c r="E2" s="1"/>
      <c r="F2" s="1"/>
      <c r="G2" s="1"/>
      <c r="H2" s="1"/>
      <c r="I2" s="1"/>
    </row>
    <row r="3" spans="2:14" x14ac:dyDescent="0.3">
      <c r="B3" t="s">
        <v>46</v>
      </c>
      <c r="D3">
        <v>15</v>
      </c>
      <c r="E3">
        <v>16</v>
      </c>
      <c r="F3">
        <v>17</v>
      </c>
      <c r="G3">
        <v>18</v>
      </c>
      <c r="H3">
        <v>19</v>
      </c>
      <c r="I3" s="12">
        <v>20</v>
      </c>
    </row>
    <row r="4" spans="2:14" x14ac:dyDescent="0.3">
      <c r="B4" t="s">
        <v>38</v>
      </c>
      <c r="D4" s="8">
        <v>177308.55</v>
      </c>
      <c r="E4" s="8">
        <v>156539.4</v>
      </c>
      <c r="F4" s="8">
        <v>142715.29999999999</v>
      </c>
      <c r="G4" s="8">
        <v>137014.09999999998</v>
      </c>
      <c r="H4" s="8">
        <v>133153.84999999998</v>
      </c>
      <c r="I4" s="13">
        <v>129293.59999999999</v>
      </c>
      <c r="J4" s="8"/>
      <c r="K4" s="8"/>
      <c r="L4" s="8"/>
      <c r="M4" s="8"/>
      <c r="N4" s="8"/>
    </row>
    <row r="5" spans="2:14" x14ac:dyDescent="0.3">
      <c r="B5" t="s">
        <v>41</v>
      </c>
      <c r="D5">
        <v>19</v>
      </c>
      <c r="E5">
        <v>16</v>
      </c>
      <c r="F5">
        <v>14</v>
      </c>
      <c r="G5">
        <v>12</v>
      </c>
      <c r="H5">
        <v>11</v>
      </c>
      <c r="I5" s="12">
        <v>10</v>
      </c>
    </row>
    <row r="6" spans="2:14" x14ac:dyDescent="0.3">
      <c r="B6" t="s">
        <v>48</v>
      </c>
      <c r="D6" s="8"/>
      <c r="E6" s="8"/>
      <c r="F6" s="8">
        <v>-230579.77373127895</v>
      </c>
      <c r="G6" s="8">
        <v>700742.1678994582</v>
      </c>
      <c r="H6" s="8">
        <v>1632064.1095301956</v>
      </c>
      <c r="I6" s="16">
        <v>2563386.0511609325</v>
      </c>
    </row>
    <row r="8" spans="2:14" x14ac:dyDescent="0.3">
      <c r="B8" t="s">
        <v>40</v>
      </c>
      <c r="C8">
        <v>3.1</v>
      </c>
      <c r="D8">
        <v>3</v>
      </c>
      <c r="E8">
        <v>2.8</v>
      </c>
      <c r="F8">
        <v>2.6</v>
      </c>
      <c r="G8">
        <v>2.4</v>
      </c>
      <c r="H8">
        <v>2.2000000000000002</v>
      </c>
      <c r="I8" s="12">
        <v>2</v>
      </c>
    </row>
    <row r="9" spans="2:14" x14ac:dyDescent="0.3">
      <c r="B9" t="s">
        <v>38</v>
      </c>
      <c r="C9">
        <v>179212.94000000006</v>
      </c>
      <c r="D9">
        <v>169921.6</v>
      </c>
      <c r="E9">
        <v>151804.15999999992</v>
      </c>
      <c r="F9">
        <v>143332.94</v>
      </c>
      <c r="G9">
        <v>138352.32000000001</v>
      </c>
      <c r="H9">
        <v>133822.96000000002</v>
      </c>
      <c r="I9" s="12">
        <v>129293.59999999999</v>
      </c>
    </row>
    <row r="10" spans="2:14" x14ac:dyDescent="0.3">
      <c r="B10" t="s">
        <v>41</v>
      </c>
    </row>
    <row r="11" spans="2:14" x14ac:dyDescent="0.3">
      <c r="B11" t="s">
        <v>48</v>
      </c>
      <c r="C11" s="8"/>
      <c r="D11" s="8"/>
      <c r="E11" s="8">
        <v>-785309.88925849984</v>
      </c>
      <c r="F11" s="8">
        <v>51864.095846356591</v>
      </c>
      <c r="G11" s="8">
        <v>889038.08095121616</v>
      </c>
      <c r="H11" s="8">
        <v>1726212.0660560736</v>
      </c>
      <c r="I11" s="16">
        <v>2563386.0511609325</v>
      </c>
    </row>
    <row r="13" spans="2:14" x14ac:dyDescent="0.3">
      <c r="B13" t="s">
        <v>50</v>
      </c>
      <c r="D13">
        <v>0.2</v>
      </c>
      <c r="E13">
        <v>0.21</v>
      </c>
      <c r="F13">
        <v>0.22</v>
      </c>
      <c r="G13">
        <v>0.23</v>
      </c>
      <c r="H13">
        <v>0.24</v>
      </c>
      <c r="I13" s="12">
        <v>0.25</v>
      </c>
    </row>
    <row r="14" spans="2:14" x14ac:dyDescent="0.3">
      <c r="B14" t="s">
        <v>38</v>
      </c>
      <c r="E14">
        <v>144259.4</v>
      </c>
      <c r="F14">
        <v>138558.20000000001</v>
      </c>
      <c r="G14">
        <v>135470</v>
      </c>
      <c r="H14">
        <v>132381.79999999999</v>
      </c>
      <c r="I14" s="12">
        <v>129293.59999999999</v>
      </c>
    </row>
    <row r="15" spans="2:14" x14ac:dyDescent="0.3">
      <c r="B15" t="s">
        <v>41</v>
      </c>
      <c r="E15">
        <v>15</v>
      </c>
      <c r="F15">
        <v>14</v>
      </c>
      <c r="G15">
        <v>13</v>
      </c>
      <c r="H15">
        <v>12</v>
      </c>
      <c r="I15" s="12">
        <v>10</v>
      </c>
    </row>
    <row r="16" spans="2:14" x14ac:dyDescent="0.3">
      <c r="B16" t="s">
        <v>48</v>
      </c>
      <c r="C16" s="8"/>
      <c r="D16" s="8"/>
      <c r="E16" s="8">
        <v>-222965.5671787234</v>
      </c>
      <c r="F16" s="8">
        <v>479550.21921994543</v>
      </c>
      <c r="G16" s="8">
        <v>1173980.6983399042</v>
      </c>
      <c r="H16" s="8">
        <v>1874435.4028755082</v>
      </c>
      <c r="I16" s="16">
        <v>2563386.0511609325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4962-5F64-4791-8132-95FEC0BAB531}">
  <dimension ref="A2:W152"/>
  <sheetViews>
    <sheetView workbookViewId="0">
      <selection activeCell="F5" sqref="F5"/>
    </sheetView>
  </sheetViews>
  <sheetFormatPr defaultRowHeight="14.4" x14ac:dyDescent="0.3"/>
  <cols>
    <col min="1" max="1" width="16.44140625" customWidth="1"/>
    <col min="2" max="3" width="34.5546875" customWidth="1"/>
    <col min="4" max="4" width="33.77734375" customWidth="1"/>
    <col min="5" max="5" width="36.6640625" customWidth="1"/>
    <col min="6" max="6" width="14.44140625" customWidth="1"/>
  </cols>
  <sheetData>
    <row r="2" spans="1:23" x14ac:dyDescent="0.3">
      <c r="B2" s="27">
        <v>1</v>
      </c>
      <c r="C2" s="27"/>
      <c r="D2" s="27"/>
      <c r="E2" s="27"/>
      <c r="F2" s="27">
        <v>2</v>
      </c>
      <c r="G2" s="27"/>
      <c r="H2" s="27"/>
      <c r="I2" s="27"/>
      <c r="J2" s="27">
        <v>3</v>
      </c>
      <c r="K2" s="27"/>
      <c r="L2" s="27"/>
      <c r="M2" s="27"/>
      <c r="N2" s="27">
        <v>4</v>
      </c>
      <c r="O2" s="27"/>
      <c r="P2" s="27"/>
      <c r="Q2" s="27"/>
      <c r="R2" s="27">
        <v>5</v>
      </c>
      <c r="S2" s="27"/>
      <c r="T2" s="27"/>
      <c r="U2" s="27"/>
    </row>
    <row r="3" spans="1:23" x14ac:dyDescent="0.3">
      <c r="A3" s="1" t="s">
        <v>54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</row>
    <row r="4" spans="1:23" x14ac:dyDescent="0.3">
      <c r="A4" s="22" t="s">
        <v>53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0"/>
      <c r="W4" s="20"/>
    </row>
    <row r="5" spans="1:23" ht="100.8" x14ac:dyDescent="0.3">
      <c r="A5" s="21" t="s">
        <v>56</v>
      </c>
      <c r="B5" s="21" t="s">
        <v>59</v>
      </c>
      <c r="C5" s="21" t="s">
        <v>58</v>
      </c>
      <c r="D5" s="21" t="s">
        <v>57</v>
      </c>
      <c r="E5" s="21" t="s">
        <v>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0"/>
      <c r="W5" s="20"/>
    </row>
    <row r="6" spans="1:23" ht="43.2" x14ac:dyDescent="0.3">
      <c r="A6" s="21" t="s">
        <v>60</v>
      </c>
      <c r="B6" s="23" t="s">
        <v>63</v>
      </c>
      <c r="C6" s="23" t="s">
        <v>63</v>
      </c>
      <c r="D6" s="21" t="s">
        <v>62</v>
      </c>
      <c r="E6" s="21" t="s">
        <v>61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0"/>
      <c r="W6" s="20"/>
    </row>
    <row r="7" spans="1:23" ht="28.8" x14ac:dyDescent="0.3">
      <c r="A7" s="21" t="s">
        <v>64</v>
      </c>
      <c r="B7" s="21" t="s">
        <v>65</v>
      </c>
      <c r="C7" s="21" t="s">
        <v>65</v>
      </c>
      <c r="D7" s="21" t="s">
        <v>65</v>
      </c>
      <c r="E7" s="21" t="s">
        <v>65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0"/>
      <c r="W7" s="20"/>
    </row>
    <row r="8" spans="1:23" ht="28.8" x14ac:dyDescent="0.3">
      <c r="A8" s="21" t="s">
        <v>13</v>
      </c>
      <c r="B8" s="21"/>
      <c r="C8" s="21"/>
      <c r="D8" s="21"/>
      <c r="E8" s="21" t="s">
        <v>66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0"/>
      <c r="W8" s="20"/>
    </row>
    <row r="9" spans="1:23" ht="28.8" x14ac:dyDescent="0.3">
      <c r="A9" s="21" t="s">
        <v>67</v>
      </c>
      <c r="B9" s="21"/>
      <c r="C9" s="21"/>
      <c r="D9" s="21"/>
      <c r="E9" s="21" t="s">
        <v>66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0"/>
      <c r="W9" s="20"/>
    </row>
    <row r="10" spans="1:23" x14ac:dyDescent="0.3">
      <c r="A10" s="21" t="s">
        <v>24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0"/>
      <c r="W10" s="20"/>
    </row>
    <row r="11" spans="1:23" ht="115.2" x14ac:dyDescent="0.3">
      <c r="A11" s="21" t="s">
        <v>68</v>
      </c>
      <c r="B11" s="21"/>
      <c r="C11" s="21"/>
      <c r="D11" s="21" t="s">
        <v>69</v>
      </c>
      <c r="E11" s="21" t="s">
        <v>70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0"/>
      <c r="W11" s="20"/>
    </row>
    <row r="12" spans="1:23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0"/>
      <c r="W12" s="20"/>
    </row>
    <row r="13" spans="1:23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0"/>
      <c r="W13" s="20"/>
    </row>
    <row r="14" spans="1:23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0"/>
      <c r="W14" s="20"/>
    </row>
    <row r="15" spans="1:23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0"/>
      <c r="W15" s="20"/>
    </row>
    <row r="16" spans="1:23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0"/>
      <c r="W16" s="20"/>
    </row>
    <row r="17" spans="1:23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0"/>
      <c r="W17" s="20"/>
    </row>
    <row r="18" spans="1:23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0"/>
      <c r="W18" s="20"/>
    </row>
    <row r="19" spans="1:23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0"/>
      <c r="W19" s="20"/>
    </row>
    <row r="20" spans="1:23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0"/>
      <c r="W20" s="20"/>
    </row>
    <row r="21" spans="1:23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0"/>
      <c r="W21" s="20"/>
    </row>
    <row r="22" spans="1:23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0"/>
      <c r="W22" s="20"/>
    </row>
    <row r="23" spans="1:23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0"/>
      <c r="W23" s="20"/>
    </row>
    <row r="24" spans="1:23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0"/>
      <c r="W24" s="20"/>
    </row>
    <row r="25" spans="1:23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0"/>
      <c r="W25" s="20"/>
    </row>
    <row r="26" spans="1:23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0"/>
      <c r="W26" s="20"/>
    </row>
    <row r="27" spans="1:23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0"/>
      <c r="W27" s="20"/>
    </row>
    <row r="28" spans="1:23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0"/>
      <c r="W28" s="20"/>
    </row>
    <row r="29" spans="1:23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0"/>
      <c r="W29" s="20"/>
    </row>
    <row r="30" spans="1:23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0"/>
      <c r="W30" s="20"/>
    </row>
    <row r="31" spans="1:23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0"/>
      <c r="W31" s="20"/>
    </row>
    <row r="32" spans="1:23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0"/>
      <c r="W32" s="20"/>
    </row>
    <row r="33" spans="1:23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0"/>
      <c r="W33" s="20"/>
    </row>
    <row r="34" spans="1:23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0"/>
      <c r="W34" s="20"/>
    </row>
    <row r="35" spans="1:23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0"/>
      <c r="W35" s="20"/>
    </row>
    <row r="36" spans="1:23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0"/>
      <c r="W36" s="20"/>
    </row>
    <row r="37" spans="1:23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0"/>
      <c r="W37" s="20"/>
    </row>
    <row r="38" spans="1:23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0"/>
      <c r="W38" s="20"/>
    </row>
    <row r="39" spans="1:23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0"/>
      <c r="W39" s="20"/>
    </row>
    <row r="40" spans="1:23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0"/>
      <c r="W40" s="20"/>
    </row>
    <row r="41" spans="1:23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0"/>
      <c r="W41" s="20"/>
    </row>
    <row r="42" spans="1:23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0"/>
      <c r="W42" s="20"/>
    </row>
    <row r="43" spans="1:23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0"/>
      <c r="W43" s="20"/>
    </row>
    <row r="44" spans="1:23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0"/>
      <c r="W44" s="20"/>
    </row>
    <row r="45" spans="1:23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0"/>
      <c r="W45" s="20"/>
    </row>
    <row r="46" spans="1:23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0"/>
      <c r="W46" s="20"/>
    </row>
    <row r="47" spans="1:23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0"/>
      <c r="W47" s="20"/>
    </row>
    <row r="48" spans="1:23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0"/>
      <c r="W48" s="20"/>
    </row>
    <row r="49" spans="1:23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0"/>
      <c r="W49" s="20"/>
    </row>
    <row r="50" spans="1:23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0"/>
      <c r="W50" s="20"/>
    </row>
    <row r="51" spans="1:23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0"/>
      <c r="W51" s="20"/>
    </row>
    <row r="52" spans="1:23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0"/>
      <c r="W52" s="20"/>
    </row>
    <row r="53" spans="1:23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0"/>
      <c r="W53" s="20"/>
    </row>
    <row r="54" spans="1:23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0"/>
      <c r="W54" s="20"/>
    </row>
    <row r="55" spans="1:23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0"/>
      <c r="W55" s="20"/>
    </row>
    <row r="56" spans="1:23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0"/>
      <c r="W56" s="20"/>
    </row>
    <row r="57" spans="1:23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0"/>
      <c r="W57" s="20"/>
    </row>
    <row r="58" spans="1:23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0"/>
      <c r="W58" s="20"/>
    </row>
    <row r="59" spans="1:23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0"/>
      <c r="W59" s="20"/>
    </row>
    <row r="60" spans="1:23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0"/>
      <c r="W60" s="20"/>
    </row>
    <row r="61" spans="1:23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0"/>
      <c r="W61" s="20"/>
    </row>
    <row r="62" spans="1:23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0"/>
      <c r="W62" s="20"/>
    </row>
    <row r="63" spans="1:23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0"/>
      <c r="W63" s="20"/>
    </row>
    <row r="64" spans="1:23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0"/>
      <c r="W64" s="20"/>
    </row>
    <row r="65" spans="1:23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0"/>
      <c r="W65" s="20"/>
    </row>
    <row r="66" spans="1:23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0"/>
      <c r="W66" s="20"/>
    </row>
    <row r="67" spans="1:23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0"/>
      <c r="W67" s="20"/>
    </row>
    <row r="68" spans="1:23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0"/>
      <c r="W68" s="20"/>
    </row>
    <row r="69" spans="1:23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0"/>
      <c r="W69" s="20"/>
    </row>
    <row r="70" spans="1:23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0"/>
      <c r="W70" s="20"/>
    </row>
    <row r="71" spans="1:23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0"/>
      <c r="W71" s="20"/>
    </row>
    <row r="72" spans="1:23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0"/>
      <c r="W72" s="20"/>
    </row>
    <row r="73" spans="1:23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0"/>
      <c r="W73" s="20"/>
    </row>
    <row r="74" spans="1:23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0"/>
      <c r="W74" s="20"/>
    </row>
    <row r="75" spans="1:23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0"/>
      <c r="W75" s="20"/>
    </row>
    <row r="76" spans="1:23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0"/>
      <c r="W76" s="20"/>
    </row>
    <row r="77" spans="1:23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0"/>
      <c r="W77" s="20"/>
    </row>
    <row r="78" spans="1:23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0"/>
      <c r="W78" s="20"/>
    </row>
    <row r="79" spans="1:23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0"/>
      <c r="W79" s="20"/>
    </row>
    <row r="80" spans="1:23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0"/>
      <c r="W80" s="20"/>
    </row>
    <row r="81" spans="1:23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0"/>
      <c r="W81" s="20"/>
    </row>
    <row r="82" spans="1:23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0"/>
      <c r="W82" s="20"/>
    </row>
    <row r="83" spans="1:23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0"/>
      <c r="W83" s="20"/>
    </row>
    <row r="84" spans="1:23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0"/>
      <c r="W84" s="20"/>
    </row>
    <row r="85" spans="1:23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0"/>
      <c r="W85" s="20"/>
    </row>
    <row r="86" spans="1:23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0"/>
      <c r="W86" s="20"/>
    </row>
    <row r="87" spans="1:23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0"/>
      <c r="W87" s="20"/>
    </row>
    <row r="88" spans="1:23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0"/>
      <c r="W88" s="20"/>
    </row>
    <row r="89" spans="1:23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0"/>
      <c r="W89" s="20"/>
    </row>
    <row r="90" spans="1:23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0"/>
      <c r="W90" s="20"/>
    </row>
    <row r="91" spans="1:23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0"/>
      <c r="W91" s="20"/>
    </row>
    <row r="92" spans="1:23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0"/>
      <c r="W92" s="20"/>
    </row>
    <row r="93" spans="1:23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0"/>
      <c r="W93" s="20"/>
    </row>
    <row r="94" spans="1:23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0"/>
      <c r="W94" s="20"/>
    </row>
    <row r="95" spans="1:23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0"/>
      <c r="W95" s="20"/>
    </row>
    <row r="96" spans="1:23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0"/>
      <c r="W96" s="20"/>
    </row>
    <row r="97" spans="1:23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0"/>
      <c r="W97" s="20"/>
    </row>
    <row r="98" spans="1:23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0"/>
      <c r="W98" s="20"/>
    </row>
    <row r="99" spans="1:23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0"/>
      <c r="W99" s="20"/>
    </row>
    <row r="100" spans="1:23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0"/>
      <c r="W100" s="20"/>
    </row>
    <row r="101" spans="1:23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0"/>
      <c r="W101" s="20"/>
    </row>
    <row r="102" spans="1:23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0"/>
      <c r="W102" s="20"/>
    </row>
    <row r="103" spans="1:23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0"/>
      <c r="W103" s="20"/>
    </row>
    <row r="104" spans="1:23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0"/>
      <c r="W104" s="20"/>
    </row>
    <row r="105" spans="1:23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0"/>
      <c r="W105" s="20"/>
    </row>
    <row r="106" spans="1:23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0"/>
      <c r="W106" s="20"/>
    </row>
    <row r="107" spans="1:23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0"/>
      <c r="W107" s="20"/>
    </row>
    <row r="108" spans="1:23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0"/>
      <c r="W108" s="20"/>
    </row>
    <row r="109" spans="1:23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0"/>
      <c r="W109" s="20"/>
    </row>
    <row r="110" spans="1:23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0"/>
      <c r="W110" s="20"/>
    </row>
    <row r="111" spans="1:23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0"/>
      <c r="W111" s="20"/>
    </row>
    <row r="112" spans="1:23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0"/>
      <c r="W112" s="20"/>
    </row>
    <row r="113" spans="1:23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0"/>
      <c r="W113" s="20"/>
    </row>
    <row r="114" spans="1:23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0"/>
      <c r="W114" s="20"/>
    </row>
    <row r="115" spans="1:23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0"/>
      <c r="W115" s="20"/>
    </row>
    <row r="116" spans="1:23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0"/>
      <c r="W116" s="20"/>
    </row>
    <row r="117" spans="1:23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0"/>
      <c r="W117" s="20"/>
    </row>
    <row r="118" spans="1:23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0"/>
      <c r="W118" s="20"/>
    </row>
    <row r="119" spans="1:23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0"/>
      <c r="W119" s="20"/>
    </row>
    <row r="120" spans="1:23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0"/>
      <c r="W120" s="20"/>
    </row>
    <row r="121" spans="1:23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0"/>
      <c r="W121" s="20"/>
    </row>
    <row r="122" spans="1:23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0"/>
      <c r="W122" s="20"/>
    </row>
    <row r="123" spans="1:23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0"/>
      <c r="W123" s="20"/>
    </row>
    <row r="124" spans="1:23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0"/>
      <c r="W124" s="20"/>
    </row>
    <row r="125" spans="1:23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0"/>
      <c r="W125" s="20"/>
    </row>
    <row r="126" spans="1:23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0"/>
      <c r="W126" s="20"/>
    </row>
    <row r="127" spans="1:23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0"/>
      <c r="W127" s="20"/>
    </row>
    <row r="128" spans="1:23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0"/>
      <c r="W128" s="20"/>
    </row>
    <row r="129" spans="1:23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0"/>
      <c r="W129" s="20"/>
    </row>
    <row r="130" spans="1:23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0"/>
      <c r="W130" s="20"/>
    </row>
    <row r="131" spans="1:23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0"/>
      <c r="W131" s="20"/>
    </row>
    <row r="132" spans="1:23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0"/>
      <c r="W132" s="20"/>
    </row>
    <row r="133" spans="1:23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0"/>
      <c r="W133" s="20"/>
    </row>
    <row r="134" spans="1:23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0"/>
      <c r="W134" s="20"/>
    </row>
    <row r="135" spans="1:23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0"/>
      <c r="W135" s="20"/>
    </row>
    <row r="136" spans="1:23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0"/>
      <c r="W136" s="20"/>
    </row>
    <row r="137" spans="1:23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0"/>
      <c r="W137" s="20"/>
    </row>
    <row r="138" spans="1:23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0"/>
      <c r="W138" s="20"/>
    </row>
    <row r="139" spans="1:23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0"/>
      <c r="W139" s="20"/>
    </row>
    <row r="140" spans="1:23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0"/>
      <c r="W140" s="20"/>
    </row>
    <row r="141" spans="1:23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0"/>
      <c r="W141" s="20"/>
    </row>
    <row r="142" spans="1:23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</sheetData>
  <mergeCells count="5">
    <mergeCell ref="B2:E2"/>
    <mergeCell ref="F2:I2"/>
    <mergeCell ref="J2:M2"/>
    <mergeCell ref="N2:Q2"/>
    <mergeCell ref="R2:U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5580-A188-41B3-B373-5AE166D016D3}">
  <dimension ref="B1:N7"/>
  <sheetViews>
    <sheetView workbookViewId="0">
      <selection activeCell="B1" sqref="B1:D7"/>
    </sheetView>
  </sheetViews>
  <sheetFormatPr defaultRowHeight="14.4" x14ac:dyDescent="0.3"/>
  <cols>
    <col min="2" max="2" width="12.21875" customWidth="1"/>
  </cols>
  <sheetData>
    <row r="1" spans="2:14" x14ac:dyDescent="0.3">
      <c r="F1" t="s">
        <v>88</v>
      </c>
    </row>
    <row r="3" spans="2:14" x14ac:dyDescent="0.3">
      <c r="C3" s="26">
        <v>43831</v>
      </c>
      <c r="D3" s="26">
        <v>43862</v>
      </c>
      <c r="E3" s="26">
        <v>43891</v>
      </c>
      <c r="F3" s="26">
        <v>43922</v>
      </c>
      <c r="G3" s="26">
        <v>43952</v>
      </c>
      <c r="H3" s="26">
        <v>43983</v>
      </c>
      <c r="I3" s="26">
        <v>44013</v>
      </c>
      <c r="J3" s="26">
        <v>44044</v>
      </c>
      <c r="K3" s="26">
        <v>44075</v>
      </c>
      <c r="L3" s="26">
        <v>44105</v>
      </c>
      <c r="M3" s="26">
        <v>44136</v>
      </c>
      <c r="N3" s="26">
        <v>44166</v>
      </c>
    </row>
    <row r="4" spans="2:14" x14ac:dyDescent="0.3">
      <c r="B4" t="s">
        <v>84</v>
      </c>
      <c r="C4">
        <v>5235</v>
      </c>
      <c r="M4">
        <v>4564</v>
      </c>
      <c r="N4">
        <v>5467</v>
      </c>
    </row>
    <row r="5" spans="2:14" x14ac:dyDescent="0.3">
      <c r="B5" t="s">
        <v>85</v>
      </c>
      <c r="D5">
        <v>3452</v>
      </c>
      <c r="F5">
        <v>45234</v>
      </c>
      <c r="H5">
        <v>345345</v>
      </c>
      <c r="I5">
        <v>53</v>
      </c>
      <c r="J5">
        <v>345</v>
      </c>
      <c r="L5">
        <v>53</v>
      </c>
      <c r="M5">
        <v>465</v>
      </c>
    </row>
    <row r="6" spans="2:14" x14ac:dyDescent="0.3">
      <c r="B6" t="s">
        <v>86</v>
      </c>
      <c r="C6">
        <v>452345</v>
      </c>
      <c r="F6">
        <v>345345</v>
      </c>
      <c r="I6">
        <v>3453</v>
      </c>
      <c r="K6">
        <v>45</v>
      </c>
      <c r="L6">
        <v>678</v>
      </c>
      <c r="M6">
        <v>87</v>
      </c>
    </row>
    <row r="7" spans="2:14" x14ac:dyDescent="0.3">
      <c r="B7" t="s">
        <v>87</v>
      </c>
      <c r="H7">
        <v>5435</v>
      </c>
      <c r="J7">
        <v>45</v>
      </c>
      <c r="L7">
        <v>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AE36-006B-4E09-B0B3-6A859836F1B4}">
  <dimension ref="A1:H11"/>
  <sheetViews>
    <sheetView workbookViewId="0">
      <selection activeCell="M28" sqref="M28"/>
    </sheetView>
  </sheetViews>
  <sheetFormatPr defaultRowHeight="14.4" x14ac:dyDescent="0.3"/>
  <sheetData>
    <row r="1" spans="1:8" x14ac:dyDescent="0.3">
      <c r="A1" t="s">
        <v>47</v>
      </c>
      <c r="B1">
        <v>0</v>
      </c>
      <c r="C1">
        <v>1</v>
      </c>
      <c r="D1">
        <v>2</v>
      </c>
      <c r="E1">
        <v>3</v>
      </c>
      <c r="F1">
        <v>0.03</v>
      </c>
    </row>
    <row r="3" spans="1:8" x14ac:dyDescent="0.3">
      <c r="A3" t="s">
        <v>5</v>
      </c>
      <c r="B3">
        <v>1000</v>
      </c>
      <c r="C3">
        <v>30</v>
      </c>
      <c r="D3">
        <v>30</v>
      </c>
      <c r="E3">
        <v>1030</v>
      </c>
    </row>
    <row r="4" spans="1:8" x14ac:dyDescent="0.3">
      <c r="C4">
        <f>C3/POWER((1+$F$1),C1)</f>
        <v>29.126213592233007</v>
      </c>
      <c r="D4">
        <f>D3/POWER((1+$F$1),D1)</f>
        <v>28.277877274012631</v>
      </c>
    </row>
    <row r="5" spans="1:8" x14ac:dyDescent="0.3">
      <c r="A5" t="s">
        <v>5</v>
      </c>
      <c r="B5">
        <f>C5/(1+F1)</f>
        <v>1067.9611650485438</v>
      </c>
      <c r="C5">
        <v>1100</v>
      </c>
    </row>
    <row r="6" spans="1:8" x14ac:dyDescent="0.3">
      <c r="A6" t="s">
        <v>48</v>
      </c>
    </row>
    <row r="9" spans="1:8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</row>
    <row r="10" spans="1:8" x14ac:dyDescent="0.3">
      <c r="B10">
        <v>120000</v>
      </c>
      <c r="C10">
        <v>10000</v>
      </c>
      <c r="D10">
        <v>20000</v>
      </c>
      <c r="E10">
        <v>30000</v>
      </c>
      <c r="F10">
        <v>40000</v>
      </c>
      <c r="G10">
        <v>50000</v>
      </c>
      <c r="H10">
        <v>60000</v>
      </c>
    </row>
    <row r="11" spans="1:8" x14ac:dyDescent="0.3">
      <c r="B11">
        <f>SUM(C11:H11)</f>
        <v>184933.88236420255</v>
      </c>
      <c r="C11">
        <f t="shared" ref="C11:H11" si="0">C10/POWER(1+$F$1,C9)</f>
        <v>9708.7378640776697</v>
      </c>
      <c r="D11">
        <f t="shared" si="0"/>
        <v>18851.918182675086</v>
      </c>
      <c r="E11">
        <f t="shared" si="0"/>
        <v>27454.249780594786</v>
      </c>
      <c r="F11">
        <f t="shared" si="0"/>
        <v>35539.481916627556</v>
      </c>
      <c r="G11">
        <f t="shared" si="0"/>
        <v>43130.439219208201</v>
      </c>
      <c r="H11">
        <f t="shared" si="0"/>
        <v>50249.055401019265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Calculations</vt:lpstr>
      <vt:lpstr>Sheet1</vt:lpstr>
      <vt:lpstr>Settings</vt:lpstr>
      <vt:lpstr>Чувствительность</vt:lpstr>
      <vt:lpstr>Задачи</vt:lpstr>
      <vt:lpstr>Пример - Отчет по прод. - Мендр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Ryzhov</dc:creator>
  <cp:lastModifiedBy>Eugene Ryzhov</cp:lastModifiedBy>
  <dcterms:created xsi:type="dcterms:W3CDTF">2021-04-07T19:29:50Z</dcterms:created>
  <dcterms:modified xsi:type="dcterms:W3CDTF">2021-08-16T19:25:49Z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874bb8c8-3e51-45f8-9c94-15037d137820</vt:lpwstr>
  </property>
</Properties>
</file>