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Development/aerospace/prometheus_unbound/models/"/>
    </mc:Choice>
  </mc:AlternateContent>
  <xr:revisionPtr revIDLastSave="0" documentId="13_ncr:1_{5DF05857-08B9-094B-8468-1D1B51DDD4F8}" xr6:coauthVersionLast="47" xr6:coauthVersionMax="47" xr10:uidLastSave="{00000000-0000-0000-0000-000000000000}"/>
  <bookViews>
    <workbookView xWindow="0" yWindow="680" windowWidth="25600" windowHeight="14400" xr2:uid="{F4E1B1BE-E6BE-4736-BB82-C5B26D151CF6}"/>
  </bookViews>
  <sheets>
    <sheet name="Astrodynamics" sheetId="1" r:id="rId1"/>
    <sheet name="Propulsion" sheetId="2" r:id="rId2"/>
    <sheet name="Thermal" sheetId="7" r:id="rId3"/>
    <sheet name="Power" sheetId="4" r:id="rId4"/>
    <sheet name="Artificial Gravity" sheetId="6" r:id="rId5"/>
    <sheet name="Geometry" sheetId="5" r:id="rId6"/>
    <sheet name="Costs" sheetId="3" r:id="rId7"/>
    <sheet name="Payloa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F19" i="2"/>
  <c r="F18" i="2"/>
  <c r="F17" i="2"/>
  <c r="D33" i="5"/>
  <c r="E31" i="5"/>
  <c r="E32" i="5" s="1"/>
  <c r="E33" i="5" s="1"/>
  <c r="D32" i="5"/>
  <c r="F9" i="4"/>
  <c r="F6" i="4"/>
  <c r="F8" i="4" s="1"/>
  <c r="G8" i="4" s="1"/>
  <c r="B6" i="4"/>
  <c r="D16" i="4"/>
  <c r="D15" i="4"/>
  <c r="D5" i="4"/>
  <c r="D7" i="4" s="1"/>
  <c r="D9" i="4" s="1"/>
  <c r="D8" i="4"/>
  <c r="D5" i="7"/>
  <c r="D6" i="7"/>
  <c r="G10" i="7"/>
  <c r="G9" i="7"/>
  <c r="D10" i="7"/>
  <c r="D21" i="7"/>
  <c r="D20" i="7"/>
  <c r="D19" i="7"/>
  <c r="F28" i="7"/>
  <c r="F27" i="7"/>
  <c r="D25" i="7"/>
  <c r="D30" i="7" s="1"/>
  <c r="D24" i="7"/>
  <c r="D26" i="7" s="1"/>
  <c r="F6" i="7"/>
  <c r="F4" i="7"/>
  <c r="F3" i="7"/>
  <c r="H10" i="2"/>
  <c r="D3" i="3"/>
  <c r="D10" i="3"/>
  <c r="D11" i="3" s="1"/>
  <c r="E13" i="3" s="1"/>
  <c r="D6" i="3"/>
  <c r="E17" i="3"/>
  <c r="D9" i="3"/>
  <c r="D5" i="3"/>
  <c r="D12" i="3" s="1"/>
  <c r="D2" i="3"/>
  <c r="D1" i="3"/>
  <c r="B5" i="3"/>
  <c r="B2" i="3"/>
  <c r="B8" i="6"/>
  <c r="D11" i="1"/>
  <c r="D12" i="1" s="1"/>
  <c r="D16" i="1" s="1"/>
  <c r="D14" i="1"/>
  <c r="K22" i="1"/>
  <c r="K21" i="1"/>
  <c r="I20" i="1"/>
  <c r="K25" i="1"/>
  <c r="I19" i="1"/>
  <c r="G21" i="1"/>
  <c r="I21" i="1"/>
  <c r="I22" i="1" s="1"/>
  <c r="G23" i="1" s="1"/>
  <c r="E4" i="1"/>
  <c r="I6" i="1"/>
  <c r="G20" i="1"/>
  <c r="G22" i="1" s="1"/>
  <c r="H11" i="1"/>
  <c r="H6" i="1"/>
  <c r="H5" i="1"/>
  <c r="G6" i="1"/>
  <c r="G5" i="1"/>
  <c r="E3" i="1"/>
  <c r="F24" i="2"/>
  <c r="F26" i="2" s="1"/>
  <c r="H22" i="2" s="1"/>
  <c r="F16" i="2" l="1"/>
  <c r="H17" i="2" s="1"/>
  <c r="G31" i="5"/>
  <c r="G6" i="4"/>
  <c r="F27" i="2"/>
  <c r="D31" i="7"/>
  <c r="F26" i="7" s="1"/>
  <c r="F10" i="7" s="1"/>
  <c r="F24" i="7"/>
  <c r="D27" i="7"/>
  <c r="D28" i="7" s="1"/>
  <c r="D29" i="7" s="1"/>
  <c r="F25" i="7" s="1"/>
  <c r="F5" i="7"/>
  <c r="D13" i="3"/>
  <c r="D15" i="1"/>
  <c r="G24" i="1"/>
  <c r="G25" i="1" s="1"/>
  <c r="K23" i="1"/>
  <c r="K24" i="1" s="1"/>
  <c r="I23" i="1"/>
  <c r="H23" i="2"/>
  <c r="H21" i="2"/>
  <c r="F12" i="2"/>
  <c r="F13" i="2" s="1"/>
  <c r="F11" i="2"/>
  <c r="H16" i="2" l="1"/>
  <c r="H18" i="2" s="1"/>
  <c r="I18" i="2" s="1"/>
  <c r="I17" i="2"/>
  <c r="G32" i="5"/>
  <c r="G33" i="5"/>
  <c r="G34" i="5" s="1"/>
  <c r="H11" i="2"/>
  <c r="F9" i="7"/>
  <c r="D15" i="3"/>
  <c r="D16" i="3" s="1"/>
  <c r="D17" i="3" s="1"/>
  <c r="D18" i="3" s="1"/>
  <c r="F13" i="3"/>
  <c r="G13" i="3" s="1"/>
  <c r="D14" i="3"/>
  <c r="K26" i="1"/>
  <c r="H9" i="2"/>
  <c r="H12" i="2"/>
  <c r="H19" i="2" l="1"/>
  <c r="H20" i="2"/>
  <c r="H13" i="2"/>
  <c r="B9" i="6"/>
  <c r="F8" i="6"/>
  <c r="F10" i="6" s="1"/>
  <c r="F11" i="6" s="1"/>
  <c r="F7" i="6"/>
  <c r="F4" i="6"/>
  <c r="D7" i="6"/>
  <c r="E7" i="6"/>
  <c r="B4" i="6"/>
  <c r="D4" i="6" s="1"/>
  <c r="D8" i="6" s="1"/>
  <c r="D10" i="6" s="1"/>
  <c r="D11" i="6" s="1"/>
  <c r="B3" i="6"/>
  <c r="E4" i="6" s="1"/>
  <c r="E3" i="5"/>
  <c r="E4" i="5"/>
  <c r="E5" i="5"/>
  <c r="D6" i="5"/>
  <c r="E9" i="5"/>
  <c r="E10" i="5"/>
  <c r="D11" i="5"/>
  <c r="E14" i="5"/>
  <c r="E15" i="5"/>
  <c r="D16" i="5"/>
  <c r="E19" i="5"/>
  <c r="E20" i="5"/>
  <c r="D21" i="5"/>
  <c r="E24" i="5"/>
  <c r="E25" i="5"/>
  <c r="E26" i="5"/>
  <c r="E27" i="5"/>
  <c r="D28" i="5"/>
  <c r="F6" i="2"/>
  <c r="H4" i="2" s="1"/>
  <c r="H5" i="2" s="1"/>
  <c r="B13" i="1"/>
  <c r="I8" i="1"/>
  <c r="I4" i="1"/>
  <c r="I3" i="1"/>
  <c r="I5" i="1" s="1"/>
  <c r="E21" i="5" l="1"/>
  <c r="G19" i="5" s="1"/>
  <c r="G20" i="5" s="1"/>
  <c r="E6" i="5"/>
  <c r="G3" i="5" s="1"/>
  <c r="G4" i="5" s="1"/>
  <c r="E11" i="5"/>
  <c r="G9" i="5" s="1"/>
  <c r="G10" i="5" s="1"/>
  <c r="E16" i="5"/>
  <c r="G14" i="5" s="1"/>
  <c r="G15" i="5" s="1"/>
  <c r="E28" i="5"/>
  <c r="G24" i="5" s="1"/>
  <c r="G25" i="5" s="1"/>
  <c r="F9" i="6"/>
  <c r="E8" i="6"/>
  <c r="D9" i="6"/>
  <c r="H3" i="2"/>
  <c r="H2" i="2" s="1"/>
  <c r="H9" i="1"/>
  <c r="H13" i="1"/>
  <c r="H14" i="1" s="1"/>
  <c r="I9" i="1"/>
  <c r="H7" i="1"/>
  <c r="E9" i="6" l="1"/>
  <c r="E10" i="6"/>
  <c r="E11" i="6" s="1"/>
  <c r="H10" i="1"/>
  <c r="H12" i="1" s="1"/>
  <c r="I10" i="1"/>
  <c r="I12" i="1" s="1"/>
  <c r="H15" i="1"/>
  <c r="I13" i="1"/>
  <c r="I7" i="1"/>
  <c r="I11" i="1" s="1"/>
  <c r="I14" i="1" l="1"/>
  <c r="I15" i="1"/>
  <c r="J4" i="1" s="1"/>
  <c r="G7" i="1"/>
  <c r="G9" i="1"/>
  <c r="G13" i="1"/>
  <c r="J7" i="1" l="1"/>
  <c r="G10" i="1"/>
  <c r="G12" i="1" s="1"/>
  <c r="J5" i="1"/>
  <c r="G14" i="1"/>
  <c r="J3" i="1" s="1"/>
  <c r="G15" i="1"/>
  <c r="G11" i="1" l="1"/>
  <c r="J6" i="1"/>
</calcChain>
</file>

<file path=xl/sharedStrings.xml><?xml version="1.0" encoding="utf-8"?>
<sst xmlns="http://schemas.openxmlformats.org/spreadsheetml/2006/main" count="313" uniqueCount="261">
  <si>
    <t>Constants</t>
  </si>
  <si>
    <t>Origin</t>
  </si>
  <si>
    <t>Target</t>
  </si>
  <si>
    <t>Eccentricity</t>
  </si>
  <si>
    <t>V_periapsis</t>
  </si>
  <si>
    <t>V_apoapsis</t>
  </si>
  <si>
    <t>Perigee, km</t>
  </si>
  <si>
    <t>Apogee, km</t>
  </si>
  <si>
    <t>Transfer</t>
  </si>
  <si>
    <t>H_moment</t>
  </si>
  <si>
    <t>Total</t>
  </si>
  <si>
    <t>First Burn</t>
  </si>
  <si>
    <t>Second Burn</t>
  </si>
  <si>
    <t>Periapsis, m</t>
  </si>
  <si>
    <t>Apoapsis, m</t>
  </si>
  <si>
    <t>Parameters</t>
  </si>
  <si>
    <t>Inclination</t>
  </si>
  <si>
    <t>Semi-major axis, m</t>
  </si>
  <si>
    <t>Use Bi-elliptical?</t>
  </si>
  <si>
    <t>Orbital period,min</t>
  </si>
  <si>
    <t>J2</t>
  </si>
  <si>
    <t>Nodal precession</t>
  </si>
  <si>
    <t>Rad_to_deg</t>
  </si>
  <si>
    <t>Orbits per day</t>
  </si>
  <si>
    <t>Thrust, kN</t>
  </si>
  <si>
    <t>Output</t>
  </si>
  <si>
    <t>deltaV, m/s</t>
  </si>
  <si>
    <t>ISP, s</t>
  </si>
  <si>
    <t>Acceleration, m/s^2</t>
  </si>
  <si>
    <t>Exhaust velocity</t>
  </si>
  <si>
    <t>Burn duration, s</t>
  </si>
  <si>
    <t>Propellant mass, t</t>
  </si>
  <si>
    <t>Second Burn, adjusted</t>
  </si>
  <si>
    <t>Propellants</t>
  </si>
  <si>
    <t>H2+O2</t>
  </si>
  <si>
    <t>ISP, vacuum</t>
  </si>
  <si>
    <t>Kerolox</t>
  </si>
  <si>
    <t>Methalox</t>
  </si>
  <si>
    <t>UDMH/N2O4</t>
  </si>
  <si>
    <t>Inputs</t>
  </si>
  <si>
    <t>Density</t>
  </si>
  <si>
    <t>Mass, empty</t>
  </si>
  <si>
    <t>Cell Efficiency, BOL</t>
  </si>
  <si>
    <t>Cell Efficiency, EOL</t>
  </si>
  <si>
    <t>Solar Irradiance</t>
  </si>
  <si>
    <t>Area, m^2</t>
  </si>
  <si>
    <t>Shell mass,kg</t>
  </si>
  <si>
    <t>Shell volume</t>
  </si>
  <si>
    <t>Volume</t>
  </si>
  <si>
    <t>Dome height, lower</t>
  </si>
  <si>
    <t>Dome height, upper</t>
  </si>
  <si>
    <t>Cylinder height</t>
  </si>
  <si>
    <t>Cylinder radius</t>
  </si>
  <si>
    <t>Cylinder, domed</t>
  </si>
  <si>
    <t>Shell mass</t>
  </si>
  <si>
    <t>Height</t>
  </si>
  <si>
    <t>Radius</t>
  </si>
  <si>
    <t>Dome, spheroid</t>
  </si>
  <si>
    <t>Shell mass, kg</t>
  </si>
  <si>
    <t>Cylinder, flat</t>
  </si>
  <si>
    <t>Cone</t>
  </si>
  <si>
    <t>Length</t>
  </si>
  <si>
    <t>Width</t>
  </si>
  <si>
    <t>Inner dimensions</t>
  </si>
  <si>
    <t>Outer dimensions</t>
  </si>
  <si>
    <t>Cuboid</t>
  </si>
  <si>
    <t>Outputs</t>
  </si>
  <si>
    <t>Inputs, geometry</t>
  </si>
  <si>
    <t>Thickness</t>
  </si>
  <si>
    <t>Inputs, primary</t>
  </si>
  <si>
    <t>Notes</t>
  </si>
  <si>
    <t>Outputs, m/s</t>
  </si>
  <si>
    <t>e</t>
  </si>
  <si>
    <t>a, m</t>
  </si>
  <si>
    <t>a, au</t>
  </si>
  <si>
    <t>AU</t>
  </si>
  <si>
    <t>Period, years</t>
  </si>
  <si>
    <t>rpm</t>
  </si>
  <si>
    <t>gravity level</t>
  </si>
  <si>
    <t>angular velocity, rad/s</t>
  </si>
  <si>
    <t>radius</t>
  </si>
  <si>
    <t>Martian</t>
  </si>
  <si>
    <t>Earth</t>
  </si>
  <si>
    <t>gradient level</t>
  </si>
  <si>
    <t>Lunar</t>
  </si>
  <si>
    <t>tangential velocity</t>
  </si>
  <si>
    <t>circumference</t>
  </si>
  <si>
    <t>w</t>
  </si>
  <si>
    <t>Auxilary calculations</t>
  </si>
  <si>
    <t>crew height</t>
  </si>
  <si>
    <t>Fuel mass flow</t>
  </si>
  <si>
    <t>Oxidizer mass flow</t>
  </si>
  <si>
    <t>Total mass flow</t>
  </si>
  <si>
    <t>Impulse</t>
  </si>
  <si>
    <t>Efficiency</t>
  </si>
  <si>
    <t>LHV</t>
  </si>
  <si>
    <t>Input (dV maneuvre)</t>
  </si>
  <si>
    <t>Tankage ratio</t>
  </si>
  <si>
    <t>Mass, total</t>
  </si>
  <si>
    <t>Mass, fuel, kg</t>
  </si>
  <si>
    <t>Mass, dry, kg</t>
  </si>
  <si>
    <t>Mass, structure</t>
  </si>
  <si>
    <t>total deltaV, m/s</t>
  </si>
  <si>
    <t>Mass, payload</t>
  </si>
  <si>
    <t>Mass, power source</t>
  </si>
  <si>
    <t>Power density, kW/kg</t>
  </si>
  <si>
    <t>Mass, engine</t>
  </si>
  <si>
    <t>Engine efficiency</t>
  </si>
  <si>
    <t>Waste heat, kW</t>
  </si>
  <si>
    <t>ISP</t>
  </si>
  <si>
    <t>VASIMR</t>
  </si>
  <si>
    <t>Propulsive power, kW</t>
  </si>
  <si>
    <t>Thrust, N</t>
  </si>
  <si>
    <t>Ion thruster</t>
  </si>
  <si>
    <t>Total Power, kW</t>
  </si>
  <si>
    <t>mass flow, kg/s</t>
  </si>
  <si>
    <t>?</t>
  </si>
  <si>
    <t>Inputs (bi-prop engine)</t>
  </si>
  <si>
    <t>Engine Type</t>
  </si>
  <si>
    <t>Power-to-thrust, kW/N</t>
  </si>
  <si>
    <t>Inputs (ion engine)</t>
  </si>
  <si>
    <t>Thrust</t>
  </si>
  <si>
    <t>deltaV, insertion</t>
  </si>
  <si>
    <t>V_excess</t>
  </si>
  <si>
    <t>deltaV, departure</t>
  </si>
  <si>
    <t>V_capture</t>
  </si>
  <si>
    <t>V_max</t>
  </si>
  <si>
    <t>V_esc</t>
  </si>
  <si>
    <t>Mars</t>
  </si>
  <si>
    <t>Apoapsis, km</t>
  </si>
  <si>
    <t>Apoapsis</t>
  </si>
  <si>
    <t>Semi-major a, m</t>
  </si>
  <si>
    <t>-</t>
  </si>
  <si>
    <t>Sun</t>
  </si>
  <si>
    <t>Periapsis, km</t>
  </si>
  <si>
    <t>Periapsis</t>
  </si>
  <si>
    <t>Altitude, km</t>
  </si>
  <si>
    <t>r, m</t>
  </si>
  <si>
    <t>GM</t>
  </si>
  <si>
    <t>Body</t>
  </si>
  <si>
    <t>Target(Mars)</t>
  </si>
  <si>
    <t>Origin(Earth)</t>
  </si>
  <si>
    <t>v, m/s</t>
  </si>
  <si>
    <t>Other Constants</t>
  </si>
  <si>
    <t>Transfer Orbit</t>
  </si>
  <si>
    <t>Hohmann Manouever (LEO-GEO)</t>
  </si>
  <si>
    <t>Venus</t>
  </si>
  <si>
    <t>Jupiter</t>
  </si>
  <si>
    <t>Saturn</t>
  </si>
  <si>
    <t>Uranus</t>
  </si>
  <si>
    <t>Neptune</t>
  </si>
  <si>
    <t>Solar Orbit Parameters</t>
  </si>
  <si>
    <t>Apoapsis, au</t>
  </si>
  <si>
    <t>Periapsis, au</t>
  </si>
  <si>
    <t>Seconds/day</t>
  </si>
  <si>
    <t>cost per kg, construction</t>
  </si>
  <si>
    <t>cost per kg, launch</t>
  </si>
  <si>
    <t>Module mass</t>
  </si>
  <si>
    <t>Module construction cost</t>
  </si>
  <si>
    <t>total modules</t>
  </si>
  <si>
    <t>total cost, co</t>
  </si>
  <si>
    <t>total month available</t>
  </si>
  <si>
    <t>total moths, construction</t>
  </si>
  <si>
    <t>total months, leop</t>
  </si>
  <si>
    <t>total month, non-operational</t>
  </si>
  <si>
    <t>utilization</t>
  </si>
  <si>
    <t>total month, revenue generatting</t>
  </si>
  <si>
    <t>gross profit need</t>
  </si>
  <si>
    <t>per month, M</t>
  </si>
  <si>
    <t>per man-month</t>
  </si>
  <si>
    <t>per man-day</t>
  </si>
  <si>
    <t>7day</t>
  </si>
  <si>
    <t>total ppl needed</t>
  </si>
  <si>
    <t>per year, M</t>
  </si>
  <si>
    <t>Thermal Power, MW</t>
  </si>
  <si>
    <t>Propulsive power, MW</t>
  </si>
  <si>
    <t>Stephan-Boltzmann</t>
  </si>
  <si>
    <t>Object Temp, K</t>
  </si>
  <si>
    <t>Power radiated, W/m^2</t>
  </si>
  <si>
    <t>Environment Temp, K</t>
  </si>
  <si>
    <t>Power received, W/m^2</t>
  </si>
  <si>
    <t>Object Temp, C</t>
  </si>
  <si>
    <t>Net in/out, W/m^2</t>
  </si>
  <si>
    <t>Environment Temp, C</t>
  </si>
  <si>
    <t>Wien constnat</t>
  </si>
  <si>
    <t>Peak wavelength, nm</t>
  </si>
  <si>
    <t>Intermediate values</t>
  </si>
  <si>
    <t>Blackbody T of the Sun, K</t>
  </si>
  <si>
    <t>Sun's total power, W</t>
  </si>
  <si>
    <t>Heat in,visible</t>
  </si>
  <si>
    <t>Blackbody T of the Earth, K</t>
  </si>
  <si>
    <t>Earth's total power, W</t>
  </si>
  <si>
    <t>Heat in, albedo</t>
  </si>
  <si>
    <t>Radius of the Sun, m</t>
  </si>
  <si>
    <t>Solar irradiance, W/m^2</t>
  </si>
  <si>
    <t>Heat in, IR</t>
  </si>
  <si>
    <t>Radus of the Earth, m</t>
  </si>
  <si>
    <t>Albedo power, W</t>
  </si>
  <si>
    <t>Heat in, internal</t>
  </si>
  <si>
    <t>Perihelion of Earth's orbit, m</t>
  </si>
  <si>
    <t>Albedo irradiance, W</t>
  </si>
  <si>
    <t>Stephan-Boltzmann constant</t>
  </si>
  <si>
    <t>Albedo flux, W/m^2</t>
  </si>
  <si>
    <t>Earth's albedo</t>
  </si>
  <si>
    <t>IR irradiance, W/m^2</t>
  </si>
  <si>
    <t>IR flux, W/m^2</t>
  </si>
  <si>
    <t>Orbital Altitude, km</t>
  </si>
  <si>
    <t>Equilibrium temperature, K</t>
  </si>
  <si>
    <t>Surface visible absorptivity</t>
  </si>
  <si>
    <t>Eclipse temperature, K</t>
  </si>
  <si>
    <t>Surface IR emissivity</t>
  </si>
  <si>
    <t>Internal heat dissipation, W</t>
  </si>
  <si>
    <t>Geometry parameters, in m^2</t>
  </si>
  <si>
    <t>View factor</t>
  </si>
  <si>
    <t>Sun-facing area</t>
  </si>
  <si>
    <t>Earth-facing area, direct</t>
  </si>
  <si>
    <t>Earth facing area, indirect</t>
  </si>
  <si>
    <t>Effective area parameters</t>
  </si>
  <si>
    <t>Albedo-illuminated area</t>
  </si>
  <si>
    <t>Earth-illuminated area</t>
  </si>
  <si>
    <t>Sun-illuminated area</t>
  </si>
  <si>
    <t>IR dissipating area</t>
  </si>
  <si>
    <t>In K</t>
  </si>
  <si>
    <t xml:space="preserve">Heat dissipation </t>
  </si>
  <si>
    <t>Satellite Thermal Balance</t>
  </si>
  <si>
    <t>Orbital Altitude, m</t>
  </si>
  <si>
    <t>In C</t>
  </si>
  <si>
    <t>rotational radius,m</t>
  </si>
  <si>
    <t>Radiative Power Calculation</t>
  </si>
  <si>
    <t>K_to_C scale</t>
  </si>
  <si>
    <t>Chemical propulsion calculation</t>
  </si>
  <si>
    <t>Electric Propulsion calculation</t>
  </si>
  <si>
    <t>Total Power, W</t>
  </si>
  <si>
    <t>Total Power, daily, W-h</t>
  </si>
  <si>
    <t>Total P</t>
  </si>
  <si>
    <t>Orbital parameters</t>
  </si>
  <si>
    <t>Power Parameters</t>
  </si>
  <si>
    <t>Eccentricty</t>
  </si>
  <si>
    <t>dOmega</t>
  </si>
  <si>
    <t>dG</t>
  </si>
  <si>
    <t>Semimajor axis</t>
  </si>
  <si>
    <t>R_Earth, m</t>
  </si>
  <si>
    <t>Beta_min</t>
  </si>
  <si>
    <t>Ecliptic_obliquity</t>
  </si>
  <si>
    <t>Intermediate_values</t>
  </si>
  <si>
    <t>cosGsinOmega</t>
  </si>
  <si>
    <t>sinGcosOmega</t>
  </si>
  <si>
    <t>Beta_angle</t>
  </si>
  <si>
    <t>sinG</t>
  </si>
  <si>
    <t>rad_to_deg</t>
  </si>
  <si>
    <t>entry_deg</t>
  </si>
  <si>
    <t>Illuminated</t>
  </si>
  <si>
    <t>Interplanetary Manoeuver (Earth-Mars)</t>
  </si>
  <si>
    <t>Sphere</t>
  </si>
  <si>
    <t>Sphere radius</t>
  </si>
  <si>
    <t>Mass</t>
  </si>
  <si>
    <t>Shell volume, m^3</t>
  </si>
  <si>
    <t>Sphere radus, m</t>
  </si>
  <si>
    <t>Sphere radius, km</t>
  </si>
  <si>
    <t>Fusion</t>
  </si>
  <si>
    <t>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</si>
</sst>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E+00"/>
    <numFmt numFmtId="165" formatCode="0.0000"/>
    <numFmt numFmtId="166" formatCode="0.000E+00"/>
    <numFmt numFmtId="167" formatCode="0.000"/>
    <numFmt numFmtId="168" formatCode="0.00000"/>
    <numFmt numFmtId="169" formatCode="0.00000000"/>
    <numFmt numFmtId="170" formatCode="&quot;$&quot;#,##0.00"/>
    <numFmt numFmtId="171" formatCode="0.0000%"/>
    <numFmt numFmtId="172" formatCode="0.00000000000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/>
    <xf numFmtId="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6" fillId="0" borderId="0" xfId="0" applyFont="1"/>
    <xf numFmtId="0" fontId="1" fillId="0" borderId="0" xfId="1"/>
    <xf numFmtId="2" fontId="1" fillId="0" borderId="0" xfId="1" applyNumberFormat="1"/>
    <xf numFmtId="11" fontId="1" fillId="0" borderId="0" xfId="1" applyNumberFormat="1"/>
    <xf numFmtId="1" fontId="1" fillId="0" borderId="0" xfId="1" applyNumberFormat="1"/>
    <xf numFmtId="0" fontId="6" fillId="0" borderId="0" xfId="1" applyFont="1"/>
    <xf numFmtId="0" fontId="8" fillId="0" borderId="0" xfId="0" applyFont="1"/>
    <xf numFmtId="172" fontId="0" fillId="0" borderId="0" xfId="0" applyNumberFormat="1"/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0" xfId="1" applyFont="1" applyAlignment="1">
      <alignment horizontal="center"/>
    </xf>
    <xf numFmtId="0" fontId="7" fillId="5" borderId="0" xfId="0" applyFont="1" applyFill="1" applyAlignment="1">
      <alignment horizontal="center"/>
    </xf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DE5453F0-7F62-204C-8D63-D86F8194E0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34C1-A996-4CD3-9FFB-54EC88DD8700}">
  <dimension ref="A1:K26"/>
  <sheetViews>
    <sheetView tabSelected="1" zoomScale="144" zoomScaleNormal="144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5.6640625" bestFit="1" customWidth="1"/>
    <col min="3" max="3" width="10.83203125" bestFit="1" customWidth="1"/>
    <col min="4" max="4" width="10.1640625" bestFit="1" customWidth="1"/>
    <col min="5" max="5" width="10.33203125" bestFit="1" customWidth="1"/>
    <col min="6" max="6" width="15.5" bestFit="1" customWidth="1"/>
    <col min="7" max="7" width="10.6640625" bestFit="1" customWidth="1"/>
    <col min="8" max="8" width="15.5" bestFit="1" customWidth="1"/>
    <col min="9" max="9" width="12.1640625" bestFit="1" customWidth="1"/>
    <col min="10" max="10" width="13.6640625" bestFit="1" customWidth="1"/>
    <col min="11" max="11" width="11.6640625" bestFit="1" customWidth="1"/>
  </cols>
  <sheetData>
    <row r="1" spans="1:11" x14ac:dyDescent="0.2">
      <c r="A1" s="1" t="s">
        <v>139</v>
      </c>
      <c r="B1" s="1" t="s">
        <v>138</v>
      </c>
      <c r="C1" s="1" t="s">
        <v>73</v>
      </c>
      <c r="D1" s="1" t="s">
        <v>137</v>
      </c>
      <c r="E1" s="1" t="s">
        <v>142</v>
      </c>
      <c r="F1" s="32" t="s">
        <v>145</v>
      </c>
      <c r="G1" s="32"/>
      <c r="H1" s="32"/>
      <c r="I1" s="32"/>
      <c r="J1" s="32"/>
      <c r="K1" s="32"/>
    </row>
    <row r="2" spans="1:11" x14ac:dyDescent="0.2">
      <c r="A2" t="s">
        <v>133</v>
      </c>
      <c r="B2" s="5">
        <v>1.32712440018E+20</v>
      </c>
      <c r="C2" s="5" t="s">
        <v>132</v>
      </c>
      <c r="D2">
        <v>696340000</v>
      </c>
      <c r="E2" t="s">
        <v>132</v>
      </c>
      <c r="F2" s="10" t="s">
        <v>15</v>
      </c>
      <c r="G2" s="10" t="s">
        <v>1</v>
      </c>
      <c r="H2" s="10" t="s">
        <v>2</v>
      </c>
      <c r="I2" s="10" t="s">
        <v>8</v>
      </c>
      <c r="J2" s="10" t="s">
        <v>71</v>
      </c>
      <c r="K2" s="10" t="s">
        <v>70</v>
      </c>
    </row>
    <row r="3" spans="1:11" x14ac:dyDescent="0.2">
      <c r="A3" t="s">
        <v>82</v>
      </c>
      <c r="B3" s="2">
        <v>398600441800000</v>
      </c>
      <c r="C3" s="11">
        <v>149600000000</v>
      </c>
      <c r="D3">
        <v>6378137</v>
      </c>
      <c r="E3">
        <f>SQRT(B2/C3)</f>
        <v>29784.479863882669</v>
      </c>
      <c r="F3" t="s">
        <v>6</v>
      </c>
      <c r="G3">
        <v>250</v>
      </c>
      <c r="H3">
        <v>35786</v>
      </c>
      <c r="I3">
        <f>G3</f>
        <v>250</v>
      </c>
      <c r="J3" s="3">
        <f>I14-G14</f>
        <v>2440.0839758003485</v>
      </c>
      <c r="K3" s="1" t="s">
        <v>11</v>
      </c>
    </row>
    <row r="4" spans="1:11" x14ac:dyDescent="0.2">
      <c r="A4" t="s">
        <v>128</v>
      </c>
      <c r="B4" s="5">
        <v>42828370000000</v>
      </c>
      <c r="C4" s="5">
        <v>227900000000</v>
      </c>
      <c r="D4">
        <v>3396000</v>
      </c>
      <c r="E4">
        <f>SQRT(B2/C4)</f>
        <v>24131.463116555489</v>
      </c>
      <c r="F4" t="s">
        <v>7</v>
      </c>
      <c r="G4">
        <v>250</v>
      </c>
      <c r="H4">
        <v>35786</v>
      </c>
      <c r="I4">
        <f>H4</f>
        <v>35786</v>
      </c>
      <c r="J4" s="3">
        <f>H15-I15</f>
        <v>1472.0341736129992</v>
      </c>
      <c r="K4" s="1" t="s">
        <v>12</v>
      </c>
    </row>
    <row r="5" spans="1:11" x14ac:dyDescent="0.2">
      <c r="A5" t="s">
        <v>146</v>
      </c>
      <c r="B5" s="5">
        <v>324859000000000</v>
      </c>
      <c r="C5" s="5">
        <v>108210000000</v>
      </c>
      <c r="F5" t="s">
        <v>13</v>
      </c>
      <c r="G5">
        <f>G3*1000+D3</f>
        <v>6628137</v>
      </c>
      <c r="H5">
        <f>H3*1000+D3</f>
        <v>42164137</v>
      </c>
      <c r="I5">
        <f>I3*1000+D3</f>
        <v>6628137</v>
      </c>
      <c r="J5" s="3">
        <f>SQRT(I15^2+H15^2-2*H15*I15*COS(RADIANS(I8)))</f>
        <v>1472.0341736129997</v>
      </c>
      <c r="K5" s="1" t="s">
        <v>32</v>
      </c>
    </row>
    <row r="6" spans="1:11" x14ac:dyDescent="0.2">
      <c r="A6" t="s">
        <v>147</v>
      </c>
      <c r="B6" s="5">
        <v>1.26686534E+17</v>
      </c>
      <c r="C6" s="5">
        <v>778479000000</v>
      </c>
      <c r="F6" t="s">
        <v>14</v>
      </c>
      <c r="G6">
        <f>G4*1000+D3</f>
        <v>6628137</v>
      </c>
      <c r="H6">
        <f>H4*1000+D3</f>
        <v>42164137</v>
      </c>
      <c r="I6">
        <f>I4*1000+D3</f>
        <v>42164137</v>
      </c>
      <c r="J6" s="3">
        <f>J3+MAX(J4,J5)</f>
        <v>3912.118149413348</v>
      </c>
      <c r="K6" s="1" t="s">
        <v>10</v>
      </c>
    </row>
    <row r="7" spans="1:11" x14ac:dyDescent="0.2">
      <c r="A7" t="s">
        <v>148</v>
      </c>
      <c r="B7" s="5">
        <v>3.7931187E+16</v>
      </c>
      <c r="F7" t="s">
        <v>3</v>
      </c>
      <c r="G7">
        <f>(G6-G5)/(G6+G5)</f>
        <v>0</v>
      </c>
      <c r="H7">
        <f>(H6-H5)/(H6+H5)</f>
        <v>0</v>
      </c>
      <c r="I7">
        <f>(I6-I5)/(I6+I5)</f>
        <v>0.72831202743286771</v>
      </c>
      <c r="J7" s="4" t="str">
        <f xml:space="preserve"> IF(H9/G9&gt;11.94, "Yes","No")</f>
        <v>No</v>
      </c>
      <c r="K7" s="1" t="s">
        <v>18</v>
      </c>
    </row>
    <row r="8" spans="1:11" x14ac:dyDescent="0.2">
      <c r="A8" t="s">
        <v>149</v>
      </c>
      <c r="B8" s="5">
        <v>5793939000000000</v>
      </c>
      <c r="F8" t="s">
        <v>16</v>
      </c>
      <c r="G8">
        <v>0</v>
      </c>
      <c r="H8">
        <v>0</v>
      </c>
      <c r="I8">
        <f>G8-H8</f>
        <v>0</v>
      </c>
    </row>
    <row r="9" spans="1:11" x14ac:dyDescent="0.2">
      <c r="A9" t="s">
        <v>150</v>
      </c>
      <c r="B9" s="5">
        <v>6836529000000000</v>
      </c>
      <c r="F9" t="s">
        <v>17</v>
      </c>
      <c r="G9">
        <f>(G5+G6)/2</f>
        <v>6628137</v>
      </c>
      <c r="H9">
        <f>(H5+H6)/2</f>
        <v>42164137</v>
      </c>
      <c r="I9">
        <f>(I5+I6)/2</f>
        <v>24396137</v>
      </c>
    </row>
    <row r="10" spans="1:11" x14ac:dyDescent="0.2">
      <c r="A10" s="32" t="s">
        <v>143</v>
      </c>
      <c r="B10" s="32"/>
      <c r="C10" s="32" t="s">
        <v>151</v>
      </c>
      <c r="D10" s="32"/>
      <c r="F10" t="s">
        <v>19</v>
      </c>
      <c r="G10" s="3">
        <f>2*PI()*SQRT(G9^3/B3)/60</f>
        <v>89.504927438556066</v>
      </c>
      <c r="H10" s="3">
        <f>2*PI()*SQRT(H9^3/B3)/60</f>
        <v>1436.0665082861817</v>
      </c>
      <c r="I10" s="3">
        <f>2*PI()*SQRT(I9^3/B3)/60</f>
        <v>632.03528622981901</v>
      </c>
    </row>
    <row r="11" spans="1:11" x14ac:dyDescent="0.2">
      <c r="A11" t="s">
        <v>20</v>
      </c>
      <c r="B11" s="5">
        <v>1.08262668E-3</v>
      </c>
      <c r="C11" t="s">
        <v>73</v>
      </c>
      <c r="D11" s="11">
        <f>C5</f>
        <v>108210000000</v>
      </c>
      <c r="F11" t="s">
        <v>21</v>
      </c>
      <c r="G11" s="3">
        <f>((-3/2)*D3^2/((G9*(1-G7^2))^2)*B11*(2*PI()/(G10*60))*COS(RADIANS(G8)))*B12*B13</f>
        <v>-8.7094908387929912</v>
      </c>
      <c r="H11" s="6">
        <f>((-3/2)*D3^2/((H9*(1-H7^2))^2)*B11*(2*PI()/(H10*60))*COS(RADIANS(H8)))*B12*B13</f>
        <v>-1.341410430880031E-2</v>
      </c>
      <c r="I11" s="6">
        <f>((-3/2)*D3^2/((I9*(1-I7^2))^2)*B11*(2*PI()/(I10*60))*COS(RADIANS(I8)))*B12*B13</f>
        <v>-0.41290874566633368</v>
      </c>
    </row>
    <row r="12" spans="1:11" x14ac:dyDescent="0.2">
      <c r="A12" t="s">
        <v>154</v>
      </c>
      <c r="B12">
        <v>86400</v>
      </c>
      <c r="C12" t="s">
        <v>74</v>
      </c>
      <c r="D12" s="3">
        <f>D11/B14</f>
        <v>0.72332887700534765</v>
      </c>
      <c r="F12" t="s">
        <v>23</v>
      </c>
      <c r="G12">
        <f>B12/(G10*60)</f>
        <v>16.088499719622035</v>
      </c>
      <c r="H12">
        <f>B12/(H10*60)</f>
        <v>1.0027390734977257</v>
      </c>
      <c r="I12">
        <f>B12/(I10*60)</f>
        <v>2.2783538061455495</v>
      </c>
    </row>
    <row r="13" spans="1:11" x14ac:dyDescent="0.2">
      <c r="A13" t="s">
        <v>22</v>
      </c>
      <c r="B13">
        <f>180/PI()</f>
        <v>57.295779513082323</v>
      </c>
      <c r="C13" t="s">
        <v>72</v>
      </c>
      <c r="D13">
        <v>6.7200000000000003E-3</v>
      </c>
      <c r="F13" t="s">
        <v>9</v>
      </c>
      <c r="G13" s="2">
        <f>SQRT(2*B3)*SQRT((G5*G6)/(G5+G6))</f>
        <v>51400178370.419357</v>
      </c>
      <c r="H13" s="2">
        <f>SQRT(2*B3)*SQRT((H5*H6)/(H5+H6))</f>
        <v>129640439818.42905</v>
      </c>
      <c r="I13" s="2">
        <f>SQRT(2*B3)*SQRT((I5*I6)/(I5+I6))</f>
        <v>67573389253.528755</v>
      </c>
    </row>
    <row r="14" spans="1:11" x14ac:dyDescent="0.2">
      <c r="A14" t="s">
        <v>75</v>
      </c>
      <c r="B14" s="5">
        <v>149600000000</v>
      </c>
      <c r="C14" t="s">
        <v>76</v>
      </c>
      <c r="D14" s="3">
        <f>(2*PI()*SQRT(D11^3/B2)/(3600*24))/365.25</f>
        <v>0.61520687455425493</v>
      </c>
      <c r="F14" t="s">
        <v>4</v>
      </c>
      <c r="G14" s="3">
        <f>G13/G5</f>
        <v>7754.8454973726939</v>
      </c>
      <c r="H14" s="3">
        <f>H13/H5</f>
        <v>3074.6612890103511</v>
      </c>
      <c r="I14" s="3">
        <f>I13/I5</f>
        <v>10194.929473173042</v>
      </c>
    </row>
    <row r="15" spans="1:11" x14ac:dyDescent="0.2">
      <c r="C15" t="s">
        <v>152</v>
      </c>
      <c r="D15" s="12">
        <f>D12*(1+D13)</f>
        <v>0.72818964705882361</v>
      </c>
      <c r="F15" t="s">
        <v>5</v>
      </c>
      <c r="G15" s="3">
        <f>G13/G6</f>
        <v>7754.8454973726939</v>
      </c>
      <c r="H15" s="3">
        <f>H13/H6</f>
        <v>3074.6612890103511</v>
      </c>
      <c r="I15" s="3">
        <f>I13/I6</f>
        <v>1602.6271153973519</v>
      </c>
    </row>
    <row r="16" spans="1:11" x14ac:dyDescent="0.2">
      <c r="C16" t="s">
        <v>153</v>
      </c>
      <c r="D16" s="12">
        <f>D12*(1-D13)</f>
        <v>0.7184681069518718</v>
      </c>
    </row>
    <row r="17" spans="3:11" x14ac:dyDescent="0.2">
      <c r="F17" s="32" t="s">
        <v>252</v>
      </c>
      <c r="G17" s="32"/>
      <c r="H17" s="32"/>
      <c r="I17" s="32"/>
      <c r="J17" s="32"/>
      <c r="K17" s="32"/>
    </row>
    <row r="18" spans="3:11" x14ac:dyDescent="0.2">
      <c r="C18" s="1"/>
      <c r="D18" s="1"/>
      <c r="F18" s="32" t="s">
        <v>141</v>
      </c>
      <c r="G18" s="32"/>
      <c r="H18" s="32" t="s">
        <v>144</v>
      </c>
      <c r="I18" s="32"/>
      <c r="J18" s="32" t="s">
        <v>140</v>
      </c>
      <c r="K18" s="32"/>
    </row>
    <row r="19" spans="3:11" x14ac:dyDescent="0.2">
      <c r="F19" t="s">
        <v>136</v>
      </c>
      <c r="G19" s="3">
        <v>300</v>
      </c>
      <c r="H19" t="s">
        <v>135</v>
      </c>
      <c r="I19" s="5">
        <f>C3</f>
        <v>149600000000</v>
      </c>
      <c r="J19" t="s">
        <v>134</v>
      </c>
      <c r="K19" s="3">
        <v>300</v>
      </c>
    </row>
    <row r="20" spans="3:11" x14ac:dyDescent="0.2">
      <c r="F20" t="s">
        <v>131</v>
      </c>
      <c r="G20" s="3">
        <f>G19*1000+D3</f>
        <v>6678137</v>
      </c>
      <c r="H20" t="s">
        <v>130</v>
      </c>
      <c r="I20" s="5">
        <f>C4</f>
        <v>227900000000</v>
      </c>
      <c r="J20" t="s">
        <v>129</v>
      </c>
      <c r="K20" s="3">
        <v>36000</v>
      </c>
    </row>
    <row r="21" spans="3:11" x14ac:dyDescent="0.2">
      <c r="C21" s="5"/>
      <c r="F21" t="s">
        <v>4</v>
      </c>
      <c r="G21" s="3">
        <f>SQRT(B3/G20)</f>
        <v>7725.7602320771366</v>
      </c>
      <c r="H21" t="s">
        <v>9</v>
      </c>
      <c r="I21" s="5">
        <f>SQRT(2*B2)*SQRT((I19*I20)/(I19+I20))</f>
        <v>4896100189417301</v>
      </c>
      <c r="J21" t="s">
        <v>13</v>
      </c>
      <c r="K21" s="3">
        <f>K19*1000+D4</f>
        <v>3696000</v>
      </c>
    </row>
    <row r="22" spans="3:11" x14ac:dyDescent="0.2">
      <c r="C22" s="5"/>
      <c r="F22" t="s">
        <v>127</v>
      </c>
      <c r="G22" s="3">
        <f>SQRT(2)*G21</f>
        <v>10925.874899846198</v>
      </c>
      <c r="H22" t="s">
        <v>4</v>
      </c>
      <c r="I22" s="3">
        <f>I21/I19</f>
        <v>32727.942442629017</v>
      </c>
      <c r="J22" t="s">
        <v>14</v>
      </c>
      <c r="K22" s="3">
        <f>K20*1000+D4</f>
        <v>39396000</v>
      </c>
    </row>
    <row r="23" spans="3:11" x14ac:dyDescent="0.2">
      <c r="F23" t="s">
        <v>123</v>
      </c>
      <c r="G23" s="3">
        <f>I22-E3</f>
        <v>2943.4625787463483</v>
      </c>
      <c r="H23" t="s">
        <v>5</v>
      </c>
      <c r="I23" s="3">
        <f>I21/I20</f>
        <v>21483.546245797723</v>
      </c>
      <c r="J23" t="s">
        <v>3</v>
      </c>
      <c r="K23" s="6">
        <f>(K22-K21)/(K22+K21)</f>
        <v>0.82846003898635479</v>
      </c>
    </row>
    <row r="24" spans="3:11" x14ac:dyDescent="0.2">
      <c r="F24" t="s">
        <v>126</v>
      </c>
      <c r="G24" s="3">
        <f>SQRT(G22^2+G23^2)</f>
        <v>11315.419315233938</v>
      </c>
      <c r="J24" t="s">
        <v>125</v>
      </c>
      <c r="K24" s="3">
        <f>SQRT(B4*(1+K23)/K21)</f>
        <v>4603.0164646209969</v>
      </c>
    </row>
    <row r="25" spans="3:11" x14ac:dyDescent="0.2">
      <c r="F25" t="s">
        <v>124</v>
      </c>
      <c r="G25" s="3">
        <f>G24-G21</f>
        <v>3589.659083156801</v>
      </c>
      <c r="J25" t="s">
        <v>123</v>
      </c>
      <c r="K25" s="3">
        <f>SQRT(B2/C4)*(1-SQRT(2*C3/(C3+C4)))</f>
        <v>2647.9168707577678</v>
      </c>
    </row>
    <row r="26" spans="3:11" x14ac:dyDescent="0.2">
      <c r="J26" t="s">
        <v>122</v>
      </c>
      <c r="K26" s="3">
        <f>K25*SQRT((1-K23)/2)</f>
        <v>775.48250111973618</v>
      </c>
    </row>
  </sheetData>
  <mergeCells count="7">
    <mergeCell ref="F1:K1"/>
    <mergeCell ref="F17:K17"/>
    <mergeCell ref="A10:B10"/>
    <mergeCell ref="F18:G18"/>
    <mergeCell ref="H18:I18"/>
    <mergeCell ref="J18:K18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FA8B-2D8F-4955-BFE7-B279DB49F0BC}">
  <dimension ref="A1:I27"/>
  <sheetViews>
    <sheetView topLeftCell="A8" zoomScale="130" zoomScaleNormal="130" workbookViewId="0">
      <selection activeCell="D18" sqref="D18"/>
    </sheetView>
  </sheetViews>
  <sheetFormatPr baseColWidth="10" defaultColWidth="8.83203125" defaultRowHeight="15" x14ac:dyDescent="0.2"/>
  <cols>
    <col min="1" max="1" width="11.1640625" bestFit="1" customWidth="1"/>
    <col min="2" max="2" width="10.33203125" bestFit="1" customWidth="1"/>
    <col min="4" max="4" width="7.1640625" bestFit="1" customWidth="1"/>
    <col min="5" max="5" width="15.83203125" bestFit="1" customWidth="1"/>
    <col min="6" max="6" width="10.6640625" bestFit="1" customWidth="1"/>
    <col min="7" max="7" width="18.6640625" bestFit="1" customWidth="1"/>
    <col min="8" max="8" width="12.6640625" bestFit="1" customWidth="1"/>
    <col min="9" max="9" width="10.33203125" bestFit="1" customWidth="1"/>
  </cols>
  <sheetData>
    <row r="1" spans="1:9" x14ac:dyDescent="0.2">
      <c r="A1" s="1" t="s">
        <v>33</v>
      </c>
      <c r="B1" s="1" t="s">
        <v>35</v>
      </c>
      <c r="C1" s="1" t="s">
        <v>95</v>
      </c>
      <c r="E1" s="32" t="s">
        <v>96</v>
      </c>
      <c r="F1" s="32"/>
      <c r="G1" s="32" t="s">
        <v>25</v>
      </c>
      <c r="H1" s="32"/>
    </row>
    <row r="2" spans="1:9" x14ac:dyDescent="0.2">
      <c r="A2" t="s">
        <v>34</v>
      </c>
      <c r="B2">
        <v>450</v>
      </c>
      <c r="C2" s="5">
        <v>120100000</v>
      </c>
      <c r="E2" t="s">
        <v>26</v>
      </c>
      <c r="F2">
        <v>27.65</v>
      </c>
      <c r="G2" t="s">
        <v>30</v>
      </c>
      <c r="H2">
        <f>F2/H3</f>
        <v>537.94185010815625</v>
      </c>
    </row>
    <row r="3" spans="1:9" x14ac:dyDescent="0.2">
      <c r="A3" t="s">
        <v>36</v>
      </c>
      <c r="B3">
        <v>311</v>
      </c>
      <c r="C3" s="5">
        <v>43100000</v>
      </c>
      <c r="E3" t="s">
        <v>24</v>
      </c>
      <c r="F3">
        <v>78.59</v>
      </c>
      <c r="G3" t="s">
        <v>28</v>
      </c>
      <c r="H3">
        <f>(F3*1000)/(F5*1000)</f>
        <v>5.1399607586657944E-2</v>
      </c>
    </row>
    <row r="4" spans="1:9" x14ac:dyDescent="0.2">
      <c r="A4" t="s">
        <v>37</v>
      </c>
      <c r="B4">
        <v>350</v>
      </c>
      <c r="C4" s="5">
        <v>50000000</v>
      </c>
      <c r="E4" t="s">
        <v>27</v>
      </c>
      <c r="F4">
        <v>333</v>
      </c>
      <c r="G4" t="s">
        <v>31</v>
      </c>
      <c r="H4">
        <f>F5*(EXP(F2/F6)-1)</f>
        <v>13.001224836801757</v>
      </c>
    </row>
    <row r="5" spans="1:9" x14ac:dyDescent="0.2">
      <c r="A5" t="s">
        <v>38</v>
      </c>
      <c r="B5">
        <v>333</v>
      </c>
      <c r="C5" t="s">
        <v>116</v>
      </c>
      <c r="E5" t="s">
        <v>41</v>
      </c>
      <c r="F5">
        <v>1529</v>
      </c>
      <c r="G5" t="s">
        <v>97</v>
      </c>
      <c r="H5">
        <f>H4/(F5+H4)</f>
        <v>8.4313972177147561E-3</v>
      </c>
    </row>
    <row r="6" spans="1:9" x14ac:dyDescent="0.2">
      <c r="E6" t="s">
        <v>29</v>
      </c>
      <c r="F6">
        <f>F4*9.8065</f>
        <v>3265.5645</v>
      </c>
    </row>
    <row r="7" spans="1:9" x14ac:dyDescent="0.2">
      <c r="E7" s="33" t="s">
        <v>230</v>
      </c>
      <c r="F7" s="33"/>
      <c r="G7" s="33"/>
      <c r="H7" s="33"/>
    </row>
    <row r="8" spans="1:9" x14ac:dyDescent="0.2">
      <c r="E8" s="32" t="s">
        <v>117</v>
      </c>
      <c r="F8" s="32"/>
      <c r="G8" s="32" t="s">
        <v>66</v>
      </c>
      <c r="H8" s="32"/>
    </row>
    <row r="9" spans="1:9" x14ac:dyDescent="0.2">
      <c r="E9" s="15" t="s">
        <v>90</v>
      </c>
      <c r="F9" s="4">
        <v>7.88</v>
      </c>
      <c r="G9" t="s">
        <v>24</v>
      </c>
      <c r="H9" s="3">
        <f>(F13*F11)/1000</f>
        <v>78.593900055000006</v>
      </c>
    </row>
    <row r="10" spans="1:9" x14ac:dyDescent="0.2">
      <c r="E10" s="15" t="s">
        <v>91</v>
      </c>
      <c r="F10" s="4">
        <v>17.89</v>
      </c>
      <c r="G10" t="s">
        <v>174</v>
      </c>
      <c r="H10" s="3">
        <f>(F9*C3)/1000000</f>
        <v>339.62799999999999</v>
      </c>
    </row>
    <row r="11" spans="1:9" x14ac:dyDescent="0.2">
      <c r="E11" t="s">
        <v>92</v>
      </c>
      <c r="F11">
        <f>SUM(F9:F10)</f>
        <v>25.77</v>
      </c>
      <c r="G11" t="s">
        <v>175</v>
      </c>
      <c r="H11" s="3">
        <f>((F11*F13^2)/2)/1000000</f>
        <v>119.84868307829508</v>
      </c>
    </row>
    <row r="12" spans="1:9" x14ac:dyDescent="0.2">
      <c r="E12" t="s">
        <v>93</v>
      </c>
      <c r="F12">
        <f>B3</f>
        <v>311</v>
      </c>
      <c r="G12" t="s">
        <v>94</v>
      </c>
      <c r="H12" s="14">
        <f>H11/H10</f>
        <v>0.35288222136659841</v>
      </c>
    </row>
    <row r="13" spans="1:9" x14ac:dyDescent="0.2">
      <c r="E13" t="s">
        <v>29</v>
      </c>
      <c r="F13">
        <f>F12*9.8065</f>
        <v>3049.8215</v>
      </c>
      <c r="G13" t="s">
        <v>119</v>
      </c>
      <c r="H13" s="3">
        <f>H11*1000/(H9*1000)</f>
        <v>1.5249107499999999</v>
      </c>
    </row>
    <row r="14" spans="1:9" x14ac:dyDescent="0.2">
      <c r="E14" s="34" t="s">
        <v>231</v>
      </c>
      <c r="F14" s="34"/>
      <c r="G14" s="34"/>
      <c r="H14" s="34"/>
    </row>
    <row r="15" spans="1:9" x14ac:dyDescent="0.2">
      <c r="A15" s="1" t="s">
        <v>118</v>
      </c>
      <c r="B15" s="1" t="s">
        <v>35</v>
      </c>
      <c r="C15" s="13" t="s">
        <v>94</v>
      </c>
      <c r="D15" s="1" t="s">
        <v>121</v>
      </c>
      <c r="E15" s="32" t="s">
        <v>120</v>
      </c>
      <c r="F15" s="32"/>
      <c r="G15" s="32" t="s">
        <v>66</v>
      </c>
      <c r="H15" s="32"/>
    </row>
    <row r="16" spans="1:9" x14ac:dyDescent="0.2">
      <c r="A16" t="s">
        <v>113</v>
      </c>
      <c r="B16">
        <v>3280</v>
      </c>
      <c r="C16">
        <v>0.64</v>
      </c>
      <c r="D16">
        <v>9.1999999999999998E-2</v>
      </c>
      <c r="E16" s="15" t="s">
        <v>115</v>
      </c>
      <c r="F16" s="18">
        <f>F17/(F18*9.8065)</f>
        <v>5.5065517768826795E-2</v>
      </c>
      <c r="G16" s="15" t="s">
        <v>114</v>
      </c>
      <c r="H16" s="17">
        <f>(H17/F19)</f>
        <v>2407050</v>
      </c>
      <c r="I16" t="s">
        <v>260</v>
      </c>
    </row>
    <row r="17" spans="1:9" x14ac:dyDescent="0.2">
      <c r="A17" t="s">
        <v>110</v>
      </c>
      <c r="B17">
        <v>5000</v>
      </c>
      <c r="C17">
        <v>0.6</v>
      </c>
      <c r="D17">
        <v>5</v>
      </c>
      <c r="E17" t="s">
        <v>112</v>
      </c>
      <c r="F17" s="12">
        <f>D18</f>
        <v>16200</v>
      </c>
      <c r="G17" t="s">
        <v>111</v>
      </c>
      <c r="H17" s="12">
        <f>((F16*(F18*9.8065)^2)/2)/1000</f>
        <v>2382979.5</v>
      </c>
      <c r="I17">
        <f>H17/1000</f>
        <v>2382.9794999999999</v>
      </c>
    </row>
    <row r="18" spans="1:9" x14ac:dyDescent="0.2">
      <c r="A18" t="s">
        <v>259</v>
      </c>
      <c r="B18">
        <v>30000</v>
      </c>
      <c r="C18" s="4">
        <v>0.99</v>
      </c>
      <c r="D18">
        <v>16200</v>
      </c>
      <c r="E18" t="s">
        <v>109</v>
      </c>
      <c r="F18" s="3">
        <f>B18</f>
        <v>30000</v>
      </c>
      <c r="G18" s="15" t="s">
        <v>108</v>
      </c>
      <c r="H18" s="17">
        <f>H16*(1-F19)</f>
        <v>24070.500000000022</v>
      </c>
      <c r="I18">
        <f>H18/1000</f>
        <v>24.07050000000002</v>
      </c>
    </row>
    <row r="19" spans="1:9" x14ac:dyDescent="0.2">
      <c r="C19" s="7"/>
      <c r="E19" t="s">
        <v>107</v>
      </c>
      <c r="F19" s="3">
        <f>C18</f>
        <v>0.99</v>
      </c>
      <c r="G19" t="s">
        <v>119</v>
      </c>
      <c r="H19" s="12">
        <f>H16/F17</f>
        <v>148.58333333333334</v>
      </c>
    </row>
    <row r="20" spans="1:9" x14ac:dyDescent="0.2">
      <c r="E20" t="s">
        <v>106</v>
      </c>
      <c r="F20" s="3">
        <v>36000</v>
      </c>
      <c r="G20" t="s">
        <v>105</v>
      </c>
      <c r="H20">
        <f>H16/F21</f>
        <v>66.862499999999997</v>
      </c>
    </row>
    <row r="21" spans="1:9" x14ac:dyDescent="0.2">
      <c r="E21" t="s">
        <v>104</v>
      </c>
      <c r="F21" s="3">
        <v>36000</v>
      </c>
      <c r="G21" t="s">
        <v>28</v>
      </c>
      <c r="H21" s="2">
        <f>F17/F26</f>
        <v>0.10030959752321982</v>
      </c>
      <c r="I21" s="2">
        <f>H21*600</f>
        <v>60.185758513931887</v>
      </c>
    </row>
    <row r="22" spans="1:9" x14ac:dyDescent="0.2">
      <c r="B22" s="5"/>
      <c r="E22" t="s">
        <v>103</v>
      </c>
      <c r="F22" s="3">
        <v>36000</v>
      </c>
      <c r="G22" s="15" t="s">
        <v>102</v>
      </c>
      <c r="H22" s="16">
        <f>F18*9.8065*LN(F26/F24)</f>
        <v>33741.766776894801</v>
      </c>
    </row>
    <row r="23" spans="1:9" x14ac:dyDescent="0.2">
      <c r="E23" t="s">
        <v>101</v>
      </c>
      <c r="F23" s="3">
        <v>36000</v>
      </c>
      <c r="G23" t="s">
        <v>97</v>
      </c>
      <c r="H23">
        <f>F25/F26</f>
        <v>0.10835913312693499</v>
      </c>
    </row>
    <row r="24" spans="1:9" x14ac:dyDescent="0.2">
      <c r="E24" t="s">
        <v>100</v>
      </c>
      <c r="F24" s="3">
        <f>SUM(F20:F23)</f>
        <v>144000</v>
      </c>
    </row>
    <row r="25" spans="1:9" x14ac:dyDescent="0.2">
      <c r="E25" t="s">
        <v>99</v>
      </c>
      <c r="F25" s="3">
        <v>17500</v>
      </c>
    </row>
    <row r="26" spans="1:9" x14ac:dyDescent="0.2">
      <c r="E26" t="s">
        <v>98</v>
      </c>
      <c r="F26" s="3">
        <f>F24+F25</f>
        <v>161500</v>
      </c>
    </row>
    <row r="27" spans="1:9" x14ac:dyDescent="0.2">
      <c r="E27" t="s">
        <v>29</v>
      </c>
      <c r="F27">
        <f>F18*9.8065</f>
        <v>294195</v>
      </c>
      <c r="H27" s="5"/>
    </row>
  </sheetData>
  <mergeCells count="8">
    <mergeCell ref="G8:H8"/>
    <mergeCell ref="E15:F15"/>
    <mergeCell ref="G15:H15"/>
    <mergeCell ref="E1:F1"/>
    <mergeCell ref="G1:H1"/>
    <mergeCell ref="E8:F8"/>
    <mergeCell ref="E7:H7"/>
    <mergeCell ref="E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0741-2D2C-A547-AC9F-188D1B6CC064}">
  <dimension ref="A1:H33"/>
  <sheetViews>
    <sheetView zoomScale="120" zoomScaleNormal="120" workbookViewId="0">
      <selection activeCell="A19" sqref="A19"/>
    </sheetView>
  </sheetViews>
  <sheetFormatPr baseColWidth="10" defaultRowHeight="15" x14ac:dyDescent="0.2"/>
  <cols>
    <col min="1" max="1" width="26.5" bestFit="1" customWidth="1"/>
    <col min="2" max="2" width="14.6640625" bestFit="1" customWidth="1"/>
    <col min="3" max="3" width="26.5" bestFit="1" customWidth="1"/>
    <col min="4" max="4" width="21.6640625" bestFit="1" customWidth="1"/>
    <col min="5" max="5" width="19.33203125" bestFit="1" customWidth="1"/>
    <col min="6" max="6" width="23.6640625" bestFit="1" customWidth="1"/>
  </cols>
  <sheetData>
    <row r="1" spans="1:8" ht="16" x14ac:dyDescent="0.2">
      <c r="A1" s="32" t="s">
        <v>0</v>
      </c>
      <c r="B1" s="32"/>
      <c r="C1" s="37" t="s">
        <v>228</v>
      </c>
      <c r="D1" s="37"/>
      <c r="E1" s="37"/>
      <c r="F1" s="37"/>
      <c r="G1" s="37"/>
    </row>
    <row r="2" spans="1:8" x14ac:dyDescent="0.2">
      <c r="A2" t="s">
        <v>229</v>
      </c>
      <c r="B2">
        <v>273.14999999999998</v>
      </c>
      <c r="C2" s="1" t="s">
        <v>39</v>
      </c>
      <c r="D2" s="1"/>
      <c r="E2" s="1" t="s">
        <v>66</v>
      </c>
      <c r="F2" s="1"/>
      <c r="H2" s="1"/>
    </row>
    <row r="3" spans="1:8" x14ac:dyDescent="0.2">
      <c r="A3" t="s">
        <v>176</v>
      </c>
      <c r="B3" s="2">
        <v>5.6703669999999997E-8</v>
      </c>
      <c r="C3" t="s">
        <v>177</v>
      </c>
      <c r="D3">
        <v>358</v>
      </c>
      <c r="E3" t="s">
        <v>178</v>
      </c>
      <c r="F3" s="6">
        <f>B3*D3^4</f>
        <v>931.41510126318826</v>
      </c>
    </row>
    <row r="4" spans="1:8" x14ac:dyDescent="0.2">
      <c r="A4" t="s">
        <v>184</v>
      </c>
      <c r="B4" s="22">
        <v>2.897771955E-3</v>
      </c>
      <c r="C4" s="5" t="s">
        <v>179</v>
      </c>
      <c r="D4">
        <v>40</v>
      </c>
      <c r="E4" t="s">
        <v>180</v>
      </c>
      <c r="F4" s="6">
        <f>B3*D4^4</f>
        <v>0.14516139519999999</v>
      </c>
    </row>
    <row r="5" spans="1:8" ht="16" x14ac:dyDescent="0.2">
      <c r="A5" s="25" t="s">
        <v>187</v>
      </c>
      <c r="B5" s="25">
        <v>5780</v>
      </c>
      <c r="C5" t="s">
        <v>181</v>
      </c>
      <c r="D5">
        <f>D3-B2</f>
        <v>84.850000000000023</v>
      </c>
      <c r="E5" t="s">
        <v>182</v>
      </c>
      <c r="F5" s="6">
        <f>F3-F4</f>
        <v>931.26993986798823</v>
      </c>
    </row>
    <row r="6" spans="1:8" ht="16" x14ac:dyDescent="0.2">
      <c r="A6" s="25" t="s">
        <v>190</v>
      </c>
      <c r="B6" s="25">
        <v>255</v>
      </c>
      <c r="C6" t="s">
        <v>183</v>
      </c>
      <c r="D6">
        <f>D4-B2</f>
        <v>-233.14999999999998</v>
      </c>
      <c r="E6" t="s">
        <v>185</v>
      </c>
      <c r="F6" s="6">
        <f>(B4/D3)*1000000000</f>
        <v>8094.335069832402</v>
      </c>
    </row>
    <row r="7" spans="1:8" ht="16" x14ac:dyDescent="0.2">
      <c r="A7" s="25" t="s">
        <v>193</v>
      </c>
      <c r="B7" s="27">
        <v>695000000</v>
      </c>
      <c r="C7" s="35" t="s">
        <v>224</v>
      </c>
      <c r="D7" s="35"/>
      <c r="E7" s="35"/>
      <c r="F7" s="35"/>
      <c r="G7" s="35"/>
    </row>
    <row r="8" spans="1:8" ht="16" x14ac:dyDescent="0.2">
      <c r="A8" s="25" t="s">
        <v>196</v>
      </c>
      <c r="B8" s="27">
        <v>6370000</v>
      </c>
      <c r="C8" s="36" t="s">
        <v>39</v>
      </c>
      <c r="D8" s="36"/>
      <c r="E8" s="1" t="s">
        <v>66</v>
      </c>
      <c r="F8" s="9" t="s">
        <v>222</v>
      </c>
      <c r="G8" s="9" t="s">
        <v>226</v>
      </c>
      <c r="H8" s="24"/>
    </row>
    <row r="9" spans="1:8" ht="16" x14ac:dyDescent="0.2">
      <c r="A9" s="25" t="s">
        <v>199</v>
      </c>
      <c r="B9" s="27">
        <v>147000000000</v>
      </c>
      <c r="C9" s="25" t="s">
        <v>206</v>
      </c>
      <c r="D9" s="28">
        <v>700</v>
      </c>
      <c r="E9" s="25" t="s">
        <v>207</v>
      </c>
      <c r="F9" s="26">
        <f>POWER(SUM(F24:F27)/F28,0.25)</f>
        <v>284.49041730521611</v>
      </c>
      <c r="G9" s="26">
        <f>F9-B2</f>
        <v>11.340417305216135</v>
      </c>
      <c r="H9" s="23"/>
    </row>
    <row r="10" spans="1:8" ht="16" x14ac:dyDescent="0.2">
      <c r="A10" s="25" t="s">
        <v>201</v>
      </c>
      <c r="B10" s="27">
        <v>5.6699999999999998E-8</v>
      </c>
      <c r="C10" s="25" t="s">
        <v>225</v>
      </c>
      <c r="D10" s="27">
        <f>D9*1000</f>
        <v>700000</v>
      </c>
      <c r="E10" s="25" t="s">
        <v>209</v>
      </c>
      <c r="F10" s="26">
        <f>POWER(SUM(F26:F28)/F28,0.25)</f>
        <v>232.5501794269895</v>
      </c>
      <c r="G10" s="26">
        <f>F10-B2</f>
        <v>-40.599820573010476</v>
      </c>
      <c r="H10" s="23"/>
    </row>
    <row r="11" spans="1:8" ht="16" x14ac:dyDescent="0.2">
      <c r="A11" s="25" t="s">
        <v>203</v>
      </c>
      <c r="B11" s="26">
        <v>0.34</v>
      </c>
      <c r="C11" s="25" t="s">
        <v>208</v>
      </c>
      <c r="D11" s="25">
        <v>0.6</v>
      </c>
    </row>
    <row r="12" spans="1:8" ht="16" x14ac:dyDescent="0.2">
      <c r="C12" s="25" t="s">
        <v>210</v>
      </c>
      <c r="D12" s="25">
        <v>0.9</v>
      </c>
    </row>
    <row r="13" spans="1:8" ht="16" x14ac:dyDescent="0.2">
      <c r="C13" s="25" t="s">
        <v>211</v>
      </c>
      <c r="D13" s="25">
        <v>700</v>
      </c>
    </row>
    <row r="14" spans="1:8" ht="16" x14ac:dyDescent="0.2">
      <c r="C14" s="38" t="s">
        <v>212</v>
      </c>
      <c r="D14" s="38"/>
      <c r="E14" s="29" t="s">
        <v>213</v>
      </c>
    </row>
    <row r="15" spans="1:8" ht="16" x14ac:dyDescent="0.2">
      <c r="C15" s="25" t="s">
        <v>214</v>
      </c>
      <c r="D15" s="25">
        <v>1</v>
      </c>
      <c r="E15" s="25">
        <v>1</v>
      </c>
    </row>
    <row r="16" spans="1:8" ht="16" x14ac:dyDescent="0.2">
      <c r="A16" s="25"/>
      <c r="B16" s="25"/>
      <c r="C16" s="25" t="s">
        <v>215</v>
      </c>
      <c r="D16" s="25">
        <v>1</v>
      </c>
      <c r="E16" s="25">
        <v>0.8</v>
      </c>
    </row>
    <row r="17" spans="3:7" ht="16" x14ac:dyDescent="0.2">
      <c r="C17" s="25" t="s">
        <v>216</v>
      </c>
      <c r="D17" s="25">
        <v>4</v>
      </c>
      <c r="E17" s="25">
        <v>0.2</v>
      </c>
      <c r="G17" s="29"/>
    </row>
    <row r="18" spans="3:7" ht="16" x14ac:dyDescent="0.2">
      <c r="C18" s="38" t="s">
        <v>217</v>
      </c>
      <c r="D18" s="38"/>
    </row>
    <row r="19" spans="3:7" ht="16" x14ac:dyDescent="0.2">
      <c r="C19" s="25" t="s">
        <v>218</v>
      </c>
      <c r="D19" s="25">
        <f>D16*E16+D17*E17</f>
        <v>1.6</v>
      </c>
    </row>
    <row r="20" spans="3:7" ht="16" x14ac:dyDescent="0.2">
      <c r="C20" s="25" t="s">
        <v>219</v>
      </c>
      <c r="D20" s="25">
        <f>D16*E16+D17*E17</f>
        <v>1.6</v>
      </c>
      <c r="E20" s="25"/>
      <c r="F20" s="26"/>
      <c r="G20" s="26"/>
    </row>
    <row r="21" spans="3:7" ht="16" x14ac:dyDescent="0.2">
      <c r="C21" s="25" t="s">
        <v>220</v>
      </c>
      <c r="D21" s="25">
        <f>D15*E15</f>
        <v>1</v>
      </c>
    </row>
    <row r="22" spans="3:7" ht="16" x14ac:dyDescent="0.2">
      <c r="C22" s="25" t="s">
        <v>221</v>
      </c>
      <c r="D22" s="25">
        <v>6</v>
      </c>
    </row>
    <row r="23" spans="3:7" ht="16" x14ac:dyDescent="0.2">
      <c r="C23" s="36" t="s">
        <v>186</v>
      </c>
      <c r="D23" s="36"/>
      <c r="E23" s="36"/>
      <c r="F23" s="36"/>
    </row>
    <row r="24" spans="3:7" ht="16" x14ac:dyDescent="0.2">
      <c r="C24" s="25" t="s">
        <v>188</v>
      </c>
      <c r="D24" s="27">
        <f>4*PI()*POWER(B7,2)*B10*POWER(B5,4)</f>
        <v>3.8412616089382957E+26</v>
      </c>
      <c r="E24" s="25" t="s">
        <v>189</v>
      </c>
      <c r="F24" s="26">
        <f>D21*D11*D26</f>
        <v>848.75159346335806</v>
      </c>
    </row>
    <row r="25" spans="3:7" ht="16" x14ac:dyDescent="0.2">
      <c r="C25" s="25" t="s">
        <v>191</v>
      </c>
      <c r="D25" s="27">
        <f>4*PI()*POWER(B8,2)*B10*POWER(B6,4)</f>
        <v>1.222453953230281E+17</v>
      </c>
      <c r="E25" s="25" t="s">
        <v>192</v>
      </c>
      <c r="F25" s="26">
        <f>D19*D11*D29</f>
        <v>261.40804780142565</v>
      </c>
    </row>
    <row r="26" spans="3:7" ht="16" x14ac:dyDescent="0.2">
      <c r="C26" s="25" t="s">
        <v>194</v>
      </c>
      <c r="D26" s="26">
        <f>D24/(4*PI()*POWER(B9,2))</f>
        <v>1414.5859891055968</v>
      </c>
      <c r="E26" s="25" t="s">
        <v>195</v>
      </c>
      <c r="F26" s="26">
        <f>D20*D12*D31</f>
        <v>195.45452269146966</v>
      </c>
    </row>
    <row r="27" spans="3:7" ht="16" x14ac:dyDescent="0.2">
      <c r="C27" s="25" t="s">
        <v>197</v>
      </c>
      <c r="D27" s="27">
        <f>D26*PI()*POWER(B8,2)*B11</f>
        <v>6.1310803347109584E+16</v>
      </c>
      <c r="E27" s="25" t="s">
        <v>198</v>
      </c>
      <c r="F27" s="25">
        <f>D13</f>
        <v>700</v>
      </c>
    </row>
    <row r="28" spans="3:7" ht="16" x14ac:dyDescent="0.2">
      <c r="C28" s="25" t="s">
        <v>200</v>
      </c>
      <c r="D28" s="26">
        <f>D27/(PI()*POWER(B8,2))</f>
        <v>480.959236295903</v>
      </c>
      <c r="E28" s="25" t="s">
        <v>223</v>
      </c>
      <c r="F28" s="27">
        <f>D22*D12*B10</f>
        <v>3.0618000000000001E-7</v>
      </c>
    </row>
    <row r="29" spans="3:7" ht="16" x14ac:dyDescent="0.2">
      <c r="C29" s="25" t="s">
        <v>202</v>
      </c>
      <c r="D29" s="26">
        <f>D28*(1-SQRT(1-POWER(B8,2)/POWER(B8+D10,2)))</f>
        <v>272.30004979315174</v>
      </c>
      <c r="E29" s="25"/>
      <c r="F29" s="25"/>
    </row>
    <row r="30" spans="3:7" ht="16" x14ac:dyDescent="0.2">
      <c r="C30" s="25" t="s">
        <v>204</v>
      </c>
      <c r="D30" s="26">
        <f>D25/(4*PI()*POWER(B8,2))</f>
        <v>239.74181043749999</v>
      </c>
      <c r="E30" s="25"/>
      <c r="F30" s="25"/>
    </row>
    <row r="31" spans="3:7" ht="16" x14ac:dyDescent="0.2">
      <c r="C31" s="25" t="s">
        <v>205</v>
      </c>
      <c r="D31" s="26">
        <f>D30*(1-SQRT(1-POWER(B8,2)/POWER(B8+D10,2)))</f>
        <v>135.7323074246317</v>
      </c>
      <c r="E31" s="25"/>
      <c r="F31" s="25"/>
      <c r="G31" s="25"/>
    </row>
    <row r="32" spans="3:7" ht="16" x14ac:dyDescent="0.2">
      <c r="C32" s="25"/>
      <c r="D32" s="25"/>
      <c r="E32" s="25"/>
      <c r="F32" s="25"/>
      <c r="G32" s="25"/>
    </row>
    <row r="33" spans="1:6" ht="16" x14ac:dyDescent="0.2">
      <c r="A33" s="23"/>
      <c r="B33" s="23"/>
      <c r="C33" s="23"/>
      <c r="D33" s="23"/>
      <c r="E33" s="23"/>
      <c r="F33" s="23"/>
    </row>
  </sheetData>
  <mergeCells count="7">
    <mergeCell ref="A1:B1"/>
    <mergeCell ref="C7:G7"/>
    <mergeCell ref="C23:F23"/>
    <mergeCell ref="C1:G1"/>
    <mergeCell ref="C8:D8"/>
    <mergeCell ref="C14:D14"/>
    <mergeCell ref="C18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051-F30B-DF45-8EC8-4E3137FE1EF1}">
  <dimension ref="A1:G17"/>
  <sheetViews>
    <sheetView zoomScale="120" zoomScaleNormal="120" workbookViewId="0">
      <selection activeCell="F8" sqref="F8"/>
    </sheetView>
  </sheetViews>
  <sheetFormatPr baseColWidth="10" defaultRowHeight="15" x14ac:dyDescent="0.2"/>
  <cols>
    <col min="1" max="1" width="18.83203125" bestFit="1" customWidth="1"/>
    <col min="3" max="3" width="18.83203125" bestFit="1" customWidth="1"/>
    <col min="4" max="4" width="17.5" bestFit="1" customWidth="1"/>
    <col min="5" max="5" width="12.1640625" bestFit="1" customWidth="1"/>
    <col min="6" max="6" width="18.83203125" bestFit="1" customWidth="1"/>
  </cols>
  <sheetData>
    <row r="1" spans="1:7" x14ac:dyDescent="0.2">
      <c r="A1" s="32" t="s">
        <v>0</v>
      </c>
      <c r="B1" s="32"/>
      <c r="C1" s="32" t="s">
        <v>235</v>
      </c>
      <c r="D1" s="32"/>
      <c r="E1" s="32" t="s">
        <v>244</v>
      </c>
      <c r="F1" s="32"/>
    </row>
    <row r="2" spans="1:7" x14ac:dyDescent="0.2">
      <c r="A2" t="s">
        <v>138</v>
      </c>
      <c r="B2" s="5">
        <v>398600000000000</v>
      </c>
      <c r="C2" t="s">
        <v>16</v>
      </c>
      <c r="D2" s="3">
        <v>28.05</v>
      </c>
      <c r="E2" t="s">
        <v>245</v>
      </c>
      <c r="F2">
        <v>0.6</v>
      </c>
    </row>
    <row r="3" spans="1:7" x14ac:dyDescent="0.2">
      <c r="A3" t="s">
        <v>20</v>
      </c>
      <c r="B3" s="5">
        <v>1.08E-3</v>
      </c>
      <c r="C3" t="s">
        <v>237</v>
      </c>
      <c r="D3" s="3">
        <v>0</v>
      </c>
      <c r="E3" t="s">
        <v>246</v>
      </c>
      <c r="F3">
        <v>-0.6</v>
      </c>
    </row>
    <row r="4" spans="1:7" x14ac:dyDescent="0.2">
      <c r="A4" t="s">
        <v>241</v>
      </c>
      <c r="B4">
        <v>6378137</v>
      </c>
      <c r="C4" t="s">
        <v>136</v>
      </c>
      <c r="D4" s="3">
        <v>500</v>
      </c>
      <c r="E4" t="s">
        <v>248</v>
      </c>
      <c r="F4">
        <v>0.6</v>
      </c>
    </row>
    <row r="5" spans="1:7" x14ac:dyDescent="0.2">
      <c r="A5" t="s">
        <v>243</v>
      </c>
      <c r="B5">
        <v>23.45</v>
      </c>
      <c r="C5" t="s">
        <v>240</v>
      </c>
      <c r="D5" s="3">
        <f>B4+D4*1000</f>
        <v>6878137</v>
      </c>
    </row>
    <row r="6" spans="1:7" x14ac:dyDescent="0.2">
      <c r="A6" t="s">
        <v>249</v>
      </c>
      <c r="B6">
        <f>180/PI()</f>
        <v>57.295779513082323</v>
      </c>
      <c r="C6" t="s">
        <v>130</v>
      </c>
      <c r="D6" s="3">
        <v>0</v>
      </c>
      <c r="E6" t="s">
        <v>247</v>
      </c>
      <c r="F6" s="31">
        <f>ASIN(F2*SIN(RADIANS(D2))-F3*COS(RADIANS(B5))*SIN(RADIANS(D2))+F4*SIN(RADIANS(B5))*COS(RADIANS(D2)))</f>
        <v>0.85065121198789173</v>
      </c>
      <c r="G6">
        <f>F6*B6</f>
        <v>48.738724284594497</v>
      </c>
    </row>
    <row r="7" spans="1:7" x14ac:dyDescent="0.2">
      <c r="C7" t="s">
        <v>135</v>
      </c>
      <c r="D7" s="3">
        <f>D5*(1-D3)</f>
        <v>6878137</v>
      </c>
      <c r="E7" t="s">
        <v>242</v>
      </c>
    </row>
    <row r="8" spans="1:7" x14ac:dyDescent="0.2">
      <c r="C8" t="s">
        <v>239</v>
      </c>
      <c r="D8" s="11">
        <f>2*PI()/(365.25*86400)</f>
        <v>1.991021277657232E-7</v>
      </c>
      <c r="E8" t="s">
        <v>250</v>
      </c>
      <c r="F8">
        <f>ASIN(SQRT(1/COS(F6)^2)*((B4/(B4+D5))^2)-SIN(F6)^2)</f>
        <v>-0.2157153030347479</v>
      </c>
      <c r="G8">
        <f>F8*B6</f>
        <v>-12.359576440276653</v>
      </c>
    </row>
    <row r="9" spans="1:7" x14ac:dyDescent="0.2">
      <c r="C9" t="s">
        <v>238</v>
      </c>
      <c r="D9" s="5">
        <f>-3/2*B3*(B4/D7)^2*SQRT(B2/D7^3)*COS(RADIANS(D2))</f>
        <v>-1.36068210211513E-6</v>
      </c>
      <c r="E9" t="s">
        <v>251</v>
      </c>
      <c r="F9">
        <f>2*(PI()-ABS(F8))</f>
        <v>5.8517547011100906</v>
      </c>
    </row>
    <row r="10" spans="1:7" x14ac:dyDescent="0.2">
      <c r="C10" s="32" t="s">
        <v>236</v>
      </c>
      <c r="D10" s="32"/>
    </row>
    <row r="11" spans="1:7" x14ac:dyDescent="0.2">
      <c r="C11" s="30" t="s">
        <v>42</v>
      </c>
      <c r="D11" s="30">
        <v>0.2</v>
      </c>
    </row>
    <row r="12" spans="1:7" x14ac:dyDescent="0.2">
      <c r="C12" s="30" t="s">
        <v>43</v>
      </c>
      <c r="D12" s="30">
        <v>0.15</v>
      </c>
    </row>
    <row r="13" spans="1:7" x14ac:dyDescent="0.2">
      <c r="C13" s="30" t="s">
        <v>44</v>
      </c>
      <c r="D13" s="30">
        <v>1400</v>
      </c>
    </row>
    <row r="14" spans="1:7" x14ac:dyDescent="0.2">
      <c r="C14" s="30" t="s">
        <v>45</v>
      </c>
      <c r="D14" s="30">
        <v>1</v>
      </c>
    </row>
    <row r="15" spans="1:7" x14ac:dyDescent="0.2">
      <c r="C15" s="30" t="s">
        <v>232</v>
      </c>
      <c r="D15" s="30">
        <f>D14*D13*D12</f>
        <v>210</v>
      </c>
    </row>
    <row r="16" spans="1:7" x14ac:dyDescent="0.2">
      <c r="C16" s="30" t="s">
        <v>233</v>
      </c>
      <c r="D16" s="30">
        <f>D15*24</f>
        <v>5040</v>
      </c>
    </row>
    <row r="17" spans="3:4" x14ac:dyDescent="0.2">
      <c r="C17" s="30" t="s">
        <v>234</v>
      </c>
      <c r="D17" s="30"/>
    </row>
  </sheetData>
  <mergeCells count="4">
    <mergeCell ref="A1:B1"/>
    <mergeCell ref="C1:D1"/>
    <mergeCell ref="C10:D10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7A2-4934-144F-9E57-D368FF772F19}">
  <dimension ref="A1:F11"/>
  <sheetViews>
    <sheetView zoomScale="140" zoomScaleNormal="140" workbookViewId="0">
      <selection activeCell="D8" sqref="D8"/>
    </sheetView>
  </sheetViews>
  <sheetFormatPr baseColWidth="10" defaultRowHeight="15" x14ac:dyDescent="0.2"/>
  <cols>
    <col min="3" max="3" width="18" bestFit="1" customWidth="1"/>
    <col min="7" max="7" width="18" bestFit="1" customWidth="1"/>
  </cols>
  <sheetData>
    <row r="1" spans="1:6" x14ac:dyDescent="0.2">
      <c r="A1" s="32" t="s">
        <v>0</v>
      </c>
      <c r="B1" s="32"/>
      <c r="C1" s="32" t="s">
        <v>39</v>
      </c>
      <c r="D1" s="32"/>
      <c r="E1" s="32"/>
      <c r="F1" s="32"/>
    </row>
    <row r="2" spans="1:6" x14ac:dyDescent="0.2">
      <c r="A2" t="s">
        <v>82</v>
      </c>
      <c r="B2">
        <v>9.8064999999999998</v>
      </c>
      <c r="C2" t="s">
        <v>89</v>
      </c>
      <c r="D2">
        <v>1.8</v>
      </c>
      <c r="E2">
        <v>1.8</v>
      </c>
      <c r="F2">
        <v>1.8</v>
      </c>
    </row>
    <row r="3" spans="1:6" x14ac:dyDescent="0.2">
      <c r="A3" t="s">
        <v>81</v>
      </c>
      <c r="B3">
        <f>0.378*B2</f>
        <v>3.7068569999999998</v>
      </c>
      <c r="C3" t="s">
        <v>77</v>
      </c>
      <c r="D3">
        <v>2</v>
      </c>
      <c r="E3">
        <v>3</v>
      </c>
      <c r="F3">
        <v>2</v>
      </c>
    </row>
    <row r="4" spans="1:6" x14ac:dyDescent="0.2">
      <c r="A4" t="s">
        <v>84</v>
      </c>
      <c r="B4">
        <f>0.166*B2</f>
        <v>1.6278790000000001</v>
      </c>
      <c r="C4" t="s">
        <v>78</v>
      </c>
      <c r="D4">
        <f>B4</f>
        <v>1.6278790000000001</v>
      </c>
      <c r="E4">
        <f>B3</f>
        <v>3.7068569999999998</v>
      </c>
      <c r="F4">
        <f>B2</f>
        <v>9.8064999999999998</v>
      </c>
    </row>
    <row r="6" spans="1:6" x14ac:dyDescent="0.2">
      <c r="A6" s="32" t="s">
        <v>88</v>
      </c>
      <c r="B6" s="32"/>
      <c r="C6" s="32" t="s">
        <v>66</v>
      </c>
      <c r="D6" s="32"/>
      <c r="E6" s="32"/>
      <c r="F6" s="32"/>
    </row>
    <row r="7" spans="1:6" x14ac:dyDescent="0.2">
      <c r="A7" t="s">
        <v>80</v>
      </c>
      <c r="B7">
        <v>37</v>
      </c>
      <c r="C7" t="s">
        <v>79</v>
      </c>
      <c r="D7">
        <f>(D3*2*PI())/60</f>
        <v>0.20943951023931953</v>
      </c>
      <c r="E7">
        <f>(E3*2*PI())/60</f>
        <v>0.31415926535897931</v>
      </c>
      <c r="F7">
        <f>(F3*2*PI())/60</f>
        <v>0.20943951023931953</v>
      </c>
    </row>
    <row r="8" spans="1:6" x14ac:dyDescent="0.2">
      <c r="A8" t="s">
        <v>87</v>
      </c>
      <c r="B8">
        <f>SQRT(B3/B7)</f>
        <v>0.31652065386689116</v>
      </c>
      <c r="C8" t="s">
        <v>227</v>
      </c>
      <c r="D8">
        <f>D4/(D7^2)</f>
        <v>37.111191098963673</v>
      </c>
      <c r="E8">
        <f>E4/(E7^2)</f>
        <v>37.558313883288527</v>
      </c>
      <c r="F8">
        <f>F4/(F7^2)</f>
        <v>223.56139216243173</v>
      </c>
    </row>
    <row r="9" spans="1:6" x14ac:dyDescent="0.2">
      <c r="A9" t="s">
        <v>77</v>
      </c>
      <c r="B9">
        <f>(B8*60)/(2*PI())</f>
        <v>3.0225495992156741</v>
      </c>
      <c r="C9" t="s">
        <v>83</v>
      </c>
      <c r="D9" s="14">
        <f>1-(D8-D2)/D8</f>
        <v>4.850288947072523E-2</v>
      </c>
      <c r="E9" s="14">
        <f>1-(E8-E2)/E8</f>
        <v>4.7925474119883238E-2</v>
      </c>
      <c r="F9" s="14">
        <f>1-(F8-F2)/F8</f>
        <v>8.0514796521404808E-3</v>
      </c>
    </row>
    <row r="10" spans="1:6" x14ac:dyDescent="0.2">
      <c r="C10" t="s">
        <v>86</v>
      </c>
      <c r="D10">
        <f>2*PI()*D8</f>
        <v>233.17649064494239</v>
      </c>
      <c r="E10">
        <f>2*PI()*E8</f>
        <v>235.98584595391753</v>
      </c>
      <c r="F10">
        <f>2*PI()*F8</f>
        <v>1404.6776544876045</v>
      </c>
    </row>
    <row r="11" spans="1:6" x14ac:dyDescent="0.2">
      <c r="C11" t="s">
        <v>85</v>
      </c>
      <c r="D11">
        <f>(D10*D3)/60</f>
        <v>7.7725496881647462</v>
      </c>
      <c r="E11">
        <f>(E10*E3)/60</f>
        <v>11.799292297695876</v>
      </c>
      <c r="F11">
        <f>(F10*F3)/60</f>
        <v>46.822588482920153</v>
      </c>
    </row>
  </sheetData>
  <mergeCells count="4">
    <mergeCell ref="C1:F1"/>
    <mergeCell ref="C6:F6"/>
    <mergeCell ref="A1:B1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382F-337F-7C4A-853A-6E3ED2317EC1}">
  <dimension ref="A1:G34"/>
  <sheetViews>
    <sheetView zoomScale="120" zoomScaleNormal="120" workbookViewId="0">
      <selection activeCell="B3" sqref="B3"/>
    </sheetView>
  </sheetViews>
  <sheetFormatPr baseColWidth="10" defaultColWidth="8.83203125" defaultRowHeight="15" x14ac:dyDescent="0.2"/>
  <cols>
    <col min="1" max="1" width="17.5" bestFit="1" customWidth="1"/>
    <col min="2" max="2" width="15.5" bestFit="1" customWidth="1"/>
    <col min="3" max="3" width="15.33203125" bestFit="1" customWidth="1"/>
    <col min="4" max="4" width="15.1640625" bestFit="1" customWidth="1"/>
    <col min="5" max="5" width="14.83203125" bestFit="1" customWidth="1"/>
    <col min="6" max="6" width="15" bestFit="1" customWidth="1"/>
    <col min="7" max="7" width="11.83203125" bestFit="1" customWidth="1"/>
  </cols>
  <sheetData>
    <row r="1" spans="1:7" x14ac:dyDescent="0.2">
      <c r="A1" s="7" t="s">
        <v>69</v>
      </c>
      <c r="B1" s="7"/>
      <c r="C1" s="32" t="s">
        <v>67</v>
      </c>
      <c r="D1" s="32"/>
      <c r="E1" s="1"/>
      <c r="F1" s="32" t="s">
        <v>66</v>
      </c>
      <c r="G1" s="32"/>
    </row>
    <row r="2" spans="1:7" x14ac:dyDescent="0.2">
      <c r="A2" t="s">
        <v>68</v>
      </c>
      <c r="B2">
        <v>0.05</v>
      </c>
      <c r="C2" s="9" t="s">
        <v>65</v>
      </c>
      <c r="D2" s="9" t="s">
        <v>64</v>
      </c>
      <c r="E2" s="9" t="s">
        <v>63</v>
      </c>
    </row>
    <row r="3" spans="1:7" x14ac:dyDescent="0.2">
      <c r="A3" t="s">
        <v>40</v>
      </c>
      <c r="B3">
        <v>2700</v>
      </c>
      <c r="C3" t="s">
        <v>62</v>
      </c>
      <c r="D3">
        <v>0.8</v>
      </c>
      <c r="E3">
        <f>D3-2*B2</f>
        <v>0.70000000000000007</v>
      </c>
      <c r="F3" t="s">
        <v>47</v>
      </c>
      <c r="G3">
        <f>D6-E6</f>
        <v>0.13900000000000001</v>
      </c>
    </row>
    <row r="4" spans="1:7" x14ac:dyDescent="0.2">
      <c r="C4" t="s">
        <v>61</v>
      </c>
      <c r="D4">
        <v>0.8</v>
      </c>
      <c r="E4">
        <f>D4-2*B2</f>
        <v>0.70000000000000007</v>
      </c>
      <c r="F4" t="s">
        <v>58</v>
      </c>
      <c r="G4">
        <f>G3*B3</f>
        <v>375.3</v>
      </c>
    </row>
    <row r="5" spans="1:7" x14ac:dyDescent="0.2">
      <c r="C5" t="s">
        <v>55</v>
      </c>
      <c r="D5">
        <v>0.6</v>
      </c>
      <c r="E5">
        <f>D5-2*B2</f>
        <v>0.5</v>
      </c>
    </row>
    <row r="6" spans="1:7" x14ac:dyDescent="0.2">
      <c r="C6" t="s">
        <v>48</v>
      </c>
      <c r="D6">
        <f>D3*D4*D5</f>
        <v>0.38400000000000006</v>
      </c>
      <c r="E6">
        <f>E3*E4*E5</f>
        <v>0.24500000000000005</v>
      </c>
    </row>
    <row r="8" spans="1:7" x14ac:dyDescent="0.2">
      <c r="C8" s="9" t="s">
        <v>60</v>
      </c>
    </row>
    <row r="9" spans="1:7" x14ac:dyDescent="0.2">
      <c r="C9" t="s">
        <v>56</v>
      </c>
      <c r="D9">
        <v>0.5</v>
      </c>
      <c r="E9">
        <f>D9-B2</f>
        <v>0.45</v>
      </c>
      <c r="F9" t="s">
        <v>47</v>
      </c>
      <c r="G9">
        <f>D11-E11</f>
        <v>7.0947634093569467E-2</v>
      </c>
    </row>
    <row r="10" spans="1:7" x14ac:dyDescent="0.2">
      <c r="C10" t="s">
        <v>55</v>
      </c>
      <c r="D10">
        <v>1</v>
      </c>
      <c r="E10">
        <f>D10-2*B2</f>
        <v>0.9</v>
      </c>
      <c r="F10" t="s">
        <v>58</v>
      </c>
      <c r="G10">
        <f>G9*B3</f>
        <v>191.55861205263756</v>
      </c>
    </row>
    <row r="11" spans="1:7" x14ac:dyDescent="0.2">
      <c r="C11" t="s">
        <v>48</v>
      </c>
      <c r="D11">
        <f>(1/3)*PI()*D9^2*D10</f>
        <v>0.26179938779914941</v>
      </c>
      <c r="E11">
        <f>(1/3)*PI()*E9^2*E10</f>
        <v>0.19085175370557994</v>
      </c>
    </row>
    <row r="13" spans="1:7" x14ac:dyDescent="0.2">
      <c r="C13" s="9" t="s">
        <v>59</v>
      </c>
    </row>
    <row r="14" spans="1:7" x14ac:dyDescent="0.2">
      <c r="C14" t="s">
        <v>56</v>
      </c>
      <c r="D14">
        <v>0.5</v>
      </c>
      <c r="E14">
        <f>D14-B2</f>
        <v>0.45</v>
      </c>
      <c r="F14" t="s">
        <v>47</v>
      </c>
      <c r="G14">
        <f>D16-E16</f>
        <v>0.21284290228070846</v>
      </c>
    </row>
    <row r="15" spans="1:7" x14ac:dyDescent="0.2">
      <c r="C15" t="s">
        <v>55</v>
      </c>
      <c r="D15">
        <v>1</v>
      </c>
      <c r="E15">
        <f>D15-2*B2</f>
        <v>0.9</v>
      </c>
      <c r="F15" t="s">
        <v>58</v>
      </c>
      <c r="G15">
        <f>G14*B3</f>
        <v>574.67583615791284</v>
      </c>
    </row>
    <row r="16" spans="1:7" x14ac:dyDescent="0.2">
      <c r="C16" t="s">
        <v>48</v>
      </c>
      <c r="D16">
        <f>PI()*D14^2*D15</f>
        <v>0.78539816339744828</v>
      </c>
      <c r="E16">
        <f>PI()*E14^2*E15</f>
        <v>0.57255526111673982</v>
      </c>
    </row>
    <row r="18" spans="3:7" x14ac:dyDescent="0.2">
      <c r="C18" s="9" t="s">
        <v>57</v>
      </c>
      <c r="D18" s="9"/>
      <c r="E18" s="9"/>
      <c r="F18" s="9"/>
      <c r="G18" s="9"/>
    </row>
    <row r="19" spans="3:7" x14ac:dyDescent="0.2">
      <c r="C19" t="s">
        <v>56</v>
      </c>
      <c r="D19">
        <v>0.5</v>
      </c>
      <c r="E19">
        <f>D19-B2</f>
        <v>0.45</v>
      </c>
      <c r="F19" t="s">
        <v>47</v>
      </c>
      <c r="G19">
        <f>D21-E21</f>
        <v>0.14189526818713893</v>
      </c>
    </row>
    <row r="20" spans="3:7" x14ac:dyDescent="0.2">
      <c r="C20" t="s">
        <v>55</v>
      </c>
      <c r="D20">
        <v>1</v>
      </c>
      <c r="E20">
        <f>D20-2*B2</f>
        <v>0.9</v>
      </c>
      <c r="F20" t="s">
        <v>54</v>
      </c>
      <c r="G20">
        <f>G19*B3</f>
        <v>383.11722410527511</v>
      </c>
    </row>
    <row r="21" spans="3:7" s="9" customFormat="1" x14ac:dyDescent="0.2">
      <c r="C21" t="s">
        <v>48</v>
      </c>
      <c r="D21">
        <f>2/3*PI()*D19^2*D20</f>
        <v>0.52359877559829882</v>
      </c>
      <c r="E21">
        <f>2/3*PI()*E19^2*E20</f>
        <v>0.38170350741115988</v>
      </c>
    </row>
    <row r="23" spans="3:7" x14ac:dyDescent="0.2">
      <c r="C23" s="9" t="s">
        <v>53</v>
      </c>
    </row>
    <row r="24" spans="3:7" x14ac:dyDescent="0.2">
      <c r="C24" t="s">
        <v>52</v>
      </c>
      <c r="D24">
        <v>3</v>
      </c>
      <c r="E24">
        <f>D24-B2</f>
        <v>2.95</v>
      </c>
      <c r="F24" t="s">
        <v>47</v>
      </c>
      <c r="G24">
        <f>D28-E28</f>
        <v>10.545802939325313</v>
      </c>
    </row>
    <row r="25" spans="3:7" x14ac:dyDescent="0.2">
      <c r="C25" t="s">
        <v>51</v>
      </c>
      <c r="D25">
        <v>8</v>
      </c>
      <c r="E25">
        <f>D25</f>
        <v>8</v>
      </c>
      <c r="F25" t="s">
        <v>46</v>
      </c>
      <c r="G25">
        <f>G24*B3</f>
        <v>28473.667936178346</v>
      </c>
    </row>
    <row r="26" spans="3:7" x14ac:dyDescent="0.2">
      <c r="C26" t="s">
        <v>50</v>
      </c>
      <c r="D26">
        <v>1</v>
      </c>
      <c r="E26">
        <f>D26-B2</f>
        <v>0.95</v>
      </c>
    </row>
    <row r="27" spans="3:7" x14ac:dyDescent="0.2">
      <c r="C27" t="s">
        <v>49</v>
      </c>
      <c r="D27">
        <v>1</v>
      </c>
      <c r="E27">
        <f>D27-B2</f>
        <v>0.95</v>
      </c>
    </row>
    <row r="28" spans="3:7" x14ac:dyDescent="0.2">
      <c r="C28" t="s">
        <v>48</v>
      </c>
      <c r="D28">
        <f>PI()*D24^2*D25+2/3*PI()*D24^2*D26+2/3*PI()*D24^2*D27</f>
        <v>263.89378290154264</v>
      </c>
      <c r="E28">
        <f>PI()*E24^2*E25+2/3*PI()*E24^2*E26+2/3*PI()*E24^2*E27</f>
        <v>253.34797996221732</v>
      </c>
    </row>
    <row r="30" spans="3:7" x14ac:dyDescent="0.2">
      <c r="C30" s="9" t="s">
        <v>253</v>
      </c>
    </row>
    <row r="31" spans="3:7" x14ac:dyDescent="0.2">
      <c r="C31" t="s">
        <v>254</v>
      </c>
      <c r="D31">
        <v>6371000</v>
      </c>
      <c r="E31">
        <f>D31-B2</f>
        <v>6370999.9500000002</v>
      </c>
      <c r="F31" t="s">
        <v>256</v>
      </c>
      <c r="G31">
        <f>D32-E32</f>
        <v>25503223250944</v>
      </c>
    </row>
    <row r="32" spans="3:7" x14ac:dyDescent="0.2">
      <c r="C32" t="s">
        <v>48</v>
      </c>
      <c r="D32">
        <f>4/3*PI()*D31^3</f>
        <v>1.0832069168457536E+21</v>
      </c>
      <c r="E32">
        <f>4/3*PI()*E31^3</f>
        <v>1.0832068913425303E+21</v>
      </c>
      <c r="F32" t="s">
        <v>46</v>
      </c>
      <c r="G32">
        <f>G31*B3</f>
        <v>6.88587027775488E+16</v>
      </c>
    </row>
    <row r="33" spans="3:7" x14ac:dyDescent="0.2">
      <c r="C33" t="s">
        <v>255</v>
      </c>
      <c r="D33">
        <f>D32*B3</f>
        <v>2.9246586754835349E+24</v>
      </c>
      <c r="E33">
        <f>E32*B3</f>
        <v>2.924658606624832E+24</v>
      </c>
      <c r="F33" t="s">
        <v>257</v>
      </c>
      <c r="G33">
        <f>(G31/(4/3*PI()))^(1/3)</f>
        <v>18260.058075137429</v>
      </c>
    </row>
    <row r="34" spans="3:7" x14ac:dyDescent="0.2">
      <c r="F34" t="s">
        <v>258</v>
      </c>
      <c r="G34">
        <f>G33/1000</f>
        <v>18.26005807513743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1110-64B1-2D40-98F3-59BF0BDE1067}">
  <dimension ref="A1:T18"/>
  <sheetViews>
    <sheetView zoomScale="120" zoomScaleNormal="120" workbookViewId="0">
      <selection activeCell="D13" sqref="D13"/>
    </sheetView>
  </sheetViews>
  <sheetFormatPr baseColWidth="10" defaultRowHeight="15" x14ac:dyDescent="0.2"/>
  <cols>
    <col min="1" max="1" width="20" bestFit="1" customWidth="1"/>
    <col min="2" max="2" width="14.6640625" bestFit="1" customWidth="1"/>
    <col min="3" max="3" width="26.6640625" bestFit="1" customWidth="1"/>
    <col min="4" max="4" width="16.83203125" bestFit="1" customWidth="1"/>
    <col min="5" max="5" width="14" bestFit="1" customWidth="1"/>
    <col min="6" max="6" width="17" bestFit="1" customWidth="1"/>
    <col min="7" max="7" width="15.6640625" bestFit="1" customWidth="1"/>
    <col min="12" max="12" width="11.83203125" bestFit="1" customWidth="1"/>
  </cols>
  <sheetData>
    <row r="1" spans="1:20" x14ac:dyDescent="0.2">
      <c r="A1" t="s">
        <v>156</v>
      </c>
      <c r="B1" s="19">
        <v>1000</v>
      </c>
      <c r="D1" s="20">
        <f>4/150</f>
        <v>2.6666666666666668E-2</v>
      </c>
      <c r="E1" s="8"/>
      <c r="F1" s="8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">
      <c r="A2" t="s">
        <v>155</v>
      </c>
      <c r="B2" s="19">
        <f>B1</f>
        <v>1000</v>
      </c>
      <c r="D2">
        <f>2400*D1</f>
        <v>64</v>
      </c>
    </row>
    <row r="3" spans="1:20" s="3" customFormat="1" x14ac:dyDescent="0.2">
      <c r="D3" s="3">
        <f>D2*25</f>
        <v>1600</v>
      </c>
    </row>
    <row r="4" spans="1:20" x14ac:dyDescent="0.2">
      <c r="A4" t="s">
        <v>157</v>
      </c>
      <c r="B4">
        <v>50000</v>
      </c>
      <c r="C4" s="5"/>
      <c r="D4" s="3">
        <v>2400</v>
      </c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s="3" customFormat="1" x14ac:dyDescent="0.2">
      <c r="A5" s="3" t="s">
        <v>158</v>
      </c>
      <c r="B5" s="19">
        <f>B4*(B2+B1)</f>
        <v>100000000</v>
      </c>
      <c r="D5" s="3">
        <f>SUM(D3:D4)</f>
        <v>4000</v>
      </c>
      <c r="F5"/>
      <c r="G5"/>
    </row>
    <row r="6" spans="1:20" x14ac:dyDescent="0.2">
      <c r="A6" t="s">
        <v>159</v>
      </c>
      <c r="B6">
        <v>17</v>
      </c>
      <c r="C6" s="3" t="s">
        <v>161</v>
      </c>
      <c r="D6">
        <f>25*12</f>
        <v>300</v>
      </c>
      <c r="J6" s="4"/>
    </row>
    <row r="7" spans="1:20" x14ac:dyDescent="0.2">
      <c r="A7" s="3" t="s">
        <v>160</v>
      </c>
      <c r="C7" s="3" t="s">
        <v>162</v>
      </c>
      <c r="D7">
        <v>17</v>
      </c>
    </row>
    <row r="8" spans="1:20" x14ac:dyDescent="0.2">
      <c r="C8" s="3" t="s">
        <v>163</v>
      </c>
      <c r="D8">
        <v>7</v>
      </c>
    </row>
    <row r="9" spans="1:20" x14ac:dyDescent="0.2">
      <c r="C9" s="3" t="s">
        <v>164</v>
      </c>
      <c r="D9">
        <f>SUM(D7:D8)</f>
        <v>24</v>
      </c>
    </row>
    <row r="10" spans="1:20" x14ac:dyDescent="0.2">
      <c r="B10" s="5"/>
      <c r="C10" s="3" t="s">
        <v>165</v>
      </c>
      <c r="D10">
        <f>10/12</f>
        <v>0.83333333333333337</v>
      </c>
    </row>
    <row r="11" spans="1:20" x14ac:dyDescent="0.2">
      <c r="B11" s="5"/>
      <c r="C11" s="3" t="s">
        <v>166</v>
      </c>
      <c r="D11">
        <f>(D6-D9)*D10</f>
        <v>230</v>
      </c>
    </row>
    <row r="12" spans="1:20" x14ac:dyDescent="0.2">
      <c r="A12" s="5"/>
      <c r="B12" s="5"/>
      <c r="C12" s="5" t="s">
        <v>167</v>
      </c>
      <c r="D12">
        <f>D5*3</f>
        <v>12000</v>
      </c>
    </row>
    <row r="13" spans="1:20" x14ac:dyDescent="0.2">
      <c r="A13" s="5"/>
      <c r="B13" s="5"/>
      <c r="C13" s="5" t="s">
        <v>168</v>
      </c>
      <c r="D13">
        <f>D12/D11</f>
        <v>52.173913043478258</v>
      </c>
      <c r="E13">
        <f>D11/25</f>
        <v>9.1999999999999993</v>
      </c>
      <c r="F13">
        <f>D13*E13</f>
        <v>479.99999999999994</v>
      </c>
      <c r="G13">
        <f>F13*25</f>
        <v>11999.999999999998</v>
      </c>
    </row>
    <row r="14" spans="1:20" x14ac:dyDescent="0.2">
      <c r="A14" s="5"/>
      <c r="B14" s="5"/>
      <c r="C14" s="3" t="s">
        <v>173</v>
      </c>
      <c r="D14">
        <f>D13*12</f>
        <v>626.08695652173913</v>
      </c>
    </row>
    <row r="15" spans="1:20" x14ac:dyDescent="0.2">
      <c r="A15" s="5"/>
      <c r="B15" s="5"/>
      <c r="C15" s="5" t="s">
        <v>169</v>
      </c>
      <c r="D15">
        <f>D13/12</f>
        <v>4.3478260869565215</v>
      </c>
    </row>
    <row r="16" spans="1:20" x14ac:dyDescent="0.2">
      <c r="A16" s="5"/>
      <c r="B16" s="5"/>
      <c r="C16" s="5" t="s">
        <v>170</v>
      </c>
      <c r="D16" s="19">
        <f>D15/30*1000000</f>
        <v>144927.53623188406</v>
      </c>
      <c r="E16">
        <v>250000</v>
      </c>
    </row>
    <row r="17" spans="3:5" x14ac:dyDescent="0.2">
      <c r="C17" s="5" t="s">
        <v>171</v>
      </c>
      <c r="D17" s="19">
        <f>D16*7</f>
        <v>1014492.7536231885</v>
      </c>
      <c r="E17">
        <f>E16*7</f>
        <v>1750000</v>
      </c>
    </row>
    <row r="18" spans="3:5" x14ac:dyDescent="0.2">
      <c r="C18" s="5" t="s">
        <v>172</v>
      </c>
      <c r="D18" s="21">
        <f>D12*1000000/D17</f>
        <v>11828.571428571428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EAEC-FF0D-3447-A58C-B9B74E82847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Astrodynamics</vt:lpstr>
      <vt:lpstr>Propulsion</vt:lpstr>
      <vt:lpstr>Thermal</vt:lpstr>
      <vt:lpstr>Power</vt:lpstr>
      <vt:lpstr>Artificial Gravity</vt:lpstr>
      <vt:lpstr>Geometry</vt:lpstr>
      <vt:lpstr>Costs</vt:lpstr>
      <vt:lpstr>Payload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Silin, Denys</dc:creator>
  <cp:lastModifiedBy>Dennis Silin</cp:lastModifiedBy>
  <dcterms:created xsi:type="dcterms:W3CDTF">2024-08-19T14:32:25Z</dcterms:created>
  <dcterms:modified xsi:type="dcterms:W3CDTF">2024-11-19T23:57:10Z</dcterms:modified>
</cp:coreProperties>
</file>