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Development/aerospace/spreadsheets/"/>
    </mc:Choice>
  </mc:AlternateContent>
  <xr:revisionPtr revIDLastSave="0" documentId="13_ncr:1_{9DE18455-6FCD-DC46-BCFD-6915F5D29D26}" xr6:coauthVersionLast="47" xr6:coauthVersionMax="47" xr10:uidLastSave="{00000000-0000-0000-0000-000000000000}"/>
  <bookViews>
    <workbookView xWindow="0" yWindow="680" windowWidth="25600" windowHeight="14520" activeTab="3" xr2:uid="{F4E1B1BE-E6BE-4736-BB82-C5B26D151CF6}"/>
  </bookViews>
  <sheets>
    <sheet name="Astrodynamics" sheetId="1" r:id="rId1"/>
    <sheet name="Gravity" sheetId="6" r:id="rId2"/>
    <sheet name="Geometry" sheetId="5" r:id="rId3"/>
    <sheet name="Propulsion" sheetId="2" r:id="rId4"/>
    <sheet name="Costs" sheetId="3" r:id="rId5"/>
    <sheet name="Powe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B26" i="2"/>
  <c r="D3" i="3"/>
  <c r="D10" i="3"/>
  <c r="D11" i="3" s="1"/>
  <c r="E13" i="3" s="1"/>
  <c r="D6" i="3"/>
  <c r="E17" i="3"/>
  <c r="D9" i="3"/>
  <c r="D5" i="3"/>
  <c r="D12" i="3" s="1"/>
  <c r="D2" i="3"/>
  <c r="D1" i="3"/>
  <c r="B5" i="3"/>
  <c r="B2" i="3"/>
  <c r="E8" i="4"/>
  <c r="E9" i="4"/>
  <c r="G7" i="6"/>
  <c r="B13" i="6"/>
  <c r="D11" i="1"/>
  <c r="D12" i="1" s="1"/>
  <c r="D16" i="1" s="1"/>
  <c r="D14" i="1"/>
  <c r="K22" i="1"/>
  <c r="K21" i="1"/>
  <c r="I20" i="1"/>
  <c r="K25" i="1"/>
  <c r="I19" i="1"/>
  <c r="G21" i="1"/>
  <c r="I21" i="1"/>
  <c r="I22" i="1" s="1"/>
  <c r="G23" i="1" s="1"/>
  <c r="E4" i="1"/>
  <c r="I6" i="1"/>
  <c r="I5" i="1"/>
  <c r="G20" i="1"/>
  <c r="G22" i="1" s="1"/>
  <c r="H11" i="1"/>
  <c r="H6" i="1"/>
  <c r="H5" i="1"/>
  <c r="G11" i="1"/>
  <c r="G6" i="1"/>
  <c r="G5" i="1"/>
  <c r="E3" i="1"/>
  <c r="B4" i="4"/>
  <c r="B17" i="2"/>
  <c r="B15" i="2" s="1"/>
  <c r="D16" i="2" s="1"/>
  <c r="B18" i="2"/>
  <c r="D13" i="2"/>
  <c r="B23" i="2"/>
  <c r="B25" i="2" s="1"/>
  <c r="D13" i="3" l="1"/>
  <c r="D15" i="1"/>
  <c r="G24" i="1"/>
  <c r="G25" i="1" s="1"/>
  <c r="K23" i="1"/>
  <c r="K24" i="1" s="1"/>
  <c r="I23" i="1"/>
  <c r="D15" i="2"/>
  <c r="D17" i="2" s="1"/>
  <c r="D19" i="2"/>
  <c r="D22" i="2"/>
  <c r="D21" i="2"/>
  <c r="D20" i="2"/>
  <c r="B12" i="2"/>
  <c r="B13" i="2" s="1"/>
  <c r="B11" i="2"/>
  <c r="D15" i="3" l="1"/>
  <c r="D16" i="3" s="1"/>
  <c r="D17" i="3" s="1"/>
  <c r="D18" i="3" s="1"/>
  <c r="F13" i="3"/>
  <c r="G13" i="3" s="1"/>
  <c r="D14" i="3"/>
  <c r="K26" i="1"/>
  <c r="D18" i="2"/>
  <c r="D9" i="2"/>
  <c r="D12" i="2"/>
  <c r="B14" i="6" l="1"/>
  <c r="F7" i="6"/>
  <c r="F9" i="6" s="1"/>
  <c r="F10" i="6" s="1"/>
  <c r="F6" i="6"/>
  <c r="F4" i="6"/>
  <c r="D6" i="6"/>
  <c r="E6" i="6"/>
  <c r="B4" i="6"/>
  <c r="D4" i="6" s="1"/>
  <c r="D7" i="6" s="1"/>
  <c r="D9" i="6" s="1"/>
  <c r="D10" i="6" s="1"/>
  <c r="B3" i="6"/>
  <c r="E4" i="6" s="1"/>
  <c r="C6" i="5"/>
  <c r="C7" i="5"/>
  <c r="C8" i="5"/>
  <c r="B9" i="5"/>
  <c r="C9" i="5"/>
  <c r="E9" i="5"/>
  <c r="E10" i="5"/>
  <c r="C12" i="5"/>
  <c r="C14" i="5" s="1"/>
  <c r="E14" i="5" s="1"/>
  <c r="E15" i="5" s="1"/>
  <c r="C13" i="5"/>
  <c r="B14" i="5"/>
  <c r="C17" i="5"/>
  <c r="C19" i="5" s="1"/>
  <c r="C18" i="5"/>
  <c r="B19" i="5"/>
  <c r="C22" i="5"/>
  <c r="C23" i="5"/>
  <c r="B24" i="5"/>
  <c r="C24" i="5"/>
  <c r="E24" i="5" s="1"/>
  <c r="E25" i="5" s="1"/>
  <c r="C27" i="5"/>
  <c r="C28" i="5"/>
  <c r="C31" i="5" s="1"/>
  <c r="C29" i="5"/>
  <c r="C30" i="5"/>
  <c r="B31" i="5"/>
  <c r="B5" i="4"/>
  <c r="B6" i="2"/>
  <c r="D4" i="2" s="1"/>
  <c r="D5" i="2" s="1"/>
  <c r="B13" i="1"/>
  <c r="I8" i="1"/>
  <c r="I4" i="1"/>
  <c r="I3" i="1"/>
  <c r="E31" i="5" l="1"/>
  <c r="E32" i="5" s="1"/>
  <c r="F8" i="6"/>
  <c r="E7" i="6"/>
  <c r="D8" i="6"/>
  <c r="E19" i="5"/>
  <c r="E20" i="5" s="1"/>
  <c r="D3" i="2"/>
  <c r="D2" i="2" s="1"/>
  <c r="H9" i="1"/>
  <c r="H13" i="1"/>
  <c r="H14" i="1" s="1"/>
  <c r="I9" i="1"/>
  <c r="H7" i="1"/>
  <c r="E8" i="6" l="1"/>
  <c r="E9" i="6"/>
  <c r="E10" i="6" s="1"/>
  <c r="H10" i="1"/>
  <c r="H12" i="1" s="1"/>
  <c r="I10" i="1"/>
  <c r="I12" i="1" s="1"/>
  <c r="H15" i="1"/>
  <c r="I13" i="1"/>
  <c r="I7" i="1"/>
  <c r="I11" i="1" s="1"/>
  <c r="I14" i="1" l="1"/>
  <c r="I15" i="1"/>
  <c r="J4" i="1" s="1"/>
  <c r="G7" i="1"/>
  <c r="G9" i="1"/>
  <c r="G13" i="1"/>
  <c r="J7" i="1" l="1"/>
  <c r="G10" i="1"/>
  <c r="G12" i="1" s="1"/>
  <c r="J5" i="1"/>
  <c r="G14" i="1"/>
  <c r="J3" i="1" s="1"/>
  <c r="G15" i="1"/>
  <c r="J6" i="1" l="1"/>
</calcChain>
</file>

<file path=xl/sharedStrings.xml><?xml version="1.0" encoding="utf-8"?>
<sst xmlns="http://schemas.openxmlformats.org/spreadsheetml/2006/main" count="224" uniqueCount="183">
  <si>
    <t>Constants</t>
  </si>
  <si>
    <t>Origin</t>
  </si>
  <si>
    <t>Target</t>
  </si>
  <si>
    <t>Eccentricity</t>
  </si>
  <si>
    <t>V_periapsis</t>
  </si>
  <si>
    <t>V_apoapsis</t>
  </si>
  <si>
    <t>Perigee, km</t>
  </si>
  <si>
    <t>Apogee, km</t>
  </si>
  <si>
    <t>Transfer</t>
  </si>
  <si>
    <t>H_moment</t>
  </si>
  <si>
    <t>Total</t>
  </si>
  <si>
    <t>First Burn</t>
  </si>
  <si>
    <t>Second Burn</t>
  </si>
  <si>
    <t>Periapsis, m</t>
  </si>
  <si>
    <t>Apoapsis, m</t>
  </si>
  <si>
    <t>Parameters</t>
  </si>
  <si>
    <t>Inclination</t>
  </si>
  <si>
    <t>Semi-major axis, m</t>
  </si>
  <si>
    <t>Use Bi-elliptical?</t>
  </si>
  <si>
    <t>Orbital period,min</t>
  </si>
  <si>
    <t>J2</t>
  </si>
  <si>
    <t>Nodal precession</t>
  </si>
  <si>
    <t>Rad_to_deg</t>
  </si>
  <si>
    <t>Orbits per day</t>
  </si>
  <si>
    <t>Thrust, kN</t>
  </si>
  <si>
    <t>Output</t>
  </si>
  <si>
    <t>deltaV, m/s</t>
  </si>
  <si>
    <t>ISP, s</t>
  </si>
  <si>
    <t>Acceleration, m/s^2</t>
  </si>
  <si>
    <t>Exhaust velocity</t>
  </si>
  <si>
    <t>Burn duration, s</t>
  </si>
  <si>
    <t>Propellant mass, t</t>
  </si>
  <si>
    <t>Second Burn, adjusted</t>
  </si>
  <si>
    <t>Propellants</t>
  </si>
  <si>
    <t>H2+O2</t>
  </si>
  <si>
    <t>ISP, vacuum</t>
  </si>
  <si>
    <t>Kerolox</t>
  </si>
  <si>
    <t>Methalox</t>
  </si>
  <si>
    <t>UDMH/N2O4</t>
  </si>
  <si>
    <t>Inputs</t>
  </si>
  <si>
    <t>Density</t>
  </si>
  <si>
    <t>Mass, empty</t>
  </si>
  <si>
    <t>Cell Efficiency, BOL</t>
  </si>
  <si>
    <t>Cell Efficiency, EOL</t>
  </si>
  <si>
    <t>Solar Irradiance</t>
  </si>
  <si>
    <t>Area, m^2</t>
  </si>
  <si>
    <t>Total Power</t>
  </si>
  <si>
    <t>Shell mass,kg</t>
  </si>
  <si>
    <t>Shell volume</t>
  </si>
  <si>
    <t>Volume</t>
  </si>
  <si>
    <t>Dome height, lower</t>
  </si>
  <si>
    <t>Dome height, upper</t>
  </si>
  <si>
    <t>Cylinder height</t>
  </si>
  <si>
    <t>Cylinder radius</t>
  </si>
  <si>
    <t>Cylinder, domed</t>
  </si>
  <si>
    <t>Shell mass</t>
  </si>
  <si>
    <t>Height</t>
  </si>
  <si>
    <t>Radius</t>
  </si>
  <si>
    <t>Dome, spheroid</t>
  </si>
  <si>
    <t>Shell mass, kg</t>
  </si>
  <si>
    <t>Cylinder, flat</t>
  </si>
  <si>
    <t>Cone</t>
  </si>
  <si>
    <t>Length</t>
  </si>
  <si>
    <t>Width</t>
  </si>
  <si>
    <t>Inner dimensions</t>
  </si>
  <si>
    <t>Outer dimensions</t>
  </si>
  <si>
    <t>Cuboid</t>
  </si>
  <si>
    <t>Outputs</t>
  </si>
  <si>
    <t>Inputs, geometry</t>
  </si>
  <si>
    <t>Thickness</t>
  </si>
  <si>
    <t>Inputs, primary</t>
  </si>
  <si>
    <t>Notes</t>
  </si>
  <si>
    <t>Outputs, m/s</t>
  </si>
  <si>
    <t>e</t>
  </si>
  <si>
    <t>a, m</t>
  </si>
  <si>
    <t>a, au</t>
  </si>
  <si>
    <t>AU</t>
  </si>
  <si>
    <t>Period, years</t>
  </si>
  <si>
    <t>Boltzmann's constant</t>
  </si>
  <si>
    <t>Power, W/m^2</t>
  </si>
  <si>
    <t>Temperature diff, K</t>
  </si>
  <si>
    <t>Area</t>
  </si>
  <si>
    <t>rpm</t>
  </si>
  <si>
    <t>gravity level</t>
  </si>
  <si>
    <t>angular velocity, rad/s</t>
  </si>
  <si>
    <t>radius</t>
  </si>
  <si>
    <t>rotational radius</t>
  </si>
  <si>
    <t>Martian</t>
  </si>
  <si>
    <t>Earth</t>
  </si>
  <si>
    <t>gradient level</t>
  </si>
  <si>
    <t>Lunar</t>
  </si>
  <si>
    <t>tangential velocity</t>
  </si>
  <si>
    <t>circumference</t>
  </si>
  <si>
    <t>w</t>
  </si>
  <si>
    <t>Auxilary calculations</t>
  </si>
  <si>
    <t>crew height</t>
  </si>
  <si>
    <t>Fuel mass flow</t>
  </si>
  <si>
    <t>Oxidizer mass flow</t>
  </si>
  <si>
    <t>Total mass flow</t>
  </si>
  <si>
    <t>Impulse</t>
  </si>
  <si>
    <t>Efficiency</t>
  </si>
  <si>
    <t>LHV</t>
  </si>
  <si>
    <t>Input (dV maneuvre)</t>
  </si>
  <si>
    <t>Tankage ratio</t>
  </si>
  <si>
    <t>Mass, total</t>
  </si>
  <si>
    <t>Mass, fuel, kg</t>
  </si>
  <si>
    <t>Mass, dry, kg</t>
  </si>
  <si>
    <t>Mass, structure</t>
  </si>
  <si>
    <t>total deltaV, m/s</t>
  </si>
  <si>
    <t>Mass, payload</t>
  </si>
  <si>
    <t>Mass, power source</t>
  </si>
  <si>
    <t>Power density, kW/kg</t>
  </si>
  <si>
    <t>Mass, engine</t>
  </si>
  <si>
    <t>Engine efficiency</t>
  </si>
  <si>
    <t>Waste heat, kW</t>
  </si>
  <si>
    <t>ISP</t>
  </si>
  <si>
    <t>VASIMR</t>
  </si>
  <si>
    <t>Propulsive power, kW</t>
  </si>
  <si>
    <t>Thrust, N</t>
  </si>
  <si>
    <t>Ion thruster</t>
  </si>
  <si>
    <t>Total Power, kW</t>
  </si>
  <si>
    <t>mass flow, kg/s</t>
  </si>
  <si>
    <t>?</t>
  </si>
  <si>
    <t>Inputs (bi-prop engine)</t>
  </si>
  <si>
    <t>Engine Type</t>
  </si>
  <si>
    <t>Power-to-thrust, kW/N</t>
  </si>
  <si>
    <t>Inputs (ion engine)</t>
  </si>
  <si>
    <t>Thrust</t>
  </si>
  <si>
    <t>deltaV, insertion</t>
  </si>
  <si>
    <t>V_excess</t>
  </si>
  <si>
    <t>deltaV, departure</t>
  </si>
  <si>
    <t>V_capture</t>
  </si>
  <si>
    <t>V_max</t>
  </si>
  <si>
    <t>V_esc</t>
  </si>
  <si>
    <t>Mars</t>
  </si>
  <si>
    <t>Apoapsis, km</t>
  </si>
  <si>
    <t>Apoapsis</t>
  </si>
  <si>
    <t>Semi-major a, m</t>
  </si>
  <si>
    <t>-</t>
  </si>
  <si>
    <t>Sun</t>
  </si>
  <si>
    <t>Periapsis, km</t>
  </si>
  <si>
    <t>Periapsis</t>
  </si>
  <si>
    <t>Altitude, km</t>
  </si>
  <si>
    <t>r, m</t>
  </si>
  <si>
    <t>GM</t>
  </si>
  <si>
    <t>Body</t>
  </si>
  <si>
    <t>Target(Mars)</t>
  </si>
  <si>
    <t>Origin(Earth)</t>
  </si>
  <si>
    <t>v, m/s</t>
  </si>
  <si>
    <t>Other Constants</t>
  </si>
  <si>
    <t>Transfer Orbit</t>
  </si>
  <si>
    <t>Hohmann Manouever (LEO-GEO)</t>
  </si>
  <si>
    <t>Interplanetary Manoeuver (Eath-Mars)</t>
  </si>
  <si>
    <t>Venus</t>
  </si>
  <si>
    <t>Jupiter</t>
  </si>
  <si>
    <t>Saturn</t>
  </si>
  <si>
    <t>Uranus</t>
  </si>
  <si>
    <t>Neptune</t>
  </si>
  <si>
    <t>Solar Orbit Parameters</t>
  </si>
  <si>
    <t>Apoapsis, au</t>
  </si>
  <si>
    <t>Periapsis, au</t>
  </si>
  <si>
    <t>Seconds/day</t>
  </si>
  <si>
    <t>cost per kg, construction</t>
  </si>
  <si>
    <t>cost per kg, launch</t>
  </si>
  <si>
    <t>Module mass</t>
  </si>
  <si>
    <t>Module construction cost</t>
  </si>
  <si>
    <t>total modules</t>
  </si>
  <si>
    <t>total cost, co</t>
  </si>
  <si>
    <t>total month available</t>
  </si>
  <si>
    <t>total moths, construction</t>
  </si>
  <si>
    <t>total months, leop</t>
  </si>
  <si>
    <t>total month, non-operational</t>
  </si>
  <si>
    <t>utilization</t>
  </si>
  <si>
    <t>total month, revenue generatting</t>
  </si>
  <si>
    <t>gross profit need</t>
  </si>
  <si>
    <t>per month, M</t>
  </si>
  <si>
    <t>per man-month</t>
  </si>
  <si>
    <t>per man-day</t>
  </si>
  <si>
    <t>7day</t>
  </si>
  <si>
    <t>total ppl needed</t>
  </si>
  <si>
    <t>per year, M</t>
  </si>
  <si>
    <t>Thermal Power, MW</t>
  </si>
  <si>
    <t>Propulsive power,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</si>
</sst>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E+00"/>
    <numFmt numFmtId="165" formatCode="0.0000"/>
    <numFmt numFmtId="166" formatCode="0.000E+00"/>
    <numFmt numFmtId="167" formatCode="0.000"/>
    <numFmt numFmtId="168" formatCode="0.00000"/>
    <numFmt numFmtId="169" formatCode="0.00000000"/>
    <numFmt numFmtId="170" formatCode="&quot;$&quot;#,##0.00"/>
    <numFmt numFmtId="171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/>
    <xf numFmtId="0" fontId="2" fillId="0" borderId="0" xfId="0" applyFont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70" fontId="0" fillId="0" borderId="0" xfId="0" applyNumberFormat="1"/>
    <xf numFmtId="171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34C1-A996-4CD3-9FFB-54EC88DD8700}">
  <dimension ref="A1:K26"/>
  <sheetViews>
    <sheetView topLeftCell="B10" zoomScale="144" zoomScaleNormal="144" workbookViewId="0">
      <selection activeCell="D18" sqref="D18"/>
    </sheetView>
  </sheetViews>
  <sheetFormatPr baseColWidth="10" defaultColWidth="8.83203125" defaultRowHeight="15" x14ac:dyDescent="0.2"/>
  <cols>
    <col min="1" max="1" width="10.6640625" bestFit="1" customWidth="1"/>
    <col min="2" max="2" width="15.6640625" bestFit="1" customWidth="1"/>
    <col min="3" max="3" width="10.83203125" bestFit="1" customWidth="1"/>
    <col min="4" max="4" width="10.1640625" bestFit="1" customWidth="1"/>
    <col min="5" max="5" width="10.33203125" bestFit="1" customWidth="1"/>
    <col min="6" max="6" width="15.5" bestFit="1" customWidth="1"/>
    <col min="7" max="7" width="10.6640625" bestFit="1" customWidth="1"/>
    <col min="8" max="8" width="15.5" bestFit="1" customWidth="1"/>
    <col min="9" max="9" width="12.1640625" bestFit="1" customWidth="1"/>
    <col min="10" max="10" width="13.6640625" bestFit="1" customWidth="1"/>
    <col min="11" max="11" width="11.6640625" bestFit="1" customWidth="1"/>
  </cols>
  <sheetData>
    <row r="1" spans="1:11" x14ac:dyDescent="0.2">
      <c r="A1" s="1" t="s">
        <v>145</v>
      </c>
      <c r="B1" s="1" t="s">
        <v>144</v>
      </c>
      <c r="C1" s="1" t="s">
        <v>74</v>
      </c>
      <c r="D1" s="1" t="s">
        <v>143</v>
      </c>
      <c r="E1" s="1" t="s">
        <v>148</v>
      </c>
      <c r="F1" s="20" t="s">
        <v>151</v>
      </c>
      <c r="G1" s="20"/>
      <c r="H1" s="20"/>
      <c r="I1" s="20"/>
      <c r="J1" s="20"/>
      <c r="K1" s="20"/>
    </row>
    <row r="2" spans="1:11" x14ac:dyDescent="0.2">
      <c r="A2" t="s">
        <v>139</v>
      </c>
      <c r="B2" s="5">
        <v>1.32712440018E+20</v>
      </c>
      <c r="C2" s="5" t="s">
        <v>138</v>
      </c>
      <c r="D2">
        <v>696340000</v>
      </c>
      <c r="E2" t="s">
        <v>138</v>
      </c>
      <c r="F2" s="10" t="s">
        <v>15</v>
      </c>
      <c r="G2" s="10" t="s">
        <v>1</v>
      </c>
      <c r="H2" s="10" t="s">
        <v>2</v>
      </c>
      <c r="I2" s="10" t="s">
        <v>8</v>
      </c>
      <c r="J2" s="10" t="s">
        <v>72</v>
      </c>
      <c r="K2" s="10" t="s">
        <v>71</v>
      </c>
    </row>
    <row r="3" spans="1:11" x14ac:dyDescent="0.2">
      <c r="A3" t="s">
        <v>88</v>
      </c>
      <c r="B3" s="2">
        <v>398600441800000</v>
      </c>
      <c r="C3" s="11">
        <v>149600000000</v>
      </c>
      <c r="D3">
        <v>6378137</v>
      </c>
      <c r="E3">
        <f>SQRT(B2/C3)</f>
        <v>29784.479863882669</v>
      </c>
      <c r="F3" t="s">
        <v>6</v>
      </c>
      <c r="G3">
        <v>185</v>
      </c>
      <c r="H3">
        <v>35786</v>
      </c>
      <c r="I3">
        <f>G3</f>
        <v>185</v>
      </c>
      <c r="J3" s="3">
        <f>I14-G14</f>
        <v>2458.9683596624736</v>
      </c>
      <c r="K3" s="1" t="s">
        <v>11</v>
      </c>
    </row>
    <row r="4" spans="1:11" x14ac:dyDescent="0.2">
      <c r="A4" t="s">
        <v>134</v>
      </c>
      <c r="B4" s="5">
        <v>42828370000000</v>
      </c>
      <c r="C4" s="5">
        <v>227900000000</v>
      </c>
      <c r="D4">
        <v>3396000</v>
      </c>
      <c r="E4">
        <f>SQRT(B2/C4)</f>
        <v>24131.463116555489</v>
      </c>
      <c r="F4" t="s">
        <v>7</v>
      </c>
      <c r="G4">
        <v>185</v>
      </c>
      <c r="H4">
        <v>35786</v>
      </c>
      <c r="I4">
        <f>H4</f>
        <v>35786</v>
      </c>
      <c r="J4" s="3">
        <f>H15-I15</f>
        <v>1478.8484501012688</v>
      </c>
      <c r="K4" s="1" t="s">
        <v>12</v>
      </c>
    </row>
    <row r="5" spans="1:11" x14ac:dyDescent="0.2">
      <c r="A5" t="s">
        <v>153</v>
      </c>
      <c r="B5" s="5">
        <v>324859000000000</v>
      </c>
      <c r="C5" s="5">
        <v>108210000000</v>
      </c>
      <c r="F5" t="s">
        <v>13</v>
      </c>
      <c r="G5">
        <f>G3*1000+D3</f>
        <v>6563137</v>
      </c>
      <c r="H5">
        <f>H3*1000+D3</f>
        <v>42164137</v>
      </c>
      <c r="I5">
        <f>I3*1000+D3</f>
        <v>6563137</v>
      </c>
      <c r="J5" s="3">
        <f>SQRT(I15^2+H15^2-2*H15*I15*COS(RADIANS(I8)))</f>
        <v>1804.5952506742919</v>
      </c>
      <c r="K5" s="1" t="s">
        <v>32</v>
      </c>
    </row>
    <row r="6" spans="1:11" x14ac:dyDescent="0.2">
      <c r="A6" t="s">
        <v>154</v>
      </c>
      <c r="B6" s="5">
        <v>1.26686534E+17</v>
      </c>
      <c r="C6" s="5">
        <v>778479000000</v>
      </c>
      <c r="F6" t="s">
        <v>14</v>
      </c>
      <c r="G6">
        <f>G4*1000+D3</f>
        <v>6563137</v>
      </c>
      <c r="H6">
        <f>H4*1000+D3</f>
        <v>42164137</v>
      </c>
      <c r="I6">
        <f>I4*1000+D3</f>
        <v>42164137</v>
      </c>
      <c r="J6" s="3">
        <f>J3+MAX(J4,J5)</f>
        <v>4263.5636103367651</v>
      </c>
      <c r="K6" s="1" t="s">
        <v>10</v>
      </c>
    </row>
    <row r="7" spans="1:11" x14ac:dyDescent="0.2">
      <c r="A7" t="s">
        <v>155</v>
      </c>
      <c r="B7" s="5">
        <v>3.7931187E+16</v>
      </c>
      <c r="F7" t="s">
        <v>3</v>
      </c>
      <c r="G7">
        <f>(G6-G5)/(G6+G5)</f>
        <v>0</v>
      </c>
      <c r="H7">
        <f>(H6-H5)/(H6+H5)</f>
        <v>0</v>
      </c>
      <c r="I7">
        <f>(I6-I5)/(I6+I5)</f>
        <v>0.73061751823013943</v>
      </c>
      <c r="J7" s="4" t="str">
        <f xml:space="preserve"> IF(H9/G9&gt;11.94, "Yes","No")</f>
        <v>No</v>
      </c>
      <c r="K7" s="1" t="s">
        <v>18</v>
      </c>
    </row>
    <row r="8" spans="1:11" x14ac:dyDescent="0.2">
      <c r="A8" t="s">
        <v>156</v>
      </c>
      <c r="B8" s="5">
        <v>5793939000000000</v>
      </c>
      <c r="F8" t="s">
        <v>16</v>
      </c>
      <c r="G8">
        <v>27</v>
      </c>
      <c r="H8">
        <v>0</v>
      </c>
      <c r="I8">
        <f>G8-H8</f>
        <v>27</v>
      </c>
    </row>
    <row r="9" spans="1:11" x14ac:dyDescent="0.2">
      <c r="A9" t="s">
        <v>157</v>
      </c>
      <c r="B9" s="5">
        <v>6836529000000000</v>
      </c>
      <c r="F9" t="s">
        <v>17</v>
      </c>
      <c r="G9">
        <f>(G5+G6)/2</f>
        <v>6563137</v>
      </c>
      <c r="H9">
        <f>(H5+H6)/2</f>
        <v>42164137</v>
      </c>
      <c r="I9">
        <f>(I5+I6)/2</f>
        <v>24363637</v>
      </c>
    </row>
    <row r="10" spans="1:11" x14ac:dyDescent="0.2">
      <c r="A10" s="20" t="s">
        <v>149</v>
      </c>
      <c r="B10" s="20"/>
      <c r="C10" s="20" t="s">
        <v>158</v>
      </c>
      <c r="D10" s="20"/>
      <c r="F10" t="s">
        <v>19</v>
      </c>
      <c r="G10" s="3">
        <f>2*PI()*SQRT(G9^3/B3)/60</f>
        <v>88.191541751162731</v>
      </c>
      <c r="H10" s="3">
        <f>2*PI()*SQRT(H9^3/B3)/60</f>
        <v>1436.0665082861817</v>
      </c>
      <c r="I10" s="3">
        <f>2*PI()*SQRT(I9^3/B3)/60</f>
        <v>630.7727315782663</v>
      </c>
    </row>
    <row r="11" spans="1:11" x14ac:dyDescent="0.2">
      <c r="A11" t="s">
        <v>20</v>
      </c>
      <c r="B11" s="5">
        <v>1.08262668E-3</v>
      </c>
      <c r="C11" t="s">
        <v>74</v>
      </c>
      <c r="D11" s="11">
        <f>C5</f>
        <v>108210000000</v>
      </c>
      <c r="F11" t="s">
        <v>21</v>
      </c>
      <c r="G11" s="3">
        <f>((-3/2)*D3^2/((G9*(1-G7^2))^2)*B11*(2*PI()/(G10*60))*COS(RADIANS(G8)))*B12*B13</f>
        <v>-8.0325543690800316</v>
      </c>
      <c r="H11" s="6">
        <f>((-3/2)*D3^2/((H9*(1-H7^2))^2)*B11*(2*PI()/(H10*60))*COS(RADIANS(H8)))*B12*B13</f>
        <v>-1.341410430880031E-2</v>
      </c>
      <c r="I11" s="6">
        <f>((-3/2)*D3^2/((I9*(1-I7^2))^2)*B11*(2*PI()/(I10*60))*COS(RADIANS(I8)))*B12*B13</f>
        <v>-0.37497775721617876</v>
      </c>
    </row>
    <row r="12" spans="1:11" x14ac:dyDescent="0.2">
      <c r="A12" t="s">
        <v>161</v>
      </c>
      <c r="B12">
        <v>86400</v>
      </c>
      <c r="C12" t="s">
        <v>75</v>
      </c>
      <c r="D12" s="3">
        <f>D11/B14</f>
        <v>0.72332887700534765</v>
      </c>
      <c r="F12" t="s">
        <v>23</v>
      </c>
      <c r="G12">
        <f>B12/(G10*60)</f>
        <v>16.328096452413078</v>
      </c>
      <c r="H12">
        <f>B12/(H10*60)</f>
        <v>1.0027390734977257</v>
      </c>
      <c r="I12">
        <f>B12/(I10*60)</f>
        <v>2.2829141589506472</v>
      </c>
    </row>
    <row r="13" spans="1:11" x14ac:dyDescent="0.2">
      <c r="A13" t="s">
        <v>22</v>
      </c>
      <c r="B13">
        <f>180/PI()</f>
        <v>57.295779513082323</v>
      </c>
      <c r="C13" t="s">
        <v>73</v>
      </c>
      <c r="D13">
        <v>6.7200000000000003E-3</v>
      </c>
      <c r="F13" t="s">
        <v>9</v>
      </c>
      <c r="G13" s="2">
        <f>SQRT(2*B3)*SQRT((G5*G6)/(G5+G6))</f>
        <v>51147524942.991386</v>
      </c>
      <c r="H13" s="2">
        <f>SQRT(2*B3)*SQRT((H5*H6)/(H5+H6))</f>
        <v>129640439818.42905</v>
      </c>
      <c r="I13" s="2">
        <f>SQRT(2*B3)*SQRT((I5*I6)/(I5+I6))</f>
        <v>67286071166.121475</v>
      </c>
    </row>
    <row r="14" spans="1:11" x14ac:dyDescent="0.2">
      <c r="A14" t="s">
        <v>76</v>
      </c>
      <c r="B14" s="5">
        <v>149600000000</v>
      </c>
      <c r="C14" t="s">
        <v>77</v>
      </c>
      <c r="D14" s="3">
        <f>(2*PI()*SQRT(D11^3/B2)/(3600*24))/365.25</f>
        <v>0.61520687455425493</v>
      </c>
      <c r="F14" t="s">
        <v>4</v>
      </c>
      <c r="G14" s="3">
        <f>G13/G5</f>
        <v>7793.1521074436487</v>
      </c>
      <c r="H14" s="3">
        <f>H13/H5</f>
        <v>3074.6612890103511</v>
      </c>
      <c r="I14" s="3">
        <f>I13/I5</f>
        <v>10252.120467106122</v>
      </c>
    </row>
    <row r="15" spans="1:11" x14ac:dyDescent="0.2">
      <c r="C15" t="s">
        <v>159</v>
      </c>
      <c r="D15" s="12">
        <f>D12*(1+D13)</f>
        <v>0.72818964705882361</v>
      </c>
      <c r="F15" t="s">
        <v>5</v>
      </c>
      <c r="G15" s="3">
        <f>G13/G6</f>
        <v>7793.1521074436487</v>
      </c>
      <c r="H15" s="3">
        <f>H13/H6</f>
        <v>3074.6612890103511</v>
      </c>
      <c r="I15" s="3">
        <f>I13/I6</f>
        <v>1595.8128389090823</v>
      </c>
    </row>
    <row r="16" spans="1:11" x14ac:dyDescent="0.2">
      <c r="C16" t="s">
        <v>160</v>
      </c>
      <c r="D16" s="12">
        <f>D12*(1-D13)</f>
        <v>0.7184681069518718</v>
      </c>
    </row>
    <row r="17" spans="3:11" x14ac:dyDescent="0.2">
      <c r="F17" s="20" t="s">
        <v>152</v>
      </c>
      <c r="G17" s="20"/>
      <c r="H17" s="20"/>
      <c r="I17" s="20"/>
      <c r="J17" s="20"/>
      <c r="K17" s="20"/>
    </row>
    <row r="18" spans="3:11" x14ac:dyDescent="0.2">
      <c r="C18" s="1"/>
      <c r="D18" s="1"/>
      <c r="F18" s="20" t="s">
        <v>147</v>
      </c>
      <c r="G18" s="20"/>
      <c r="H18" s="20" t="s">
        <v>150</v>
      </c>
      <c r="I18" s="20"/>
      <c r="J18" s="20" t="s">
        <v>146</v>
      </c>
      <c r="K18" s="20"/>
    </row>
    <row r="19" spans="3:11" x14ac:dyDescent="0.2">
      <c r="F19" t="s">
        <v>142</v>
      </c>
      <c r="G19" s="3">
        <v>300</v>
      </c>
      <c r="H19" t="s">
        <v>141</v>
      </c>
      <c r="I19" s="5">
        <f>C3</f>
        <v>149600000000</v>
      </c>
      <c r="J19" t="s">
        <v>140</v>
      </c>
      <c r="K19" s="3">
        <v>300</v>
      </c>
    </row>
    <row r="20" spans="3:11" x14ac:dyDescent="0.2">
      <c r="F20" t="s">
        <v>137</v>
      </c>
      <c r="G20" s="3">
        <f>G19*1000+D3</f>
        <v>6678137</v>
      </c>
      <c r="H20" t="s">
        <v>136</v>
      </c>
      <c r="I20" s="5">
        <f>C4</f>
        <v>227900000000</v>
      </c>
      <c r="J20" t="s">
        <v>135</v>
      </c>
      <c r="K20" s="3">
        <v>45000</v>
      </c>
    </row>
    <row r="21" spans="3:11" x14ac:dyDescent="0.2">
      <c r="C21" s="5"/>
      <c r="F21" t="s">
        <v>4</v>
      </c>
      <c r="G21" s="3">
        <f>SQRT(B3/G20)</f>
        <v>7725.7602320771366</v>
      </c>
      <c r="H21" t="s">
        <v>9</v>
      </c>
      <c r="I21" s="5">
        <f>SQRT(2*B2)*SQRT((I19*I20)/(I19+I20))</f>
        <v>4896100189417301</v>
      </c>
      <c r="J21" t="s">
        <v>13</v>
      </c>
      <c r="K21" s="3">
        <f>K19*1000+D4</f>
        <v>3696000</v>
      </c>
    </row>
    <row r="22" spans="3:11" x14ac:dyDescent="0.2">
      <c r="C22" s="5"/>
      <c r="F22" t="s">
        <v>133</v>
      </c>
      <c r="G22" s="3">
        <f>SQRT(2)*G21</f>
        <v>10925.874899846198</v>
      </c>
      <c r="H22" t="s">
        <v>4</v>
      </c>
      <c r="I22" s="3">
        <f>I21/I19</f>
        <v>32727.942442629017</v>
      </c>
      <c r="J22" t="s">
        <v>14</v>
      </c>
      <c r="K22" s="3">
        <f>K20*1000+D4</f>
        <v>48396000</v>
      </c>
    </row>
    <row r="23" spans="3:11" x14ac:dyDescent="0.2">
      <c r="F23" t="s">
        <v>129</v>
      </c>
      <c r="G23" s="3">
        <f>I22-E3</f>
        <v>2943.4625787463483</v>
      </c>
      <c r="H23" t="s">
        <v>5</v>
      </c>
      <c r="I23" s="3">
        <f>I21/I20</f>
        <v>21483.546245797723</v>
      </c>
      <c r="J23" t="s">
        <v>3</v>
      </c>
      <c r="K23" s="6">
        <f>(K22-K21)/(K22+K21)</f>
        <v>0.85809721262381944</v>
      </c>
    </row>
    <row r="24" spans="3:11" x14ac:dyDescent="0.2">
      <c r="F24" t="s">
        <v>132</v>
      </c>
      <c r="G24" s="3">
        <f>SQRT(G22^2+G23^2)</f>
        <v>11315.419315233938</v>
      </c>
      <c r="J24" t="s">
        <v>131</v>
      </c>
      <c r="K24" s="3">
        <f>SQRT(B4*(1+K23)/K21)</f>
        <v>4640.1712361992022</v>
      </c>
    </row>
    <row r="25" spans="3:11" x14ac:dyDescent="0.2">
      <c r="F25" t="s">
        <v>130</v>
      </c>
      <c r="G25" s="3">
        <f>G24-G21</f>
        <v>3589.659083156801</v>
      </c>
      <c r="J25" t="s">
        <v>129</v>
      </c>
      <c r="K25" s="3">
        <f>SQRT(B2/C4)*(1-SQRT(2*C3/(C3+C4)))</f>
        <v>2647.9168707577678</v>
      </c>
    </row>
    <row r="26" spans="3:11" x14ac:dyDescent="0.2">
      <c r="J26" t="s">
        <v>128</v>
      </c>
      <c r="K26" s="3">
        <f>K25*SQRT((1-K23)/2)</f>
        <v>705.3177476650535</v>
      </c>
    </row>
  </sheetData>
  <mergeCells count="7">
    <mergeCell ref="F1:K1"/>
    <mergeCell ref="F17:K17"/>
    <mergeCell ref="A10:B10"/>
    <mergeCell ref="F18:G18"/>
    <mergeCell ref="H18:I18"/>
    <mergeCell ref="J18:K18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7A2-4934-144F-9E57-D368FF772F19}">
  <dimension ref="A1:G14"/>
  <sheetViews>
    <sheetView zoomScale="140" zoomScaleNormal="140" workbookViewId="0">
      <selection activeCell="G8" sqref="G8"/>
    </sheetView>
  </sheetViews>
  <sheetFormatPr baseColWidth="10" defaultRowHeight="15" x14ac:dyDescent="0.2"/>
  <cols>
    <col min="3" max="3" width="18" bestFit="1" customWidth="1"/>
  </cols>
  <sheetData>
    <row r="1" spans="1:7" x14ac:dyDescent="0.2">
      <c r="A1" s="20" t="s">
        <v>0</v>
      </c>
      <c r="B1" s="20"/>
      <c r="C1" s="20" t="s">
        <v>39</v>
      </c>
      <c r="D1" s="20"/>
      <c r="E1" s="20"/>
      <c r="F1" s="20"/>
    </row>
    <row r="2" spans="1:7" x14ac:dyDescent="0.2">
      <c r="A2" t="s">
        <v>88</v>
      </c>
      <c r="B2">
        <v>9.8064999999999998</v>
      </c>
      <c r="C2" t="s">
        <v>95</v>
      </c>
      <c r="D2">
        <v>1.8</v>
      </c>
      <c r="E2">
        <v>1.8</v>
      </c>
      <c r="F2">
        <v>1.8</v>
      </c>
    </row>
    <row r="3" spans="1:7" x14ac:dyDescent="0.2">
      <c r="A3" t="s">
        <v>87</v>
      </c>
      <c r="B3">
        <f>0.378*B2</f>
        <v>3.7068569999999998</v>
      </c>
      <c r="C3" t="s">
        <v>82</v>
      </c>
      <c r="D3">
        <v>2</v>
      </c>
      <c r="E3">
        <v>3</v>
      </c>
      <c r="F3">
        <v>2</v>
      </c>
    </row>
    <row r="4" spans="1:7" x14ac:dyDescent="0.2">
      <c r="A4" t="s">
        <v>90</v>
      </c>
      <c r="B4">
        <f>0.166*B2</f>
        <v>1.6278790000000001</v>
      </c>
      <c r="C4" t="s">
        <v>83</v>
      </c>
      <c r="D4">
        <f>B4</f>
        <v>1.6278790000000001</v>
      </c>
      <c r="E4">
        <f>B3</f>
        <v>3.7068569999999998</v>
      </c>
      <c r="F4">
        <f>B2</f>
        <v>9.8064999999999998</v>
      </c>
    </row>
    <row r="5" spans="1:7" x14ac:dyDescent="0.2">
      <c r="C5" s="20" t="s">
        <v>67</v>
      </c>
      <c r="D5" s="20"/>
      <c r="E5" s="20"/>
      <c r="F5" s="20"/>
    </row>
    <row r="6" spans="1:7" x14ac:dyDescent="0.2">
      <c r="C6" t="s">
        <v>84</v>
      </c>
      <c r="D6">
        <f>(D3*2*PI())/60</f>
        <v>0.20943951023931953</v>
      </c>
      <c r="E6">
        <f>(E3*2*PI())/60</f>
        <v>0.31415926535897931</v>
      </c>
      <c r="F6">
        <f>(F3*2*PI())/60</f>
        <v>0.20943951023931953</v>
      </c>
    </row>
    <row r="7" spans="1:7" x14ac:dyDescent="0.2">
      <c r="C7" t="s">
        <v>86</v>
      </c>
      <c r="D7">
        <f>D4/(D6^2)</f>
        <v>37.111191098963673</v>
      </c>
      <c r="E7">
        <f>E4/(E6^2)</f>
        <v>37.558313883288527</v>
      </c>
      <c r="F7">
        <f>F4/(F6^2)</f>
        <v>223.56139216243173</v>
      </c>
      <c r="G7">
        <f>E7*2</f>
        <v>75.116627766577054</v>
      </c>
    </row>
    <row r="8" spans="1:7" x14ac:dyDescent="0.2">
      <c r="C8" t="s">
        <v>89</v>
      </c>
      <c r="D8" s="15">
        <f>1-(D7-D2)/D7</f>
        <v>4.850288947072523E-2</v>
      </c>
      <c r="E8" s="15">
        <f>1-(E7-E2)/E7</f>
        <v>4.7925474119883238E-2</v>
      </c>
      <c r="F8" s="15">
        <f>1-(F7-F2)/F7</f>
        <v>8.0514796521404808E-3</v>
      </c>
    </row>
    <row r="9" spans="1:7" x14ac:dyDescent="0.2">
      <c r="C9" t="s">
        <v>92</v>
      </c>
      <c r="D9">
        <f>2*PI()*D7</f>
        <v>233.17649064494239</v>
      </c>
      <c r="E9">
        <f>2*PI()*E7</f>
        <v>235.98584595391753</v>
      </c>
      <c r="F9">
        <f>2*PI()*F7</f>
        <v>1404.6776544876045</v>
      </c>
    </row>
    <row r="10" spans="1:7" x14ac:dyDescent="0.2">
      <c r="C10" t="s">
        <v>91</v>
      </c>
      <c r="D10">
        <f>(D9*D3)/60</f>
        <v>7.7725496881647462</v>
      </c>
      <c r="E10">
        <f>(E9*E3)/60</f>
        <v>11.799292297695876</v>
      </c>
      <c r="F10">
        <f>(F9*F3)/60</f>
        <v>46.822588482920153</v>
      </c>
    </row>
    <row r="11" spans="1:7" x14ac:dyDescent="0.2">
      <c r="A11" s="20" t="s">
        <v>94</v>
      </c>
      <c r="B11" s="20"/>
    </row>
    <row r="12" spans="1:7" x14ac:dyDescent="0.2">
      <c r="A12" t="s">
        <v>85</v>
      </c>
      <c r="B12">
        <v>37</v>
      </c>
    </row>
    <row r="13" spans="1:7" x14ac:dyDescent="0.2">
      <c r="A13" t="s">
        <v>93</v>
      </c>
      <c r="B13">
        <f>SQRT(B3/B12)</f>
        <v>0.31652065386689116</v>
      </c>
    </row>
    <row r="14" spans="1:7" x14ac:dyDescent="0.2">
      <c r="A14" t="s">
        <v>82</v>
      </c>
      <c r="B14">
        <f>(B13*60)/(2*PI())</f>
        <v>3.0225495992156741</v>
      </c>
    </row>
  </sheetData>
  <mergeCells count="4">
    <mergeCell ref="C1:F1"/>
    <mergeCell ref="C5:F5"/>
    <mergeCell ref="A11:B11"/>
    <mergeCell ref="A1:B1"/>
  </mergeCells>
  <pageMargins left="0.7" right="0.7" top="0.75" bottom="0.75" header="0.3" footer="0.3"/>
  <ignoredErrors>
    <ignoredError sqref="D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82F-337F-7C4A-853A-6E3ED2317EC1}">
  <dimension ref="A1:E32"/>
  <sheetViews>
    <sheetView topLeftCell="A6" zoomScale="120" zoomScaleNormal="120" workbookViewId="0">
      <selection activeCell="E32" sqref="E32"/>
    </sheetView>
  </sheetViews>
  <sheetFormatPr baseColWidth="10" defaultColWidth="8.83203125" defaultRowHeight="15" x14ac:dyDescent="0.2"/>
  <cols>
    <col min="1" max="1" width="17.5" bestFit="1" customWidth="1"/>
    <col min="2" max="2" width="15.5" bestFit="1" customWidth="1"/>
    <col min="3" max="3" width="15.33203125" bestFit="1" customWidth="1"/>
    <col min="4" max="4" width="11.83203125" bestFit="1" customWidth="1"/>
  </cols>
  <sheetData>
    <row r="1" spans="1:5" x14ac:dyDescent="0.2">
      <c r="A1" s="20" t="s">
        <v>70</v>
      </c>
      <c r="B1" s="20"/>
    </row>
    <row r="2" spans="1:5" x14ac:dyDescent="0.2">
      <c r="A2" t="s">
        <v>69</v>
      </c>
      <c r="B2">
        <v>0.05</v>
      </c>
    </row>
    <row r="3" spans="1:5" x14ac:dyDescent="0.2">
      <c r="A3" t="s">
        <v>40</v>
      </c>
      <c r="B3">
        <v>2700</v>
      </c>
    </row>
    <row r="4" spans="1:5" x14ac:dyDescent="0.2">
      <c r="A4" s="20" t="s">
        <v>68</v>
      </c>
      <c r="B4" s="20"/>
      <c r="C4" s="20"/>
      <c r="D4" s="20" t="s">
        <v>67</v>
      </c>
      <c r="E4" s="20"/>
    </row>
    <row r="5" spans="1:5" x14ac:dyDescent="0.2">
      <c r="A5" s="9" t="s">
        <v>66</v>
      </c>
      <c r="B5" s="9" t="s">
        <v>65</v>
      </c>
      <c r="C5" s="9" t="s">
        <v>64</v>
      </c>
    </row>
    <row r="6" spans="1:5" x14ac:dyDescent="0.2">
      <c r="A6" t="s">
        <v>63</v>
      </c>
      <c r="B6">
        <v>0.8</v>
      </c>
      <c r="C6">
        <f>B6-2*B2</f>
        <v>0.70000000000000007</v>
      </c>
    </row>
    <row r="7" spans="1:5" x14ac:dyDescent="0.2">
      <c r="A7" t="s">
        <v>62</v>
      </c>
      <c r="B7">
        <v>0.8</v>
      </c>
      <c r="C7">
        <f>B7-2*B2</f>
        <v>0.70000000000000007</v>
      </c>
    </row>
    <row r="8" spans="1:5" x14ac:dyDescent="0.2">
      <c r="A8" t="s">
        <v>56</v>
      </c>
      <c r="B8">
        <v>0.6</v>
      </c>
      <c r="C8">
        <f>B8-2*B2</f>
        <v>0.5</v>
      </c>
    </row>
    <row r="9" spans="1:5" x14ac:dyDescent="0.2">
      <c r="A9" t="s">
        <v>49</v>
      </c>
      <c r="B9">
        <f>B6*B7*B8</f>
        <v>0.38400000000000006</v>
      </c>
      <c r="C9">
        <f>C6*C7*C8</f>
        <v>0.24500000000000005</v>
      </c>
      <c r="D9" t="s">
        <v>48</v>
      </c>
      <c r="E9">
        <f>B9-C9</f>
        <v>0.13900000000000001</v>
      </c>
    </row>
    <row r="10" spans="1:5" x14ac:dyDescent="0.2">
      <c r="D10" t="s">
        <v>59</v>
      </c>
      <c r="E10">
        <f>E9*B3</f>
        <v>375.3</v>
      </c>
    </row>
    <row r="11" spans="1:5" x14ac:dyDescent="0.2">
      <c r="A11" s="9" t="s">
        <v>61</v>
      </c>
    </row>
    <row r="12" spans="1:5" x14ac:dyDescent="0.2">
      <c r="A12" t="s">
        <v>57</v>
      </c>
      <c r="B12">
        <v>0.5</v>
      </c>
      <c r="C12">
        <f>B12-B2</f>
        <v>0.45</v>
      </c>
    </row>
    <row r="13" spans="1:5" x14ac:dyDescent="0.2">
      <c r="A13" t="s">
        <v>56</v>
      </c>
      <c r="B13">
        <v>1</v>
      </c>
      <c r="C13">
        <f>B13-2*B2</f>
        <v>0.9</v>
      </c>
    </row>
    <row r="14" spans="1:5" x14ac:dyDescent="0.2">
      <c r="A14" t="s">
        <v>49</v>
      </c>
      <c r="B14">
        <f>(1/3)*PI()*B12^2*B13</f>
        <v>0.26179938779914941</v>
      </c>
      <c r="C14">
        <f>(1/3)*PI()*C12^2*C13</f>
        <v>0.19085175370557994</v>
      </c>
      <c r="D14" t="s">
        <v>48</v>
      </c>
      <c r="E14">
        <f>B14-C14</f>
        <v>7.0947634093569467E-2</v>
      </c>
    </row>
    <row r="15" spans="1:5" x14ac:dyDescent="0.2">
      <c r="D15" t="s">
        <v>59</v>
      </c>
      <c r="E15">
        <f>E14*B3</f>
        <v>191.55861205263756</v>
      </c>
    </row>
    <row r="16" spans="1:5" x14ac:dyDescent="0.2">
      <c r="A16" s="9" t="s">
        <v>60</v>
      </c>
    </row>
    <row r="17" spans="1:5" x14ac:dyDescent="0.2">
      <c r="A17" t="s">
        <v>57</v>
      </c>
      <c r="B17">
        <v>0.5</v>
      </c>
      <c r="C17">
        <f>B17-B2</f>
        <v>0.45</v>
      </c>
    </row>
    <row r="18" spans="1:5" x14ac:dyDescent="0.2">
      <c r="A18" t="s">
        <v>56</v>
      </c>
      <c r="B18">
        <v>1</v>
      </c>
      <c r="C18">
        <f>B18-2*B2</f>
        <v>0.9</v>
      </c>
    </row>
    <row r="19" spans="1:5" x14ac:dyDescent="0.2">
      <c r="A19" t="s">
        <v>49</v>
      </c>
      <c r="B19">
        <f>PI()*B17^2*B18</f>
        <v>0.78539816339744828</v>
      </c>
      <c r="C19">
        <f>PI()*C17^2*C18</f>
        <v>0.57255526111673982</v>
      </c>
      <c r="D19" t="s">
        <v>48</v>
      </c>
      <c r="E19">
        <f>B19-C19</f>
        <v>0.21284290228070846</v>
      </c>
    </row>
    <row r="20" spans="1:5" x14ac:dyDescent="0.2">
      <c r="D20" t="s">
        <v>59</v>
      </c>
      <c r="E20">
        <f>E19*B3</f>
        <v>574.67583615791284</v>
      </c>
    </row>
    <row r="21" spans="1:5" s="9" customFormat="1" x14ac:dyDescent="0.2">
      <c r="A21" s="9" t="s">
        <v>58</v>
      </c>
    </row>
    <row r="22" spans="1:5" x14ac:dyDescent="0.2">
      <c r="A22" t="s">
        <v>57</v>
      </c>
      <c r="B22">
        <v>0.5</v>
      </c>
      <c r="C22">
        <f>B22-B2</f>
        <v>0.45</v>
      </c>
    </row>
    <row r="23" spans="1:5" x14ac:dyDescent="0.2">
      <c r="A23" t="s">
        <v>56</v>
      </c>
      <c r="B23">
        <v>1</v>
      </c>
      <c r="C23">
        <f>B23-2*B2</f>
        <v>0.9</v>
      </c>
    </row>
    <row r="24" spans="1:5" x14ac:dyDescent="0.2">
      <c r="A24" t="s">
        <v>49</v>
      </c>
      <c r="B24">
        <f>2/3*PI()*B22^2*B23</f>
        <v>0.52359877559829882</v>
      </c>
      <c r="C24">
        <f>2/3*PI()*C22^2*C23</f>
        <v>0.38170350741115988</v>
      </c>
      <c r="D24" t="s">
        <v>48</v>
      </c>
      <c r="E24">
        <f>B24-C24</f>
        <v>0.14189526818713893</v>
      </c>
    </row>
    <row r="25" spans="1:5" x14ac:dyDescent="0.2">
      <c r="D25" t="s">
        <v>55</v>
      </c>
      <c r="E25">
        <f>E24*B3</f>
        <v>383.11722410527511</v>
      </c>
    </row>
    <row r="26" spans="1:5" x14ac:dyDescent="0.2">
      <c r="A26" s="9" t="s">
        <v>54</v>
      </c>
    </row>
    <row r="27" spans="1:5" x14ac:dyDescent="0.2">
      <c r="A27" t="s">
        <v>53</v>
      </c>
      <c r="B27">
        <v>3</v>
      </c>
      <c r="C27">
        <f>B27-B2</f>
        <v>2.95</v>
      </c>
    </row>
    <row r="28" spans="1:5" x14ac:dyDescent="0.2">
      <c r="A28" t="s">
        <v>52</v>
      </c>
      <c r="B28">
        <v>10</v>
      </c>
      <c r="C28">
        <f>B28</f>
        <v>10</v>
      </c>
    </row>
    <row r="29" spans="1:5" x14ac:dyDescent="0.2">
      <c r="A29" t="s">
        <v>51</v>
      </c>
      <c r="B29">
        <v>1</v>
      </c>
      <c r="C29">
        <f>B29-B2</f>
        <v>0.95</v>
      </c>
    </row>
    <row r="30" spans="1:5" x14ac:dyDescent="0.2">
      <c r="A30" t="s">
        <v>50</v>
      </c>
      <c r="B30">
        <v>1</v>
      </c>
      <c r="C30">
        <f>B30-B2</f>
        <v>0.95</v>
      </c>
    </row>
    <row r="31" spans="1:5" x14ac:dyDescent="0.2">
      <c r="A31" t="s">
        <v>49</v>
      </c>
      <c r="B31">
        <f>PI()*B27^2*B28+2/3*PI()*B27^2*B29+2/3*PI()*B27^2*B30</f>
        <v>320.44245066615889</v>
      </c>
      <c r="C31">
        <f>PI()*C27^2*C28+2/3*PI()*C27^2*C29+2/3*PI()*C27^2*C30</f>
        <v>308.02740009794763</v>
      </c>
      <c r="D31" t="s">
        <v>48</v>
      </c>
      <c r="E31">
        <f>B31-C31</f>
        <v>12.415050568211257</v>
      </c>
    </row>
    <row r="32" spans="1:5" x14ac:dyDescent="0.2">
      <c r="D32" t="s">
        <v>47</v>
      </c>
      <c r="E32">
        <f>E31*B3</f>
        <v>33520.636534170393</v>
      </c>
    </row>
  </sheetData>
  <mergeCells count="3">
    <mergeCell ref="A1:B1"/>
    <mergeCell ref="D4:E4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FA8B-2D8F-4955-BFE7-B279DB49F0BC}">
  <dimension ref="A1:I26"/>
  <sheetViews>
    <sheetView tabSelected="1" zoomScale="130" zoomScaleNormal="130" workbookViewId="0">
      <selection activeCell="D20" sqref="D20"/>
    </sheetView>
  </sheetViews>
  <sheetFormatPr baseColWidth="10" defaultColWidth="8.83203125" defaultRowHeight="15" x14ac:dyDescent="0.2"/>
  <cols>
    <col min="1" max="1" width="15.83203125" bestFit="1" customWidth="1"/>
    <col min="2" max="2" width="10.1640625" bestFit="1" customWidth="1"/>
    <col min="3" max="3" width="19.1640625" bestFit="1" customWidth="1"/>
    <col min="4" max="4" width="15.83203125" bestFit="1" customWidth="1"/>
    <col min="5" max="5" width="12.1640625" bestFit="1" customWidth="1"/>
    <col min="6" max="6" width="11.1640625" bestFit="1" customWidth="1"/>
    <col min="7" max="7" width="10.33203125" bestFit="1" customWidth="1"/>
  </cols>
  <sheetData>
    <row r="1" spans="1:9" x14ac:dyDescent="0.2">
      <c r="A1" s="20" t="s">
        <v>102</v>
      </c>
      <c r="B1" s="20"/>
      <c r="C1" s="20" t="s">
        <v>25</v>
      </c>
      <c r="D1" s="20"/>
      <c r="F1" s="1" t="s">
        <v>33</v>
      </c>
      <c r="G1" s="1" t="s">
        <v>35</v>
      </c>
      <c r="H1" s="1" t="s">
        <v>101</v>
      </c>
    </row>
    <row r="2" spans="1:9" x14ac:dyDescent="0.2">
      <c r="A2" t="s">
        <v>26</v>
      </c>
      <c r="B2">
        <v>27.65</v>
      </c>
      <c r="C2" t="s">
        <v>30</v>
      </c>
      <c r="D2">
        <f>B2/D3</f>
        <v>537.94185010815625</v>
      </c>
      <c r="F2" t="s">
        <v>34</v>
      </c>
      <c r="G2">
        <v>450</v>
      </c>
      <c r="H2" s="5">
        <v>120100000</v>
      </c>
    </row>
    <row r="3" spans="1:9" x14ac:dyDescent="0.2">
      <c r="A3" t="s">
        <v>24</v>
      </c>
      <c r="B3">
        <v>78.59</v>
      </c>
      <c r="C3" t="s">
        <v>28</v>
      </c>
      <c r="D3">
        <f>(B3*1000)/(B5*1000)</f>
        <v>5.1399607586657944E-2</v>
      </c>
      <c r="F3" t="s">
        <v>36</v>
      </c>
      <c r="G3">
        <v>311</v>
      </c>
      <c r="H3" s="5">
        <v>43100000</v>
      </c>
    </row>
    <row r="4" spans="1:9" x14ac:dyDescent="0.2">
      <c r="A4" t="s">
        <v>27</v>
      </c>
      <c r="B4">
        <v>333</v>
      </c>
      <c r="C4" t="s">
        <v>31</v>
      </c>
      <c r="D4">
        <f>B5*(EXP(B2/B6)-1)</f>
        <v>13.001224836801757</v>
      </c>
      <c r="F4" t="s">
        <v>37</v>
      </c>
      <c r="G4">
        <v>350</v>
      </c>
      <c r="H4" s="5">
        <v>50000000</v>
      </c>
    </row>
    <row r="5" spans="1:9" x14ac:dyDescent="0.2">
      <c r="A5" t="s">
        <v>41</v>
      </c>
      <c r="B5">
        <v>1529</v>
      </c>
      <c r="C5" t="s">
        <v>103</v>
      </c>
      <c r="D5">
        <f>D4/(B5+D4)</f>
        <v>8.4313972177147561E-3</v>
      </c>
      <c r="F5" t="s">
        <v>38</v>
      </c>
      <c r="G5">
        <v>333</v>
      </c>
      <c r="H5" t="s">
        <v>122</v>
      </c>
    </row>
    <row r="6" spans="1:9" x14ac:dyDescent="0.2">
      <c r="A6" t="s">
        <v>29</v>
      </c>
      <c r="B6">
        <f>B4*9.8065</f>
        <v>3265.5645</v>
      </c>
    </row>
    <row r="8" spans="1:9" x14ac:dyDescent="0.2">
      <c r="A8" s="20" t="s">
        <v>123</v>
      </c>
      <c r="B8" s="20"/>
      <c r="C8" s="20" t="s">
        <v>67</v>
      </c>
      <c r="D8" s="20"/>
    </row>
    <row r="9" spans="1:9" x14ac:dyDescent="0.2">
      <c r="A9" s="16" t="s">
        <v>96</v>
      </c>
      <c r="B9" s="4">
        <v>7.88</v>
      </c>
      <c r="C9" t="s">
        <v>24</v>
      </c>
      <c r="D9" s="3">
        <f>(B13*B11)/1000</f>
        <v>78.593900055000006</v>
      </c>
    </row>
    <row r="10" spans="1:9" x14ac:dyDescent="0.2">
      <c r="A10" s="16" t="s">
        <v>97</v>
      </c>
      <c r="B10" s="4">
        <v>17.89</v>
      </c>
      <c r="C10" t="s">
        <v>181</v>
      </c>
      <c r="D10" s="3">
        <f>(B9*H3)/1000000</f>
        <v>339.62799999999999</v>
      </c>
    </row>
    <row r="11" spans="1:9" x14ac:dyDescent="0.2">
      <c r="A11" t="s">
        <v>98</v>
      </c>
      <c r="B11">
        <f>SUM(B9:B10)</f>
        <v>25.77</v>
      </c>
      <c r="C11" t="s">
        <v>182</v>
      </c>
      <c r="D11" s="3">
        <f>((B11*B13^2)/2)/1000000</f>
        <v>119.84868307829508</v>
      </c>
    </row>
    <row r="12" spans="1:9" x14ac:dyDescent="0.2">
      <c r="A12" t="s">
        <v>99</v>
      </c>
      <c r="B12">
        <f>G3</f>
        <v>311</v>
      </c>
      <c r="C12" t="s">
        <v>100</v>
      </c>
      <c r="D12" s="15">
        <f>D11/D10</f>
        <v>0.35288222136659841</v>
      </c>
    </row>
    <row r="13" spans="1:9" x14ac:dyDescent="0.2">
      <c r="A13" t="s">
        <v>29</v>
      </c>
      <c r="B13">
        <f>B12*9.8065</f>
        <v>3049.8215</v>
      </c>
      <c r="C13" t="s">
        <v>125</v>
      </c>
      <c r="D13" s="3">
        <f>D11/(D9*1000)</f>
        <v>1.5249107499999998E-3</v>
      </c>
    </row>
    <row r="14" spans="1:9" x14ac:dyDescent="0.2">
      <c r="A14" s="20" t="s">
        <v>126</v>
      </c>
      <c r="B14" s="20"/>
      <c r="C14" s="20" t="s">
        <v>67</v>
      </c>
      <c r="D14" s="20"/>
      <c r="F14" s="1" t="s">
        <v>124</v>
      </c>
      <c r="G14" s="1" t="s">
        <v>35</v>
      </c>
      <c r="H14" s="14" t="s">
        <v>100</v>
      </c>
      <c r="I14" s="1" t="s">
        <v>127</v>
      </c>
    </row>
    <row r="15" spans="1:9" x14ac:dyDescent="0.2">
      <c r="A15" s="16" t="s">
        <v>121</v>
      </c>
      <c r="B15" s="19">
        <f>B16/(B17*9.8065)</f>
        <v>2.8602233710095218E-6</v>
      </c>
      <c r="C15" s="16" t="s">
        <v>120</v>
      </c>
      <c r="D15" s="18">
        <f>(D16/B18)</f>
        <v>2.3118823749999997</v>
      </c>
      <c r="F15" t="s">
        <v>119</v>
      </c>
      <c r="G15">
        <v>3280</v>
      </c>
      <c r="H15">
        <v>0.64</v>
      </c>
      <c r="I15">
        <v>9.1999999999999998E-2</v>
      </c>
    </row>
    <row r="16" spans="1:9" x14ac:dyDescent="0.2">
      <c r="A16" t="s">
        <v>118</v>
      </c>
      <c r="B16" s="12">
        <v>9.1999999999999998E-2</v>
      </c>
      <c r="C16" t="s">
        <v>117</v>
      </c>
      <c r="D16" s="12">
        <f>((B15*(B17*9.8065)^2)/2)/1000</f>
        <v>1.4796047199999998</v>
      </c>
      <c r="F16" t="s">
        <v>116</v>
      </c>
      <c r="G16">
        <v>5000</v>
      </c>
      <c r="H16">
        <v>0.6</v>
      </c>
      <c r="I16">
        <v>5</v>
      </c>
    </row>
    <row r="17" spans="1:8" x14ac:dyDescent="0.2">
      <c r="A17" t="s">
        <v>115</v>
      </c>
      <c r="B17" s="3">
        <f>G15</f>
        <v>3280</v>
      </c>
      <c r="C17" s="16" t="s">
        <v>114</v>
      </c>
      <c r="D17" s="18">
        <f>D15*(1-B18)</f>
        <v>0.83227765499999984</v>
      </c>
      <c r="H17" s="7"/>
    </row>
    <row r="18" spans="1:8" x14ac:dyDescent="0.2">
      <c r="A18" t="s">
        <v>113</v>
      </c>
      <c r="B18" s="3">
        <f>H15</f>
        <v>0.64</v>
      </c>
      <c r="C18" t="s">
        <v>125</v>
      </c>
      <c r="D18" s="12">
        <f>D15/B16</f>
        <v>25.129156249999998</v>
      </c>
      <c r="H18" s="7"/>
    </row>
    <row r="19" spans="1:8" x14ac:dyDescent="0.2">
      <c r="A19" t="s">
        <v>112</v>
      </c>
      <c r="B19" s="3">
        <v>97.5</v>
      </c>
      <c r="C19" t="s">
        <v>111</v>
      </c>
      <c r="D19">
        <f>D15/B20</f>
        <v>2.3118823749999996E-2</v>
      </c>
    </row>
    <row r="20" spans="1:8" x14ac:dyDescent="0.2">
      <c r="A20" t="s">
        <v>110</v>
      </c>
      <c r="B20" s="3">
        <v>100</v>
      </c>
      <c r="C20" t="s">
        <v>28</v>
      </c>
      <c r="D20" s="2">
        <f>B16/B25</f>
        <v>7.5564681724845991E-5</v>
      </c>
    </row>
    <row r="21" spans="1:8" x14ac:dyDescent="0.2">
      <c r="A21" t="s">
        <v>109</v>
      </c>
      <c r="B21" s="3">
        <v>100</v>
      </c>
      <c r="C21" s="16" t="s">
        <v>108</v>
      </c>
      <c r="D21" s="17">
        <f>B17*9.8065*LN(B25/(B23+B20))</f>
        <v>9988.2434670786279</v>
      </c>
      <c r="G21" s="5"/>
    </row>
    <row r="22" spans="1:8" x14ac:dyDescent="0.2">
      <c r="A22" t="s">
        <v>107</v>
      </c>
      <c r="B22" s="3">
        <v>495</v>
      </c>
      <c r="C22" t="s">
        <v>103</v>
      </c>
      <c r="D22">
        <f>B24/B25</f>
        <v>0.34907597535934293</v>
      </c>
    </row>
    <row r="23" spans="1:8" x14ac:dyDescent="0.2">
      <c r="A23" t="s">
        <v>106</v>
      </c>
      <c r="B23" s="3">
        <f>SUM(B19:B22)</f>
        <v>792.5</v>
      </c>
    </row>
    <row r="24" spans="1:8" x14ac:dyDescent="0.2">
      <c r="A24" t="s">
        <v>105</v>
      </c>
      <c r="B24" s="3">
        <v>425</v>
      </c>
    </row>
    <row r="25" spans="1:8" x14ac:dyDescent="0.2">
      <c r="A25" t="s">
        <v>104</v>
      </c>
      <c r="B25" s="3">
        <f>B23+B24</f>
        <v>1217.5</v>
      </c>
    </row>
    <row r="26" spans="1:8" x14ac:dyDescent="0.2">
      <c r="A26" t="s">
        <v>29</v>
      </c>
      <c r="B26">
        <f>B17*9.8065</f>
        <v>32165.32</v>
      </c>
      <c r="D26" s="5"/>
    </row>
  </sheetData>
  <mergeCells count="6">
    <mergeCell ref="C8:D8"/>
    <mergeCell ref="A14:B14"/>
    <mergeCell ref="C14:D14"/>
    <mergeCell ref="A1:B1"/>
    <mergeCell ref="C1:D1"/>
    <mergeCell ref="A8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1110-64B1-2D40-98F3-59BF0BDE1067}">
  <dimension ref="A1:T18"/>
  <sheetViews>
    <sheetView zoomScale="120" zoomScaleNormal="120" workbookViewId="0">
      <selection activeCell="D13" sqref="D13"/>
    </sheetView>
  </sheetViews>
  <sheetFormatPr baseColWidth="10" defaultRowHeight="15" x14ac:dyDescent="0.2"/>
  <cols>
    <col min="1" max="1" width="20" bestFit="1" customWidth="1"/>
    <col min="2" max="2" width="14.6640625" bestFit="1" customWidth="1"/>
    <col min="3" max="3" width="26.6640625" bestFit="1" customWidth="1"/>
    <col min="4" max="4" width="16.83203125" bestFit="1" customWidth="1"/>
    <col min="5" max="5" width="14" bestFit="1" customWidth="1"/>
    <col min="6" max="6" width="17" bestFit="1" customWidth="1"/>
    <col min="7" max="7" width="15.6640625" bestFit="1" customWidth="1"/>
    <col min="12" max="12" width="11.83203125" bestFit="1" customWidth="1"/>
  </cols>
  <sheetData>
    <row r="1" spans="1:20" x14ac:dyDescent="0.2">
      <c r="A1" t="s">
        <v>163</v>
      </c>
      <c r="B1" s="21">
        <v>1000</v>
      </c>
      <c r="D1" s="22">
        <f>4/150</f>
        <v>2.6666666666666668E-2</v>
      </c>
      <c r="E1" s="8"/>
      <c r="F1" s="8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">
      <c r="A2" t="s">
        <v>162</v>
      </c>
      <c r="B2" s="21">
        <f>B1</f>
        <v>1000</v>
      </c>
      <c r="D2">
        <f>2400*D1</f>
        <v>64</v>
      </c>
    </row>
    <row r="3" spans="1:20" s="3" customFormat="1" x14ac:dyDescent="0.2">
      <c r="D3" s="3">
        <f>D2*25</f>
        <v>1600</v>
      </c>
    </row>
    <row r="4" spans="1:20" x14ac:dyDescent="0.2">
      <c r="A4" t="s">
        <v>164</v>
      </c>
      <c r="B4">
        <v>50000</v>
      </c>
      <c r="C4" s="5"/>
      <c r="D4" s="3">
        <v>2400</v>
      </c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s="3" customFormat="1" x14ac:dyDescent="0.2">
      <c r="A5" s="3" t="s">
        <v>165</v>
      </c>
      <c r="B5" s="21">
        <f>B4*(B2+B1)</f>
        <v>100000000</v>
      </c>
      <c r="D5" s="3">
        <f>SUM(D3:D4)</f>
        <v>4000</v>
      </c>
      <c r="F5"/>
      <c r="G5"/>
    </row>
    <row r="6" spans="1:20" x14ac:dyDescent="0.2">
      <c r="A6" t="s">
        <v>166</v>
      </c>
      <c r="B6">
        <v>17</v>
      </c>
      <c r="C6" s="3" t="s">
        <v>168</v>
      </c>
      <c r="D6">
        <f>25*12</f>
        <v>300</v>
      </c>
      <c r="J6" s="4"/>
    </row>
    <row r="7" spans="1:20" x14ac:dyDescent="0.2">
      <c r="A7" s="3" t="s">
        <v>167</v>
      </c>
      <c r="C7" s="3" t="s">
        <v>169</v>
      </c>
      <c r="D7">
        <v>17</v>
      </c>
    </row>
    <row r="8" spans="1:20" x14ac:dyDescent="0.2">
      <c r="C8" s="3" t="s">
        <v>170</v>
      </c>
      <c r="D8">
        <v>7</v>
      </c>
    </row>
    <row r="9" spans="1:20" x14ac:dyDescent="0.2">
      <c r="C9" s="3" t="s">
        <v>171</v>
      </c>
      <c r="D9">
        <f>SUM(D7:D8)</f>
        <v>24</v>
      </c>
    </row>
    <row r="10" spans="1:20" x14ac:dyDescent="0.2">
      <c r="B10" s="5"/>
      <c r="C10" s="3" t="s">
        <v>172</v>
      </c>
      <c r="D10">
        <f>10/12</f>
        <v>0.83333333333333337</v>
      </c>
    </row>
    <row r="11" spans="1:20" x14ac:dyDescent="0.2">
      <c r="B11" s="5"/>
      <c r="C11" s="3" t="s">
        <v>173</v>
      </c>
      <c r="D11">
        <f>(D6-D9)*D10</f>
        <v>230</v>
      </c>
    </row>
    <row r="12" spans="1:20" x14ac:dyDescent="0.2">
      <c r="A12" s="5"/>
      <c r="B12" s="5"/>
      <c r="C12" s="5" t="s">
        <v>174</v>
      </c>
      <c r="D12">
        <f>D5*3</f>
        <v>12000</v>
      </c>
    </row>
    <row r="13" spans="1:20" x14ac:dyDescent="0.2">
      <c r="A13" s="5"/>
      <c r="B13" s="5"/>
      <c r="C13" s="5" t="s">
        <v>175</v>
      </c>
      <c r="D13">
        <f>D12/D11</f>
        <v>52.173913043478258</v>
      </c>
      <c r="E13">
        <f>D11/25</f>
        <v>9.1999999999999993</v>
      </c>
      <c r="F13">
        <f>D13*E13</f>
        <v>479.99999999999994</v>
      </c>
      <c r="G13">
        <f>F13*25</f>
        <v>11999.999999999998</v>
      </c>
    </row>
    <row r="14" spans="1:20" x14ac:dyDescent="0.2">
      <c r="A14" s="5"/>
      <c r="B14" s="5"/>
      <c r="C14" s="3" t="s">
        <v>180</v>
      </c>
      <c r="D14">
        <f>D13*12</f>
        <v>626.08695652173913</v>
      </c>
    </row>
    <row r="15" spans="1:20" x14ac:dyDescent="0.2">
      <c r="A15" s="5"/>
      <c r="B15" s="5"/>
      <c r="C15" s="5" t="s">
        <v>176</v>
      </c>
      <c r="D15">
        <f>D13/12</f>
        <v>4.3478260869565215</v>
      </c>
    </row>
    <row r="16" spans="1:20" x14ac:dyDescent="0.2">
      <c r="A16" s="5"/>
      <c r="B16" s="5"/>
      <c r="C16" s="5" t="s">
        <v>177</v>
      </c>
      <c r="D16" s="21">
        <f>D15/30*1000000</f>
        <v>144927.53623188406</v>
      </c>
      <c r="E16">
        <v>250000</v>
      </c>
    </row>
    <row r="17" spans="3:5" x14ac:dyDescent="0.2">
      <c r="C17" s="5" t="s">
        <v>178</v>
      </c>
      <c r="D17" s="21">
        <f>D16*7</f>
        <v>1014492.7536231885</v>
      </c>
      <c r="E17">
        <f>E16*7</f>
        <v>1750000</v>
      </c>
    </row>
    <row r="18" spans="3:5" x14ac:dyDescent="0.2">
      <c r="C18" s="5" t="s">
        <v>179</v>
      </c>
      <c r="D18" s="23">
        <f>D12*1000000/D17</f>
        <v>11828.571428571428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051-F30B-DF45-8EC8-4E3137FE1EF1}">
  <dimension ref="A1:E9"/>
  <sheetViews>
    <sheetView zoomScale="120" zoomScaleNormal="120" workbookViewId="0">
      <selection activeCell="D1" sqref="D1:E8"/>
    </sheetView>
  </sheetViews>
  <sheetFormatPr baseColWidth="10" defaultRowHeight="15" x14ac:dyDescent="0.2"/>
  <cols>
    <col min="1" max="1" width="15.33203125" bestFit="1" customWidth="1"/>
  </cols>
  <sheetData>
    <row r="1" spans="1:5" x14ac:dyDescent="0.2">
      <c r="A1" t="s">
        <v>42</v>
      </c>
      <c r="B1">
        <v>0.15</v>
      </c>
      <c r="D1" s="1" t="s">
        <v>0</v>
      </c>
    </row>
    <row r="2" spans="1:5" x14ac:dyDescent="0.2">
      <c r="A2" t="s">
        <v>43</v>
      </c>
      <c r="B2">
        <v>0.15</v>
      </c>
      <c r="D2" t="s">
        <v>78</v>
      </c>
      <c r="E2" s="5">
        <v>5.6703669999999997E-8</v>
      </c>
    </row>
    <row r="3" spans="1:5" x14ac:dyDescent="0.2">
      <c r="A3" t="s">
        <v>44</v>
      </c>
      <c r="B3">
        <v>1361</v>
      </c>
      <c r="D3" s="8" t="s">
        <v>39</v>
      </c>
      <c r="E3" s="3"/>
    </row>
    <row r="4" spans="1:5" x14ac:dyDescent="0.2">
      <c r="A4" t="s">
        <v>45</v>
      </c>
      <c r="B4">
        <f>10*6*14</f>
        <v>840</v>
      </c>
      <c r="D4" t="s">
        <v>80</v>
      </c>
      <c r="E4" s="3">
        <v>1000</v>
      </c>
    </row>
    <row r="5" spans="1:5" x14ac:dyDescent="0.2">
      <c r="A5" t="s">
        <v>46</v>
      </c>
      <c r="B5">
        <f>B2*B3*B4</f>
        <v>171486</v>
      </c>
      <c r="D5" s="3" t="s">
        <v>81</v>
      </c>
      <c r="E5" s="3">
        <v>1</v>
      </c>
    </row>
    <row r="7" spans="1:5" x14ac:dyDescent="0.2">
      <c r="D7" s="13" t="s">
        <v>67</v>
      </c>
      <c r="E7" s="3"/>
    </row>
    <row r="8" spans="1:5" x14ac:dyDescent="0.2">
      <c r="D8" s="5" t="s">
        <v>79</v>
      </c>
      <c r="E8" s="3">
        <f>E2*(E4^4)*E5</f>
        <v>56703.67</v>
      </c>
    </row>
    <row r="9" spans="1:5" x14ac:dyDescent="0.2">
      <c r="E9">
        <f>62000000/22800</f>
        <v>2719.2982456140353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Astrodynamics</vt:lpstr>
      <vt:lpstr>Gravity</vt:lpstr>
      <vt:lpstr>Geometry</vt:lpstr>
      <vt:lpstr>Propulsion</vt:lpstr>
      <vt:lpstr>Costs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Silin, Denys</dc:creator>
  <cp:lastModifiedBy>Dennis Silin</cp:lastModifiedBy>
  <dcterms:created xsi:type="dcterms:W3CDTF">2024-08-19T14:32:25Z</dcterms:created>
  <dcterms:modified xsi:type="dcterms:W3CDTF">2024-09-01T19:48:18Z</dcterms:modified>
</cp:coreProperties>
</file>