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oix projet effectif" sheetId="1" r:id="rId3"/>
    <sheet state="visible" name="affectation étudiants" sheetId="2" r:id="rId4"/>
    <sheet state="visible" name="Choix étudiants" sheetId="3" r:id="rId5"/>
    <sheet state="visible" name="Projet" sheetId="4" r:id="rId6"/>
  </sheets>
  <definedNames>
    <definedName hidden="1" localSheetId="1" name="_xlnm._FilterDatabase">'affectation étudiants'!$A$1:$U$1000</definedName>
    <definedName hidden="1" localSheetId="3" name="_xlnm._FilterDatabase">Projet!$A$1:$I$62</definedName>
    <definedName hidden="1" localSheetId="1" name="Z_BB4C0117_13F6_4F7B_A3F3_D97A72DCF060_.wvu.FilterData">'affectation étudiants'!$A$1:$L$220</definedName>
  </definedNames>
  <calcPr/>
  <customWorkbookViews>
    <customWorkbookView activeSheetId="0" maximized="1" tabRatio="600" windowHeight="0" windowWidth="0" guid="{BB4C0117-13F6-4F7B-A3F3-D97A72DCF060}" name="Filtre 1"/>
  </customWorkbookViews>
</workbook>
</file>

<file path=xl/sharedStrings.xml><?xml version="1.0" encoding="utf-8"?>
<sst xmlns="http://schemas.openxmlformats.org/spreadsheetml/2006/main" count="276" uniqueCount="74">
  <si>
    <t>Projet affecté</t>
  </si>
  <si>
    <t>C1</t>
  </si>
  <si>
    <t>C2</t>
  </si>
  <si>
    <t>C3</t>
  </si>
  <si>
    <t>C4</t>
  </si>
  <si>
    <t>C5</t>
  </si>
  <si>
    <t>OK 4+2+2</t>
  </si>
  <si>
    <t>OK 4+0+1</t>
  </si>
  <si>
    <t>OK 4+1+1</t>
  </si>
  <si>
    <t>ok 4+2+1</t>
  </si>
  <si>
    <t>E1</t>
  </si>
  <si>
    <t>OK 5+1+1</t>
  </si>
  <si>
    <t>ok 6+0+0</t>
  </si>
  <si>
    <t xml:space="preserve">E1 </t>
  </si>
  <si>
    <t>N. Zangar</t>
  </si>
  <si>
    <t>E10</t>
  </si>
  <si>
    <t>OK 4+3+1</t>
  </si>
  <si>
    <t>E13</t>
  </si>
  <si>
    <t>OK 4+2+0</t>
  </si>
  <si>
    <t>OK 4+2+1</t>
  </si>
  <si>
    <t>OK 5+1+0</t>
  </si>
  <si>
    <t xml:space="preserve">Je ne pars pas </t>
  </si>
  <si>
    <t>E15</t>
  </si>
  <si>
    <t>E16</t>
  </si>
  <si>
    <t>OK 5+0+1</t>
  </si>
  <si>
    <t>ok 4</t>
  </si>
  <si>
    <t>ok 5+2+1</t>
  </si>
  <si>
    <t>E19</t>
  </si>
  <si>
    <t>OK 4+1+0</t>
  </si>
  <si>
    <t>E23</t>
  </si>
  <si>
    <t>ok 5+1+0</t>
  </si>
  <si>
    <t>ok 4+2+0</t>
  </si>
  <si>
    <t>E25</t>
  </si>
  <si>
    <t>R14</t>
  </si>
  <si>
    <t>R3</t>
  </si>
  <si>
    <t>R5</t>
  </si>
  <si>
    <t>R11</t>
  </si>
  <si>
    <t>E4</t>
  </si>
  <si>
    <t>OK 6+0+0</t>
  </si>
  <si>
    <t>E7</t>
  </si>
  <si>
    <t>ok 5+1+1</t>
  </si>
  <si>
    <t>ok 4+1+0</t>
  </si>
  <si>
    <t>EN1</t>
  </si>
  <si>
    <t>ok 5</t>
  </si>
  <si>
    <t>OK 3+3+1</t>
  </si>
  <si>
    <t>EN2</t>
  </si>
  <si>
    <t>EN3</t>
  </si>
  <si>
    <t>EN4</t>
  </si>
  <si>
    <t>INF</t>
  </si>
  <si>
    <t>Vu QUOC KHANH</t>
  </si>
  <si>
    <t>Marc</t>
  </si>
  <si>
    <t>marc.vuquockhanh@edu.esiee.fr</t>
  </si>
  <si>
    <t>Je ne pars pas</t>
  </si>
  <si>
    <t>LL1</t>
  </si>
  <si>
    <t>R9</t>
  </si>
  <si>
    <t>R21</t>
  </si>
  <si>
    <t>Je pars au semestre 1</t>
  </si>
  <si>
    <t>R1</t>
  </si>
  <si>
    <t>R12</t>
  </si>
  <si>
    <t>R16</t>
  </si>
  <si>
    <t>R18</t>
  </si>
  <si>
    <t>R19</t>
  </si>
  <si>
    <t>R2</t>
  </si>
  <si>
    <t>R22</t>
  </si>
  <si>
    <t>R24</t>
  </si>
  <si>
    <t>R25</t>
  </si>
  <si>
    <t>R27</t>
  </si>
  <si>
    <t>IMC</t>
  </si>
  <si>
    <t>R29</t>
  </si>
  <si>
    <t>R32</t>
  </si>
  <si>
    <t>ELE</t>
  </si>
  <si>
    <t>Je pars au second semestre</t>
  </si>
  <si>
    <t>R7</t>
  </si>
  <si>
    <t>R8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</si>
</sst>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 HH:mm:ss"/>
    <numFmt numFmtId="165" formatCode="m/d/yyyy h:mm:ss"/>
  </numFmts>
  <fonts count="11">
    <font>
      <sz val="10.0"/>
      <color rgb="FF000000"/>
      <name val="Arial"/>
    </font>
    <font>
      <sz val="11.0"/>
      <name val="Calibri"/>
    </font>
    <font>
      <sz val="14.0"/>
      <color rgb="FF000000"/>
      <name val="Calibri"/>
    </font>
    <font>
      <sz val="11.0"/>
      <color rgb="FF000000"/>
      <name val="Calibri"/>
    </font>
    <font>
      <b/>
      <sz val="11.0"/>
      <name val="Calibri"/>
    </font>
    <font>
      <u/>
      <sz val="11.0"/>
      <color rgb="FF0000FF"/>
      <name val="Calibri"/>
    </font>
    <font>
      <strike/>
      <sz val="11.0"/>
      <name val="Calibri"/>
    </font>
    <font>
      <u/>
      <sz val="11.0"/>
      <color rgb="FF0000FF"/>
      <name val="Calibri"/>
    </font>
    <font>
      <b/>
      <sz val="11.0"/>
      <name val="Times New Roman"/>
    </font>
    <font>
      <sz val="11.0"/>
      <name val="Times New Roman"/>
    </font>
    <font>
      <u/>
      <sz val="11.0"/>
      <color rgb="FF0000FF"/>
      <name val="Times New Roman"/>
    </font>
  </fonts>
  <fills count="2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8E7FC"/>
        <bgColor rgb="FFE8E7F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1155CC"/>
        <bgColor rgb="FF1155C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164" xfId="0" applyFill="1" applyFont="1" applyNumberFormat="1"/>
    <xf borderId="0" fillId="0" fontId="1" numFmtId="164" xfId="0" applyAlignment="1" applyFont="1" applyNumberFormat="1">
      <alignment shrinkToFit="0" vertical="center" wrapText="1"/>
    </xf>
    <xf borderId="0" fillId="2" fontId="1" numFmtId="0" xfId="0" applyFont="1"/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ont="1">
      <alignment horizontal="center" shrinkToFit="0" wrapText="1"/>
    </xf>
    <xf borderId="0" fillId="0" fontId="1" numFmtId="49" xfId="0" applyAlignment="1" applyFont="1" applyNumberFormat="1">
      <alignment horizontal="center" shrinkToFit="0" vertical="center" wrapText="1"/>
    </xf>
    <xf borderId="0" fillId="2" fontId="3" numFmtId="0" xfId="0" applyAlignment="1" applyFont="1">
      <alignment vertical="bottom"/>
    </xf>
    <xf borderId="0" fillId="0" fontId="4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shrinkToFit="0" vertical="center" wrapText="1"/>
    </xf>
    <xf borderId="0" fillId="2" fontId="2" numFmtId="0" xfId="0" applyAlignment="1" applyFont="1">
      <alignment horizontal="right" shrinkToFit="0" wrapText="1"/>
    </xf>
    <xf borderId="0" fillId="0" fontId="1" numFmtId="0" xfId="0" applyFont="1"/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4" fontId="2" numFmtId="165" xfId="0" applyAlignment="1" applyFill="1" applyFont="1" applyNumberFormat="1">
      <alignment horizontal="right" shrinkToFit="0" wrapText="1"/>
    </xf>
    <xf borderId="0" fillId="4" fontId="1" numFmtId="0" xfId="0" applyFont="1"/>
    <xf borderId="0" fillId="0" fontId="1" numFmtId="165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center" shrinkToFit="0" wrapText="1"/>
    </xf>
    <xf borderId="0" fillId="4" fontId="3" numFmtId="0" xfId="0" applyAlignment="1" applyFont="1">
      <alignment vertical="bottom"/>
    </xf>
    <xf borderId="0" fillId="5" fontId="1" numFmtId="0" xfId="0" applyAlignment="1" applyFill="1" applyFont="1">
      <alignment shrinkToFit="0" vertical="center" wrapText="1"/>
    </xf>
    <xf borderId="0" fillId="4" fontId="2" numFmtId="0" xfId="0" applyFont="1"/>
    <xf borderId="0" fillId="0" fontId="4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right" shrinkToFit="0" wrapText="1"/>
    </xf>
    <xf borderId="0" fillId="2" fontId="2" numFmtId="165" xfId="0" applyAlignment="1" applyFont="1" applyNumberFormat="1">
      <alignment horizontal="right" shrinkToFit="0" wrapText="1"/>
    </xf>
    <xf borderId="0" fillId="0" fontId="5" numFmtId="0" xfId="0" applyAlignment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5" fontId="1" numFmtId="0" xfId="0" applyAlignment="1" applyFont="1">
      <alignment readingOrder="0" shrinkToFit="0" vertical="center" wrapText="1"/>
    </xf>
    <xf borderId="0" fillId="4" fontId="1" numFmtId="164" xfId="0" applyFont="1" applyNumberFormat="1"/>
    <xf borderId="0" fillId="7" fontId="1" numFmtId="0" xfId="0" applyAlignment="1" applyFill="1" applyFont="1">
      <alignment shrinkToFit="0" vertical="center" wrapText="1"/>
    </xf>
    <xf borderId="0" fillId="4" fontId="2" numFmtId="0" xfId="0" applyAlignment="1" applyFont="1">
      <alignment horizontal="right"/>
    </xf>
    <xf borderId="0" fillId="0" fontId="1" numFmtId="0" xfId="0" applyAlignment="1" applyFont="1">
      <alignment readingOrder="0" shrinkToFit="0" vertical="center" wrapText="1"/>
    </xf>
    <xf borderId="0" fillId="8" fontId="1" numFmtId="0" xfId="0" applyAlignment="1" applyFill="1" applyFont="1">
      <alignment shrinkToFit="0" vertical="center" wrapText="1"/>
    </xf>
    <xf borderId="0" fillId="9" fontId="1" numFmtId="0" xfId="0" applyAlignment="1" applyFill="1" applyFont="1">
      <alignment shrinkToFit="0" vertical="center" wrapText="1"/>
    </xf>
    <xf borderId="0" fillId="10" fontId="1" numFmtId="0" xfId="0" applyAlignment="1" applyFill="1" applyFont="1">
      <alignment shrinkToFit="0" vertical="center" wrapText="1"/>
    </xf>
    <xf borderId="0" fillId="11" fontId="1" numFmtId="0" xfId="0" applyAlignment="1" applyFill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11" fontId="1" numFmtId="0" xfId="0" applyAlignment="1" applyFont="1">
      <alignment readingOrder="0" shrinkToFit="0" vertical="center" wrapText="1"/>
    </xf>
    <xf borderId="0" fillId="12" fontId="1" numFmtId="0" xfId="0" applyAlignment="1" applyFill="1" applyFont="1">
      <alignment shrinkToFit="0" vertical="center" wrapText="1"/>
    </xf>
    <xf borderId="0" fillId="13" fontId="1" numFmtId="0" xfId="0" applyAlignment="1" applyFill="1" applyFont="1">
      <alignment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14" fontId="1" numFmtId="0" xfId="0" applyAlignment="1" applyFill="1" applyFont="1">
      <alignment shrinkToFit="0" vertical="center" wrapText="1"/>
    </xf>
    <xf borderId="0" fillId="15" fontId="1" numFmtId="0" xfId="0" applyAlignment="1" applyFill="1" applyFont="1">
      <alignment shrinkToFit="0" vertical="center" wrapText="1"/>
    </xf>
    <xf borderId="0" fillId="4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16" fontId="1" numFmtId="0" xfId="0" applyAlignment="1" applyFill="1" applyFont="1">
      <alignment shrinkToFit="0" vertical="center" wrapText="1"/>
    </xf>
    <xf borderId="0" fillId="17" fontId="1" numFmtId="0" xfId="0" applyAlignment="1" applyFill="1" applyFont="1">
      <alignment shrinkToFit="0" vertical="center" wrapText="1"/>
    </xf>
    <xf borderId="0" fillId="17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2" numFmtId="0" xfId="0" applyAlignment="1" applyFont="1">
      <alignment horizontal="right"/>
    </xf>
    <xf borderId="0" fillId="18" fontId="1" numFmtId="0" xfId="0" applyAlignment="1" applyFill="1" applyFont="1">
      <alignment shrinkToFit="0" vertical="center" wrapText="1"/>
    </xf>
    <xf borderId="0" fillId="19" fontId="1" numFmtId="0" xfId="0" applyAlignment="1" applyFill="1" applyFont="1">
      <alignment shrinkToFit="0" vertical="center" wrapText="1"/>
    </xf>
    <xf borderId="0" fillId="20" fontId="1" numFmtId="0" xfId="0" applyAlignment="1" applyFill="1" applyFont="1">
      <alignment shrinkToFit="0" vertical="center" wrapText="1"/>
    </xf>
    <xf borderId="0" fillId="21" fontId="1" numFmtId="0" xfId="0" applyAlignment="1" applyFill="1" applyFont="1">
      <alignment shrinkToFit="0" vertical="center" wrapText="1"/>
    </xf>
    <xf borderId="0" fillId="22" fontId="1" numFmtId="0" xfId="0" applyAlignment="1" applyFill="1" applyFont="1">
      <alignment shrinkToFit="0" vertical="center" wrapText="1"/>
    </xf>
    <xf borderId="0" fillId="0" fontId="1" numFmtId="164" xfId="0" applyFont="1" applyNumberFormat="1"/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23" fontId="1" numFmtId="0" xfId="0" applyAlignment="1" applyFill="1" applyFont="1">
      <alignment shrinkToFit="0" vertical="center" wrapText="1"/>
    </xf>
    <xf borderId="0" fillId="24" fontId="1" numFmtId="0" xfId="0" applyAlignment="1" applyFill="1" applyFont="1">
      <alignment shrinkToFit="0" vertical="center" wrapText="1"/>
    </xf>
    <xf borderId="0" fillId="0" fontId="1" numFmtId="164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9" numFmtId="0" xfId="0" applyFont="1"/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</dxfs>
  <tableStyles count="8">
    <tableStyle count="2" pivot="0" name="Choix étudiants-style">
      <tableStyleElement dxfId="1" type="firstRowStripe"/>
      <tableStyleElement dxfId="2" type="secondRowStripe"/>
    </tableStyle>
    <tableStyle count="3" pivot="0" name="Choix étudiants-style 2">
      <tableStyleElement dxfId="3" type="headerRow"/>
      <tableStyleElement dxfId="2" type="firstRowStripe"/>
      <tableStyleElement dxfId="1" type="secondRowStripe"/>
    </tableStyle>
    <tableStyle count="2" pivot="0" name="Choix étudiants-style 3">
      <tableStyleElement dxfId="2" type="firstRowStripe"/>
      <tableStyleElement dxfId="1" type="secondRowStripe"/>
    </tableStyle>
    <tableStyle count="2" pivot="0" name="Choix étudiants-style 4">
      <tableStyleElement dxfId="2" type="firstRowStripe"/>
      <tableStyleElement dxfId="1" type="secondRowStripe"/>
    </tableStyle>
    <tableStyle count="2" pivot="0" name="affectation étudiants-style">
      <tableStyleElement dxfId="1" type="firstRowStripe"/>
      <tableStyleElement dxfId="2" type="secondRowStripe"/>
    </tableStyle>
    <tableStyle count="3" pivot="0" name="affectation étudiants-style 2">
      <tableStyleElement dxfId="3" type="headerRow"/>
      <tableStyleElement dxfId="2" type="firstRowStripe"/>
      <tableStyleElement dxfId="1" type="secondRowStripe"/>
    </tableStyle>
    <tableStyle count="3" pivot="0" name="Choix projet effectif-style">
      <tableStyleElement dxfId="3" type="headerRow"/>
      <tableStyleElement dxfId="2" type="firstRowStripe"/>
      <tableStyleElement dxfId="1" type="secondRowStripe"/>
    </tableStyle>
    <tableStyle count="3" pivot="0" name="Projet-style">
      <tableStyleElement dxfId="3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E996" displayName="Table_7" id="7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Choix projet effectif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227:G228" displayName="Table_5" id="5">
  <tableColumns count="1">
    <tableColumn name="Column1" id="1"/>
  </tableColumns>
  <tableStyleInfo name="affectation étudiants-style" showColumnStripes="0" showFirstColumn="1" showLastColumn="1" showRowStripes="1"/>
</table>
</file>

<file path=xl/tables/table3.xml><?xml version="1.0" encoding="utf-8"?>
<table xmlns="http://schemas.openxmlformats.org/spreadsheetml/2006/main" ref="A1:M220" displayName="Table_6" id="6">
  <tableColumns count="13">
    <tableColumn name="Horodateur" id="1"/>
    <tableColumn name="Projet affecté" id="2"/>
    <tableColumn name="Filière" id="3"/>
    <tableColumn name="Nom" id="4"/>
    <tableColumn name="Prénom" id="5"/>
    <tableColumn name="Mail" id="6"/>
    <tableColumn name="Choix 1 : référence" id="7"/>
    <tableColumn name="Choix 2 : Référence" id="8"/>
    <tableColumn name="Choix 3 : Référence" id="9"/>
    <tableColumn name="Choix 4 : Référence" id="10"/>
    <tableColumn name="Choix 5 : Référence" id="11"/>
    <tableColumn name="Départ international" id="12"/>
    <tableColumn name="Entrepreneuriat : sujet" id="13"/>
  </tableColumns>
  <tableStyleInfo name="affectation étudiants-style 2" showColumnStripes="0" showFirstColumn="1" showLastColumn="1" showRowStripes="1"/>
</table>
</file>

<file path=xl/tables/table4.xml><?xml version="1.0" encoding="utf-8"?>
<table xmlns="http://schemas.openxmlformats.org/spreadsheetml/2006/main" headerRowCount="0" ref="D182:E182" displayName="Table_1" id="1">
  <tableColumns count="2">
    <tableColumn name="Column1" id="1"/>
    <tableColumn name="Column2" id="2"/>
  </tableColumns>
  <tableStyleInfo name="Choix étudiant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D179" displayName="Table_2" id="2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Choix étudiant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D217:E217" displayName="Table_3" id="3">
  <tableColumns count="2">
    <tableColumn name="Column1" id="1"/>
    <tableColumn name="Column2" id="2"/>
  </tableColumns>
  <tableStyleInfo name="Choix étudiants-style 3" showColumnStripes="0" showFirstColumn="1" showLastColumn="1" showRowStripes="1"/>
</table>
</file>

<file path=xl/tables/table7.xml><?xml version="1.0" encoding="utf-8"?>
<table xmlns="http://schemas.openxmlformats.org/spreadsheetml/2006/main" headerRowCount="0" ref="D195:E195" displayName="Table_4" id="4">
  <tableColumns count="2">
    <tableColumn name="Column1" id="1"/>
    <tableColumn name="Column2" id="2"/>
  </tableColumns>
  <tableStyleInfo name="Choix étudiants-style 4" showColumnStripes="0" showFirstColumn="1" showLastColumn="1" showRowStripes="1"/>
</table>
</file>

<file path=xl/tables/table8.xml><?xml version="1.0" encoding="utf-8"?>
<table xmlns="http://schemas.openxmlformats.org/spreadsheetml/2006/main" ref="A1:I70" displayName="Table_8" id="8">
  <tableColumns count="9">
    <tableColumn name="Titre du projet" id="1"/>
    <tableColumn name="Numéro du projet" id="2"/>
    <tableColumn name="Statut" id="3"/>
    <tableColumn name="Axe" id="4"/>
    <tableColumn name="Nom Entreprise ou labo partenaire" id="5"/>
    <tableColumn name="Domaines du projet" id="6"/>
    <tableColumn name="Descriptif du projet" id="7"/>
    <tableColumn name="Interlocuteurs" id="8"/>
    <tableColumn name="Informations complémentaires_x000a_" id="9"/>
  </tableColumns>
  <tableStyleInfo name="Proje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-HsUagf7b2MTMllXdJuJjxfgoG-F1P1J" TargetMode="External"/><Relationship Id="rId42" Type="http://schemas.openxmlformats.org/officeDocument/2006/relationships/hyperlink" Target="https://drive.google.com/open?id=1Xr3PsYMHmPXuuJvXeybVa02Aub7S7wqH" TargetMode="External"/><Relationship Id="rId41" Type="http://schemas.openxmlformats.org/officeDocument/2006/relationships/hyperlink" Target="https://drive.google.com/open?id=1o1FNc0z_6118ZoWbn05e8lm3y9oPxBAy" TargetMode="External"/><Relationship Id="rId44" Type="http://schemas.openxmlformats.org/officeDocument/2006/relationships/hyperlink" Target="https://drive.google.com/open?id=1BJc5UFb_pDdGg7qOs_PPo8QSNNYFCaGA" TargetMode="External"/><Relationship Id="rId43" Type="http://schemas.openxmlformats.org/officeDocument/2006/relationships/hyperlink" Target="https://drive.google.com/open?id=1WDQ9wjSHQdVhSqCkAHAJCnWLiFdm9pHo" TargetMode="External"/><Relationship Id="rId46" Type="http://schemas.openxmlformats.org/officeDocument/2006/relationships/hyperlink" Target="https://drive.google.com/open?id=1SDvFW3Q8Z-gPX9yK-C5Y-pnBEekTDlcL" TargetMode="External"/><Relationship Id="rId45" Type="http://schemas.openxmlformats.org/officeDocument/2006/relationships/hyperlink" Target="https://drive.google.com/open?id=1zAYTOiGw-7mTWMqfnXT7vE5RhlmkU5Q6" TargetMode="External"/><Relationship Id="rId1" Type="http://schemas.openxmlformats.org/officeDocument/2006/relationships/hyperlink" Target="https://drive.google.com/open?id=1_ip2e27i4wP9L-ufPGqmMXQsIjoZHK-B" TargetMode="External"/><Relationship Id="rId2" Type="http://schemas.openxmlformats.org/officeDocument/2006/relationships/hyperlink" Target="https://drive.google.com/open?id=1a-CAAB_Y70Obg_e7LKtNLw2M06e_jeEJ" TargetMode="External"/><Relationship Id="rId3" Type="http://schemas.openxmlformats.org/officeDocument/2006/relationships/hyperlink" Target="https://drive.google.com/open?id=14eAe89VW0JGwrFsdCdc9SGxU0QNwd9iC" TargetMode="External"/><Relationship Id="rId4" Type="http://schemas.openxmlformats.org/officeDocument/2006/relationships/hyperlink" Target="https://drive.google.com/open?id=1v5EJh2fH2Aeem2QE9jTxehK6jvgHFZi4" TargetMode="External"/><Relationship Id="rId9" Type="http://schemas.openxmlformats.org/officeDocument/2006/relationships/hyperlink" Target="https://drive.google.com/open?id=1aSV6WKnNHVMrg-0Qo4zFzufWaeBTL7sv" TargetMode="External"/><Relationship Id="rId48" Type="http://schemas.openxmlformats.org/officeDocument/2006/relationships/hyperlink" Target="https://drive.google.com/open?id=1GIdNVU8nIDCc5B-VsHNyqh66ZPgnptYV" TargetMode="External"/><Relationship Id="rId47" Type="http://schemas.openxmlformats.org/officeDocument/2006/relationships/hyperlink" Target="https://drive.google.com/open?id=1RPE9Tv3CunVwiYYf4Np5HJnXjFfWmEzA" TargetMode="External"/><Relationship Id="rId49" Type="http://schemas.openxmlformats.org/officeDocument/2006/relationships/hyperlink" Target="https://drive.google.com/open?id=1AlG_E_yYZgDTzXEYFfUZT1VAp-7sNSxX" TargetMode="External"/><Relationship Id="rId5" Type="http://schemas.openxmlformats.org/officeDocument/2006/relationships/hyperlink" Target="https://drive.google.com/open?id=1K5c2J5lFixEVf8jeIqQbzK6ZKgwpPcZM" TargetMode="External"/><Relationship Id="rId6" Type="http://schemas.openxmlformats.org/officeDocument/2006/relationships/hyperlink" Target="https://drive.google.com/open?id=1zbZK-Ibw7vjsvuD8Uj-CQBEiDXI451V5" TargetMode="External"/><Relationship Id="rId7" Type="http://schemas.openxmlformats.org/officeDocument/2006/relationships/hyperlink" Target="https://drive.google.com/open?id=1sSLPU5PlnVw0EoMrKFou13vx9Ap6DRun" TargetMode="External"/><Relationship Id="rId8" Type="http://schemas.openxmlformats.org/officeDocument/2006/relationships/hyperlink" Target="https://drive.google.com/open?id=1z7y94kdGvHZsfRdEzgvTw-EB6HZG0U2o" TargetMode="External"/><Relationship Id="rId31" Type="http://schemas.openxmlformats.org/officeDocument/2006/relationships/hyperlink" Target="https://drive.google.com/open?id=1xGM6Bbe5PYUcMMxUeURy_1K87_nrlAE7" TargetMode="External"/><Relationship Id="rId30" Type="http://schemas.openxmlformats.org/officeDocument/2006/relationships/hyperlink" Target="https://drive.google.com/open?id=1D7shFTFuYtbyFbHgBcIEdMXS4Vqpc9h7" TargetMode="External"/><Relationship Id="rId33" Type="http://schemas.openxmlformats.org/officeDocument/2006/relationships/hyperlink" Target="https://drive.google.com/open?id=1cHrP1bmkP_51F8_j_JN1h9fQeNjtWh5i" TargetMode="External"/><Relationship Id="rId32" Type="http://schemas.openxmlformats.org/officeDocument/2006/relationships/hyperlink" Target="https://drive.google.com/open?id=1OycS0wAAxJMCbhkmuL4HPhiCRN9Bg94c" TargetMode="External"/><Relationship Id="rId35" Type="http://schemas.openxmlformats.org/officeDocument/2006/relationships/hyperlink" Target="https://drive.google.com/open?id=16crJyZ7Ge1dcse9d6zIBlAbgDf9eBoDb" TargetMode="External"/><Relationship Id="rId34" Type="http://schemas.openxmlformats.org/officeDocument/2006/relationships/hyperlink" Target="https://drive.google.com/open?id=1jekglv3QNSk8-rrK3ZH_-aZUPX73GuVo" TargetMode="External"/><Relationship Id="rId37" Type="http://schemas.openxmlformats.org/officeDocument/2006/relationships/hyperlink" Target="https://drive.google.com/open?id=1liXRLVhRsXZzhp4ne3GbdxOIJottNapl" TargetMode="External"/><Relationship Id="rId36" Type="http://schemas.openxmlformats.org/officeDocument/2006/relationships/hyperlink" Target="https://drive.google.com/open?id=1kbreNzl9yhP6GughyD2-G7J8tWiYJ2wU" TargetMode="External"/><Relationship Id="rId39" Type="http://schemas.openxmlformats.org/officeDocument/2006/relationships/hyperlink" Target="https://drive.google.com/open?id=1HZQ3IKHGPA0OTZG_rYaKESTQbtVt3nk1" TargetMode="External"/><Relationship Id="rId38" Type="http://schemas.openxmlformats.org/officeDocument/2006/relationships/hyperlink" Target="https://drive.google.com/open?id=1tolmHhprTrVOXlVA-9l88zeiyG4_WzJv" TargetMode="External"/><Relationship Id="rId62" Type="http://schemas.openxmlformats.org/officeDocument/2006/relationships/hyperlink" Target="https://drive.google.com/open?id=1wFYMSuVs9_uIE-dcKP3pitTHqPqHgb_o" TargetMode="External"/><Relationship Id="rId61" Type="http://schemas.openxmlformats.org/officeDocument/2006/relationships/hyperlink" Target="https://drive.google.com/open?id=11Hv4KDCsTWN6HS78RSpcHSTiZhK5vleO" TargetMode="External"/><Relationship Id="rId20" Type="http://schemas.openxmlformats.org/officeDocument/2006/relationships/hyperlink" Target="https://drive.google.com/open?id=19UPjMt_i4RnLMnETtsMnAvhf9xdna58b" TargetMode="External"/><Relationship Id="rId64" Type="http://schemas.openxmlformats.org/officeDocument/2006/relationships/drawing" Target="../drawings/drawing4.xml"/><Relationship Id="rId63" Type="http://schemas.openxmlformats.org/officeDocument/2006/relationships/hyperlink" Target="https://drive.google.com/open?id=1DqrJ20sDzNXdQadKib_hVoSBGL-m1Xd2" TargetMode="External"/><Relationship Id="rId22" Type="http://schemas.openxmlformats.org/officeDocument/2006/relationships/hyperlink" Target="https://drive.google.com/open?id=133E2ZBoISBZ2sx-A0wU3wBeMaz59S2-r" TargetMode="External"/><Relationship Id="rId66" Type="http://schemas.openxmlformats.org/officeDocument/2006/relationships/table" Target="../tables/table8.xml"/><Relationship Id="rId21" Type="http://schemas.openxmlformats.org/officeDocument/2006/relationships/hyperlink" Target="https://drive.google.com/open?id=1rFrJLu3kQDBVeBiPpY7nSpQ_f2JhRHXx" TargetMode="External"/><Relationship Id="rId24" Type="http://schemas.openxmlformats.org/officeDocument/2006/relationships/hyperlink" Target="https://drive.google.com/open?id=1DQDSdySGUnQ12eGh4miXp5HKHS1Z_vnv" TargetMode="External"/><Relationship Id="rId23" Type="http://schemas.openxmlformats.org/officeDocument/2006/relationships/hyperlink" Target="https://drive.google.com/open?id=1Za3PE3A_cNjl6OyoUb1ZAPLm8hMe0VZ5" TargetMode="External"/><Relationship Id="rId60" Type="http://schemas.openxmlformats.org/officeDocument/2006/relationships/hyperlink" Target="https://drive.google.com/open?id=1-NSLY22IbKc4tGvmOfN5C2BOpcdMJglb" TargetMode="External"/><Relationship Id="rId26" Type="http://schemas.openxmlformats.org/officeDocument/2006/relationships/hyperlink" Target="https://drive.google.com/open?id=1PIfRIS5UW4PHgS7Jbiu3LfLbiyCHFroe" TargetMode="External"/><Relationship Id="rId25" Type="http://schemas.openxmlformats.org/officeDocument/2006/relationships/hyperlink" Target="https://drive.google.com/open?id=1w13KebpWGUyrVBhhiaang8zPduZ8COWw" TargetMode="External"/><Relationship Id="rId28" Type="http://schemas.openxmlformats.org/officeDocument/2006/relationships/hyperlink" Target="https://drive.google.com/open?id=1vDZQx9KXwgw-Z9OZR2MQsWWuYpPQOMiK" TargetMode="External"/><Relationship Id="rId27" Type="http://schemas.openxmlformats.org/officeDocument/2006/relationships/hyperlink" Target="https://drive.google.com/open?id=17sP7IIP8mN1BT8ZCFnpWZQY4b7_FhIyd" TargetMode="External"/><Relationship Id="rId29" Type="http://schemas.openxmlformats.org/officeDocument/2006/relationships/hyperlink" Target="https://drive.google.com/open?id=1sRiJkRG-vQLqnELnekhSVh2-yQ4RyfVY" TargetMode="External"/><Relationship Id="rId51" Type="http://schemas.openxmlformats.org/officeDocument/2006/relationships/hyperlink" Target="https://drive.google.com/open?id=1rveMCTyveMJzERMsrIzH3HRjWb4sRrOS" TargetMode="External"/><Relationship Id="rId50" Type="http://schemas.openxmlformats.org/officeDocument/2006/relationships/hyperlink" Target="https://drive.google.com/open?id=1LohHAmKApT2n0yE1ttBrPLK7JRO0WHvr" TargetMode="External"/><Relationship Id="rId53" Type="http://schemas.openxmlformats.org/officeDocument/2006/relationships/hyperlink" Target="https://drive.google.com/open?id=1lnoCjXy8etbrY1aPAxJvBNxVa9Zh0_HN" TargetMode="External"/><Relationship Id="rId52" Type="http://schemas.openxmlformats.org/officeDocument/2006/relationships/hyperlink" Target="https://drive.google.com/open?id=1YRyhqVZDxy8nc2yY9LPg4LTjUU6dySkE" TargetMode="External"/><Relationship Id="rId11" Type="http://schemas.openxmlformats.org/officeDocument/2006/relationships/hyperlink" Target="https://drive.google.com/open?id=1suRn7ZVgwTw8x3nZwMrxpaWO9cmqMzXL" TargetMode="External"/><Relationship Id="rId55" Type="http://schemas.openxmlformats.org/officeDocument/2006/relationships/hyperlink" Target="https://drive.google.com/open?id=1HYxO1ard0xiSPKlRNcG9AqsodkIU9vO6" TargetMode="External"/><Relationship Id="rId10" Type="http://schemas.openxmlformats.org/officeDocument/2006/relationships/hyperlink" Target="https://drive.google.com/open?id=1rom6USuBXJcwTQx20s2EZsxIRfZ1WHVi" TargetMode="External"/><Relationship Id="rId54" Type="http://schemas.openxmlformats.org/officeDocument/2006/relationships/hyperlink" Target="https://drive.google.com/open?id=1IZ5lw9JmMHhSRMeIgzmS6xAniANRASdT" TargetMode="External"/><Relationship Id="rId13" Type="http://schemas.openxmlformats.org/officeDocument/2006/relationships/hyperlink" Target="https://drive.google.com/open?id=1JU5BUw0AVaQENzNisQ10uUhsu_Gtby2L" TargetMode="External"/><Relationship Id="rId57" Type="http://schemas.openxmlformats.org/officeDocument/2006/relationships/hyperlink" Target="https://drive.google.com/open?id=19ckLKwRGFd-oImBDFa8s-L2QiRzssaZq" TargetMode="External"/><Relationship Id="rId12" Type="http://schemas.openxmlformats.org/officeDocument/2006/relationships/hyperlink" Target="https://drive.google.com/open?id=11dkrrBQrHKOmv41A4gEOiWK44XcHhG2I" TargetMode="External"/><Relationship Id="rId56" Type="http://schemas.openxmlformats.org/officeDocument/2006/relationships/hyperlink" Target="https://drive.google.com/open?id=1ZE2lFM1eKRpQOgoz2wRRDG8lSTNyxXlF" TargetMode="External"/><Relationship Id="rId15" Type="http://schemas.openxmlformats.org/officeDocument/2006/relationships/hyperlink" Target="https://drive.google.com/open?id=1BCU1JoHDlq39j6a992izZ4NjeCL00_K6" TargetMode="External"/><Relationship Id="rId59" Type="http://schemas.openxmlformats.org/officeDocument/2006/relationships/hyperlink" Target="https://drive.google.com/open?id=1csSTi3Ye2WjX_Kd9Es4Tpx0GZnZ9rcy6" TargetMode="External"/><Relationship Id="rId14" Type="http://schemas.openxmlformats.org/officeDocument/2006/relationships/hyperlink" Target="https://drive.google.com/open?id=1a0fpgOZJN2yxxBGabgqDlLYnYoDzifyL" TargetMode="External"/><Relationship Id="rId58" Type="http://schemas.openxmlformats.org/officeDocument/2006/relationships/hyperlink" Target="https://drive.google.com/open?id=1ptZwrUPyE0XgEa1qPNfxMj-NXTjrUlCq" TargetMode="External"/><Relationship Id="rId17" Type="http://schemas.openxmlformats.org/officeDocument/2006/relationships/hyperlink" Target="https://drive.google.com/open?id=1Q1b2cijBVzbJJnGdj2qFZgDiN_aH0D9k" TargetMode="External"/><Relationship Id="rId16" Type="http://schemas.openxmlformats.org/officeDocument/2006/relationships/hyperlink" Target="https://drive.google.com/open?id=1u4yWD-X3V43HlPZbjVuTDw7C5iQI7qVh" TargetMode="External"/><Relationship Id="rId19" Type="http://schemas.openxmlformats.org/officeDocument/2006/relationships/hyperlink" Target="https://drive.google.com/open?id=1PaGMkU_1uHV__lGqOdHvXkg7bnPQVFrD" TargetMode="External"/><Relationship Id="rId18" Type="http://schemas.openxmlformats.org/officeDocument/2006/relationships/hyperlink" Target="https://drive.google.com/open?id=1Evugthgmct3MgrFAsvjFbvSM3zdVUh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9.86"/>
    <col customWidth="1" min="2" max="2" width="12.57"/>
    <col customWidth="1" min="3" max="3" width="10.0"/>
    <col customWidth="1" min="4" max="4" width="9.29"/>
    <col customWidth="1" min="5" max="6" width="8.14"/>
    <col customWidth="1" min="7" max="7" width="9.57"/>
    <col customWidth="1" min="8" max="8" width="15.86"/>
    <col customWidth="1" hidden="1" min="9" max="9" width="16.29"/>
    <col customWidth="1" hidden="1" min="10" max="10" width="24.71"/>
    <col customWidth="1" min="11" max="11" width="16.86"/>
    <col customWidth="1" min="12" max="13" width="32.29"/>
    <col customWidth="1" hidden="1" min="14" max="14" width="32.29"/>
    <col customWidth="1" min="15" max="31" width="32.29"/>
  </cols>
  <sheetData>
    <row r="1" ht="37.5" customHeight="1">
      <c r="A1" s="5" t="str">
        <f>Projet!A1</f>
        <v>Titre du projet</v>
      </c>
      <c r="B1" s="7" t="str">
        <f>Projet!B1</f>
        <v>Numéro du projet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9" t="str">
        <f>Projet!C1</f>
        <v>Statut</v>
      </c>
      <c r="I1" s="5" t="str">
        <f>Projet!D1</f>
        <v>Axe</v>
      </c>
      <c r="J1" s="5" t="str">
        <f>Projet!E1</f>
        <v>Nom Entreprise ou labo partenaire</v>
      </c>
      <c r="K1" s="5" t="str">
        <f>Projet!F1</f>
        <v>Domaines du projet</v>
      </c>
      <c r="L1" s="5" t="str">
        <f>Projet!G1</f>
        <v>Descriptif du projet</v>
      </c>
      <c r="M1" s="5" t="str">
        <f>Projet!H1</f>
        <v>Interlocuteurs</v>
      </c>
      <c r="N1" s="5" t="str">
        <f>Projet!I1</f>
        <v>Informations complémentaires
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ht="37.5" customHeight="1">
      <c r="A2" s="5" t="str">
        <f>Projet!A2</f>
        <v>Coupe de France de robotique 2019</v>
      </c>
      <c r="B2" s="7" t="str">
        <f>Projet!B2</f>
        <v>C1</v>
      </c>
      <c r="C2" s="18">
        <f>COUNTIF('Choix étudiants'!$H$2:$H$219,B2)</f>
        <v>4</v>
      </c>
      <c r="D2" s="18">
        <f>COUNTIF('Choix étudiants'!J$1:J$219,B2)</f>
        <v>4</v>
      </c>
      <c r="E2" s="18">
        <f>COUNTIF('Choix étudiants'!L$1:L$219,B2)</f>
        <v>5</v>
      </c>
      <c r="F2" s="18">
        <f>COUNTIF('Choix étudiants'!N$1:N$219,B2)</f>
        <v>2</v>
      </c>
      <c r="G2" s="18">
        <f>COUNTIF('Choix étudiants'!P$1:P$219,B2)</f>
        <v>12</v>
      </c>
      <c r="H2" s="23" t="s">
        <v>6</v>
      </c>
      <c r="I2" s="5" t="str">
        <f>Projet!D2</f>
        <v>Concours</v>
      </c>
      <c r="J2" s="5" t="str">
        <f>Projet!E2</f>
        <v/>
      </c>
      <c r="K2" s="5" t="str">
        <f>Projet!F2</f>
        <v>Info, ELE, SE, GI</v>
      </c>
      <c r="L2" s="26" t="str">
        <f>Projet!G2</f>
        <v>C1_Coupe robotique 2019.pdf</v>
      </c>
      <c r="M2" s="5" t="str">
        <f>Projet!H2</f>
        <v>Romain Negrel</v>
      </c>
      <c r="N2" s="5" t="str">
        <f>Projet!I2</f>
        <v>SK10 (*1)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ht="37.5" customHeight="1">
      <c r="A3" s="5" t="str">
        <f>Projet!A3</f>
        <v>NxP Cup</v>
      </c>
      <c r="B3" s="7" t="str">
        <f>Projet!B3</f>
        <v>C2</v>
      </c>
      <c r="C3" s="18">
        <f>COUNTIF('Choix étudiants'!$H$1:$H$219,B3)</f>
        <v>1</v>
      </c>
      <c r="D3" s="18">
        <f>COUNTIF('Choix étudiants'!J$1:J$219,B3)</f>
        <v>2</v>
      </c>
      <c r="E3" s="18">
        <f>COUNTIF('Choix étudiants'!L$1:L$219,B3)</f>
        <v>2</v>
      </c>
      <c r="F3" s="18">
        <f>COUNTIF('Choix étudiants'!N$1:N$219,B3)</f>
        <v>1</v>
      </c>
      <c r="G3" s="18">
        <f>COUNTIF('Choix étudiants'!P$1:P$219,B3)</f>
        <v>1</v>
      </c>
      <c r="I3" s="5" t="str">
        <f>Projet!D3</f>
        <v>Concours</v>
      </c>
      <c r="J3" s="5" t="str">
        <f>Projet!E3</f>
        <v/>
      </c>
      <c r="K3" s="5" t="str">
        <f>Projet!F3</f>
        <v>Info, ELE, SE</v>
      </c>
      <c r="L3" s="26" t="str">
        <f>Projet!G3</f>
        <v>C2_NxP_Cup.pdf</v>
      </c>
      <c r="M3" s="5" t="str">
        <f>Projet!H3</f>
        <v>T. Grandpierre</v>
      </c>
      <c r="N3" s="5" t="str">
        <f>Projet!I3</f>
        <v>il faut des équipes de 3 max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37.5" customHeight="1">
      <c r="A4" s="5" t="str">
        <f>Projet!A4</f>
        <v>InnovateFPGA ou/et Digilent Design Contest</v>
      </c>
      <c r="B4" s="7" t="str">
        <f>Projet!B4</f>
        <v>C3</v>
      </c>
      <c r="C4" s="18">
        <f>COUNTIF('Choix étudiants'!$H$1:$H$219,B4)</f>
        <v>5</v>
      </c>
      <c r="D4" s="18">
        <f>COUNTIF('Choix étudiants'!J$1:J$219,B4)</f>
        <v>2</v>
      </c>
      <c r="E4" s="18">
        <f>COUNTIF('Choix étudiants'!L$1:L$219,B4)</f>
        <v>1</v>
      </c>
      <c r="F4" s="18">
        <f>COUNTIF('Choix étudiants'!N$1:N$219,B4)</f>
        <v>0</v>
      </c>
      <c r="G4" s="18">
        <f>COUNTIF('Choix étudiants'!P$1:P$219,B4)</f>
        <v>0</v>
      </c>
      <c r="H4" s="23" t="s">
        <v>7</v>
      </c>
      <c r="I4" s="5" t="str">
        <f>Projet!D4</f>
        <v>Concours</v>
      </c>
      <c r="J4" s="5" t="str">
        <f>Projet!E4</f>
        <v/>
      </c>
      <c r="K4" s="5" t="str">
        <f>Projet!F4</f>
        <v>ELE</v>
      </c>
      <c r="L4" s="26" t="str">
        <f>Projet!G4</f>
        <v>C3_Camescope_concoursFPGA.pdf</v>
      </c>
      <c r="M4" s="5" t="str">
        <f>Projet!H4</f>
        <v>Ludovic Noury</v>
      </c>
      <c r="N4" s="5" t="str">
        <f>Projet!I4</f>
        <v/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ht="37.5" customHeight="1">
      <c r="A5" s="27" t="str">
        <f>Projet!A5</f>
        <v>Concours pour valoriser les données sur la qualité de l’air extérieur</v>
      </c>
      <c r="B5" s="7" t="str">
        <f>Projet!B5</f>
        <v>C4</v>
      </c>
      <c r="C5" s="18">
        <f>COUNTIF('Choix étudiants'!$H$1:$H$219,B5)</f>
        <v>2</v>
      </c>
      <c r="D5" s="18">
        <f>COUNTIF('Choix étudiants'!J$1:J$219,B5)</f>
        <v>0</v>
      </c>
      <c r="E5" s="18">
        <f>COUNTIF('Choix étudiants'!L$1:L$219,B5)</f>
        <v>0</v>
      </c>
      <c r="F5" s="18">
        <f>COUNTIF('Choix étudiants'!N$1:N$219,B5)</f>
        <v>0</v>
      </c>
      <c r="G5" s="18">
        <f>COUNTIF('Choix étudiants'!P$1:P$219,B5)</f>
        <v>0</v>
      </c>
      <c r="H5" s="9" t="str">
        <f>Projet!C5</f>
        <v/>
      </c>
      <c r="I5" s="5" t="str">
        <f>Projet!D5</f>
        <v>Concours</v>
      </c>
      <c r="J5" s="5" t="str">
        <f>Projet!E5</f>
        <v/>
      </c>
      <c r="K5" s="5" t="str">
        <f>Projet!F5</f>
        <v>DSIA, Info</v>
      </c>
      <c r="L5" s="26" t="str">
        <f>Projet!G5</f>
        <v>C4_Qualité de l'air.pdf</v>
      </c>
      <c r="M5" s="5" t="str">
        <f>Projet!H5</f>
        <v>J.F Bercher</v>
      </c>
      <c r="N5" s="5" t="str">
        <f>Projet!I5</f>
        <v/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37.5" customHeight="1">
      <c r="A6" s="5" t="str">
        <f>Projet!A7</f>
        <v>Création d’un simulateur virtuel de ventilateur artificiel connecté à un patient</v>
      </c>
      <c r="B6" s="7" t="str">
        <f>Projet!B7</f>
        <v>E1</v>
      </c>
      <c r="C6" s="18">
        <f>COUNTIF('Choix étudiants'!$H$1:$H$219,B6)</f>
        <v>4</v>
      </c>
      <c r="D6" s="18">
        <f>COUNTIF('Choix étudiants'!J$1:J$219,B6)</f>
        <v>2</v>
      </c>
      <c r="E6" s="18">
        <f>COUNTIF('Choix étudiants'!L$1:L$219,B6)</f>
        <v>6</v>
      </c>
      <c r="F6" s="18">
        <f>COUNTIF('Choix étudiants'!N$1:N$219,B6)</f>
        <v>5</v>
      </c>
      <c r="G6" s="18">
        <f>COUNTIF('Choix étudiants'!P$1:P$219,B6)</f>
        <v>3</v>
      </c>
      <c r="H6" s="23" t="s">
        <v>8</v>
      </c>
      <c r="I6" s="5" t="str">
        <f>Projet!D7</f>
        <v>Entreprise</v>
      </c>
      <c r="J6" s="5" t="str">
        <f>Projet!E7</f>
        <v>CHU Henry Mondor</v>
      </c>
      <c r="K6" s="5" t="str">
        <f>Projet!F7</f>
        <v>Info, e-santé</v>
      </c>
      <c r="L6" s="26" t="str">
        <f>Projet!G7</f>
        <v>E1_Henry Mondor.pdf</v>
      </c>
      <c r="M6" s="5" t="str">
        <f>Projet!H7</f>
        <v>Adrien UGON Alain LACOMBE</v>
      </c>
      <c r="N6" s="5" t="str">
        <f>Projet!I7</f>
        <v/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37.5" customHeight="1">
      <c r="A7" s="5" t="str">
        <f>Projet!A8</f>
        <v>Réalité Virtuelle pour les Salles Blanches</v>
      </c>
      <c r="B7" s="7" t="str">
        <f>Projet!B8</f>
        <v>E2</v>
      </c>
      <c r="C7" s="18">
        <f>COUNTIF('Choix étudiants'!$H$1:$H$219,B7)</f>
        <v>0</v>
      </c>
      <c r="D7" s="18">
        <f>COUNTIF('Choix étudiants'!J$1:J$219,B7)</f>
        <v>1</v>
      </c>
      <c r="E7" s="18">
        <f>COUNTIF('Choix étudiants'!L$1:L$219,B7)</f>
        <v>3</v>
      </c>
      <c r="F7" s="18">
        <f>COUNTIF('Choix étudiants'!N$1:N$219,B7)</f>
        <v>2</v>
      </c>
      <c r="G7" s="18">
        <f>COUNTIF('Choix étudiants'!P$1:P$219,B7)</f>
        <v>3</v>
      </c>
      <c r="H7" s="23"/>
      <c r="I7" s="5" t="str">
        <f>Projet!D8</f>
        <v>Entreprise</v>
      </c>
      <c r="J7" s="5" t="str">
        <f>Projet!E8</f>
        <v>SMM ESIEE</v>
      </c>
      <c r="K7" s="5" t="str">
        <f>Projet!F8</f>
        <v>Info</v>
      </c>
      <c r="L7" s="26" t="str">
        <f>Projet!G8</f>
        <v>E2_RVpoursalleblanche.pdf</v>
      </c>
      <c r="M7" s="5" t="str">
        <f>Projet!H8</f>
        <v>T. Grandpierre B.Mercier</v>
      </c>
      <c r="N7" s="5" t="str">
        <f>Projet!I8</f>
        <v/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37.5" customHeight="1">
      <c r="A8" s="27" t="str">
        <f>Projet!A9</f>
        <v>Génération automatique de plan de test pour la validation ECU</v>
      </c>
      <c r="B8" s="7" t="str">
        <f>Projet!B9</f>
        <v>E3</v>
      </c>
      <c r="C8" s="18">
        <f>COUNTIF('Choix étudiants'!$H$1:$H$219,B8)</f>
        <v>0</v>
      </c>
      <c r="D8" s="18">
        <f>COUNTIF('Choix étudiants'!J$1:J$219,B8)</f>
        <v>0</v>
      </c>
      <c r="E8" s="18">
        <f>COUNTIF('Choix étudiants'!L$1:L$219,B8)</f>
        <v>1</v>
      </c>
      <c r="F8" s="18">
        <f>COUNTIF('Choix étudiants'!N$1:N$219,B8)</f>
        <v>1</v>
      </c>
      <c r="G8" s="18">
        <f>COUNTIF('Choix étudiants'!P$1:P$219,B8)</f>
        <v>3</v>
      </c>
      <c r="H8" s="9" t="str">
        <f>Projet!C9</f>
        <v/>
      </c>
      <c r="I8" s="5" t="str">
        <f>Projet!D9</f>
        <v>Entreprise</v>
      </c>
      <c r="J8" s="5" t="str">
        <f>Projet!E9</f>
        <v>Renault sas</v>
      </c>
      <c r="K8" s="5" t="str">
        <f>Projet!F9</f>
        <v>Info, ELE, SE</v>
      </c>
      <c r="L8" s="26" t="str">
        <f>Projet!G9</f>
        <v>E3_Renault.pdf</v>
      </c>
      <c r="M8" s="5" t="str">
        <f>Projet!H9</f>
        <v/>
      </c>
      <c r="N8" s="5" t="str">
        <f>Projet!I9</f>
        <v/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37.5" customHeight="1">
      <c r="A9" s="5" t="str">
        <f>Projet!A10</f>
        <v> NETFLIX DE L’IMMOBILIER 1.0</v>
      </c>
      <c r="B9" s="7" t="str">
        <f>Projet!B10</f>
        <v>E4</v>
      </c>
      <c r="C9" s="18">
        <f>COUNTIF('Choix étudiants'!$H$1:$H$219,B9)</f>
        <v>2</v>
      </c>
      <c r="D9" s="18">
        <f>COUNTIF('Choix étudiants'!J$1:J$219,B9)</f>
        <v>9</v>
      </c>
      <c r="E9" s="18">
        <f>COUNTIF('Choix étudiants'!L$1:L$219,B9)</f>
        <v>3</v>
      </c>
      <c r="F9" s="18">
        <f>COUNTIF('Choix étudiants'!N$1:N$219,B9)</f>
        <v>0</v>
      </c>
      <c r="G9" s="18">
        <f>COUNTIF('Choix étudiants'!P$1:P$219,B9)</f>
        <v>4</v>
      </c>
      <c r="H9" s="23" t="s">
        <v>9</v>
      </c>
      <c r="I9" s="5" t="str">
        <f>Projet!D10</f>
        <v>Entreprise</v>
      </c>
      <c r="J9" s="5" t="str">
        <f>Projet!E10</f>
        <v>Bon de visite</v>
      </c>
      <c r="K9" s="5" t="str">
        <f>Projet!F10</f>
        <v>DSIA</v>
      </c>
      <c r="L9" s="26" t="str">
        <f>Projet!G10</f>
        <v>E4_NETFLIX.pdf</v>
      </c>
      <c r="M9" s="5" t="str">
        <f>Projet!H10</f>
        <v>D. Courivaud</v>
      </c>
      <c r="N9" s="5" t="str">
        <f>Projet!I10</f>
        <v/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37.5" customHeight="1">
      <c r="A10" s="27" t="str">
        <f>Projet!A11</f>
        <v>Création automatique de classes virtuelles sur plateforme Rainbow</v>
      </c>
      <c r="B10" s="7" t="str">
        <f>Projet!B11</f>
        <v>E5</v>
      </c>
      <c r="C10" s="18">
        <f>COUNTIF('Choix étudiants'!$H$1:$H$219,B10)</f>
        <v>2</v>
      </c>
      <c r="D10" s="18">
        <f>COUNTIF('Choix étudiants'!J$1:J$219,B10)</f>
        <v>1</v>
      </c>
      <c r="E10" s="18">
        <f>COUNTIF('Choix étudiants'!L$1:L$219,B10)</f>
        <v>2</v>
      </c>
      <c r="F10" s="18">
        <f>COUNTIF('Choix étudiants'!N$1:N$219,B10)</f>
        <v>1</v>
      </c>
      <c r="G10" s="18">
        <f>COUNTIF('Choix étudiants'!P$1:P$219,B10)</f>
        <v>1</v>
      </c>
      <c r="H10" s="9" t="str">
        <f>Projet!C11</f>
        <v/>
      </c>
      <c r="I10" s="5" t="str">
        <f>Projet!D11</f>
        <v>Entreprise</v>
      </c>
      <c r="J10" s="5" t="str">
        <f>Projet!E11</f>
        <v>Alcatel-Lucent</v>
      </c>
      <c r="K10" s="5" t="str">
        <f>Projet!F11</f>
        <v>Info, DSIA</v>
      </c>
      <c r="L10" s="26" t="str">
        <f>Projet!G11</f>
        <v>E5_Alcatel_CV.pdf</v>
      </c>
      <c r="M10" s="5" t="str">
        <f>Projet!H11</f>
        <v>B. Marzouk          P. Lemonnier</v>
      </c>
      <c r="N10" s="5" t="str">
        <f>Projet!I11</f>
        <v/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37.5" customHeight="1">
      <c r="A11" s="27" t="str">
        <f>Projet!A12</f>
        <v>Rainbow Learning Managment System (LMS) BoT</v>
      </c>
      <c r="B11" s="7" t="str">
        <f>Projet!B12</f>
        <v>E6</v>
      </c>
      <c r="C11" s="18">
        <f>COUNTIF('Choix étudiants'!$H$1:$H$219,B11)</f>
        <v>0</v>
      </c>
      <c r="D11" s="18">
        <f>COUNTIF('Choix étudiants'!J$1:J$219,B11)</f>
        <v>1</v>
      </c>
      <c r="E11" s="18">
        <f>COUNTIF('Choix étudiants'!L$1:L$219,B11)</f>
        <v>2</v>
      </c>
      <c r="F11" s="18">
        <f>COUNTIF('Choix étudiants'!N$1:N$219,B11)</f>
        <v>1</v>
      </c>
      <c r="G11" s="18">
        <f>COUNTIF('Choix étudiants'!P$1:P$219,B11)</f>
        <v>2</v>
      </c>
      <c r="H11" s="9" t="str">
        <f>Projet!C12</f>
        <v/>
      </c>
      <c r="I11" s="5" t="str">
        <f>Projet!D12</f>
        <v>Entreprise</v>
      </c>
      <c r="J11" s="5" t="str">
        <f>Projet!E12</f>
        <v>Alcatel-Lucent</v>
      </c>
      <c r="K11" s="5" t="str">
        <f>Projet!F12</f>
        <v>Info, DSIA</v>
      </c>
      <c r="L11" s="26" t="str">
        <f>Projet!G12</f>
        <v>E6_Alcatel_LMS.pdf</v>
      </c>
      <c r="M11" s="5" t="str">
        <f>Projet!H12</f>
        <v>B. Marzouk           D. El Malki</v>
      </c>
      <c r="N11" s="5" t="str">
        <f>Projet!I12</f>
        <v/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37.5" customHeight="1">
      <c r="A12" s="5" t="str">
        <f>Projet!A13</f>
        <v>Machine Learning et Scoring pour trouver ton futur job</v>
      </c>
      <c r="B12" s="7" t="str">
        <f>Projet!B13</f>
        <v>E7</v>
      </c>
      <c r="C12" s="18">
        <f>COUNTIF('Choix étudiants'!$H$1:$H$219,B12)</f>
        <v>9</v>
      </c>
      <c r="D12" s="18">
        <f>COUNTIF('Choix étudiants'!J$1:J$219,B12)</f>
        <v>2</v>
      </c>
      <c r="E12" s="18">
        <f>COUNTIF('Choix étudiants'!L$1:L$219,B12)</f>
        <v>0</v>
      </c>
      <c r="F12" s="18">
        <f>COUNTIF('Choix étudiants'!N$1:N$219,B12)</f>
        <v>6</v>
      </c>
      <c r="G12" s="18">
        <f>COUNTIF('Choix étudiants'!P$1:P$219,B12)</f>
        <v>0</v>
      </c>
      <c r="H12" s="23" t="s">
        <v>11</v>
      </c>
      <c r="I12" s="5" t="str">
        <f>Projet!D13</f>
        <v>Entreprise</v>
      </c>
      <c r="J12" s="5" t="str">
        <f>Projet!E13</f>
        <v>Le Bon Coin</v>
      </c>
      <c r="K12" s="5" t="str">
        <f>Projet!F13</f>
        <v>DSIA</v>
      </c>
      <c r="L12" s="26" t="str">
        <f>Projet!G13</f>
        <v>E7_MachineLearning.pdf</v>
      </c>
      <c r="M12" s="5" t="str">
        <f>Projet!H13</f>
        <v>D. Courivaud</v>
      </c>
      <c r="N12" s="5" t="str">
        <f>Projet!I13</f>
        <v/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37.5" customHeight="1">
      <c r="A13" s="5" t="str">
        <f>Projet!A14</f>
        <v>Analyse de Retour d’Expérience de grands projets de Construction</v>
      </c>
      <c r="B13" s="7" t="str">
        <f>Projet!B14</f>
        <v>E8</v>
      </c>
      <c r="C13" s="18">
        <f>COUNTIF('Choix étudiants'!$H$1:$H$219,B13)</f>
        <v>0</v>
      </c>
      <c r="D13" s="18">
        <f>COUNTIF('Choix étudiants'!J$1:J$219,B13)</f>
        <v>2</v>
      </c>
      <c r="E13" s="18">
        <f>COUNTIF('Choix étudiants'!L$1:L$219,B13)</f>
        <v>1</v>
      </c>
      <c r="F13" s="18">
        <f>COUNTIF('Choix étudiants'!N$1:N$219,B13)</f>
        <v>0</v>
      </c>
      <c r="G13" s="18">
        <f>COUNTIF('Choix étudiants'!P$1:P$219,B13)</f>
        <v>0</v>
      </c>
      <c r="H13" s="9" t="str">
        <f>Projet!C14</f>
        <v/>
      </c>
      <c r="I13" s="5" t="str">
        <f>Projet!D14</f>
        <v>Entreprise</v>
      </c>
      <c r="J13" s="5" t="str">
        <f>Projet!E14</f>
        <v>Ponticelli Frères</v>
      </c>
      <c r="K13" s="5" t="str">
        <f>Projet!F14</f>
        <v>info, DS</v>
      </c>
      <c r="L13" s="26" t="str">
        <f>Projet!G14</f>
        <v>E8_Ponticelli_REXConstruction.pdf</v>
      </c>
      <c r="M13" s="5" t="str">
        <f>Projet!H14</f>
        <v/>
      </c>
      <c r="N13" s="5" t="str">
        <f>Projet!I14</f>
        <v/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37.5" customHeight="1">
      <c r="A14" s="27" t="str">
        <f>Projet!A15</f>
        <v>Gestion Digitale d’un parc de stockage</v>
      </c>
      <c r="B14" s="7" t="str">
        <f>Projet!B15</f>
        <v>E9</v>
      </c>
      <c r="C14" s="18">
        <f>COUNTIF('Choix étudiants'!$H$1:$H$219,B14)</f>
        <v>1</v>
      </c>
      <c r="D14" s="18">
        <f>COUNTIF('Choix étudiants'!J$1:J$219,B14)</f>
        <v>1</v>
      </c>
      <c r="E14" s="18">
        <f>COUNTIF('Choix étudiants'!L$1:L$219,B14)</f>
        <v>0</v>
      </c>
      <c r="F14" s="18">
        <f>COUNTIF('Choix étudiants'!N$1:N$219,B14)</f>
        <v>3</v>
      </c>
      <c r="G14" s="18">
        <f>COUNTIF('Choix étudiants'!P$1:P$219,B14)</f>
        <v>0</v>
      </c>
      <c r="H14" s="9" t="str">
        <f>Projet!C15</f>
        <v/>
      </c>
      <c r="I14" s="5" t="str">
        <f>Projet!D15</f>
        <v>Entreprise</v>
      </c>
      <c r="J14" s="5" t="str">
        <f>Projet!E15</f>
        <v>Ponticelli Frères</v>
      </c>
      <c r="K14" s="5" t="str">
        <f>Projet!F15</f>
        <v>info, DS</v>
      </c>
      <c r="L14" s="26" t="str">
        <f>Projet!G15</f>
        <v>E9_Ponticelli_GestionDigitale.pdf</v>
      </c>
      <c r="M14" s="5" t="str">
        <f>Projet!H15</f>
        <v/>
      </c>
      <c r="N14" s="5" t="str">
        <f>Projet!I15</f>
        <v/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37.5" customHeight="1">
      <c r="A15" s="14" t="str">
        <f>Projet!A16</f>
        <v>Exploitation et analyse des données de gestion du parc de matériel de construction</v>
      </c>
      <c r="B15" s="7" t="str">
        <f>Projet!B16</f>
        <v>E10</v>
      </c>
      <c r="C15" s="18">
        <f>COUNTIF('Choix étudiants'!$H$1:$H$219,B15)</f>
        <v>0</v>
      </c>
      <c r="D15" s="18">
        <f>COUNTIF('Choix étudiants'!J$1:J$219,B15)</f>
        <v>8</v>
      </c>
      <c r="E15" s="18">
        <f>COUNTIF('Choix étudiants'!L$1:L$219,B15)</f>
        <v>3</v>
      </c>
      <c r="F15" s="18">
        <f>COUNTIF('Choix étudiants'!N$1:N$219,B15)</f>
        <v>7</v>
      </c>
      <c r="G15" s="18">
        <f>COUNTIF('Choix étudiants'!P$1:P$219,B15)</f>
        <v>9</v>
      </c>
      <c r="H15" s="23" t="s">
        <v>12</v>
      </c>
      <c r="I15" s="5" t="str">
        <f>Projet!D16</f>
        <v>Entreprise</v>
      </c>
      <c r="J15" s="5" t="str">
        <f>Projet!E16</f>
        <v>Ponticelli Frères</v>
      </c>
      <c r="K15" s="5" t="str">
        <f>Projet!F16</f>
        <v>info, DS, GI</v>
      </c>
      <c r="L15" s="26" t="str">
        <f>Projet!G16</f>
        <v>E10_Ponticelli_AnalyseDonnees.pdf</v>
      </c>
      <c r="M15" s="32" t="s">
        <v>14</v>
      </c>
      <c r="N15" s="5" t="str">
        <f>Projet!I16</f>
        <v/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37.5" customHeight="1">
      <c r="A16" s="33" t="str">
        <f>Projet!A17</f>
        <v>Mise en place d’un système d’information opérationnel pour la gestion d’une affaire de construction</v>
      </c>
      <c r="B16" s="7" t="str">
        <f>Projet!B17</f>
        <v>E11</v>
      </c>
      <c r="C16" s="18">
        <f>COUNTIF('Choix étudiants'!$H$1:$H$219,B16)</f>
        <v>0</v>
      </c>
      <c r="D16" s="18">
        <f>COUNTIF('Choix étudiants'!J$1:J$219,B16)</f>
        <v>1</v>
      </c>
      <c r="E16" s="18">
        <f>COUNTIF('Choix étudiants'!L$1:L$219,B16)</f>
        <v>2</v>
      </c>
      <c r="F16" s="18">
        <f>COUNTIF('Choix étudiants'!N$1:N$219,B16)</f>
        <v>3</v>
      </c>
      <c r="G16" s="18">
        <f>COUNTIF('Choix étudiants'!P$1:P$219,B16)</f>
        <v>0</v>
      </c>
      <c r="H16" s="9" t="str">
        <f>Projet!C17</f>
        <v/>
      </c>
      <c r="I16" s="5" t="str">
        <f>Projet!D17</f>
        <v>Entreprise</v>
      </c>
      <c r="J16" s="5" t="str">
        <f>Projet!E17</f>
        <v>Ponticelli Frères</v>
      </c>
      <c r="K16" s="5" t="str">
        <f>Projet!F17</f>
        <v>info, DS</v>
      </c>
      <c r="L16" s="26" t="str">
        <f>Projet!G17</f>
        <v>E11_Ponticelli_SIOperationnel.pdf</v>
      </c>
      <c r="M16" s="5" t="str">
        <f>Projet!H17</f>
        <v/>
      </c>
      <c r="N16" s="5" t="str">
        <f>Projet!I17</f>
        <v/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37.5" customHeight="1">
      <c r="A17" s="27" t="str">
        <f>Projet!A18</f>
        <v>Acquisitions et traitement de données de serrage contrôlé.</v>
      </c>
      <c r="B17" s="7" t="str">
        <f>Projet!B18</f>
        <v>E12</v>
      </c>
      <c r="C17" s="18">
        <f>COUNTIF('Choix étudiants'!$H$1:$H$219,"E12")</f>
        <v>0</v>
      </c>
      <c r="D17" s="18">
        <f>COUNTIF('Choix étudiants'!J$1:J$219,B17)</f>
        <v>0</v>
      </c>
      <c r="E17" s="18">
        <f>COUNTIF('Choix étudiants'!L$1:L$219,B17)</f>
        <v>0</v>
      </c>
      <c r="F17" s="18">
        <f>COUNTIF('Choix étudiants'!N$1:N$219,B17)</f>
        <v>3</v>
      </c>
      <c r="G17" s="18">
        <f>COUNTIF('Choix étudiants'!P$1:P$219,B17)</f>
        <v>3</v>
      </c>
      <c r="H17" s="9" t="str">
        <f>Projet!C18</f>
        <v/>
      </c>
      <c r="I17" s="5" t="str">
        <f>Projet!D18</f>
        <v>Entreprise</v>
      </c>
      <c r="J17" s="5" t="str">
        <f>Projet!E18</f>
        <v>Ponticelli Frères</v>
      </c>
      <c r="K17" s="5" t="str">
        <f>Projet!F18</f>
        <v>info, ELE, SE</v>
      </c>
      <c r="L17" s="26" t="str">
        <f>Projet!G18</f>
        <v>E12_Ponticelli_TraitementDonnées.pdf</v>
      </c>
      <c r="M17" s="5" t="str">
        <f>Projet!H18</f>
        <v/>
      </c>
      <c r="N17" s="5" t="str">
        <f>Projet!I18</f>
        <v/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37.5" customHeight="1">
      <c r="A18" s="14" t="str">
        <f>Projet!A19</f>
        <v>Valorisation de l’énergie solaire pour la mobilité et V2G</v>
      </c>
      <c r="B18" s="7" t="str">
        <f>Projet!B19</f>
        <v>E13</v>
      </c>
      <c r="C18" s="18">
        <f>COUNTIF('Choix étudiants'!$H$1:$H$219,B18)</f>
        <v>6</v>
      </c>
      <c r="D18" s="18">
        <f>COUNTIF('Choix étudiants'!J$1:J$219,B18)</f>
        <v>3</v>
      </c>
      <c r="E18" s="18">
        <f>COUNTIF('Choix étudiants'!L$1:L$219,B18)</f>
        <v>3</v>
      </c>
      <c r="F18" s="18">
        <f>COUNTIF('Choix étudiants'!N$1:N$219,B18)</f>
        <v>12</v>
      </c>
      <c r="G18" s="18">
        <f>COUNTIF('Choix étudiants'!P$1:P$219,B18)</f>
        <v>1</v>
      </c>
      <c r="H18" s="23" t="s">
        <v>16</v>
      </c>
      <c r="I18" s="5" t="str">
        <f>Projet!D19</f>
        <v>Entreprise</v>
      </c>
      <c r="J18" s="5" t="str">
        <f>Projet!E19</f>
        <v>AREP</v>
      </c>
      <c r="K18" s="5" t="str">
        <f>Projet!F19</f>
        <v>ENE</v>
      </c>
      <c r="L18" s="26" t="str">
        <f>Projet!G19</f>
        <v>E13_AREP_ValorisationEnergieSolaire.pdf</v>
      </c>
      <c r="M18" s="5" t="str">
        <f>Projet!H19</f>
        <v>Martin Hendel</v>
      </c>
      <c r="N18" s="5" t="str">
        <f>Projet!I19</f>
        <v/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37.5" customHeight="1">
      <c r="A19" s="33" t="str">
        <f>Projet!A20</f>
        <v>Smartcontract pour la gestion des déchets de chantier</v>
      </c>
      <c r="B19" s="7" t="str">
        <f>Projet!B20</f>
        <v>E14</v>
      </c>
      <c r="C19" s="18">
        <f>COUNTIF('Choix étudiants'!$H$1:$H$219,B19)</f>
        <v>1</v>
      </c>
      <c r="D19" s="18">
        <f>COUNTIF('Choix étudiants'!J$1:J$219,B19)</f>
        <v>0</v>
      </c>
      <c r="E19" s="18">
        <f>COUNTIF('Choix étudiants'!L$1:L$219,B19)</f>
        <v>8</v>
      </c>
      <c r="F19" s="18">
        <f>COUNTIF('Choix étudiants'!N$1:N$219,B19)</f>
        <v>3</v>
      </c>
      <c r="G19" s="18">
        <f>COUNTIF('Choix étudiants'!P$1:P$219,B19)</f>
        <v>4</v>
      </c>
      <c r="H19" s="9" t="str">
        <f>Projet!C20</f>
        <v/>
      </c>
      <c r="I19" s="5" t="str">
        <f>Projet!D20</f>
        <v>Entreprise</v>
      </c>
      <c r="J19" s="5" t="str">
        <f>Projet!E20</f>
        <v>AREP</v>
      </c>
      <c r="K19" s="5" t="str">
        <f>Projet!F20</f>
        <v>ENE, INF</v>
      </c>
      <c r="L19" s="26" t="str">
        <f>Projet!G20</f>
        <v>E14_AREP_Smartcontract.pdf</v>
      </c>
      <c r="M19" s="5" t="str">
        <f>Projet!H20</f>
        <v>Martin Hendel</v>
      </c>
      <c r="N19" s="5" t="str">
        <f>Projet!I20</f>
        <v/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37.5" customHeight="1">
      <c r="A20" s="35" t="str">
        <f>Projet!A21</f>
        <v>Information contextuelle - visualisation 3D - anatomie</v>
      </c>
      <c r="B20" s="7" t="str">
        <f>Projet!B21</f>
        <v>E15 </v>
      </c>
      <c r="C20" s="18">
        <f>COUNTIF('Choix étudiants'!H$1:H$219,"E15")</f>
        <v>4</v>
      </c>
      <c r="D20" s="18">
        <f>COUNTIF('Choix étudiants'!J$1:J$219,"E15")</f>
        <v>4</v>
      </c>
      <c r="E20" s="18">
        <f>COUNTIF('Choix étudiants'!L$1:L$219,"E15")</f>
        <v>3</v>
      </c>
      <c r="F20" s="18">
        <f>COUNTIF('Choix étudiants'!N$1:N$219,"E15")</f>
        <v>6</v>
      </c>
      <c r="G20" s="18">
        <f>COUNTIF('Choix étudiants'!P$1:P$219,"E15e)")</f>
        <v>0</v>
      </c>
      <c r="H20" s="23" t="s">
        <v>18</v>
      </c>
      <c r="I20" s="5" t="str">
        <f>Projet!D21</f>
        <v>Entreprise</v>
      </c>
      <c r="J20" s="5" t="str">
        <f>Projet!E21</f>
        <v>Fondation HON</v>
      </c>
      <c r="K20" s="5" t="str">
        <f>Projet!F21</f>
        <v>Info, e-Santé</v>
      </c>
      <c r="L20" s="26" t="str">
        <f>Projet!G21</f>
        <v>E15_Informatique 3D</v>
      </c>
      <c r="M20" s="5" t="str">
        <f>Projet!H21</f>
        <v>B. Roudier         A. Ugon      C.Boyer</v>
      </c>
      <c r="N20" s="5" t="str">
        <f>Projet!I21</f>
        <v/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37.5" customHeight="1">
      <c r="A21" s="5" t="str">
        <f>Projet!A22</f>
        <v>Contrôle d’une flotte de robots motorisés robustes aux imperfections des moyens de communications sans fil</v>
      </c>
      <c r="B21" s="7" t="str">
        <f>Projet!B22</f>
        <v>E16</v>
      </c>
      <c r="C21" s="18">
        <f>COUNTIF('Choix étudiants'!$H$1:$H$219,B21)</f>
        <v>9</v>
      </c>
      <c r="D21" s="18">
        <f>COUNTIF('Choix étudiants'!J$1:J$219,B21)</f>
        <v>5</v>
      </c>
      <c r="E21" s="18">
        <f>COUNTIF('Choix étudiants'!L$1:L$219,B21)</f>
        <v>4</v>
      </c>
      <c r="F21" s="18">
        <f>COUNTIF('Choix étudiants'!N$1:N$219,B21)</f>
        <v>2</v>
      </c>
      <c r="G21" s="18">
        <f>COUNTIF('Choix étudiants'!P$1:P$219,B21)</f>
        <v>6</v>
      </c>
      <c r="H21" s="23" t="s">
        <v>19</v>
      </c>
      <c r="I21" s="5" t="str">
        <f>Projet!D22</f>
        <v>Entreprise</v>
      </c>
      <c r="J21" s="5" t="str">
        <f>Projet!E22</f>
        <v>Mitsubishi Electric R&amp;D Centre Europe</v>
      </c>
      <c r="K21" s="5" t="str">
        <f>Projet!F22</f>
        <v>SE, Info</v>
      </c>
      <c r="L21" s="26" t="str">
        <f>Projet!G22</f>
        <v>E16_Mitsubishi_ControleFlotteRobot.pdf</v>
      </c>
      <c r="M21" s="5" t="str">
        <f>Projet!H22</f>
        <v>G Baudoin</v>
      </c>
      <c r="N21" s="5" t="str">
        <f>Projet!I22</f>
        <v/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37.5" customHeight="1">
      <c r="A22" s="5" t="str">
        <f>Projet!A23</f>
        <v>Apprentissage et Calibration de compteurs d’eau à ultrasons</v>
      </c>
      <c r="B22" s="7" t="str">
        <f>Projet!B23</f>
        <v>E17</v>
      </c>
      <c r="C22" s="18">
        <f>COUNTIF('Choix étudiants'!$H$1:$H$219,B22)</f>
        <v>0</v>
      </c>
      <c r="D22" s="18">
        <f>COUNTIF('Choix étudiants'!J$1:J$219,B22)</f>
        <v>2</v>
      </c>
      <c r="E22" s="18">
        <f>COUNTIF('Choix étudiants'!L$1:L$219,B22)</f>
        <v>3</v>
      </c>
      <c r="F22" s="18">
        <f>COUNTIF('Choix étudiants'!N$1:N$219,B22)</f>
        <v>1</v>
      </c>
      <c r="G22" s="18">
        <f>COUNTIF('Choix étudiants'!P$1:P$219,B22)</f>
        <v>4</v>
      </c>
      <c r="H22" s="23"/>
      <c r="I22" s="5" t="str">
        <f>Projet!D23</f>
        <v>Entreprise</v>
      </c>
      <c r="J22" s="5" t="str">
        <f>Projet!E23</f>
        <v>Sagemcom</v>
      </c>
      <c r="K22" s="5" t="str">
        <f>Projet!F23</f>
        <v>SE,ENE, DSIA, métrologie</v>
      </c>
      <c r="L22" s="26" t="str">
        <f>Projet!G23</f>
        <v>E17_Sagemcom_CompteurEau.pdf</v>
      </c>
      <c r="M22" s="5" t="str">
        <f>Projet!H23</f>
        <v>JF. Bercher</v>
      </c>
      <c r="N22" s="5" t="str">
        <f>Projet!I23</f>
        <v/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37.5" customHeight="1">
      <c r="A23" s="33" t="str">
        <f>Projet!A24</f>
        <v>Mesure d'occlusion dans une pompe de chimiothérapie</v>
      </c>
      <c r="B23" s="7" t="str">
        <f>Projet!B24</f>
        <v>E18</v>
      </c>
      <c r="C23" s="18">
        <f>COUNTIF('Choix étudiants'!$H$1:$H$219,E18)</f>
        <v>0</v>
      </c>
      <c r="D23" s="18">
        <f>COUNTIF('Choix étudiants'!J$1:J$219,B23)</f>
        <v>1</v>
      </c>
      <c r="E23" s="18">
        <f>COUNTIF('Choix étudiants'!L$1:L$219,B23)</f>
        <v>2</v>
      </c>
      <c r="F23" s="18">
        <f>COUNTIF('Choix étudiants'!N$1:N$219,B23)</f>
        <v>1</v>
      </c>
      <c r="G23" s="18">
        <f>COUNTIF('Choix étudiants'!P$1:P$219,B23)</f>
        <v>0</v>
      </c>
      <c r="H23" s="9" t="str">
        <f>Projet!C24</f>
        <v/>
      </c>
      <c r="I23" s="5" t="str">
        <f>Projet!D24</f>
        <v>Entreprise</v>
      </c>
      <c r="J23" s="5" t="str">
        <f>Projet!E24</f>
        <v>Axon</v>
      </c>
      <c r="K23" s="5" t="str">
        <f>Projet!F24</f>
        <v>SE, ELE</v>
      </c>
      <c r="L23" s="26" t="str">
        <f>Projet!G24</f>
        <v>E18_Axon_PompeChimio.pdf</v>
      </c>
      <c r="M23" s="5" t="str">
        <f>Projet!H24</f>
        <v>L. Bougriot       C. Berland        P.Poulichet</v>
      </c>
      <c r="N23" s="5" t="str">
        <f>Projet!I24</f>
        <v/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37.5" customHeight="1">
      <c r="A24" s="5" t="str">
        <f>Projet!A25</f>
        <v>Détection et visualisation d'évènements pour le monitoring cardiovasculaire</v>
      </c>
      <c r="B24" s="7" t="str">
        <f>Projet!B25</f>
        <v>E19</v>
      </c>
      <c r="C24" s="18">
        <f>COUNTIF('Choix étudiants'!$H$1:$H$219,B24)</f>
        <v>2</v>
      </c>
      <c r="D24" s="18">
        <f>COUNTIF('Choix étudiants'!J$1:J$219,B24)</f>
        <v>2</v>
      </c>
      <c r="E24" s="18">
        <f>COUNTIF('Choix étudiants'!L$1:L$219,B24)</f>
        <v>7</v>
      </c>
      <c r="F24" s="18">
        <f>COUNTIF('Choix étudiants'!N$1:N$219,B24)</f>
        <v>3</v>
      </c>
      <c r="G24" s="18">
        <f>COUNTIF('Choix étudiants'!P$1:P$219,B24)</f>
        <v>8</v>
      </c>
      <c r="H24" s="23" t="s">
        <v>20</v>
      </c>
      <c r="I24" s="5" t="str">
        <f>Projet!D25</f>
        <v>Entreprise</v>
      </c>
      <c r="J24" s="5" t="str">
        <f>Projet!E25</f>
        <v>EDS APHP</v>
      </c>
      <c r="K24" s="5" t="str">
        <f>Projet!F25</f>
        <v>Info, SE, e-santé, DSIA</v>
      </c>
      <c r="L24" s="26" t="str">
        <f>Projet!G25</f>
        <v>E19_EDS APHP_MonitoringCardio.pdf</v>
      </c>
      <c r="M24" s="5" t="str">
        <f>Projet!H25</f>
        <v>B. Roudier       N. Madaoui</v>
      </c>
      <c r="N24" s="5" t="str">
        <f>Projet!I25</f>
        <v/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37.5" customHeight="1">
      <c r="A25" s="5" t="str">
        <f>Projet!A26</f>
        <v>Smart Wearables et base de données collaboratives sur les capteurs biométriques pour étudiants ESIEE</v>
      </c>
      <c r="B25" s="7" t="str">
        <f>Projet!B26</f>
        <v>E20</v>
      </c>
      <c r="C25" s="18">
        <f>COUNTIF('Choix étudiants'!$H$1:$H$219,B25)</f>
        <v>2</v>
      </c>
      <c r="D25" s="18">
        <f>COUNTIF('Choix étudiants'!J$1:J$219,B25)</f>
        <v>4</v>
      </c>
      <c r="E25" s="18">
        <f>COUNTIF('Choix étudiants'!L$1:L$219,B25)</f>
        <v>8</v>
      </c>
      <c r="F25" s="18">
        <f>COUNTIF('Choix étudiants'!N$1:N$219,B25)</f>
        <v>2</v>
      </c>
      <c r="G25" s="18">
        <f>COUNTIF('Choix étudiants'!P$1:P$219,B25)</f>
        <v>3</v>
      </c>
      <c r="H25" s="9" t="str">
        <f>Projet!C26</f>
        <v/>
      </c>
      <c r="I25" s="5" t="str">
        <f>Projet!D26</f>
        <v>Entreprise</v>
      </c>
      <c r="J25" s="5" t="str">
        <f>Projet!E26</f>
        <v>SableChaud</v>
      </c>
      <c r="K25" s="5" t="str">
        <f>Projet!F26</f>
        <v>SE, ELE, BIO-Tech</v>
      </c>
      <c r="L25" s="26" t="str">
        <f>Projet!G26</f>
        <v>E20 - Base Capteurs - Smart wearables.pdf</v>
      </c>
      <c r="M25" s="5" t="str">
        <f>Projet!H26</f>
        <v>J.L. Polleux 
F. Bost</v>
      </c>
      <c r="N25" s="5" t="str">
        <f>Projet!I26</f>
        <v/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37.5" customHeight="1">
      <c r="A26" s="27" t="str">
        <f>Projet!A27</f>
        <v>Automatisation d’un système d’irrigation par ouverture/fermeture d’électrovannes dans une ferme d’insertion :Automatisation d’un système d’irrigation par ouverture/fermeture d’électrovannes dans une ferme d’insertion
« Venez faire un peu d’IoT à la ferme ! »</v>
      </c>
      <c r="B26" s="7" t="str">
        <f>Projet!B27</f>
        <v>E21</v>
      </c>
      <c r="C26" s="18">
        <f>COUNTIF('Choix étudiants'!$H$1:$H$219,B26)</f>
        <v>1</v>
      </c>
      <c r="D26" s="18">
        <f>COUNTIF('Choix étudiants'!J$1:J$219,B26)</f>
        <v>4</v>
      </c>
      <c r="E26" s="18">
        <f>COUNTIF('Choix étudiants'!L$1:L$219,B26)</f>
        <v>0</v>
      </c>
      <c r="F26" s="18">
        <f>COUNTIF('Choix étudiants'!N$1:N$219,B26)</f>
        <v>3</v>
      </c>
      <c r="G26" s="18">
        <f>COUNTIF('Choix étudiants'!P$1:P$219,B26)</f>
        <v>0</v>
      </c>
      <c r="H26" s="9" t="str">
        <f>Projet!C27</f>
        <v/>
      </c>
      <c r="I26" s="5" t="str">
        <f>Projet!D27</f>
        <v>Entreprise</v>
      </c>
      <c r="J26" s="5" t="str">
        <f>Projet!E27</f>
        <v>Association Latitudes</v>
      </c>
      <c r="K26" s="5" t="str">
        <f>Projet!F27</f>
        <v>DSIA, ELE</v>
      </c>
      <c r="L26" s="26" t="str">
        <f>Projet!G27</f>
        <v>E21_Latitudes_A la bonne ferme.pdf</v>
      </c>
      <c r="M26" s="5" t="str">
        <f>Projet!H27</f>
        <v>C.Berland L.George</v>
      </c>
      <c r="N26" s="5" t="str">
        <f>Projet!I27</f>
        <v/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37.5" customHeight="1">
      <c r="A27" s="27" t="str">
        <f>Projet!A28</f>
        <v>Streetco – Un GPS piéton dédié aux personnes à mobilité réduites « Bienvenue dans un monde sans obstacles ! »</v>
      </c>
      <c r="B27" s="7" t="str">
        <f>Projet!B28</f>
        <v>E22</v>
      </c>
      <c r="C27" s="18">
        <f>COUNTIF('Choix étudiants'!$H$1:$H$219,B27)</f>
        <v>0</v>
      </c>
      <c r="D27" s="18">
        <f>COUNTIF('Choix étudiants'!J$1:J$219,B27)</f>
        <v>6</v>
      </c>
      <c r="E27" s="18">
        <f>COUNTIF('Choix étudiants'!L$1:L$219,B27)</f>
        <v>1</v>
      </c>
      <c r="F27" s="18">
        <f>COUNTIF('Choix étudiants'!N$1:N$219,B27)</f>
        <v>0</v>
      </c>
      <c r="G27" s="18">
        <f>COUNTIF('Choix étudiants'!P$1:P$219,B27)</f>
        <v>1</v>
      </c>
      <c r="H27" s="9" t="str">
        <f>Projet!C28</f>
        <v/>
      </c>
      <c r="I27" s="5" t="str">
        <f>Projet!D28</f>
        <v>Entreprise</v>
      </c>
      <c r="J27" s="5" t="str">
        <f>Projet!E28</f>
        <v>Association Latitudes</v>
      </c>
      <c r="K27" s="5" t="str">
        <f>Projet!F28</f>
        <v>Info</v>
      </c>
      <c r="L27" s="26" t="str">
        <f>Projet!G28</f>
        <v>E22_Latitudes_Streetco.pdf</v>
      </c>
      <c r="M27" s="5" t="str">
        <f>Projet!H28</f>
        <v>C.Berland L.George</v>
      </c>
      <c r="N27" s="5" t="str">
        <f>Projet!I28</f>
        <v/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37.5" customHeight="1">
      <c r="A28" s="5" t="str">
        <f>Projet!A29</f>
        <v>Développement d’un jeu vidéo éducatif avec Unity, à destination des enfants dyslexiques et dyspraxiques.</v>
      </c>
      <c r="B28" s="7" t="str">
        <f>Projet!B29</f>
        <v>E23</v>
      </c>
      <c r="C28" s="18">
        <f>COUNTIF('Choix étudiants'!$H$1:$H$219,B28)</f>
        <v>6</v>
      </c>
      <c r="D28" s="18">
        <f>COUNTIF('Choix étudiants'!J$1:J$219,B28)</f>
        <v>2</v>
      </c>
      <c r="E28" s="18">
        <f>COUNTIF('Choix étudiants'!L$1:L$219,B28)</f>
        <v>2</v>
      </c>
      <c r="F28" s="18">
        <f>COUNTIF('Choix étudiants'!N$1:N$219,B28)</f>
        <v>1</v>
      </c>
      <c r="G28" s="18">
        <f>COUNTIF('Choix étudiants'!P$1:P$219,B28)</f>
        <v>0</v>
      </c>
      <c r="H28" s="23" t="s">
        <v>8</v>
      </c>
      <c r="I28" s="5" t="str">
        <f>Projet!D29</f>
        <v>Entreprise</v>
      </c>
      <c r="J28" s="5" t="str">
        <f>Projet!E29</f>
        <v>Association Latitudes</v>
      </c>
      <c r="K28" s="5" t="str">
        <f>Projet!F29</f>
        <v>Info</v>
      </c>
      <c r="L28" s="26" t="str">
        <f>Projet!G29</f>
        <v>E23_Latitudes_RALALERE.pdf</v>
      </c>
      <c r="M28" s="5" t="str">
        <f>Projet!H29</f>
        <v>C.Berland L.George</v>
      </c>
      <c r="N28" s="5" t="str">
        <f>Projet!I29</f>
        <v/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37.5" customHeight="1">
      <c r="A29" s="27" t="str">
        <f>Projet!A30</f>
        <v>Mutum – Data Mining et Économie Circulaire</v>
      </c>
      <c r="B29" s="7" t="str">
        <f>Projet!B30</f>
        <v>E24</v>
      </c>
      <c r="C29" s="18">
        <f>COUNTIF('Choix étudiants'!$H$1:$H$219,B29)</f>
        <v>3</v>
      </c>
      <c r="D29" s="18">
        <f>COUNTIF('Choix étudiants'!J$1:J$219,B29)</f>
        <v>1</v>
      </c>
      <c r="E29" s="18">
        <f>COUNTIF('Choix étudiants'!L$1:L$219,B29)</f>
        <v>10</v>
      </c>
      <c r="F29" s="18">
        <f>COUNTIF('Choix étudiants'!N$1:N$219,B29)</f>
        <v>5</v>
      </c>
      <c r="G29" s="18">
        <f>COUNTIF('Choix étudiants'!P$1:P$219,B29)</f>
        <v>2</v>
      </c>
      <c r="H29" s="9" t="str">
        <f>Projet!C30</f>
        <v/>
      </c>
      <c r="I29" s="5" t="str">
        <f>Projet!D30</f>
        <v>Entreprise</v>
      </c>
      <c r="J29" s="5" t="str">
        <f>Projet!E30</f>
        <v>Association Latitudes</v>
      </c>
      <c r="K29" s="5" t="str">
        <f>Projet!F30</f>
        <v>Info, DSIA</v>
      </c>
      <c r="L29" s="26" t="str">
        <f>Projet!G30</f>
        <v>E24_Latitudes_Mutum.pdf</v>
      </c>
      <c r="M29" s="5" t="str">
        <f>Projet!H30</f>
        <v>C.Berland L.George</v>
      </c>
      <c r="N29" s="5" t="str">
        <f>Projet!I30</f>
        <v/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37.5" customHeight="1">
      <c r="A30" s="5" t="str">
        <f>Projet!A31</f>
        <v>Projet d.Mobilier de la Dschool</v>
      </c>
      <c r="B30" s="7" t="str">
        <f>Projet!B31</f>
        <v>E25</v>
      </c>
      <c r="C30" s="18">
        <f>COUNTIF('Choix étudiants'!$H$1:$H$219,B30)</f>
        <v>6</v>
      </c>
      <c r="D30" s="18">
        <f>COUNTIF('Choix étudiants'!J$1:J$219,B30)</f>
        <v>0</v>
      </c>
      <c r="E30" s="18">
        <f>COUNTIF('Choix étudiants'!L$1:L$219,B30)</f>
        <v>0</v>
      </c>
      <c r="F30" s="18">
        <f>COUNTIF('Choix étudiants'!N$1:N$219,B30)</f>
        <v>0</v>
      </c>
      <c r="G30" s="18">
        <f>COUNTIF('Choix étudiants'!P$1:P$219,B30)</f>
        <v>1</v>
      </c>
      <c r="H30" s="23" t="s">
        <v>24</v>
      </c>
      <c r="I30" s="5" t="str">
        <f>Projet!D31</f>
        <v>Entreprise</v>
      </c>
      <c r="J30" s="5" t="str">
        <f>Projet!E31</f>
        <v>D.School</v>
      </c>
      <c r="K30" s="5" t="str">
        <f>Projet!F31</f>
        <v/>
      </c>
      <c r="L30" s="26" t="str">
        <f>Projet!G31</f>
        <v>E25_d-Immobilier.pdf</v>
      </c>
      <c r="M30" s="5" t="str">
        <f>Projet!H31</f>
        <v>S. Latorre</v>
      </c>
      <c r="N30" s="5" t="str">
        <f>Projet!I31</f>
        <v>Uniquement étudiants inscrits à l'unité OUAP-4110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37.5" customHeight="1">
      <c r="A31" s="5" t="str">
        <f>Projet!A32</f>
        <v>Détection de personnes par méthodes électromagnétiques</v>
      </c>
      <c r="B31" s="7" t="str">
        <f>Projet!B32</f>
        <v>E26</v>
      </c>
      <c r="C31" s="18">
        <f>COUNTIF('Choix étudiants'!$H$1:$H$219,B31)</f>
        <v>0</v>
      </c>
      <c r="D31" s="18">
        <f>COUNTIF('Choix étudiants'!J$1:J$219,B31)</f>
        <v>3</v>
      </c>
      <c r="E31" s="18">
        <f>COUNTIF('Choix étudiants'!L$1:L$219,B31)</f>
        <v>1</v>
      </c>
      <c r="F31" s="18">
        <f>COUNTIF('Choix étudiants'!N$1:N$219,B31)</f>
        <v>0</v>
      </c>
      <c r="G31" s="18">
        <f>COUNTIF('Choix étudiants'!P$1:P$219,B31)</f>
        <v>4</v>
      </c>
      <c r="H31" s="9" t="str">
        <f>Projet!C32</f>
        <v/>
      </c>
      <c r="I31" s="5" t="str">
        <f>Projet!D32</f>
        <v>Entreprise</v>
      </c>
      <c r="J31" s="5" t="str">
        <f>Projet!E32</f>
        <v>TAGSYS europe</v>
      </c>
      <c r="K31" s="5" t="str">
        <f>Projet!F32</f>
        <v>ELE, SE, Info</v>
      </c>
      <c r="L31" s="26" t="str">
        <f>Projet!G32</f>
        <v>E26_TAGSYS_RFID.pdf</v>
      </c>
      <c r="M31" s="5" t="str">
        <f>Projet!H32</f>
        <v>T. Alves</v>
      </c>
      <c r="N31" s="5" t="str">
        <f>Projet!I32</f>
        <v/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37.5" customHeight="1">
      <c r="A32" s="5" t="str">
        <f>Projet!A33</f>
        <v>A new Marking Module for AMC</v>
      </c>
      <c r="B32" s="7" t="str">
        <f>Projet!B33</f>
        <v>LL1</v>
      </c>
      <c r="C32" s="18">
        <f>COUNTIF('Choix étudiants'!$H$1:$H$219,B32)</f>
        <v>1</v>
      </c>
      <c r="D32" s="18">
        <f>COUNTIF('Choix étudiants'!J$1:J$219,B32)</f>
        <v>3</v>
      </c>
      <c r="E32" s="18">
        <f>COUNTIF('Choix étudiants'!L$1:L$219,B32)</f>
        <v>0</v>
      </c>
      <c r="F32" s="18">
        <f>COUNTIF('Choix étudiants'!N$1:N$219,B32)</f>
        <v>2</v>
      </c>
      <c r="G32" s="18">
        <f>COUNTIF('Choix étudiants'!P$1:P$219,B32)</f>
        <v>5</v>
      </c>
      <c r="H32" s="23" t="s">
        <v>25</v>
      </c>
      <c r="I32" s="5" t="str">
        <f>Projet!D33</f>
        <v>Logiciel libre</v>
      </c>
      <c r="J32" s="5" t="str">
        <f>Projet!E33</f>
        <v/>
      </c>
      <c r="K32" s="5" t="str">
        <f>Projet!F33</f>
        <v>IMC, DSIA</v>
      </c>
      <c r="L32" s="26" t="str">
        <f>Projet!G33</f>
        <v>LL1_IMCProject_CorrectionModuleAMC.pdf</v>
      </c>
      <c r="M32" s="5" t="str">
        <f>Projet!H33</f>
        <v>Y.Abdeddaim JF. Bercher</v>
      </c>
      <c r="N32" s="5" t="str">
        <f>Projet!I33</f>
        <v>Only semester 2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37.5" customHeight="1">
      <c r="A33" s="5" t="str">
        <f>Projet!A37</f>
        <v>UberCool - Production, stockage et distribution du froid négatif par la livraison rapide</v>
      </c>
      <c r="B33" s="7" t="str">
        <f>Projet!B37</f>
        <v>R1</v>
      </c>
      <c r="C33" s="18">
        <f>COUNTIF('Choix étudiants'!$H$1:$H$219,B33)</f>
        <v>2</v>
      </c>
      <c r="D33" s="18">
        <f>COUNTIF('Choix étudiants'!J$1:J$219,B33)</f>
        <v>15</v>
      </c>
      <c r="E33" s="18">
        <f>COUNTIF('Choix étudiants'!L$1:L$219,B33)</f>
        <v>2</v>
      </c>
      <c r="F33" s="18">
        <f>COUNTIF('Choix étudiants'!N$1:N$219,B33)</f>
        <v>3</v>
      </c>
      <c r="G33" s="18">
        <f>COUNTIF('Choix étudiants'!P$1:P$219,B33)</f>
        <v>2</v>
      </c>
      <c r="H33" s="23" t="s">
        <v>26</v>
      </c>
      <c r="I33" s="5" t="str">
        <f>Projet!D37</f>
        <v>Recherche</v>
      </c>
      <c r="J33" s="5" t="str">
        <f>Projet!E37</f>
        <v/>
      </c>
      <c r="K33" s="5" t="str">
        <f>Projet!F37</f>
        <v>ENE</v>
      </c>
      <c r="L33" s="26" t="str">
        <f>Projet!G37</f>
        <v>R1_UberCool.pdf</v>
      </c>
      <c r="M33" s="5" t="str">
        <f>Projet!H37</f>
        <v>XiaoFeng Guo</v>
      </c>
      <c r="N33" s="5" t="str">
        <f>Projet!I37</f>
        <v/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37.5" customHeight="1">
      <c r="A34" s="5" t="str">
        <f>Projet!A38</f>
        <v>Ceinture autonome de diagnostic de l’apnée du sommeil</v>
      </c>
      <c r="B34" s="7" t="str">
        <f>Projet!B38</f>
        <v>R2</v>
      </c>
      <c r="C34" s="18">
        <f>COUNTIF('Choix étudiants'!$H$1:$H$219,B34)</f>
        <v>6</v>
      </c>
      <c r="D34" s="18">
        <f>COUNTIF('Choix étudiants'!J$1:J$219,B34)</f>
        <v>6</v>
      </c>
      <c r="E34" s="18">
        <f>COUNTIF('Choix étudiants'!L$1:L$219,B34)</f>
        <v>6</v>
      </c>
      <c r="F34" s="18">
        <f>COUNTIF('Choix étudiants'!N$1:N$219,B34)</f>
        <v>3</v>
      </c>
      <c r="G34" s="18">
        <f>COUNTIF('Choix étudiants'!P$1:P$219,B34)</f>
        <v>8</v>
      </c>
      <c r="H34" s="23" t="s">
        <v>11</v>
      </c>
      <c r="I34" s="5" t="str">
        <f>Projet!D38</f>
        <v>Recherche</v>
      </c>
      <c r="J34" s="5" t="str">
        <f>Projet!E38</f>
        <v/>
      </c>
      <c r="K34" s="5" t="str">
        <f>Projet!F38</f>
        <v>ELE, info, e-santé, ENE</v>
      </c>
      <c r="L34" s="26" t="str">
        <f>Projet!G38</f>
        <v>R2_ApnéeDuSommeil.pdf</v>
      </c>
      <c r="M34" s="5" t="str">
        <f>Projet!H38</f>
        <v>Adrien Ugon Emmanuelle Algré</v>
      </c>
      <c r="N34" s="5" t="str">
        <f>Projet!I38</f>
        <v/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37.5" customHeight="1">
      <c r="A35" s="5" t="str">
        <f>Projet!A39</f>
        <v>Etude et développement d’une solution sans fil pour le suivi d’implants pour la réhabilitation fonctionnelle.</v>
      </c>
      <c r="B35" s="7" t="str">
        <f>Projet!B39</f>
        <v>R3</v>
      </c>
      <c r="C35" s="18">
        <f>COUNTIF('Choix étudiants'!$H$1:$H$219,B35)</f>
        <v>3</v>
      </c>
      <c r="D35" s="18">
        <f>COUNTIF('Choix étudiants'!J$1:J$219,B35)</f>
        <v>3</v>
      </c>
      <c r="E35" s="18">
        <f>COUNTIF('Choix étudiants'!L$1:L$219,B35)</f>
        <v>3</v>
      </c>
      <c r="F35" s="18">
        <f>COUNTIF('Choix étudiants'!N$1:N$219,B35)</f>
        <v>7</v>
      </c>
      <c r="G35" s="18">
        <f>COUNTIF('Choix étudiants'!P$1:P$219,B35)</f>
        <v>2</v>
      </c>
      <c r="H35" s="23" t="s">
        <v>28</v>
      </c>
      <c r="I35" s="5" t="str">
        <f>Projet!D39</f>
        <v>Recherche</v>
      </c>
      <c r="J35" s="5" t="str">
        <f>Projet!E39</f>
        <v/>
      </c>
      <c r="K35" s="5" t="str">
        <f>Projet!F39</f>
        <v>ELE, SE, neuroscience, micro et nano technologie</v>
      </c>
      <c r="L35" s="26" t="str">
        <f>Projet!G39</f>
        <v>R3_implants.pdf</v>
      </c>
      <c r="M35" s="5" t="str">
        <f>Projet!H39</f>
        <v>Patrick Poulichet Lionel Rousseau</v>
      </c>
      <c r="N35" s="5" t="str">
        <f>Projet!I39</f>
        <v/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37.5" customHeight="1">
      <c r="A36" s="5" t="str">
        <f>Projet!A40</f>
        <v>Capteur communicant et autonome à récupération d’énergie pour la surveillance des structures</v>
      </c>
      <c r="B36" s="7" t="str">
        <f>Projet!B40</f>
        <v>R4</v>
      </c>
      <c r="C36" s="18">
        <f>COUNTIF('Choix étudiants'!$H$1:$H$219,B36)</f>
        <v>2</v>
      </c>
      <c r="D36" s="18">
        <f>COUNTIF('Choix étudiants'!J$1:J$219,B36)</f>
        <v>1</v>
      </c>
      <c r="E36" s="18">
        <f>COUNTIF('Choix étudiants'!L$1:L$219,B36)</f>
        <v>6</v>
      </c>
      <c r="F36" s="18">
        <f>COUNTIF('Choix étudiants'!N$1:N$219,B36)</f>
        <v>4</v>
      </c>
      <c r="G36" s="18">
        <f>COUNTIF('Choix étudiants'!P$1:P$219,B36)</f>
        <v>2</v>
      </c>
      <c r="H36" s="9" t="str">
        <f>Projet!C40</f>
        <v/>
      </c>
      <c r="I36" s="5" t="str">
        <f>Projet!D40</f>
        <v>Recherche</v>
      </c>
      <c r="J36" s="5" t="str">
        <f>Projet!E40</f>
        <v/>
      </c>
      <c r="K36" s="5" t="str">
        <f>Projet!F40</f>
        <v>ELE, ENE, DSIA, réseaux, sécurité, systèmes électromécaniques, capteurs</v>
      </c>
      <c r="L36" s="26" t="str">
        <f>Projet!G40</f>
        <v>R4_CapteurCommunicant.pdf</v>
      </c>
      <c r="M36" s="5" t="str">
        <f>Projet!H40</f>
        <v>Philippe Basset Laurent George</v>
      </c>
      <c r="N36" s="5" t="str">
        <f>Projet!I40</f>
        <v/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37.5" customHeight="1">
      <c r="A37" s="5" t="str">
        <f>Projet!A41</f>
        <v>Inmoov : Architecture logicielle et matérielle pour le contrôle de robots humanoïdes</v>
      </c>
      <c r="B37" s="41" t="str">
        <f>Projet!B41</f>
        <v>R5</v>
      </c>
      <c r="C37" s="14">
        <f>COUNTIF('Choix étudiants'!$H$1:$H$219,"R5")</f>
        <v>7</v>
      </c>
      <c r="D37" s="18">
        <f>COUNTIF('Choix étudiants'!J$1:J$219,B37)</f>
        <v>0</v>
      </c>
      <c r="E37" s="18">
        <f>COUNTIF('Choix étudiants'!L$1:L$219,B37)</f>
        <v>4</v>
      </c>
      <c r="F37" s="18">
        <f>COUNTIF('Choix étudiants'!N$1:N$219,B37)</f>
        <v>5</v>
      </c>
      <c r="G37" s="18">
        <f>COUNTIF('Choix étudiants'!P$1:P$219,B37)</f>
        <v>6</v>
      </c>
      <c r="H37" s="23" t="s">
        <v>18</v>
      </c>
      <c r="I37" s="5" t="str">
        <f>Projet!D41</f>
        <v>Recherche</v>
      </c>
      <c r="J37" s="5" t="str">
        <f>Projet!E41</f>
        <v/>
      </c>
      <c r="K37" s="5" t="str">
        <f>Projet!F41</f>
        <v>info, ELE, SE, robotique, </v>
      </c>
      <c r="L37" s="26" t="str">
        <f>Projet!G41</f>
        <v>R5_Inmoov.pdf</v>
      </c>
      <c r="M37" s="5" t="str">
        <f>Projet!H41</f>
        <v>Rémi Kocik   Redha Hammouche</v>
      </c>
      <c r="N37" s="5" t="str">
        <f>Projet!I41</f>
        <v/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37.5" customHeight="1">
      <c r="A38" s="5" t="str">
        <f>Projet!A42</f>
        <v>Conception d’une « Depth Cam » portable</v>
      </c>
      <c r="B38" s="7" t="str">
        <f>Projet!B42</f>
        <v>R6</v>
      </c>
      <c r="C38" s="18">
        <f>COUNTIF('Choix étudiants'!$H$1:$H$219,B38)</f>
        <v>3</v>
      </c>
      <c r="D38" s="18">
        <f>COUNTIF('Choix étudiants'!J$1:J$219,B38)</f>
        <v>3</v>
      </c>
      <c r="E38" s="18">
        <f>COUNTIF('Choix étudiants'!L$1:L$219,B38)</f>
        <v>3</v>
      </c>
      <c r="F38" s="18">
        <f>COUNTIF('Choix étudiants'!N$1:N$219,B38)</f>
        <v>2</v>
      </c>
      <c r="G38" s="18">
        <f>COUNTIF('Choix étudiants'!P$1:P$219,B38)</f>
        <v>4</v>
      </c>
      <c r="H38" s="9" t="str">
        <f>Projet!C42</f>
        <v/>
      </c>
      <c r="I38" s="5" t="str">
        <f>Projet!D42</f>
        <v>Recherche</v>
      </c>
      <c r="J38" s="5" t="str">
        <f>Projet!E42</f>
        <v/>
      </c>
      <c r="K38" s="5" t="str">
        <f>Projet!F42</f>
        <v>Info, SE</v>
      </c>
      <c r="L38" s="26" t="str">
        <f>Projet!G42</f>
        <v>R6_DephCamPortable.pdf</v>
      </c>
      <c r="M38" s="5" t="str">
        <f>Projet!H42</f>
        <v>T. Grandpierre    F. DiBartolo</v>
      </c>
      <c r="N38" s="5" t="str">
        <f>Projet!I42</f>
        <v/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37.5" customHeight="1">
      <c r="A39" s="5" t="str">
        <f>Projet!A43</f>
        <v>Conception d’un scanner 3D portable</v>
      </c>
      <c r="B39" s="7" t="str">
        <f>Projet!B43</f>
        <v>R7</v>
      </c>
      <c r="C39" s="18">
        <f>COUNTIF('Choix étudiants'!$H$1:$H$219,B39)</f>
        <v>4</v>
      </c>
      <c r="D39" s="18">
        <f>COUNTIF('Choix étudiants'!J$1:J$219,B39)</f>
        <v>4</v>
      </c>
      <c r="E39" s="18">
        <f>COUNTIF('Choix étudiants'!L$1:L$219,B39)</f>
        <v>8</v>
      </c>
      <c r="F39" s="18">
        <f>COUNTIF('Choix étudiants'!N$1:N$219,B39)</f>
        <v>2</v>
      </c>
      <c r="G39" s="18">
        <f>COUNTIF('Choix étudiants'!P$1:P$219,B39)</f>
        <v>4</v>
      </c>
      <c r="H39" s="23" t="s">
        <v>30</v>
      </c>
      <c r="I39" s="5" t="str">
        <f>Projet!D43</f>
        <v>Recherche</v>
      </c>
      <c r="J39" s="5" t="str">
        <f>Projet!E43</f>
        <v/>
      </c>
      <c r="K39" s="5" t="str">
        <f>Projet!F43</f>
        <v>Info, SE</v>
      </c>
      <c r="L39" s="26" t="str">
        <f>Projet!G43</f>
        <v>R7_Scanner3Dportable.pdf</v>
      </c>
      <c r="M39" s="5" t="str">
        <f>Projet!H43</f>
        <v>T. Grandpierre    F. DiBartolo</v>
      </c>
      <c r="N39" s="5" t="str">
        <f>Projet!I43</f>
        <v/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37.5" customHeight="1">
      <c r="A40" s="5" t="str">
        <f>Projet!A44</f>
        <v>Mise en oeuvre d'un élément de sécurité pour la sécuritation des données envoyées par un capteur</v>
      </c>
      <c r="B40" s="7" t="str">
        <f>Projet!B44</f>
        <v>R8</v>
      </c>
      <c r="C40" s="18">
        <f>COUNTIF('Choix étudiants'!$H$1:$H$219,B40)</f>
        <v>3</v>
      </c>
      <c r="D40" s="18">
        <f>COUNTIF('Choix étudiants'!J$1:J$219,B40)</f>
        <v>10</v>
      </c>
      <c r="E40" s="18">
        <f>COUNTIF('Choix étudiants'!L$1:L$219,B40)</f>
        <v>1</v>
      </c>
      <c r="F40" s="18">
        <f>COUNTIF('Choix étudiants'!N$1:N$219,B40)</f>
        <v>2</v>
      </c>
      <c r="G40" s="18">
        <f>COUNTIF('Choix étudiants'!P$1:P$219,B40)</f>
        <v>3</v>
      </c>
      <c r="H40" s="23" t="s">
        <v>31</v>
      </c>
      <c r="I40" s="5" t="str">
        <f>Projet!D44</f>
        <v>Recherche</v>
      </c>
      <c r="J40" s="5" t="str">
        <f>Projet!E44</f>
        <v/>
      </c>
      <c r="K40" s="5" t="str">
        <f>Projet!F44</f>
        <v>Info, SE, DSIA, Sécurité</v>
      </c>
      <c r="L40" s="26" t="str">
        <f>Projet!G44</f>
        <v>R8_Element de Sécurité</v>
      </c>
      <c r="M40" s="5" t="str">
        <f>Projet!H44</f>
        <v>L. George             V. Deshpande</v>
      </c>
      <c r="N40" s="5" t="str">
        <f>Projet!I44</f>
        <v/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37.5" customHeight="1">
      <c r="A41" s="5" t="str">
        <f>Projet!A45</f>
        <v>Programmation d'une Blockchain pour la sécurisation des communications V2C (véhicule vers le cloud)</v>
      </c>
      <c r="B41" s="7" t="str">
        <f>Projet!B45</f>
        <v>R9</v>
      </c>
      <c r="C41" s="18">
        <f>COUNTIF('Choix étudiants'!$H$1:$H$219,B41)</f>
        <v>8</v>
      </c>
      <c r="D41" s="18">
        <f>COUNTIF('Choix étudiants'!J$1:J$219,B41)</f>
        <v>5</v>
      </c>
      <c r="E41" s="18">
        <f>COUNTIF('Choix étudiants'!L$1:L$219,B41)</f>
        <v>2</v>
      </c>
      <c r="F41" s="18">
        <f>COUNTIF('Choix étudiants'!N$1:N$219,B41)</f>
        <v>5</v>
      </c>
      <c r="G41" s="18">
        <f>COUNTIF('Choix étudiants'!P$1:P$219,B41)</f>
        <v>4</v>
      </c>
      <c r="H41" s="23" t="s">
        <v>12</v>
      </c>
      <c r="I41" s="5" t="str">
        <f>Projet!D45</f>
        <v>Recherche</v>
      </c>
      <c r="J41" s="5" t="str">
        <f>Projet!E45</f>
        <v/>
      </c>
      <c r="K41" s="5" t="str">
        <f>Projet!F45</f>
        <v>Info, SE, DSIA, Sécurité</v>
      </c>
      <c r="L41" s="26" t="str">
        <f>Projet!G45</f>
        <v>R9_Blockchain</v>
      </c>
      <c r="M41" s="5" t="str">
        <f>Projet!H45</f>
        <v>L. George             V. Deshpande </v>
      </c>
      <c r="N41" s="5" t="str">
        <f>Projet!I45</f>
        <v/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37.5" customHeight="1">
      <c r="A42" s="5" t="str">
        <f>Projet!A46</f>
        <v>Développement d'une solution pour la caractérisation de l'énergie consommée dans un foyer par désagrégation de sources</v>
      </c>
      <c r="B42" s="7" t="str">
        <f>Projet!B46</f>
        <v>R10</v>
      </c>
      <c r="C42" s="18">
        <f>COUNTIF('Choix étudiants'!$H$1:$H$219,B42)</f>
        <v>0</v>
      </c>
      <c r="D42" s="18">
        <f>COUNTIF('Choix étudiants'!J$1:J$219,B42)</f>
        <v>0</v>
      </c>
      <c r="E42" s="18">
        <f>COUNTIF('Choix étudiants'!L$1:L$219,B42)</f>
        <v>1</v>
      </c>
      <c r="F42" s="18">
        <f>COUNTIF('Choix étudiants'!N$1:N$219,B42)</f>
        <v>1</v>
      </c>
      <c r="G42" s="18">
        <f>COUNTIF('Choix étudiants'!P$1:P$219,B42)</f>
        <v>0</v>
      </c>
      <c r="H42" s="9" t="str">
        <f>Projet!C46</f>
        <v/>
      </c>
      <c r="I42" s="5" t="str">
        <f>Projet!D46</f>
        <v>Recherche</v>
      </c>
      <c r="J42" s="5" t="str">
        <f>Projet!E46</f>
        <v/>
      </c>
      <c r="K42" s="5" t="str">
        <f>Projet!F46</f>
        <v>Info, DSIA</v>
      </c>
      <c r="L42" s="26" t="str">
        <f>Projet!G46</f>
        <v>R10_Efficacité Energétique</v>
      </c>
      <c r="M42" s="5" t="str">
        <f>Projet!H46</f>
        <v>L. George             A. Desta</v>
      </c>
      <c r="N42" s="5" t="str">
        <f>Projet!I46</f>
        <v/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37.5" customHeight="1">
      <c r="A43" s="5" t="str">
        <f>Projet!A47</f>
        <v>Interface haptique innovante pour la réalité virtuelle</v>
      </c>
      <c r="B43" s="7" t="str">
        <f>Projet!B47</f>
        <v>R11</v>
      </c>
      <c r="C43" s="18">
        <f>COUNTIF('Choix étudiants'!$H$1:$H$219,B43)</f>
        <v>3</v>
      </c>
      <c r="D43" s="18">
        <f>COUNTIF('Choix étudiants'!J$1:J$219,B43)</f>
        <v>4</v>
      </c>
      <c r="E43" s="18">
        <f>COUNTIF('Choix étudiants'!L$1:L$219,B43)</f>
        <v>3</v>
      </c>
      <c r="F43" s="18">
        <f>COUNTIF('Choix étudiants'!N$1:N$219,B43)</f>
        <v>7</v>
      </c>
      <c r="G43" s="18">
        <f>COUNTIF('Choix étudiants'!P$1:P$219,B43)</f>
        <v>3</v>
      </c>
      <c r="H43" s="23" t="s">
        <v>8</v>
      </c>
      <c r="I43" s="5" t="str">
        <f>Projet!D47</f>
        <v>Recherche</v>
      </c>
      <c r="J43" s="5" t="str">
        <f>Projet!E47</f>
        <v/>
      </c>
      <c r="K43" s="5" t="str">
        <f>Projet!F47</f>
        <v>info, ELE, SE</v>
      </c>
      <c r="L43" s="26" t="str">
        <f>Projet!G47</f>
        <v>R11_UtraHaptics.pdf</v>
      </c>
      <c r="M43" s="5" t="str">
        <f>Projet!H47</f>
        <v>T. Grandpierre </v>
      </c>
      <c r="N43" s="5" t="str">
        <f>Projet!I47</f>
        <v>Max 4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37.5" customHeight="1">
      <c r="A44" s="5" t="str">
        <f>Projet!A48</f>
        <v>Projet Mini-hydrolienne</v>
      </c>
      <c r="B44" s="7" t="str">
        <f>Projet!B48</f>
        <v>R12</v>
      </c>
      <c r="C44" s="18">
        <f>COUNTIF('Choix étudiants'!$H$1:$H$219,B44)</f>
        <v>14</v>
      </c>
      <c r="D44" s="18">
        <f>COUNTIF('Choix étudiants'!J$1:J$219,B44)</f>
        <v>6</v>
      </c>
      <c r="E44" s="18">
        <f>COUNTIF('Choix étudiants'!L$1:L$219,B44)</f>
        <v>4</v>
      </c>
      <c r="F44" s="18">
        <f>COUNTIF('Choix étudiants'!N$1:N$219,B44)</f>
        <v>7</v>
      </c>
      <c r="G44" s="18">
        <f>COUNTIF('Choix étudiants'!P$1:P$219,B44)</f>
        <v>5</v>
      </c>
      <c r="H44" s="23" t="s">
        <v>12</v>
      </c>
      <c r="I44" s="5" t="str">
        <f>Projet!D48</f>
        <v>Recherche</v>
      </c>
      <c r="J44" s="5" t="str">
        <f>Projet!E48</f>
        <v>Université paris Diderot</v>
      </c>
      <c r="K44" s="5" t="str">
        <f>Projet!F48</f>
        <v>ENE</v>
      </c>
      <c r="L44" s="26" t="str">
        <f>Projet!G48</f>
        <v>R12_MiniHydrolienne.pdf</v>
      </c>
      <c r="M44" s="5" t="str">
        <f>Projet!H48</f>
        <v>L. Royon</v>
      </c>
      <c r="N44" s="5" t="str">
        <f>Projet!I48</f>
        <v/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37.5" customHeight="1">
      <c r="A45" s="5" t="str">
        <f>Projet!A49</f>
        <v>Capteur de pollution connecté</v>
      </c>
      <c r="B45" s="7" t="str">
        <f>Projet!B49</f>
        <v>R13</v>
      </c>
      <c r="C45" s="18">
        <f>COUNTIF('Choix étudiants'!$H$1:$H$219,B45)</f>
        <v>0</v>
      </c>
      <c r="D45" s="18">
        <f>COUNTIF('Choix étudiants'!J$1:J$219,B45)</f>
        <v>12</v>
      </c>
      <c r="E45" s="18">
        <f>COUNTIF('Choix étudiants'!L$1:L$219,B45)</f>
        <v>1</v>
      </c>
      <c r="F45" s="18">
        <f>COUNTIF('Choix étudiants'!N$1:N$219,B45)</f>
        <v>5</v>
      </c>
      <c r="G45" s="18">
        <f>COUNTIF('Choix étudiants'!P$1:P$219,B45)</f>
        <v>1</v>
      </c>
      <c r="H45" s="9" t="str">
        <f>Projet!C49</f>
        <v/>
      </c>
      <c r="I45" s="5" t="str">
        <f>Projet!D49</f>
        <v>Recherche</v>
      </c>
      <c r="J45" s="5" t="str">
        <f>Projet!E49</f>
        <v/>
      </c>
      <c r="K45" s="5" t="str">
        <f>Projet!F49</f>
        <v>Info, DS, ELE, SE</v>
      </c>
      <c r="L45" s="26" t="str">
        <f>Projet!G49</f>
        <v>R13_CapteurPollution.pdf</v>
      </c>
      <c r="M45" s="5" t="str">
        <f>Projet!H49</f>
        <v>Rémi Kocik   Redha Hammouche</v>
      </c>
      <c r="N45" s="5" t="str">
        <f>Projet!I49</f>
        <v/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37.5" customHeight="1">
      <c r="A46" s="5" t="str">
        <f>Projet!A50</f>
        <v>Développement d’une canne connectée</v>
      </c>
      <c r="B46" s="7" t="str">
        <f>Projet!B50</f>
        <v>R14</v>
      </c>
      <c r="C46" s="18">
        <f>COUNTIF('Choix étudiants'!$H$1:$H$219,B46)</f>
        <v>0</v>
      </c>
      <c r="D46" s="18">
        <f>COUNTIF('Choix étudiants'!J$1:J$219,B46)</f>
        <v>1</v>
      </c>
      <c r="E46" s="18">
        <f>COUNTIF('Choix étudiants'!L$1:L$219,B46)</f>
        <v>0</v>
      </c>
      <c r="F46" s="18">
        <f>COUNTIF('Choix étudiants'!N$1:N$219,B46)</f>
        <v>0</v>
      </c>
      <c r="G46" s="18">
        <f>COUNTIF('Choix étudiants'!P$1:P$219,B46)</f>
        <v>1</v>
      </c>
      <c r="H46" s="9" t="str">
        <f>Projet!C50</f>
        <v/>
      </c>
      <c r="I46" s="5" t="str">
        <f>Projet!D50</f>
        <v>Recherche</v>
      </c>
      <c r="J46" s="5" t="str">
        <f>Projet!E50</f>
        <v/>
      </c>
      <c r="K46" s="5" t="str">
        <f>Projet!F50</f>
        <v>Info, ELE, SE</v>
      </c>
      <c r="L46" s="26" t="str">
        <f>Projet!G50</f>
        <v>R14_CanneConnectee.pdf</v>
      </c>
      <c r="M46" s="5" t="str">
        <f>Projet!H50</f>
        <v>Ting Wang Olivier Venard Rémi Kocyk</v>
      </c>
      <c r="N46" s="5" t="str">
        <f>Projet!I50</f>
        <v/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37.5" customHeight="1">
      <c r="A47" s="5" t="str">
        <f>Projet!A51</f>
        <v>Développement d'un package R / Python pour le contrôle des médicaments</v>
      </c>
      <c r="B47" s="7" t="str">
        <f>Projet!B51</f>
        <v>R15</v>
      </c>
      <c r="C47" s="18">
        <f>COUNTIF('Choix étudiants'!$H$1:$H$219,B47)</f>
        <v>2</v>
      </c>
      <c r="D47" s="18">
        <f>COUNTIF('Choix étudiants'!J$1:J$219,B47)</f>
        <v>1</v>
      </c>
      <c r="E47" s="18">
        <f>COUNTIF('Choix étudiants'!L$1:L$219,B47)</f>
        <v>2</v>
      </c>
      <c r="F47" s="18">
        <f>COUNTIF('Choix étudiants'!N$1:N$219,B47)</f>
        <v>4</v>
      </c>
      <c r="G47" s="18">
        <f>COUNTIF('Choix étudiants'!P$1:P$219,B47)</f>
        <v>3</v>
      </c>
      <c r="H47" s="9" t="str">
        <f>Projet!C51</f>
        <v/>
      </c>
      <c r="I47" s="5" t="str">
        <f>Projet!D51</f>
        <v>Recherche</v>
      </c>
      <c r="J47" s="5" t="str">
        <f>Projet!E51</f>
        <v/>
      </c>
      <c r="K47" s="5" t="str">
        <f>Projet!F51</f>
        <v>Info, DS, e-Santé</v>
      </c>
      <c r="L47" s="26" t="str">
        <f>Projet!G51</f>
        <v>R15_Package R</v>
      </c>
      <c r="M47" s="5" t="str">
        <f>Projet!H51</f>
        <v>Bertrand Roudier  Michel Cardot</v>
      </c>
      <c r="N47" s="5" t="str">
        <f>Projet!I51</f>
        <v/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37.5" customHeight="1">
      <c r="A48" s="5" t="str">
        <f>Projet!A52</f>
        <v>Ecolab Descartes : Observatoire de la Transition Ecologique de la Cité Descartes</v>
      </c>
      <c r="B48" s="7" t="str">
        <f>Projet!B52</f>
        <v>R16</v>
      </c>
      <c r="C48" s="18">
        <f>COUNTIF('Choix étudiants'!$H$1:$H$219,B48)</f>
        <v>5</v>
      </c>
      <c r="D48" s="18">
        <f>COUNTIF('Choix étudiants'!J$1:J$219,B48)</f>
        <v>2</v>
      </c>
      <c r="E48" s="18">
        <f>COUNTIF('Choix étudiants'!L$1:L$219,B48)</f>
        <v>3</v>
      </c>
      <c r="F48" s="18">
        <f>COUNTIF('Choix étudiants'!N$1:N$219,B48)</f>
        <v>3</v>
      </c>
      <c r="G48" s="18">
        <f>COUNTIF('Choix étudiants'!P$1:P$219,B48)</f>
        <v>2</v>
      </c>
      <c r="H48" s="23" t="s">
        <v>38</v>
      </c>
      <c r="I48" s="5" t="str">
        <f>Projet!D52</f>
        <v>Recherche</v>
      </c>
      <c r="J48" s="5" t="str">
        <f>Projet!E52</f>
        <v/>
      </c>
      <c r="K48" s="5" t="str">
        <f>Projet!F52</f>
        <v>ENE, Info</v>
      </c>
      <c r="L48" s="26" t="str">
        <f>Projet!G52</f>
        <v>R16_Ecolab</v>
      </c>
      <c r="M48" s="5" t="str">
        <f>Projet!H52</f>
        <v>Elyes NEFZAOUI</v>
      </c>
      <c r="N48" s="5" t="str">
        <f>Projet!I52</f>
        <v/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37.5" customHeight="1">
      <c r="A49" s="5" t="str">
        <f>Projet!A53</f>
        <v>Mesures embarquées de vibration</v>
      </c>
      <c r="B49" s="7" t="str">
        <f>Projet!B53</f>
        <v>R17</v>
      </c>
      <c r="C49" s="18">
        <f>COUNTIF('Choix étudiants'!$H$1:$H$219,B49)</f>
        <v>3</v>
      </c>
      <c r="D49" s="18">
        <f>COUNTIF('Choix étudiants'!J$1:J$219,B49)</f>
        <v>1</v>
      </c>
      <c r="E49" s="18">
        <f>COUNTIF('Choix étudiants'!L$1:L$219,B49)</f>
        <v>2</v>
      </c>
      <c r="F49" s="18">
        <f>COUNTIF('Choix étudiants'!N$1:N$219,B49)</f>
        <v>0</v>
      </c>
      <c r="G49" s="18">
        <f>COUNTIF('Choix étudiants'!P$1:P$219,B49)</f>
        <v>5</v>
      </c>
      <c r="H49" s="9" t="str">
        <f>Projet!C53</f>
        <v/>
      </c>
      <c r="I49" s="5" t="str">
        <f>Projet!D53</f>
        <v>Recherche</v>
      </c>
      <c r="J49" s="5" t="str">
        <f>Projet!E53</f>
        <v>IFSTTAR</v>
      </c>
      <c r="K49" s="5" t="str">
        <f>Projet!F53</f>
        <v>ENE, Info, SE</v>
      </c>
      <c r="L49" s="26" t="str">
        <f>Projet!G53</f>
        <v>R17_MesuresVibrations.pdf</v>
      </c>
      <c r="M49" s="5" t="str">
        <f>Projet!H53</f>
        <v>P. Chatellier     D. Siegert                   T. Grandpierre</v>
      </c>
      <c r="N49" s="5" t="str">
        <f>Projet!I53</f>
        <v/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37.5" customHeight="1">
      <c r="A50" s="5" t="str">
        <f>Projet!A54</f>
        <v>Réseau de capteurs sans fil pour les applications domotiques, smart home et smart building.</v>
      </c>
      <c r="B50" s="7" t="str">
        <f>Projet!B54</f>
        <v>R18</v>
      </c>
      <c r="C50" s="18">
        <f>COUNTIF('Choix étudiants'!$H$1:$H$219,B50)</f>
        <v>7</v>
      </c>
      <c r="D50" s="18">
        <f>COUNTIF('Choix étudiants'!J$1:J$219,B50)</f>
        <v>0</v>
      </c>
      <c r="E50" s="18">
        <f>COUNTIF('Choix étudiants'!L$1:L$219,B50)</f>
        <v>7</v>
      </c>
      <c r="F50" s="18">
        <f>COUNTIF('Choix étudiants'!N$1:N$219,B50)</f>
        <v>2</v>
      </c>
      <c r="G50" s="18">
        <f>COUNTIF('Choix étudiants'!P$1:P$219,B50)</f>
        <v>4</v>
      </c>
      <c r="H50" s="23" t="s">
        <v>40</v>
      </c>
      <c r="I50" s="5" t="str">
        <f>Projet!D54</f>
        <v>Recherche</v>
      </c>
      <c r="J50" s="5" t="str">
        <f>Projet!E54</f>
        <v/>
      </c>
      <c r="K50" s="5" t="str">
        <f>Projet!F54</f>
        <v>Info, ELE, SE</v>
      </c>
      <c r="L50" s="26" t="str">
        <f>Projet!G54</f>
        <v>R18_ReseauDeCapteurs.pdf</v>
      </c>
      <c r="M50" s="5" t="str">
        <f>Projet!H54</f>
        <v>Rémi Kocik   Redha Hammouche</v>
      </c>
      <c r="N50" s="5" t="str">
        <f>Projet!I54</f>
        <v/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37.5" customHeight="1">
      <c r="A51" s="5" t="str">
        <f>Projet!A55</f>
        <v>Mise en place d'orchestration de fonctions réseaux micro-services à base de Kubernetest</v>
      </c>
      <c r="B51" s="7" t="str">
        <f>Projet!B55</f>
        <v>R19</v>
      </c>
      <c r="C51" s="18">
        <f>COUNTIF('Choix étudiants'!$H$1:$H$219,B51)</f>
        <v>2</v>
      </c>
      <c r="D51" s="18">
        <f>COUNTIF('Choix étudiants'!J$1:J$219,B51)</f>
        <v>0</v>
      </c>
      <c r="E51" s="18">
        <f>COUNTIF('Choix étudiants'!L$1:L$219,B51)</f>
        <v>5</v>
      </c>
      <c r="F51" s="18">
        <f>COUNTIF('Choix étudiants'!N$1:N$219,B51)</f>
        <v>1</v>
      </c>
      <c r="G51" s="18">
        <f>COUNTIF('Choix étudiants'!P$1:P$219,B51)</f>
        <v>0</v>
      </c>
      <c r="H51" s="23" t="s">
        <v>41</v>
      </c>
      <c r="I51" s="5" t="str">
        <f>Projet!D55</f>
        <v>Recherche</v>
      </c>
      <c r="J51" s="5" t="str">
        <f>Projet!E55</f>
        <v/>
      </c>
      <c r="K51" s="5" t="str">
        <f>Projet!F55</f>
        <v>Info, réseaux</v>
      </c>
      <c r="L51" s="26" t="str">
        <f>Projet!G55</f>
        <v>R19_Kubernetest.pdf</v>
      </c>
      <c r="M51" s="5" t="str">
        <f>Projet!H55</f>
        <v>Nadjib Aitsaadi</v>
      </c>
      <c r="N51" s="5" t="str">
        <f>Projet!I55</f>
        <v/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37.5" customHeight="1">
      <c r="A52" s="5" t="str">
        <f>Projet!A56</f>
        <v>Analyse de mouvement de grains dans une séquence d'images 3D</v>
      </c>
      <c r="B52" s="7" t="str">
        <f>Projet!B56</f>
        <v>R20</v>
      </c>
      <c r="C52" s="18">
        <f>COUNTIF('Choix étudiants'!$H$1:$H$219,B52)</f>
        <v>0</v>
      </c>
      <c r="D52" s="18">
        <f>COUNTIF('Choix étudiants'!J$1:J$219,B52)</f>
        <v>2</v>
      </c>
      <c r="E52" s="18">
        <f>COUNTIF('Choix étudiants'!L$1:L$219,B52)</f>
        <v>1</v>
      </c>
      <c r="F52" s="18">
        <f>COUNTIF('Choix étudiants'!N$1:N$219,B52)</f>
        <v>1</v>
      </c>
      <c r="G52" s="18">
        <f>COUNTIF('Choix étudiants'!P$1:P$219,B52)</f>
        <v>1</v>
      </c>
      <c r="H52" s="9" t="str">
        <f>Projet!C56</f>
        <v/>
      </c>
      <c r="I52" s="5" t="str">
        <f>Projet!D56</f>
        <v>Recherche</v>
      </c>
      <c r="J52" s="5" t="str">
        <f>Projet!E56</f>
        <v/>
      </c>
      <c r="K52" s="5" t="str">
        <f>Projet!F56</f>
        <v>Info</v>
      </c>
      <c r="L52" s="26" t="str">
        <f>Projet!G56</f>
        <v>R20_MouvementGrains.pdf</v>
      </c>
      <c r="M52" s="5" t="str">
        <f>Projet!H56</f>
        <v>Jean Cousty Yukiko Kenmochi</v>
      </c>
      <c r="N52" s="5" t="str">
        <f>Projet!I56</f>
        <v/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37.5" customHeight="1">
      <c r="A53" s="5" t="str">
        <f>Projet!A57</f>
        <v>Analyse de structures de vaisseaux sanguins</v>
      </c>
      <c r="B53" s="7" t="str">
        <f>Projet!B57</f>
        <v>R21</v>
      </c>
      <c r="C53" s="18">
        <f>COUNTIF('Choix étudiants'!$H$1:$H$219,B53)</f>
        <v>4</v>
      </c>
      <c r="D53" s="18">
        <f>COUNTIF('Choix étudiants'!J$1:J$219,B53)</f>
        <v>1</v>
      </c>
      <c r="E53" s="18">
        <f>COUNTIF('Choix étudiants'!L$1:L$219,B53)</f>
        <v>2</v>
      </c>
      <c r="F53" s="18">
        <f>COUNTIF('Choix étudiants'!N$1:N$219,B53)</f>
        <v>2</v>
      </c>
      <c r="G53" s="18">
        <f>COUNTIF('Choix étudiants'!P$1:P$219,B53)</f>
        <v>1</v>
      </c>
      <c r="H53" s="9" t="str">
        <f>Projet!C57</f>
        <v/>
      </c>
      <c r="I53" s="5" t="str">
        <f>Projet!D57</f>
        <v>Recherche</v>
      </c>
      <c r="J53" s="5" t="str">
        <f>Projet!E57</f>
        <v/>
      </c>
      <c r="K53" s="5" t="str">
        <f>Projet!F57</f>
        <v>Info</v>
      </c>
      <c r="L53" s="26" t="str">
        <f>Projet!G57</f>
        <v>R21_VaisseauxSanguins.pdf</v>
      </c>
      <c r="M53" s="5" t="str">
        <f>Projet!H57</f>
        <v>Michel Couprie Yukiko Kenmochi</v>
      </c>
      <c r="N53" s="5" t="str">
        <f>Projet!I57</f>
        <v/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37.5" customHeight="1">
      <c r="A54" s="5" t="str">
        <f>Projet!A58</f>
        <v>Technologies for Visible Light Communications</v>
      </c>
      <c r="B54" s="7" t="str">
        <f>Projet!B58</f>
        <v>R22</v>
      </c>
      <c r="C54" s="18">
        <f>COUNTIF('Choix étudiants'!$H$1:$H$219,B54)</f>
        <v>3</v>
      </c>
      <c r="D54" s="18">
        <f>COUNTIF('Choix étudiants'!J$1:J$219,B54)</f>
        <v>0</v>
      </c>
      <c r="E54" s="18">
        <f>COUNTIF('Choix étudiants'!L$1:L$219,B54)</f>
        <v>4</v>
      </c>
      <c r="F54" s="18">
        <f>COUNTIF('Choix étudiants'!N$1:N$219,B54)</f>
        <v>4</v>
      </c>
      <c r="G54" s="18">
        <f>COUNTIF('Choix étudiants'!P$1:P$219,B54)</f>
        <v>2</v>
      </c>
      <c r="H54" s="23" t="s">
        <v>43</v>
      </c>
      <c r="I54" s="5" t="str">
        <f>Projet!D58</f>
        <v>Recherche</v>
      </c>
      <c r="J54" s="5" t="str">
        <f>Projet!E58</f>
        <v/>
      </c>
      <c r="K54" s="5" t="str">
        <f>Projet!F58</f>
        <v>IME, ELE, SE</v>
      </c>
      <c r="L54" s="26" t="str">
        <f>Projet!G58</f>
        <v>R22 - LiFi communications - E4-S2.pdf</v>
      </c>
      <c r="M54" s="5" t="str">
        <f>Projet!H58</f>
        <v>Jean-Luc Polleux
Zerihun Tegegne
Miyassa SALHI
Francesco PERESSUTTI</v>
      </c>
      <c r="N54" s="5" t="str">
        <f>Projet!I58</f>
        <v/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37.5" customHeight="1">
      <c r="A55" s="33" t="str">
        <f>Projet!A59</f>
        <v>Ecolab Descartes - production d'hydrogène</v>
      </c>
      <c r="B55" s="7" t="str">
        <f>Projet!B59</f>
        <v>R23</v>
      </c>
      <c r="C55" s="18">
        <f>COUNTIF('Choix étudiants'!$H$1:$H$219,B55)</f>
        <v>1</v>
      </c>
      <c r="D55" s="18">
        <f>COUNTIF('Choix étudiants'!J$1:J$219,B55)</f>
        <v>1</v>
      </c>
      <c r="E55" s="18">
        <f>COUNTIF('Choix étudiants'!L$1:L$219,B55)</f>
        <v>5</v>
      </c>
      <c r="F55" s="18">
        <f>COUNTIF('Choix étudiants'!N$1:N$219,B55)</f>
        <v>1</v>
      </c>
      <c r="G55" s="18">
        <f>COUNTIF('Choix étudiants'!P$1:P$219,B55)</f>
        <v>12</v>
      </c>
      <c r="H55" s="9" t="str">
        <f>Projet!C59</f>
        <v/>
      </c>
      <c r="I55" s="5" t="str">
        <f>Projet!D59</f>
        <v>Recherche</v>
      </c>
      <c r="J55" s="5" t="str">
        <f>Projet!E59</f>
        <v/>
      </c>
      <c r="K55" s="5" t="str">
        <f>Projet!F59</f>
        <v>ENE</v>
      </c>
      <c r="L55" s="26" t="str">
        <f>Projet!G59</f>
        <v> R23_EcolabDescartes</v>
      </c>
      <c r="M55" s="5" t="str">
        <f>Projet!H59</f>
        <v>Nicolas Laumet</v>
      </c>
      <c r="N55" s="5" t="str">
        <f>Projet!I59</f>
        <v>ANNULE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37.5" customHeight="1">
      <c r="A56" s="5" t="str">
        <f>Projet!A60</f>
        <v>Exosquelette</v>
      </c>
      <c r="B56" s="7" t="str">
        <f>Projet!B60</f>
        <v>R24</v>
      </c>
      <c r="C56" s="18">
        <f>COUNTIF('Choix étudiants'!$H$1:$H$219,B56)</f>
        <v>13</v>
      </c>
      <c r="D56" s="18">
        <f>COUNTIF('Choix étudiants'!J$1:J$219,B56)</f>
        <v>11</v>
      </c>
      <c r="E56" s="18">
        <f>COUNTIF('Choix étudiants'!L$1:L$219,B56)</f>
        <v>10</v>
      </c>
      <c r="F56" s="18">
        <f>COUNTIF('Choix étudiants'!N$1:N$219,B56)</f>
        <v>3</v>
      </c>
      <c r="G56" s="18">
        <f>COUNTIF('Choix étudiants'!P$1:P$219,B56)</f>
        <v>3</v>
      </c>
      <c r="H56" s="23" t="s">
        <v>19</v>
      </c>
      <c r="I56" s="5" t="str">
        <f>Projet!D60</f>
        <v>Recherche</v>
      </c>
      <c r="J56" s="5" t="str">
        <f>Projet!E60</f>
        <v/>
      </c>
      <c r="K56" s="5" t="str">
        <f>Projet!F60</f>
        <v>Energie, Com/marketing, elec, santé, GI</v>
      </c>
      <c r="L56" s="26" t="str">
        <f>Projet!G60</f>
        <v>R24_Exosquelette</v>
      </c>
      <c r="M56" s="5" t="str">
        <f>Projet!H60</f>
        <v>S. Latorre      P.Vinter</v>
      </c>
      <c r="N56" s="5" t="str">
        <f>Projet!I60</f>
        <v/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37.5" customHeight="1">
      <c r="A57" s="5" t="str">
        <f>Projet!A61</f>
        <v>Traitement d’images « out-of-core »</v>
      </c>
      <c r="B57" s="7" t="str">
        <f>Projet!B61</f>
        <v>R25</v>
      </c>
      <c r="C57" s="18">
        <f>COUNTIF('Choix étudiants'!$H$1:$H$219,B57)</f>
        <v>5</v>
      </c>
      <c r="D57" s="18">
        <f>COUNTIF('Choix étudiants'!J$1:J$219,B57)</f>
        <v>1</v>
      </c>
      <c r="E57" s="18">
        <f>COUNTIF('Choix étudiants'!L$1:L$219,B57)</f>
        <v>1</v>
      </c>
      <c r="F57" s="18">
        <f>COUNTIF('Choix étudiants'!N$1:N$219,B57)</f>
        <v>8</v>
      </c>
      <c r="G57" s="18">
        <f>COUNTIF('Choix étudiants'!P$1:P$219,B57)</f>
        <v>2</v>
      </c>
      <c r="H57" s="23" t="s">
        <v>44</v>
      </c>
      <c r="I57" s="5" t="str">
        <f>Projet!D61</f>
        <v>Recherche</v>
      </c>
      <c r="J57" s="5" t="str">
        <f>Projet!E61</f>
        <v/>
      </c>
      <c r="K57" s="5" t="str">
        <f>Projet!F61</f>
        <v>Info, DSIA</v>
      </c>
      <c r="L57" s="26" t="str">
        <f>Projet!G61</f>
        <v>R25_OutOfCore.pdf</v>
      </c>
      <c r="M57" s="5" t="str">
        <f>Projet!H61</f>
        <v>Jean Cousty</v>
      </c>
      <c r="N57" s="5" t="str">
        <f>Projet!I61</f>
        <v/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37.5" customHeight="1">
      <c r="A58" s="33" t="str">
        <f>Projet!A62</f>
        <v>Reconfiguration dynamique partielle pour le chiffrement matériel basse-consommation</v>
      </c>
      <c r="B58" s="7" t="str">
        <f>Projet!B62</f>
        <v>R26</v>
      </c>
      <c r="C58" s="18">
        <f>COUNTIF('Choix étudiants'!$H$1:$H$219,B58)</f>
        <v>0</v>
      </c>
      <c r="D58" s="18">
        <f>COUNTIF('Choix étudiants'!J$1:J$219,B58)</f>
        <v>5</v>
      </c>
      <c r="E58" s="18">
        <f>COUNTIF('Choix étudiants'!L$1:L$219,B58)</f>
        <v>0</v>
      </c>
      <c r="F58" s="18">
        <f>COUNTIF('Choix étudiants'!N$1:N$219,B58)</f>
        <v>0</v>
      </c>
      <c r="G58" s="18">
        <f>COUNTIF('Choix étudiants'!P$1:P$219,B58)</f>
        <v>0</v>
      </c>
      <c r="H58" s="9" t="str">
        <f>Projet!C62</f>
        <v/>
      </c>
      <c r="I58" s="5" t="str">
        <f>Projet!D62</f>
        <v>Recherche</v>
      </c>
      <c r="J58" s="5" t="str">
        <f>Projet!E62</f>
        <v/>
      </c>
      <c r="K58" s="5" t="str">
        <f>Projet!F62</f>
        <v>ELE</v>
      </c>
      <c r="L58" s="26" t="str">
        <f>Projet!G62</f>
        <v>R26_Crypto_reconfigurable.pdf</v>
      </c>
      <c r="M58" s="5" t="str">
        <f>Projet!H62</f>
        <v>Ludovic Noury</v>
      </c>
      <c r="N58" s="5" t="str">
        <f>Projet!I62</f>
        <v/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37.5" customHeight="1">
      <c r="A59" s="5" t="str">
        <f>Projet!A63</f>
        <v>Assignment Algorithms for ESIEE E4 Projects</v>
      </c>
      <c r="B59" s="7" t="str">
        <f>Projet!B63</f>
        <v>R27</v>
      </c>
      <c r="C59" s="18">
        <f>COUNTIF('Choix étudiants'!$H$1:$H$219,B59)</f>
        <v>3</v>
      </c>
      <c r="D59" s="18">
        <f>COUNTIF('Choix étudiants'!J$1:J$219,B59)</f>
        <v>3</v>
      </c>
      <c r="E59" s="18">
        <f>COUNTIF('Choix étudiants'!L$1:L$219,B59)</f>
        <v>1</v>
      </c>
      <c r="F59" s="18">
        <f>COUNTIF('Choix étudiants'!N$1:N$219,B59)</f>
        <v>5</v>
      </c>
      <c r="G59" s="18">
        <f>COUNTIF('Choix étudiants'!P$1:P$219,B59)</f>
        <v>4</v>
      </c>
      <c r="H59" s="23" t="s">
        <v>43</v>
      </c>
      <c r="I59" s="5" t="str">
        <f>Projet!D63</f>
        <v>Recherche</v>
      </c>
      <c r="J59" s="5" t="str">
        <f>Projet!E63</f>
        <v/>
      </c>
      <c r="K59" s="5" t="str">
        <f>Projet!F63</f>
        <v>IMC, DSIA</v>
      </c>
      <c r="L59" s="26" t="str">
        <f>Projet!G63</f>
        <v>R27_IMCProject_AssigmentAlgorithm.pdf</v>
      </c>
      <c r="M59" s="5" t="str">
        <f>Projet!H63</f>
        <v>Y. Abdeddaim C.Berland</v>
      </c>
      <c r="N59" s="5" t="str">
        <f>Projet!I63</f>
        <v>Only semester 2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37.5" customHeight="1">
      <c r="A60" s="5" t="str">
        <f>Projet!A64</f>
        <v>Lightning storm activity monitoring</v>
      </c>
      <c r="B60" s="7" t="str">
        <f>Projet!B64</f>
        <v>R28</v>
      </c>
      <c r="C60" s="18">
        <f>COUNTIF('Choix étudiants'!$H$1:$H$219,B60)</f>
        <v>1</v>
      </c>
      <c r="D60" s="18">
        <f>COUNTIF('Choix étudiants'!J$1:J$219,B60)</f>
        <v>4</v>
      </c>
      <c r="E60" s="18">
        <f>COUNTIF('Choix étudiants'!L$1:L$219,B60)</f>
        <v>1</v>
      </c>
      <c r="F60" s="18">
        <f>COUNTIF('Choix étudiants'!N$1:N$219,B60)</f>
        <v>3</v>
      </c>
      <c r="G60" s="18">
        <f>COUNTIF('Choix étudiants'!P$1:P$219,B60)</f>
        <v>1</v>
      </c>
      <c r="H60" s="9" t="str">
        <f>Projet!C64</f>
        <v/>
      </c>
      <c r="I60" s="5" t="str">
        <f>Projet!D64</f>
        <v>Recherche</v>
      </c>
      <c r="J60" s="5" t="str">
        <f>Projet!E64</f>
        <v/>
      </c>
      <c r="K60" s="5" t="str">
        <f>Projet!F64</f>
        <v>IME, SE</v>
      </c>
      <c r="L60" s="26" t="str">
        <f>Projet!G64</f>
        <v>R28_LightningMonitoring.pdf</v>
      </c>
      <c r="M60" s="5" t="str">
        <f>Projet!H64</f>
        <v>T. Alves</v>
      </c>
      <c r="N60" s="5" t="str">
        <f>Projet!I64</f>
        <v>Only semester 2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37.5" customHeight="1">
      <c r="A61" s="5" t="str">
        <f>Projet!A65</f>
        <v>Development of a wireless sensor module test bench</v>
      </c>
      <c r="B61" s="7" t="str">
        <f>Projet!B65</f>
        <v>R29</v>
      </c>
      <c r="C61" s="18">
        <f>COUNTIF('Choix étudiants'!$H$1:$H$219,B61)</f>
        <v>1</v>
      </c>
      <c r="D61" s="18">
        <f>COUNTIF('Choix étudiants'!J$1:J$219,B61)</f>
        <v>2</v>
      </c>
      <c r="E61" s="18">
        <f>COUNTIF('Choix étudiants'!L$1:L$219,B61)</f>
        <v>2</v>
      </c>
      <c r="F61" s="18">
        <f>COUNTIF('Choix étudiants'!N$1:N$219,B61)</f>
        <v>2</v>
      </c>
      <c r="G61" s="18">
        <f>COUNTIF('Choix étudiants'!P$1:P$219,B61)</f>
        <v>6</v>
      </c>
      <c r="H61" s="23" t="s">
        <v>43</v>
      </c>
      <c r="I61" s="5" t="str">
        <f>Projet!D65</f>
        <v>Recherche</v>
      </c>
      <c r="J61" s="5" t="str">
        <f>Projet!E65</f>
        <v/>
      </c>
      <c r="K61" s="5" t="str">
        <f>Projet!F65</f>
        <v>IME, SE, ELE</v>
      </c>
      <c r="L61" s="26" t="str">
        <f>Projet!G65</f>
        <v>R29_Wirelesss_Sensor.pdf</v>
      </c>
      <c r="M61" s="5" t="str">
        <f>Projet!H65</f>
        <v>T. Alves</v>
      </c>
      <c r="N61" s="5" t="str">
        <f>Projet!I65</f>
        <v>Only semester 2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37.5" customHeight="1">
      <c r="A62" s="5" t="str">
        <f>Projet!A66</f>
        <v>From HF to UHF Energy Harvesting</v>
      </c>
      <c r="B62" s="7" t="str">
        <f>Projet!B66</f>
        <v>R30</v>
      </c>
      <c r="C62" s="18">
        <f>COUNTIF('Choix étudiants'!$H$1:$H$219,B62)</f>
        <v>1</v>
      </c>
      <c r="D62" s="18">
        <f>COUNTIF('Choix étudiants'!J$1:J$219,B62)</f>
        <v>0</v>
      </c>
      <c r="E62" s="18">
        <f>COUNTIF('Choix étudiants'!L$1:L$219,B62)</f>
        <v>1</v>
      </c>
      <c r="F62" s="18">
        <f>COUNTIF('Choix étudiants'!N$1:N$219,B62)</f>
        <v>3</v>
      </c>
      <c r="G62" s="18">
        <f>COUNTIF('Choix étudiants'!P$1:P$219,B62)</f>
        <v>1</v>
      </c>
      <c r="H62" s="9" t="str">
        <f>Projet!C66</f>
        <v/>
      </c>
      <c r="I62" s="5" t="str">
        <f>Projet!D66</f>
        <v>Recherche</v>
      </c>
      <c r="J62" s="5" t="str">
        <f>Projet!E66</f>
        <v/>
      </c>
      <c r="K62" s="5" t="str">
        <f>Projet!F66</f>
        <v>IME, SE, ELE</v>
      </c>
      <c r="L62" s="26" t="str">
        <f>Projet!G66</f>
        <v>R30_Energy_Harvesting.pdf</v>
      </c>
      <c r="M62" s="5" t="str">
        <f>Projet!H66</f>
        <v>T. Alves</v>
      </c>
      <c r="N62" s="5" t="str">
        <f>Projet!I66</f>
        <v>Only semester 2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37.5" customHeight="1">
      <c r="A63" s="5" t="str">
        <f>Projet!A67</f>
        <v>Elaboration d’un simulateur digital : Optimisations des risques industriels</v>
      </c>
      <c r="B63" s="7" t="str">
        <f>Projet!B67</f>
        <v>R31</v>
      </c>
      <c r="C63" s="18">
        <f>COUNTIF('Choix étudiants'!$H$1:$H$219,B63)</f>
        <v>1</v>
      </c>
      <c r="D63" s="18">
        <f>COUNTIF('Choix étudiants'!J$1:J$219,B63)</f>
        <v>2</v>
      </c>
      <c r="E63" s="18">
        <f>COUNTIF('Choix étudiants'!L$1:L$219,B63)</f>
        <v>7</v>
      </c>
      <c r="F63" s="18">
        <f>COUNTIF('Choix étudiants'!N$1:N$219,B63)</f>
        <v>10</v>
      </c>
      <c r="G63" s="18">
        <f>COUNTIF('Choix étudiants'!P$1:P$219,B63)</f>
        <v>8</v>
      </c>
      <c r="H63" s="9" t="str">
        <f>Projet!C67</f>
        <v/>
      </c>
      <c r="I63" s="5" t="str">
        <f>Projet!D67</f>
        <v>Recherche</v>
      </c>
      <c r="J63" s="5" t="str">
        <f>Projet!E67</f>
        <v>UPEM</v>
      </c>
      <c r="K63" s="5" t="str">
        <f>Projet!F67</f>
        <v>Info, DSIA, SE, GI</v>
      </c>
      <c r="L63" s="26" t="str">
        <f>Projet!G67</f>
        <v>R31_Simulateur_Digital.pdf</v>
      </c>
      <c r="M63" s="5" t="str">
        <f>Projet!H67</f>
        <v>R. Hamouche</v>
      </c>
      <c r="N63" s="5" t="str">
        <f>Projet!I67</f>
        <v/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37.5" customHeight="1">
      <c r="A64" s="5" t="str">
        <f>Projet!A68</f>
        <v>Hospitalisation à domicile</v>
      </c>
      <c r="B64" s="7" t="str">
        <f>Projet!B68</f>
        <v>R32</v>
      </c>
      <c r="C64" s="18">
        <f>COUNTIF('Choix étudiants'!$H$1:$H$219,B64)</f>
        <v>9</v>
      </c>
      <c r="D64" s="18">
        <f>COUNTIF('Choix étudiants'!J$1:J$219,B64)</f>
        <v>6</v>
      </c>
      <c r="E64" s="18">
        <f>COUNTIF('Choix étudiants'!L$1:L$219,B64)</f>
        <v>5</v>
      </c>
      <c r="F64" s="18">
        <f>COUNTIF('Choix étudiants'!N$1:N$219,B64)</f>
        <v>3</v>
      </c>
      <c r="G64" s="18">
        <f>COUNTIF('Choix étudiants'!P$1:P$219,B64)</f>
        <v>0</v>
      </c>
      <c r="H64" s="23" t="s">
        <v>31</v>
      </c>
      <c r="I64" s="5" t="str">
        <f>Projet!D68</f>
        <v>Recherche</v>
      </c>
      <c r="J64" s="5" t="str">
        <f>Projet!E68</f>
        <v/>
      </c>
      <c r="K64" s="5" t="str">
        <f>Projet!F68</f>
        <v>GI</v>
      </c>
      <c r="L64" s="26" t="str">
        <f>Projet!G68</f>
        <v>R32_HospitalisationADomicile.pdf</v>
      </c>
      <c r="M64" s="5" t="str">
        <f>Projet!H68</f>
        <v>Aida Jebali</v>
      </c>
      <c r="N64" s="5" t="str">
        <f>Projet!I68</f>
        <v/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5" t="str">
        <f>Projet!A69</f>
        <v/>
      </c>
      <c r="B65" s="7" t="str">
        <f>Projet!B69</f>
        <v/>
      </c>
      <c r="C65" s="18"/>
      <c r="D65" s="18"/>
      <c r="E65" s="18"/>
      <c r="F65" s="18"/>
      <c r="G65" s="18"/>
      <c r="H65" s="9" t="str">
        <f>Projet!C69</f>
        <v/>
      </c>
      <c r="I65" s="5" t="str">
        <f>Projet!D69</f>
        <v/>
      </c>
      <c r="J65" s="5" t="str">
        <f>Projet!E69</f>
        <v/>
      </c>
      <c r="K65" s="5" t="str">
        <f>Projet!F69</f>
        <v/>
      </c>
      <c r="L65" s="5" t="str">
        <f>Projet!G69</f>
        <v/>
      </c>
      <c r="M65" s="5" t="str">
        <f>Projet!H69</f>
        <v/>
      </c>
      <c r="N65" s="5" t="str">
        <f>Projet!I69</f>
        <v/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5"/>
      <c r="B66" s="7"/>
      <c r="C66" s="18"/>
      <c r="D66" s="18"/>
      <c r="E66" s="18"/>
      <c r="F66" s="18"/>
      <c r="G66" s="18"/>
      <c r="H66" s="9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5"/>
      <c r="B67" s="7"/>
      <c r="C67" s="18"/>
      <c r="D67" s="18"/>
      <c r="E67" s="18"/>
      <c r="F67" s="18"/>
      <c r="G67" s="18"/>
      <c r="H67" s="9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5"/>
      <c r="B68" s="7"/>
      <c r="C68" s="18"/>
      <c r="D68" s="18"/>
      <c r="E68" s="18"/>
      <c r="F68" s="18"/>
      <c r="G68" s="18"/>
      <c r="H68" s="9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5"/>
      <c r="B69" s="7"/>
      <c r="C69" s="18"/>
      <c r="D69" s="18"/>
      <c r="E69" s="18"/>
      <c r="F69" s="18"/>
      <c r="G69" s="18"/>
      <c r="H69" s="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5"/>
      <c r="B70" s="7"/>
      <c r="C70" s="18"/>
      <c r="D70" s="18"/>
      <c r="E70" s="18"/>
      <c r="F70" s="18"/>
      <c r="G70" s="18"/>
      <c r="H70" s="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5"/>
      <c r="B71" s="7"/>
      <c r="C71" s="18"/>
      <c r="D71" s="18"/>
      <c r="E71" s="18"/>
      <c r="F71" s="18"/>
      <c r="G71" s="18"/>
      <c r="H71" s="9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5"/>
      <c r="B72" s="7"/>
      <c r="C72" s="18"/>
      <c r="D72" s="18"/>
      <c r="E72" s="18"/>
      <c r="F72" s="18"/>
      <c r="G72" s="18"/>
      <c r="H72" s="9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5"/>
      <c r="B73" s="7"/>
      <c r="C73" s="18"/>
      <c r="D73" s="18"/>
      <c r="E73" s="18"/>
      <c r="F73" s="18"/>
      <c r="G73" s="18"/>
      <c r="H73" s="9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5"/>
      <c r="B74" s="7"/>
      <c r="C74" s="18"/>
      <c r="D74" s="18"/>
      <c r="E74" s="18"/>
      <c r="F74" s="18"/>
      <c r="G74" s="18"/>
      <c r="H74" s="9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5"/>
      <c r="B75" s="7"/>
      <c r="C75" s="18"/>
      <c r="D75" s="18"/>
      <c r="E75" s="18"/>
      <c r="F75" s="18"/>
      <c r="G75" s="18"/>
      <c r="H75" s="9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5"/>
      <c r="B76" s="7"/>
      <c r="C76" s="18"/>
      <c r="D76" s="18"/>
      <c r="E76" s="18"/>
      <c r="F76" s="18"/>
      <c r="G76" s="18"/>
      <c r="H76" s="9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5"/>
      <c r="B77" s="7"/>
      <c r="C77" s="18"/>
      <c r="D77" s="18"/>
      <c r="E77" s="18"/>
      <c r="F77" s="18"/>
      <c r="G77" s="18"/>
      <c r="H77" s="9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5"/>
      <c r="B78" s="7"/>
      <c r="C78" s="18"/>
      <c r="D78" s="18"/>
      <c r="E78" s="18"/>
      <c r="F78" s="18"/>
      <c r="G78" s="18"/>
      <c r="H78" s="9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5"/>
      <c r="B79" s="7"/>
      <c r="C79" s="18"/>
      <c r="D79" s="18"/>
      <c r="E79" s="18"/>
      <c r="F79" s="18"/>
      <c r="G79" s="18"/>
      <c r="H79" s="9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5"/>
      <c r="B80" s="7"/>
      <c r="C80" s="18"/>
      <c r="D80" s="18"/>
      <c r="E80" s="18"/>
      <c r="F80" s="18"/>
      <c r="G80" s="18"/>
      <c r="H80" s="9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5"/>
      <c r="B81" s="7"/>
      <c r="C81" s="18"/>
      <c r="D81" s="18"/>
      <c r="E81" s="18"/>
      <c r="F81" s="18"/>
      <c r="G81" s="18"/>
      <c r="H81" s="9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5"/>
      <c r="B82" s="7"/>
      <c r="C82" s="18"/>
      <c r="D82" s="18"/>
      <c r="E82" s="18"/>
      <c r="F82" s="18"/>
      <c r="G82" s="18"/>
      <c r="H82" s="9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5"/>
      <c r="B83" s="7"/>
      <c r="C83" s="18"/>
      <c r="D83" s="18"/>
      <c r="E83" s="18"/>
      <c r="F83" s="18"/>
      <c r="G83" s="18"/>
      <c r="H83" s="9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5"/>
      <c r="B84" s="7"/>
      <c r="C84" s="18"/>
      <c r="D84" s="18"/>
      <c r="E84" s="18"/>
      <c r="F84" s="18"/>
      <c r="G84" s="18"/>
      <c r="H84" s="9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5"/>
      <c r="B85" s="7"/>
      <c r="C85" s="18"/>
      <c r="D85" s="18"/>
      <c r="E85" s="18"/>
      <c r="F85" s="18"/>
      <c r="G85" s="18"/>
      <c r="H85" s="9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5"/>
      <c r="B86" s="7"/>
      <c r="C86" s="18"/>
      <c r="D86" s="18"/>
      <c r="E86" s="18"/>
      <c r="F86" s="18"/>
      <c r="G86" s="18"/>
      <c r="H86" s="9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5"/>
      <c r="B87" s="7"/>
      <c r="C87" s="18"/>
      <c r="D87" s="18"/>
      <c r="E87" s="18"/>
      <c r="F87" s="18"/>
      <c r="G87" s="18"/>
      <c r="H87" s="9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5"/>
      <c r="B88" s="7"/>
      <c r="C88" s="18"/>
      <c r="D88" s="18"/>
      <c r="E88" s="18"/>
      <c r="F88" s="18"/>
      <c r="G88" s="18"/>
      <c r="H88" s="9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5"/>
      <c r="B89" s="7"/>
      <c r="C89" s="18"/>
      <c r="D89" s="18"/>
      <c r="E89" s="18"/>
      <c r="F89" s="18"/>
      <c r="G89" s="18"/>
      <c r="H89" s="9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5"/>
      <c r="B90" s="7"/>
      <c r="C90" s="18"/>
      <c r="D90" s="18"/>
      <c r="E90" s="18"/>
      <c r="F90" s="18"/>
      <c r="G90" s="18"/>
      <c r="H90" s="9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5"/>
      <c r="B91" s="7"/>
      <c r="C91" s="18"/>
      <c r="D91" s="18"/>
      <c r="E91" s="18"/>
      <c r="F91" s="18"/>
      <c r="G91" s="18"/>
      <c r="H91" s="9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5"/>
      <c r="B92" s="7"/>
      <c r="C92" s="18"/>
      <c r="D92" s="18"/>
      <c r="E92" s="18"/>
      <c r="F92" s="18"/>
      <c r="G92" s="18"/>
      <c r="H92" s="9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5"/>
      <c r="B93" s="7"/>
      <c r="C93" s="18"/>
      <c r="D93" s="18"/>
      <c r="E93" s="18"/>
      <c r="F93" s="18"/>
      <c r="G93" s="18"/>
      <c r="H93" s="9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5"/>
      <c r="B94" s="7"/>
      <c r="C94" s="18"/>
      <c r="D94" s="18"/>
      <c r="E94" s="18"/>
      <c r="F94" s="18"/>
      <c r="G94" s="18"/>
      <c r="H94" s="9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5"/>
      <c r="B95" s="7"/>
      <c r="C95" s="18"/>
      <c r="D95" s="18"/>
      <c r="E95" s="18"/>
      <c r="F95" s="18"/>
      <c r="G95" s="18"/>
      <c r="H95" s="9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5"/>
      <c r="B96" s="7"/>
      <c r="C96" s="18"/>
      <c r="D96" s="18"/>
      <c r="E96" s="18"/>
      <c r="F96" s="18"/>
      <c r="G96" s="18"/>
      <c r="H96" s="9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5"/>
      <c r="B97" s="7"/>
      <c r="C97" s="18"/>
      <c r="D97" s="18"/>
      <c r="E97" s="18"/>
      <c r="F97" s="18"/>
      <c r="G97" s="18"/>
      <c r="H97" s="9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5"/>
      <c r="B98" s="7"/>
      <c r="C98" s="18"/>
      <c r="D98" s="18"/>
      <c r="E98" s="18"/>
      <c r="F98" s="18"/>
      <c r="G98" s="18"/>
      <c r="H98" s="9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5"/>
      <c r="B99" s="7"/>
      <c r="C99" s="18"/>
      <c r="D99" s="18"/>
      <c r="E99" s="18"/>
      <c r="F99" s="18"/>
      <c r="G99" s="18"/>
      <c r="H99" s="9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5"/>
      <c r="B100" s="7"/>
      <c r="C100" s="18"/>
      <c r="D100" s="18"/>
      <c r="E100" s="18"/>
      <c r="F100" s="18"/>
      <c r="G100" s="18"/>
      <c r="H100" s="9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5"/>
      <c r="B101" s="7"/>
      <c r="C101" s="18"/>
      <c r="D101" s="18"/>
      <c r="E101" s="18"/>
      <c r="F101" s="18"/>
      <c r="G101" s="18"/>
      <c r="H101" s="9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5"/>
      <c r="B102" s="7"/>
      <c r="C102" s="18"/>
      <c r="D102" s="18"/>
      <c r="E102" s="18"/>
      <c r="F102" s="18"/>
      <c r="G102" s="18"/>
      <c r="H102" s="9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5"/>
      <c r="B103" s="7"/>
      <c r="C103" s="18"/>
      <c r="D103" s="18"/>
      <c r="E103" s="18"/>
      <c r="F103" s="18"/>
      <c r="G103" s="18"/>
      <c r="H103" s="9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5"/>
      <c r="B104" s="7"/>
      <c r="C104" s="18"/>
      <c r="D104" s="18"/>
      <c r="E104" s="18"/>
      <c r="F104" s="18"/>
      <c r="G104" s="18"/>
      <c r="H104" s="9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5"/>
      <c r="B105" s="7"/>
      <c r="C105" s="18"/>
      <c r="D105" s="18"/>
      <c r="E105" s="18"/>
      <c r="F105" s="18"/>
      <c r="G105" s="18"/>
      <c r="H105" s="9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5"/>
      <c r="B106" s="7"/>
      <c r="C106" s="18"/>
      <c r="D106" s="18"/>
      <c r="E106" s="18"/>
      <c r="F106" s="18"/>
      <c r="G106" s="18"/>
      <c r="H106" s="9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5"/>
      <c r="B107" s="7"/>
      <c r="C107" s="18"/>
      <c r="D107" s="18"/>
      <c r="E107" s="18"/>
      <c r="F107" s="18"/>
      <c r="G107" s="18"/>
      <c r="H107" s="9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5"/>
      <c r="B108" s="7"/>
      <c r="C108" s="18"/>
      <c r="D108" s="18"/>
      <c r="E108" s="18"/>
      <c r="F108" s="18"/>
      <c r="G108" s="18"/>
      <c r="H108" s="9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5"/>
      <c r="B109" s="7"/>
      <c r="C109" s="18"/>
      <c r="D109" s="18"/>
      <c r="E109" s="18"/>
      <c r="F109" s="18"/>
      <c r="G109" s="18"/>
      <c r="H109" s="9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5"/>
      <c r="B110" s="7"/>
      <c r="C110" s="18"/>
      <c r="D110" s="18"/>
      <c r="E110" s="18"/>
      <c r="F110" s="18"/>
      <c r="G110" s="18"/>
      <c r="H110" s="9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5"/>
      <c r="B111" s="7"/>
      <c r="C111" s="18"/>
      <c r="D111" s="18"/>
      <c r="E111" s="18"/>
      <c r="F111" s="18"/>
      <c r="G111" s="18"/>
      <c r="H111" s="9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5"/>
      <c r="B112" s="7"/>
      <c r="C112" s="18"/>
      <c r="D112" s="18"/>
      <c r="E112" s="18"/>
      <c r="F112" s="18"/>
      <c r="G112" s="18"/>
      <c r="H112" s="9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5"/>
      <c r="B113" s="7"/>
      <c r="C113" s="18"/>
      <c r="D113" s="18"/>
      <c r="E113" s="18"/>
      <c r="F113" s="18"/>
      <c r="G113" s="18"/>
      <c r="H113" s="9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5"/>
      <c r="B114" s="7"/>
      <c r="C114" s="18"/>
      <c r="D114" s="18"/>
      <c r="E114" s="18"/>
      <c r="F114" s="18"/>
      <c r="G114" s="18"/>
      <c r="H114" s="9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5"/>
      <c r="B115" s="7"/>
      <c r="C115" s="18"/>
      <c r="D115" s="18"/>
      <c r="E115" s="18"/>
      <c r="F115" s="18"/>
      <c r="G115" s="18"/>
      <c r="H115" s="9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/>
      <c r="B116" s="7"/>
      <c r="C116" s="18"/>
      <c r="D116" s="18"/>
      <c r="E116" s="18"/>
      <c r="F116" s="18"/>
      <c r="G116" s="18"/>
      <c r="H116" s="9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/>
      <c r="B117" s="7"/>
      <c r="C117" s="18"/>
      <c r="D117" s="18"/>
      <c r="E117" s="18"/>
      <c r="F117" s="18"/>
      <c r="G117" s="18"/>
      <c r="H117" s="9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/>
      <c r="B118" s="7"/>
      <c r="C118" s="18"/>
      <c r="D118" s="18"/>
      <c r="E118" s="18"/>
      <c r="F118" s="18"/>
      <c r="G118" s="18"/>
      <c r="H118" s="9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/>
      <c r="B119" s="7"/>
      <c r="C119" s="18"/>
      <c r="D119" s="18"/>
      <c r="E119" s="18"/>
      <c r="F119" s="18"/>
      <c r="G119" s="18"/>
      <c r="H119" s="9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/>
      <c r="B120" s="7"/>
      <c r="C120" s="18"/>
      <c r="D120" s="18"/>
      <c r="E120" s="18"/>
      <c r="F120" s="18"/>
      <c r="G120" s="18"/>
      <c r="H120" s="9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/>
      <c r="B121" s="7"/>
      <c r="C121" s="18"/>
      <c r="D121" s="18"/>
      <c r="E121" s="18"/>
      <c r="F121" s="18"/>
      <c r="G121" s="18"/>
      <c r="H121" s="9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7"/>
      <c r="C122" s="18"/>
      <c r="D122" s="18"/>
      <c r="E122" s="18"/>
      <c r="F122" s="18"/>
      <c r="G122" s="18"/>
      <c r="H122" s="9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7"/>
      <c r="C123" s="18"/>
      <c r="D123" s="18"/>
      <c r="E123" s="18"/>
      <c r="F123" s="18"/>
      <c r="G123" s="18"/>
      <c r="H123" s="9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7"/>
      <c r="C124" s="18"/>
      <c r="D124" s="18"/>
      <c r="E124" s="18"/>
      <c r="F124" s="18"/>
      <c r="G124" s="18"/>
      <c r="H124" s="9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7"/>
      <c r="C125" s="18"/>
      <c r="D125" s="18"/>
      <c r="E125" s="18"/>
      <c r="F125" s="18"/>
      <c r="G125" s="18"/>
      <c r="H125" s="9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7"/>
      <c r="C126" s="18"/>
      <c r="D126" s="18"/>
      <c r="E126" s="18"/>
      <c r="F126" s="18"/>
      <c r="G126" s="18"/>
      <c r="H126" s="9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7"/>
      <c r="C127" s="18"/>
      <c r="D127" s="18"/>
      <c r="E127" s="18"/>
      <c r="F127" s="18"/>
      <c r="G127" s="18"/>
      <c r="H127" s="9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7"/>
      <c r="C128" s="18"/>
      <c r="D128" s="18"/>
      <c r="E128" s="18"/>
      <c r="F128" s="18"/>
      <c r="G128" s="18"/>
      <c r="H128" s="9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7"/>
      <c r="C129" s="18"/>
      <c r="D129" s="18"/>
      <c r="E129" s="18"/>
      <c r="F129" s="18"/>
      <c r="G129" s="18"/>
      <c r="H129" s="9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7"/>
      <c r="C130" s="18"/>
      <c r="D130" s="18"/>
      <c r="E130" s="18"/>
      <c r="F130" s="18"/>
      <c r="G130" s="18"/>
      <c r="H130" s="9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7"/>
      <c r="C131" s="18"/>
      <c r="D131" s="18"/>
      <c r="E131" s="18"/>
      <c r="F131" s="18"/>
      <c r="G131" s="18"/>
      <c r="H131" s="9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7"/>
      <c r="C132" s="18"/>
      <c r="D132" s="18"/>
      <c r="E132" s="18"/>
      <c r="F132" s="18"/>
      <c r="G132" s="18"/>
      <c r="H132" s="9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7"/>
      <c r="C133" s="18"/>
      <c r="D133" s="18"/>
      <c r="E133" s="18"/>
      <c r="F133" s="18"/>
      <c r="G133" s="18"/>
      <c r="H133" s="9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7"/>
      <c r="C134" s="18"/>
      <c r="D134" s="18"/>
      <c r="E134" s="18"/>
      <c r="F134" s="18"/>
      <c r="G134" s="18"/>
      <c r="H134" s="9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7"/>
      <c r="C135" s="18"/>
      <c r="D135" s="18"/>
      <c r="E135" s="18"/>
      <c r="F135" s="18"/>
      <c r="G135" s="18"/>
      <c r="H135" s="9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7"/>
      <c r="C136" s="18"/>
      <c r="D136" s="18"/>
      <c r="E136" s="18"/>
      <c r="F136" s="18"/>
      <c r="G136" s="18"/>
      <c r="H136" s="9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7"/>
      <c r="C137" s="18"/>
      <c r="D137" s="18"/>
      <c r="E137" s="18"/>
      <c r="F137" s="18"/>
      <c r="G137" s="18"/>
      <c r="H137" s="9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7"/>
      <c r="C138" s="18"/>
      <c r="D138" s="18"/>
      <c r="E138" s="18"/>
      <c r="F138" s="18"/>
      <c r="G138" s="18"/>
      <c r="H138" s="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7"/>
      <c r="C139" s="18"/>
      <c r="D139" s="18"/>
      <c r="E139" s="18"/>
      <c r="F139" s="18"/>
      <c r="G139" s="18"/>
      <c r="H139" s="9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7"/>
      <c r="C140" s="18"/>
      <c r="D140" s="18"/>
      <c r="E140" s="18"/>
      <c r="F140" s="18"/>
      <c r="G140" s="18"/>
      <c r="H140" s="9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7"/>
      <c r="C141" s="18"/>
      <c r="D141" s="18"/>
      <c r="E141" s="18"/>
      <c r="F141" s="18"/>
      <c r="G141" s="18"/>
      <c r="H141" s="9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7"/>
      <c r="C142" s="18"/>
      <c r="D142" s="18"/>
      <c r="E142" s="18"/>
      <c r="F142" s="18"/>
      <c r="G142" s="18"/>
      <c r="H142" s="9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7"/>
      <c r="C143" s="18"/>
      <c r="D143" s="18"/>
      <c r="E143" s="18"/>
      <c r="F143" s="18"/>
      <c r="G143" s="18"/>
      <c r="H143" s="9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7"/>
      <c r="C144" s="18"/>
      <c r="D144" s="18"/>
      <c r="E144" s="18"/>
      <c r="F144" s="18"/>
      <c r="G144" s="18"/>
      <c r="H144" s="9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7"/>
      <c r="C145" s="18"/>
      <c r="D145" s="18"/>
      <c r="E145" s="18"/>
      <c r="F145" s="18"/>
      <c r="G145" s="18"/>
      <c r="H145" s="9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7"/>
      <c r="C146" s="18"/>
      <c r="D146" s="18"/>
      <c r="E146" s="18"/>
      <c r="F146" s="18"/>
      <c r="G146" s="18"/>
      <c r="H146" s="9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7"/>
      <c r="C147" s="18"/>
      <c r="D147" s="18"/>
      <c r="E147" s="18"/>
      <c r="F147" s="18"/>
      <c r="G147" s="18"/>
      <c r="H147" s="9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7"/>
      <c r="C148" s="18"/>
      <c r="D148" s="18"/>
      <c r="E148" s="18"/>
      <c r="F148" s="18"/>
      <c r="G148" s="18"/>
      <c r="H148" s="9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7"/>
      <c r="C149" s="18"/>
      <c r="D149" s="18"/>
      <c r="E149" s="18"/>
      <c r="F149" s="18"/>
      <c r="G149" s="18"/>
      <c r="H149" s="9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7"/>
      <c r="C150" s="18"/>
      <c r="D150" s="18"/>
      <c r="E150" s="18"/>
      <c r="F150" s="18"/>
      <c r="G150" s="18"/>
      <c r="H150" s="9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7"/>
      <c r="C151" s="18"/>
      <c r="D151" s="18"/>
      <c r="E151" s="18"/>
      <c r="F151" s="18"/>
      <c r="G151" s="18"/>
      <c r="H151" s="9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7"/>
      <c r="C152" s="18"/>
      <c r="D152" s="18"/>
      <c r="E152" s="18"/>
      <c r="F152" s="18"/>
      <c r="G152" s="18"/>
      <c r="H152" s="9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7"/>
      <c r="C153" s="18"/>
      <c r="D153" s="18"/>
      <c r="E153" s="18"/>
      <c r="F153" s="18"/>
      <c r="G153" s="18"/>
      <c r="H153" s="9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7"/>
      <c r="C154" s="18"/>
      <c r="D154" s="18"/>
      <c r="E154" s="18"/>
      <c r="F154" s="18"/>
      <c r="G154" s="18"/>
      <c r="H154" s="9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7"/>
      <c r="C155" s="18"/>
      <c r="D155" s="18"/>
      <c r="E155" s="18"/>
      <c r="F155" s="18"/>
      <c r="G155" s="18"/>
      <c r="H155" s="9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7"/>
      <c r="C156" s="18"/>
      <c r="D156" s="18"/>
      <c r="E156" s="18"/>
      <c r="F156" s="18"/>
      <c r="G156" s="18"/>
      <c r="H156" s="9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7"/>
      <c r="C157" s="18"/>
      <c r="D157" s="18"/>
      <c r="E157" s="18"/>
      <c r="F157" s="18"/>
      <c r="G157" s="18"/>
      <c r="H157" s="9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7"/>
      <c r="C158" s="18"/>
      <c r="D158" s="18"/>
      <c r="E158" s="18"/>
      <c r="F158" s="18"/>
      <c r="G158" s="18"/>
      <c r="H158" s="9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7"/>
      <c r="C159" s="18"/>
      <c r="D159" s="18"/>
      <c r="E159" s="18"/>
      <c r="F159" s="18"/>
      <c r="G159" s="18"/>
      <c r="H159" s="9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7"/>
      <c r="C160" s="18"/>
      <c r="D160" s="18"/>
      <c r="E160" s="18"/>
      <c r="F160" s="18"/>
      <c r="G160" s="18"/>
      <c r="H160" s="9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7"/>
      <c r="C161" s="18"/>
      <c r="D161" s="18"/>
      <c r="E161" s="18"/>
      <c r="F161" s="18"/>
      <c r="G161" s="18"/>
      <c r="H161" s="9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7"/>
      <c r="C162" s="18"/>
      <c r="D162" s="18"/>
      <c r="E162" s="18"/>
      <c r="F162" s="18"/>
      <c r="G162" s="18"/>
      <c r="H162" s="9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7"/>
      <c r="C163" s="18"/>
      <c r="D163" s="18"/>
      <c r="E163" s="18"/>
      <c r="F163" s="18"/>
      <c r="G163" s="18"/>
      <c r="H163" s="9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7"/>
      <c r="C164" s="18"/>
      <c r="D164" s="18"/>
      <c r="E164" s="18"/>
      <c r="F164" s="18"/>
      <c r="G164" s="18"/>
      <c r="H164" s="9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7"/>
      <c r="C165" s="18"/>
      <c r="D165" s="18"/>
      <c r="E165" s="18"/>
      <c r="F165" s="18"/>
      <c r="G165" s="18"/>
      <c r="H165" s="9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7"/>
      <c r="C166" s="18"/>
      <c r="D166" s="18"/>
      <c r="E166" s="18"/>
      <c r="F166" s="18"/>
      <c r="G166" s="18"/>
      <c r="H166" s="9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7"/>
      <c r="C167" s="18"/>
      <c r="D167" s="18"/>
      <c r="E167" s="18"/>
      <c r="F167" s="18"/>
      <c r="G167" s="18"/>
      <c r="H167" s="9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7"/>
      <c r="C168" s="18"/>
      <c r="D168" s="18"/>
      <c r="E168" s="18"/>
      <c r="F168" s="18"/>
      <c r="G168" s="18"/>
      <c r="H168" s="9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7"/>
      <c r="C169" s="18"/>
      <c r="D169" s="18"/>
      <c r="E169" s="18"/>
      <c r="F169" s="18"/>
      <c r="G169" s="18"/>
      <c r="H169" s="9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7"/>
      <c r="C170" s="18"/>
      <c r="D170" s="18"/>
      <c r="E170" s="18"/>
      <c r="F170" s="18"/>
      <c r="G170" s="18"/>
      <c r="H170" s="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7"/>
      <c r="C171" s="18"/>
      <c r="D171" s="18"/>
      <c r="E171" s="18"/>
      <c r="F171" s="18"/>
      <c r="G171" s="18"/>
      <c r="H171" s="9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7"/>
      <c r="C172" s="18"/>
      <c r="D172" s="18"/>
      <c r="E172" s="18"/>
      <c r="F172" s="18"/>
      <c r="G172" s="18"/>
      <c r="H172" s="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7"/>
      <c r="C173" s="18"/>
      <c r="D173" s="18"/>
      <c r="E173" s="18"/>
      <c r="F173" s="18"/>
      <c r="G173" s="18"/>
      <c r="H173" s="9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7"/>
      <c r="C174" s="18"/>
      <c r="D174" s="18"/>
      <c r="E174" s="18"/>
      <c r="F174" s="18"/>
      <c r="G174" s="18"/>
      <c r="H174" s="9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7"/>
      <c r="C175" s="18"/>
      <c r="D175" s="18"/>
      <c r="E175" s="18"/>
      <c r="F175" s="18"/>
      <c r="G175" s="18"/>
      <c r="H175" s="9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7"/>
      <c r="C176" s="18"/>
      <c r="D176" s="18"/>
      <c r="E176" s="18"/>
      <c r="F176" s="18"/>
      <c r="G176" s="18"/>
      <c r="H176" s="9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7"/>
      <c r="C177" s="18"/>
      <c r="D177" s="18"/>
      <c r="E177" s="18"/>
      <c r="F177" s="18"/>
      <c r="G177" s="18"/>
      <c r="H177" s="9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7"/>
      <c r="C178" s="18"/>
      <c r="D178" s="18"/>
      <c r="E178" s="18"/>
      <c r="F178" s="18"/>
      <c r="G178" s="18"/>
      <c r="H178" s="9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7"/>
      <c r="C179" s="18"/>
      <c r="D179" s="18"/>
      <c r="E179" s="18"/>
      <c r="F179" s="18"/>
      <c r="G179" s="18"/>
      <c r="H179" s="9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7"/>
      <c r="C180" s="18"/>
      <c r="D180" s="18"/>
      <c r="E180" s="18"/>
      <c r="F180" s="18"/>
      <c r="G180" s="18"/>
      <c r="H180" s="9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7"/>
      <c r="C181" s="18"/>
      <c r="D181" s="18"/>
      <c r="E181" s="18"/>
      <c r="F181" s="18"/>
      <c r="G181" s="18"/>
      <c r="H181" s="9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7"/>
      <c r="C182" s="18"/>
      <c r="D182" s="18"/>
      <c r="E182" s="18"/>
      <c r="F182" s="18"/>
      <c r="G182" s="18"/>
      <c r="H182" s="9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7"/>
      <c r="C183" s="18"/>
      <c r="D183" s="18"/>
      <c r="E183" s="18"/>
      <c r="F183" s="18"/>
      <c r="G183" s="18"/>
      <c r="H183" s="9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7"/>
      <c r="C184" s="18"/>
      <c r="D184" s="18"/>
      <c r="E184" s="18"/>
      <c r="F184" s="18"/>
      <c r="G184" s="18"/>
      <c r="H184" s="9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7"/>
      <c r="C185" s="18"/>
      <c r="D185" s="18"/>
      <c r="E185" s="18"/>
      <c r="F185" s="18"/>
      <c r="G185" s="18"/>
      <c r="H185" s="9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7"/>
      <c r="C186" s="18"/>
      <c r="D186" s="18"/>
      <c r="E186" s="18"/>
      <c r="F186" s="18"/>
      <c r="G186" s="18"/>
      <c r="H186" s="9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7"/>
      <c r="C187" s="18"/>
      <c r="D187" s="18"/>
      <c r="E187" s="18"/>
      <c r="F187" s="18"/>
      <c r="G187" s="18"/>
      <c r="H187" s="9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7"/>
      <c r="C188" s="18"/>
      <c r="D188" s="18"/>
      <c r="E188" s="18"/>
      <c r="F188" s="18"/>
      <c r="G188" s="18"/>
      <c r="H188" s="9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7"/>
      <c r="C189" s="18"/>
      <c r="D189" s="18"/>
      <c r="E189" s="18"/>
      <c r="F189" s="18"/>
      <c r="G189" s="18"/>
      <c r="H189" s="9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7"/>
      <c r="C190" s="18"/>
      <c r="D190" s="18"/>
      <c r="E190" s="18"/>
      <c r="F190" s="18"/>
      <c r="G190" s="18"/>
      <c r="H190" s="9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7"/>
      <c r="C191" s="18"/>
      <c r="D191" s="18"/>
      <c r="E191" s="18"/>
      <c r="F191" s="18"/>
      <c r="G191" s="18"/>
      <c r="H191" s="9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7"/>
      <c r="C192" s="18"/>
      <c r="D192" s="18"/>
      <c r="E192" s="18"/>
      <c r="F192" s="18"/>
      <c r="G192" s="18"/>
      <c r="H192" s="9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7"/>
      <c r="C193" s="18"/>
      <c r="D193" s="18"/>
      <c r="E193" s="18"/>
      <c r="F193" s="18"/>
      <c r="G193" s="18"/>
      <c r="H193" s="9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7"/>
      <c r="C194" s="18"/>
      <c r="D194" s="18"/>
      <c r="E194" s="18"/>
      <c r="F194" s="18"/>
      <c r="G194" s="18"/>
      <c r="H194" s="9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7"/>
      <c r="C195" s="18"/>
      <c r="D195" s="18"/>
      <c r="E195" s="18"/>
      <c r="F195" s="18"/>
      <c r="G195" s="18"/>
      <c r="H195" s="9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7"/>
      <c r="C196" s="18"/>
      <c r="D196" s="18"/>
      <c r="E196" s="18"/>
      <c r="F196" s="18"/>
      <c r="G196" s="18"/>
      <c r="H196" s="9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7"/>
      <c r="C197" s="18"/>
      <c r="D197" s="18"/>
      <c r="E197" s="18"/>
      <c r="F197" s="18"/>
      <c r="G197" s="18"/>
      <c r="H197" s="9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7"/>
      <c r="C198" s="18"/>
      <c r="D198" s="18"/>
      <c r="E198" s="18"/>
      <c r="F198" s="18"/>
      <c r="G198" s="18"/>
      <c r="H198" s="9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7"/>
      <c r="C199" s="18"/>
      <c r="D199" s="18"/>
      <c r="E199" s="18"/>
      <c r="F199" s="18"/>
      <c r="G199" s="18"/>
      <c r="H199" s="9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7"/>
      <c r="C200" s="18"/>
      <c r="D200" s="18"/>
      <c r="E200" s="18"/>
      <c r="F200" s="18"/>
      <c r="G200" s="18"/>
      <c r="H200" s="9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7"/>
      <c r="C201" s="18"/>
      <c r="D201" s="18"/>
      <c r="E201" s="18"/>
      <c r="F201" s="18"/>
      <c r="G201" s="18"/>
      <c r="H201" s="9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7"/>
      <c r="C202" s="18"/>
      <c r="D202" s="18"/>
      <c r="E202" s="18"/>
      <c r="F202" s="18"/>
      <c r="G202" s="18"/>
      <c r="H202" s="9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7"/>
      <c r="C203" s="18"/>
      <c r="D203" s="18"/>
      <c r="E203" s="18"/>
      <c r="F203" s="18"/>
      <c r="G203" s="18"/>
      <c r="H203" s="9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7"/>
      <c r="C204" s="18"/>
      <c r="D204" s="18"/>
      <c r="E204" s="18"/>
      <c r="F204" s="18"/>
      <c r="G204" s="18"/>
      <c r="H204" s="9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7"/>
      <c r="C205" s="18"/>
      <c r="D205" s="18"/>
      <c r="E205" s="18"/>
      <c r="F205" s="18"/>
      <c r="G205" s="18"/>
      <c r="H205" s="9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7"/>
      <c r="C206" s="18"/>
      <c r="D206" s="18"/>
      <c r="E206" s="18"/>
      <c r="F206" s="18"/>
      <c r="G206" s="18"/>
      <c r="H206" s="9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7"/>
      <c r="C207" s="18"/>
      <c r="D207" s="18"/>
      <c r="E207" s="18"/>
      <c r="F207" s="18"/>
      <c r="G207" s="18"/>
      <c r="H207" s="9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7"/>
      <c r="C208" s="18"/>
      <c r="D208" s="18"/>
      <c r="E208" s="18"/>
      <c r="F208" s="18"/>
      <c r="G208" s="18"/>
      <c r="H208" s="9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7"/>
      <c r="C209" s="18"/>
      <c r="D209" s="18"/>
      <c r="E209" s="18"/>
      <c r="F209" s="18"/>
      <c r="G209" s="18"/>
      <c r="H209" s="9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7"/>
      <c r="C210" s="18"/>
      <c r="D210" s="18"/>
      <c r="E210" s="18"/>
      <c r="F210" s="18"/>
      <c r="G210" s="18"/>
      <c r="H210" s="9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7"/>
      <c r="C211" s="18"/>
      <c r="D211" s="18"/>
      <c r="E211" s="18"/>
      <c r="F211" s="18"/>
      <c r="G211" s="18"/>
      <c r="H211" s="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7"/>
      <c r="C212" s="18"/>
      <c r="D212" s="18"/>
      <c r="E212" s="18"/>
      <c r="F212" s="18"/>
      <c r="G212" s="18"/>
      <c r="H212" s="9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7"/>
      <c r="C213" s="18"/>
      <c r="D213" s="18"/>
      <c r="E213" s="18"/>
      <c r="F213" s="18"/>
      <c r="G213" s="18"/>
      <c r="H213" s="9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7"/>
      <c r="C214" s="18"/>
      <c r="D214" s="18"/>
      <c r="E214" s="18"/>
      <c r="F214" s="18"/>
      <c r="G214" s="18"/>
      <c r="H214" s="9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7"/>
      <c r="C215" s="18"/>
      <c r="D215" s="18"/>
      <c r="E215" s="18"/>
      <c r="F215" s="18"/>
      <c r="G215" s="18"/>
      <c r="H215" s="9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7"/>
      <c r="C216" s="18"/>
      <c r="D216" s="18"/>
      <c r="E216" s="18"/>
      <c r="F216" s="18"/>
      <c r="G216" s="18"/>
      <c r="H216" s="9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7"/>
      <c r="C217" s="18"/>
      <c r="D217" s="18"/>
      <c r="E217" s="18"/>
      <c r="F217" s="18"/>
      <c r="G217" s="18"/>
      <c r="H217" s="9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7"/>
      <c r="C218" s="18"/>
      <c r="D218" s="18"/>
      <c r="E218" s="18"/>
      <c r="F218" s="18"/>
      <c r="G218" s="18"/>
      <c r="H218" s="9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7"/>
      <c r="C219" s="18"/>
      <c r="D219" s="18"/>
      <c r="E219" s="18"/>
      <c r="F219" s="18"/>
      <c r="G219" s="18"/>
      <c r="H219" s="9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7"/>
      <c r="C220" s="18"/>
      <c r="D220" s="18"/>
      <c r="E220" s="18"/>
      <c r="F220" s="18"/>
      <c r="G220" s="18"/>
      <c r="H220" s="9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7"/>
      <c r="C221" s="18"/>
      <c r="D221" s="18"/>
      <c r="E221" s="18"/>
      <c r="F221" s="18"/>
      <c r="G221" s="18"/>
      <c r="H221" s="9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7"/>
      <c r="C222" s="18"/>
      <c r="D222" s="18"/>
      <c r="E222" s="18"/>
      <c r="F222" s="18"/>
      <c r="G222" s="18"/>
      <c r="H222" s="9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7"/>
      <c r="C223" s="18"/>
      <c r="D223" s="18"/>
      <c r="E223" s="18"/>
      <c r="F223" s="18"/>
      <c r="G223" s="18"/>
      <c r="H223" s="9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7"/>
      <c r="C224" s="18"/>
      <c r="D224" s="18"/>
      <c r="E224" s="18"/>
      <c r="F224" s="18"/>
      <c r="G224" s="18"/>
      <c r="H224" s="9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7"/>
      <c r="C225" s="18"/>
      <c r="D225" s="18"/>
      <c r="E225" s="18"/>
      <c r="F225" s="18"/>
      <c r="G225" s="18"/>
      <c r="H225" s="9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7"/>
      <c r="C226" s="18"/>
      <c r="D226" s="18"/>
      <c r="E226" s="18"/>
      <c r="F226" s="18"/>
      <c r="G226" s="18"/>
      <c r="H226" s="9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7"/>
      <c r="C227" s="18"/>
      <c r="D227" s="18"/>
      <c r="E227" s="18"/>
      <c r="F227" s="18"/>
      <c r="G227" s="18"/>
      <c r="H227" s="9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7"/>
      <c r="C228" s="18"/>
      <c r="D228" s="18"/>
      <c r="E228" s="18"/>
      <c r="F228" s="18"/>
      <c r="G228" s="18"/>
      <c r="H228" s="9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7"/>
      <c r="C229" s="18"/>
      <c r="D229" s="18"/>
      <c r="E229" s="18"/>
      <c r="F229" s="18"/>
      <c r="G229" s="18"/>
      <c r="H229" s="9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7"/>
      <c r="C230" s="18"/>
      <c r="D230" s="18"/>
      <c r="E230" s="18"/>
      <c r="F230" s="18"/>
      <c r="G230" s="18"/>
      <c r="H230" s="9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7"/>
      <c r="C231" s="18"/>
      <c r="D231" s="18"/>
      <c r="E231" s="18"/>
      <c r="F231" s="18"/>
      <c r="G231" s="18"/>
      <c r="H231" s="9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7"/>
      <c r="C232" s="18"/>
      <c r="D232" s="18"/>
      <c r="E232" s="18"/>
      <c r="F232" s="18"/>
      <c r="G232" s="18"/>
      <c r="H232" s="9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7"/>
      <c r="C233" s="18"/>
      <c r="D233" s="18"/>
      <c r="E233" s="18"/>
      <c r="F233" s="18"/>
      <c r="G233" s="18"/>
      <c r="H233" s="9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7"/>
      <c r="C234" s="18"/>
      <c r="D234" s="18"/>
      <c r="E234" s="18"/>
      <c r="F234" s="18"/>
      <c r="G234" s="18"/>
      <c r="H234" s="9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7"/>
      <c r="C235" s="18"/>
      <c r="D235" s="18"/>
      <c r="E235" s="18"/>
      <c r="F235" s="18"/>
      <c r="G235" s="18"/>
      <c r="H235" s="9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7"/>
      <c r="C236" s="18"/>
      <c r="D236" s="18"/>
      <c r="E236" s="18"/>
      <c r="F236" s="18"/>
      <c r="G236" s="18"/>
      <c r="H236" s="9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7"/>
      <c r="C237" s="18"/>
      <c r="D237" s="18"/>
      <c r="E237" s="18"/>
      <c r="F237" s="18"/>
      <c r="G237" s="18"/>
      <c r="H237" s="9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7"/>
      <c r="C238" s="18"/>
      <c r="D238" s="18"/>
      <c r="E238" s="18"/>
      <c r="F238" s="18"/>
      <c r="G238" s="18"/>
      <c r="H238" s="9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7"/>
      <c r="C239" s="18"/>
      <c r="D239" s="18"/>
      <c r="E239" s="18"/>
      <c r="F239" s="18"/>
      <c r="G239" s="18"/>
      <c r="H239" s="9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7"/>
      <c r="C240" s="18"/>
      <c r="D240" s="18"/>
      <c r="E240" s="18"/>
      <c r="F240" s="18"/>
      <c r="G240" s="18"/>
      <c r="H240" s="9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7"/>
      <c r="C241" s="18"/>
      <c r="D241" s="18"/>
      <c r="E241" s="18"/>
      <c r="F241" s="18"/>
      <c r="G241" s="18"/>
      <c r="H241" s="9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7"/>
      <c r="C242" s="18"/>
      <c r="D242" s="18"/>
      <c r="E242" s="18"/>
      <c r="F242" s="18"/>
      <c r="G242" s="18"/>
      <c r="H242" s="9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7"/>
      <c r="C243" s="18"/>
      <c r="D243" s="18"/>
      <c r="E243" s="18"/>
      <c r="F243" s="18"/>
      <c r="G243" s="18"/>
      <c r="H243" s="9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7"/>
      <c r="C244" s="18"/>
      <c r="D244" s="18"/>
      <c r="E244" s="18"/>
      <c r="F244" s="18"/>
      <c r="G244" s="18"/>
      <c r="H244" s="9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7"/>
      <c r="C245" s="18"/>
      <c r="D245" s="18"/>
      <c r="E245" s="18"/>
      <c r="F245" s="18"/>
      <c r="G245" s="18"/>
      <c r="H245" s="9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7"/>
      <c r="C246" s="18"/>
      <c r="D246" s="18"/>
      <c r="E246" s="18"/>
      <c r="F246" s="18"/>
      <c r="G246" s="18"/>
      <c r="H246" s="9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7"/>
      <c r="C247" s="18"/>
      <c r="D247" s="18"/>
      <c r="E247" s="18"/>
      <c r="F247" s="18"/>
      <c r="G247" s="18"/>
      <c r="H247" s="9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7"/>
      <c r="C248" s="18"/>
      <c r="D248" s="18"/>
      <c r="E248" s="18"/>
      <c r="F248" s="18"/>
      <c r="G248" s="18"/>
      <c r="H248" s="9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7"/>
      <c r="C249" s="18"/>
      <c r="D249" s="18"/>
      <c r="E249" s="18"/>
      <c r="F249" s="18"/>
      <c r="G249" s="18"/>
      <c r="H249" s="9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7"/>
      <c r="C250" s="18"/>
      <c r="D250" s="18"/>
      <c r="E250" s="18"/>
      <c r="F250" s="18"/>
      <c r="G250" s="18"/>
      <c r="H250" s="9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7"/>
      <c r="C251" s="18"/>
      <c r="D251" s="18"/>
      <c r="E251" s="18"/>
      <c r="F251" s="18"/>
      <c r="G251" s="18"/>
      <c r="H251" s="9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7"/>
      <c r="C252" s="18"/>
      <c r="D252" s="18"/>
      <c r="E252" s="18"/>
      <c r="F252" s="18"/>
      <c r="G252" s="18"/>
      <c r="H252" s="9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7"/>
      <c r="C253" s="18"/>
      <c r="D253" s="18"/>
      <c r="E253" s="18"/>
      <c r="F253" s="18"/>
      <c r="G253" s="18"/>
      <c r="H253" s="9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7"/>
      <c r="C254" s="18"/>
      <c r="D254" s="18"/>
      <c r="E254" s="18"/>
      <c r="F254" s="18"/>
      <c r="G254" s="18"/>
      <c r="H254" s="9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7"/>
      <c r="C255" s="18"/>
      <c r="D255" s="18"/>
      <c r="E255" s="18"/>
      <c r="F255" s="18"/>
      <c r="G255" s="18"/>
      <c r="H255" s="9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7"/>
      <c r="C256" s="18"/>
      <c r="D256" s="18"/>
      <c r="E256" s="18"/>
      <c r="F256" s="18"/>
      <c r="G256" s="18"/>
      <c r="H256" s="9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7"/>
      <c r="C257" s="18"/>
      <c r="D257" s="18"/>
      <c r="E257" s="18"/>
      <c r="F257" s="18"/>
      <c r="G257" s="18"/>
      <c r="H257" s="9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7"/>
      <c r="C258" s="18"/>
      <c r="D258" s="18"/>
      <c r="E258" s="18"/>
      <c r="F258" s="18"/>
      <c r="G258" s="18"/>
      <c r="H258" s="9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7"/>
      <c r="C259" s="18"/>
      <c r="D259" s="18"/>
      <c r="E259" s="18"/>
      <c r="F259" s="18"/>
      <c r="G259" s="18"/>
      <c r="H259" s="9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7"/>
      <c r="C260" s="18"/>
      <c r="D260" s="18"/>
      <c r="E260" s="18"/>
      <c r="F260" s="18"/>
      <c r="G260" s="18"/>
      <c r="H260" s="9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7"/>
      <c r="C261" s="18"/>
      <c r="D261" s="18"/>
      <c r="E261" s="18"/>
      <c r="F261" s="18"/>
      <c r="G261" s="18"/>
      <c r="H261" s="9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7"/>
      <c r="C262" s="18"/>
      <c r="D262" s="18"/>
      <c r="E262" s="18"/>
      <c r="F262" s="18"/>
      <c r="G262" s="18"/>
      <c r="H262" s="9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7"/>
      <c r="C263" s="18"/>
      <c r="D263" s="18"/>
      <c r="E263" s="18"/>
      <c r="F263" s="18"/>
      <c r="G263" s="18"/>
      <c r="H263" s="9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7"/>
      <c r="C264" s="18"/>
      <c r="D264" s="18"/>
      <c r="E264" s="18"/>
      <c r="F264" s="18"/>
      <c r="G264" s="18"/>
      <c r="H264" s="9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7"/>
      <c r="C265" s="18"/>
      <c r="D265" s="18"/>
      <c r="E265" s="18"/>
      <c r="F265" s="18"/>
      <c r="G265" s="18"/>
      <c r="H265" s="9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7"/>
      <c r="C266" s="18"/>
      <c r="D266" s="18"/>
      <c r="E266" s="18"/>
      <c r="F266" s="18"/>
      <c r="G266" s="18"/>
      <c r="H266" s="9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7"/>
      <c r="C267" s="18"/>
      <c r="D267" s="18"/>
      <c r="E267" s="18"/>
      <c r="F267" s="18"/>
      <c r="G267" s="18"/>
      <c r="H267" s="9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7"/>
      <c r="C268" s="18"/>
      <c r="D268" s="18"/>
      <c r="E268" s="18"/>
      <c r="F268" s="18"/>
      <c r="G268" s="18"/>
      <c r="H268" s="9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7"/>
      <c r="C269" s="18"/>
      <c r="D269" s="18"/>
      <c r="E269" s="18"/>
      <c r="F269" s="18"/>
      <c r="G269" s="18"/>
      <c r="H269" s="9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7"/>
      <c r="C270" s="18"/>
      <c r="D270" s="18"/>
      <c r="E270" s="18"/>
      <c r="F270" s="18"/>
      <c r="G270" s="18"/>
      <c r="H270" s="9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7"/>
      <c r="C271" s="18"/>
      <c r="D271" s="18"/>
      <c r="E271" s="18"/>
      <c r="F271" s="18"/>
      <c r="G271" s="18"/>
      <c r="H271" s="9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7"/>
      <c r="C272" s="18"/>
      <c r="D272" s="18"/>
      <c r="E272" s="18"/>
      <c r="F272" s="18"/>
      <c r="G272" s="18"/>
      <c r="H272" s="9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7"/>
      <c r="C273" s="18"/>
      <c r="D273" s="18"/>
      <c r="E273" s="18"/>
      <c r="F273" s="18"/>
      <c r="G273" s="18"/>
      <c r="H273" s="9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7"/>
      <c r="C274" s="18"/>
      <c r="D274" s="18"/>
      <c r="E274" s="18"/>
      <c r="F274" s="18"/>
      <c r="G274" s="18"/>
      <c r="H274" s="9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7"/>
      <c r="C275" s="18"/>
      <c r="D275" s="18"/>
      <c r="E275" s="18"/>
      <c r="F275" s="18"/>
      <c r="G275" s="18"/>
      <c r="H275" s="9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7"/>
      <c r="C276" s="18"/>
      <c r="D276" s="18"/>
      <c r="E276" s="18"/>
      <c r="F276" s="18"/>
      <c r="G276" s="18"/>
      <c r="H276" s="9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7"/>
      <c r="C277" s="18"/>
      <c r="D277" s="18"/>
      <c r="E277" s="18"/>
      <c r="F277" s="18"/>
      <c r="G277" s="18"/>
      <c r="H277" s="9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7"/>
      <c r="C278" s="18"/>
      <c r="D278" s="18"/>
      <c r="E278" s="18"/>
      <c r="F278" s="18"/>
      <c r="G278" s="18"/>
      <c r="H278" s="9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7"/>
      <c r="C279" s="18"/>
      <c r="D279" s="18"/>
      <c r="E279" s="18"/>
      <c r="F279" s="18"/>
      <c r="G279" s="18"/>
      <c r="H279" s="9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7"/>
      <c r="C280" s="18"/>
      <c r="D280" s="18"/>
      <c r="E280" s="18"/>
      <c r="F280" s="18"/>
      <c r="G280" s="18"/>
      <c r="H280" s="9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7"/>
      <c r="C281" s="18"/>
      <c r="D281" s="18"/>
      <c r="E281" s="18"/>
      <c r="F281" s="18"/>
      <c r="G281" s="18"/>
      <c r="H281" s="9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7"/>
      <c r="C282" s="18"/>
      <c r="D282" s="18"/>
      <c r="E282" s="18"/>
      <c r="F282" s="18"/>
      <c r="G282" s="18"/>
      <c r="H282" s="9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7"/>
      <c r="C283" s="18"/>
      <c r="D283" s="18"/>
      <c r="E283" s="18"/>
      <c r="F283" s="18"/>
      <c r="G283" s="18"/>
      <c r="H283" s="9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7"/>
      <c r="C284" s="18"/>
      <c r="D284" s="18"/>
      <c r="E284" s="18"/>
      <c r="F284" s="18"/>
      <c r="G284" s="18"/>
      <c r="H284" s="9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7"/>
      <c r="C285" s="18"/>
      <c r="D285" s="18"/>
      <c r="E285" s="18"/>
      <c r="F285" s="18"/>
      <c r="G285" s="18"/>
      <c r="H285" s="9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7"/>
      <c r="C286" s="18"/>
      <c r="D286" s="18"/>
      <c r="E286" s="18"/>
      <c r="F286" s="18"/>
      <c r="G286" s="18"/>
      <c r="H286" s="9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7"/>
      <c r="C287" s="18"/>
      <c r="D287" s="18"/>
      <c r="E287" s="18"/>
      <c r="F287" s="18"/>
      <c r="G287" s="18"/>
      <c r="H287" s="9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7"/>
      <c r="C288" s="18"/>
      <c r="D288" s="18"/>
      <c r="E288" s="18"/>
      <c r="F288" s="18"/>
      <c r="G288" s="18"/>
      <c r="H288" s="9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7"/>
      <c r="C289" s="18"/>
      <c r="D289" s="18"/>
      <c r="E289" s="18"/>
      <c r="F289" s="18"/>
      <c r="G289" s="18"/>
      <c r="H289" s="9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7"/>
      <c r="C290" s="18"/>
      <c r="D290" s="18"/>
      <c r="E290" s="18"/>
      <c r="F290" s="18"/>
      <c r="G290" s="18"/>
      <c r="H290" s="9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7"/>
      <c r="C291" s="18"/>
      <c r="D291" s="18"/>
      <c r="E291" s="18"/>
      <c r="F291" s="18"/>
      <c r="G291" s="18"/>
      <c r="H291" s="9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7"/>
      <c r="C292" s="18"/>
      <c r="D292" s="18"/>
      <c r="E292" s="18"/>
      <c r="F292" s="18"/>
      <c r="G292" s="18"/>
      <c r="H292" s="9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7"/>
      <c r="C293" s="18"/>
      <c r="D293" s="18"/>
      <c r="E293" s="18"/>
      <c r="F293" s="18"/>
      <c r="G293" s="18"/>
      <c r="H293" s="9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7"/>
      <c r="C294" s="18"/>
      <c r="D294" s="18"/>
      <c r="E294" s="18"/>
      <c r="F294" s="18"/>
      <c r="G294" s="18"/>
      <c r="H294" s="9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7"/>
      <c r="C295" s="18"/>
      <c r="D295" s="18"/>
      <c r="E295" s="18"/>
      <c r="F295" s="18"/>
      <c r="G295" s="18"/>
      <c r="H295" s="9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7"/>
      <c r="C296" s="18"/>
      <c r="D296" s="18"/>
      <c r="E296" s="18"/>
      <c r="F296" s="18"/>
      <c r="G296" s="18"/>
      <c r="H296" s="9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7"/>
      <c r="C297" s="18"/>
      <c r="D297" s="18"/>
      <c r="E297" s="18"/>
      <c r="F297" s="18"/>
      <c r="G297" s="18"/>
      <c r="H297" s="9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7"/>
      <c r="C298" s="18"/>
      <c r="D298" s="18"/>
      <c r="E298" s="18"/>
      <c r="F298" s="18"/>
      <c r="G298" s="18"/>
      <c r="H298" s="9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7"/>
      <c r="C299" s="18"/>
      <c r="D299" s="18"/>
      <c r="E299" s="18"/>
      <c r="F299" s="18"/>
      <c r="G299" s="18"/>
      <c r="H299" s="9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7"/>
      <c r="C300" s="18"/>
      <c r="D300" s="18"/>
      <c r="E300" s="18"/>
      <c r="F300" s="18"/>
      <c r="G300" s="18"/>
      <c r="H300" s="9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7"/>
      <c r="C301" s="18"/>
      <c r="D301" s="18"/>
      <c r="E301" s="18"/>
      <c r="F301" s="18"/>
      <c r="G301" s="18"/>
      <c r="H301" s="9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7"/>
      <c r="C302" s="18"/>
      <c r="D302" s="18"/>
      <c r="E302" s="18"/>
      <c r="F302" s="18"/>
      <c r="G302" s="18"/>
      <c r="H302" s="9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7"/>
      <c r="C303" s="18"/>
      <c r="D303" s="18"/>
      <c r="E303" s="18"/>
      <c r="F303" s="18"/>
      <c r="G303" s="18"/>
      <c r="H303" s="9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7"/>
      <c r="C304" s="18"/>
      <c r="D304" s="18"/>
      <c r="E304" s="18"/>
      <c r="F304" s="18"/>
      <c r="G304" s="18"/>
      <c r="H304" s="9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7"/>
      <c r="C305" s="18"/>
      <c r="D305" s="18"/>
      <c r="E305" s="18"/>
      <c r="F305" s="18"/>
      <c r="G305" s="18"/>
      <c r="H305" s="9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7"/>
      <c r="C306" s="18"/>
      <c r="D306" s="18"/>
      <c r="E306" s="18"/>
      <c r="F306" s="18"/>
      <c r="G306" s="18"/>
      <c r="H306" s="9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7"/>
      <c r="C307" s="18"/>
      <c r="D307" s="18"/>
      <c r="E307" s="18"/>
      <c r="F307" s="18"/>
      <c r="G307" s="18"/>
      <c r="H307" s="9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7"/>
      <c r="C308" s="18"/>
      <c r="D308" s="18"/>
      <c r="E308" s="18"/>
      <c r="F308" s="18"/>
      <c r="G308" s="18"/>
      <c r="H308" s="9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7"/>
      <c r="C309" s="18"/>
      <c r="D309" s="18"/>
      <c r="E309" s="18"/>
      <c r="F309" s="18"/>
      <c r="G309" s="18"/>
      <c r="H309" s="9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7"/>
      <c r="C310" s="18"/>
      <c r="D310" s="18"/>
      <c r="E310" s="18"/>
      <c r="F310" s="18"/>
      <c r="G310" s="18"/>
      <c r="H310" s="9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7"/>
      <c r="C311" s="18"/>
      <c r="D311" s="18"/>
      <c r="E311" s="18"/>
      <c r="F311" s="18"/>
      <c r="G311" s="18"/>
      <c r="H311" s="9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7"/>
      <c r="C312" s="18"/>
      <c r="D312" s="18"/>
      <c r="E312" s="18"/>
      <c r="F312" s="18"/>
      <c r="G312" s="18"/>
      <c r="H312" s="9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7"/>
      <c r="C313" s="18"/>
      <c r="D313" s="18"/>
      <c r="E313" s="18"/>
      <c r="F313" s="18"/>
      <c r="G313" s="18"/>
      <c r="H313" s="9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7"/>
      <c r="C314" s="18"/>
      <c r="D314" s="18"/>
      <c r="E314" s="18"/>
      <c r="F314" s="18"/>
      <c r="G314" s="18"/>
      <c r="H314" s="9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7"/>
      <c r="C315" s="18"/>
      <c r="D315" s="18"/>
      <c r="E315" s="18"/>
      <c r="F315" s="18"/>
      <c r="G315" s="18"/>
      <c r="H315" s="9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7"/>
      <c r="C316" s="18"/>
      <c r="D316" s="18"/>
      <c r="E316" s="18"/>
      <c r="F316" s="18"/>
      <c r="G316" s="18"/>
      <c r="H316" s="9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7"/>
      <c r="C317" s="18"/>
      <c r="D317" s="18"/>
      <c r="E317" s="18"/>
      <c r="F317" s="18"/>
      <c r="G317" s="18"/>
      <c r="H317" s="9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7"/>
      <c r="C318" s="18"/>
      <c r="D318" s="18"/>
      <c r="E318" s="18"/>
      <c r="F318" s="18"/>
      <c r="G318" s="18"/>
      <c r="H318" s="9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7"/>
      <c r="C319" s="18"/>
      <c r="D319" s="18"/>
      <c r="E319" s="18"/>
      <c r="F319" s="18"/>
      <c r="G319" s="18"/>
      <c r="H319" s="9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7"/>
      <c r="C320" s="18"/>
      <c r="D320" s="18"/>
      <c r="E320" s="18"/>
      <c r="F320" s="18"/>
      <c r="G320" s="18"/>
      <c r="H320" s="9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7"/>
      <c r="C321" s="18"/>
      <c r="D321" s="18"/>
      <c r="E321" s="18"/>
      <c r="F321" s="18"/>
      <c r="G321" s="18"/>
      <c r="H321" s="9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7"/>
      <c r="C322" s="18"/>
      <c r="D322" s="18"/>
      <c r="E322" s="18"/>
      <c r="F322" s="18"/>
      <c r="G322" s="18"/>
      <c r="H322" s="9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7"/>
      <c r="C323" s="18"/>
      <c r="D323" s="18"/>
      <c r="E323" s="18"/>
      <c r="F323" s="18"/>
      <c r="G323" s="18"/>
      <c r="H323" s="9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7"/>
      <c r="C324" s="18"/>
      <c r="D324" s="18"/>
      <c r="E324" s="18"/>
      <c r="F324" s="18"/>
      <c r="G324" s="18"/>
      <c r="H324" s="9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7"/>
      <c r="C325" s="18"/>
      <c r="D325" s="18"/>
      <c r="E325" s="18"/>
      <c r="F325" s="18"/>
      <c r="G325" s="18"/>
      <c r="H325" s="9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7"/>
      <c r="C326" s="18"/>
      <c r="D326" s="18"/>
      <c r="E326" s="18"/>
      <c r="F326" s="18"/>
      <c r="G326" s="18"/>
      <c r="H326" s="9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7"/>
      <c r="C327" s="18"/>
      <c r="D327" s="18"/>
      <c r="E327" s="18"/>
      <c r="F327" s="18"/>
      <c r="G327" s="18"/>
      <c r="H327" s="9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7"/>
      <c r="C328" s="18"/>
      <c r="D328" s="18"/>
      <c r="E328" s="18"/>
      <c r="F328" s="18"/>
      <c r="G328" s="18"/>
      <c r="H328" s="9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7"/>
      <c r="C329" s="18"/>
      <c r="D329" s="18"/>
      <c r="E329" s="18"/>
      <c r="F329" s="18"/>
      <c r="G329" s="18"/>
      <c r="H329" s="9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7"/>
      <c r="C330" s="18"/>
      <c r="D330" s="18"/>
      <c r="E330" s="18"/>
      <c r="F330" s="18"/>
      <c r="G330" s="18"/>
      <c r="H330" s="9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7"/>
      <c r="C331" s="18"/>
      <c r="D331" s="18"/>
      <c r="E331" s="18"/>
      <c r="F331" s="18"/>
      <c r="G331" s="18"/>
      <c r="H331" s="9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7"/>
      <c r="C332" s="18"/>
      <c r="D332" s="18"/>
      <c r="E332" s="18"/>
      <c r="F332" s="18"/>
      <c r="G332" s="18"/>
      <c r="H332" s="9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7"/>
      <c r="C333" s="18"/>
      <c r="D333" s="18"/>
      <c r="E333" s="18"/>
      <c r="F333" s="18"/>
      <c r="G333" s="18"/>
      <c r="H333" s="9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7"/>
      <c r="C334" s="18"/>
      <c r="D334" s="18"/>
      <c r="E334" s="18"/>
      <c r="F334" s="18"/>
      <c r="G334" s="18"/>
      <c r="H334" s="9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7"/>
      <c r="C335" s="18"/>
      <c r="D335" s="18"/>
      <c r="E335" s="18"/>
      <c r="F335" s="18"/>
      <c r="G335" s="18"/>
      <c r="H335" s="9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7"/>
      <c r="C336" s="18"/>
      <c r="D336" s="18"/>
      <c r="E336" s="18"/>
      <c r="F336" s="18"/>
      <c r="G336" s="18"/>
      <c r="H336" s="9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7"/>
      <c r="C337" s="18"/>
      <c r="D337" s="18"/>
      <c r="E337" s="18"/>
      <c r="F337" s="18"/>
      <c r="G337" s="18"/>
      <c r="H337" s="9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7"/>
      <c r="C338" s="18"/>
      <c r="D338" s="18"/>
      <c r="E338" s="18"/>
      <c r="F338" s="18"/>
      <c r="G338" s="18"/>
      <c r="H338" s="9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7"/>
      <c r="C339" s="18"/>
      <c r="D339" s="18"/>
      <c r="E339" s="18"/>
      <c r="F339" s="18"/>
      <c r="G339" s="18"/>
      <c r="H339" s="9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7"/>
      <c r="C340" s="18"/>
      <c r="D340" s="18"/>
      <c r="E340" s="18"/>
      <c r="F340" s="18"/>
      <c r="G340" s="18"/>
      <c r="H340" s="9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7"/>
      <c r="C341" s="18"/>
      <c r="D341" s="18"/>
      <c r="E341" s="18"/>
      <c r="F341" s="18"/>
      <c r="G341" s="18"/>
      <c r="H341" s="9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7"/>
      <c r="C342" s="18"/>
      <c r="D342" s="18"/>
      <c r="E342" s="18"/>
      <c r="F342" s="18"/>
      <c r="G342" s="18"/>
      <c r="H342" s="9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7"/>
      <c r="C343" s="18"/>
      <c r="D343" s="18"/>
      <c r="E343" s="18"/>
      <c r="F343" s="18"/>
      <c r="G343" s="18"/>
      <c r="H343" s="9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7"/>
      <c r="C344" s="18"/>
      <c r="D344" s="18"/>
      <c r="E344" s="18"/>
      <c r="F344" s="18"/>
      <c r="G344" s="18"/>
      <c r="H344" s="9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7"/>
      <c r="C345" s="18"/>
      <c r="D345" s="18"/>
      <c r="E345" s="18"/>
      <c r="F345" s="18"/>
      <c r="G345" s="18"/>
      <c r="H345" s="9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7"/>
      <c r="C346" s="18"/>
      <c r="D346" s="18"/>
      <c r="E346" s="18"/>
      <c r="F346" s="18"/>
      <c r="G346" s="18"/>
      <c r="H346" s="9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7"/>
      <c r="C347" s="18"/>
      <c r="D347" s="18"/>
      <c r="E347" s="18"/>
      <c r="F347" s="18"/>
      <c r="G347" s="18"/>
      <c r="H347" s="9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7"/>
      <c r="C348" s="18"/>
      <c r="D348" s="18"/>
      <c r="E348" s="18"/>
      <c r="F348" s="18"/>
      <c r="G348" s="18"/>
      <c r="H348" s="9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7"/>
      <c r="C349" s="18"/>
      <c r="D349" s="18"/>
      <c r="E349" s="18"/>
      <c r="F349" s="18"/>
      <c r="G349" s="18"/>
      <c r="H349" s="9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7"/>
      <c r="C350" s="18"/>
      <c r="D350" s="18"/>
      <c r="E350" s="18"/>
      <c r="F350" s="18"/>
      <c r="G350" s="18"/>
      <c r="H350" s="9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7"/>
      <c r="C351" s="18"/>
      <c r="D351" s="18"/>
      <c r="E351" s="18"/>
      <c r="F351" s="18"/>
      <c r="G351" s="18"/>
      <c r="H351" s="9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7"/>
      <c r="C352" s="18"/>
      <c r="D352" s="18"/>
      <c r="E352" s="18"/>
      <c r="F352" s="18"/>
      <c r="G352" s="18"/>
      <c r="H352" s="9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7"/>
      <c r="C353" s="18"/>
      <c r="D353" s="18"/>
      <c r="E353" s="18"/>
      <c r="F353" s="18"/>
      <c r="G353" s="18"/>
      <c r="H353" s="9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7"/>
      <c r="C354" s="18"/>
      <c r="D354" s="18"/>
      <c r="E354" s="18"/>
      <c r="F354" s="18"/>
      <c r="G354" s="18"/>
      <c r="H354" s="9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7"/>
      <c r="C355" s="18"/>
      <c r="D355" s="18"/>
      <c r="E355" s="18"/>
      <c r="F355" s="18"/>
      <c r="G355" s="18"/>
      <c r="H355" s="9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7"/>
      <c r="C356" s="18"/>
      <c r="D356" s="18"/>
      <c r="E356" s="18"/>
      <c r="F356" s="18"/>
      <c r="G356" s="18"/>
      <c r="H356" s="9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7"/>
      <c r="C357" s="18"/>
      <c r="D357" s="18"/>
      <c r="E357" s="18"/>
      <c r="F357" s="18"/>
      <c r="G357" s="18"/>
      <c r="H357" s="9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7"/>
      <c r="C358" s="18"/>
      <c r="D358" s="18"/>
      <c r="E358" s="18"/>
      <c r="F358" s="18"/>
      <c r="G358" s="18"/>
      <c r="H358" s="9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7"/>
      <c r="C359" s="18"/>
      <c r="D359" s="18"/>
      <c r="E359" s="18"/>
      <c r="F359" s="18"/>
      <c r="G359" s="18"/>
      <c r="H359" s="9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7"/>
      <c r="C360" s="18"/>
      <c r="D360" s="18"/>
      <c r="E360" s="18"/>
      <c r="F360" s="18"/>
      <c r="G360" s="18"/>
      <c r="H360" s="9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7"/>
      <c r="C361" s="18"/>
      <c r="D361" s="18"/>
      <c r="E361" s="18"/>
      <c r="F361" s="18"/>
      <c r="G361" s="18"/>
      <c r="H361" s="9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7"/>
      <c r="C362" s="18"/>
      <c r="D362" s="18"/>
      <c r="E362" s="18"/>
      <c r="F362" s="18"/>
      <c r="G362" s="18"/>
      <c r="H362" s="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7"/>
      <c r="C363" s="18"/>
      <c r="D363" s="18"/>
      <c r="E363" s="18"/>
      <c r="F363" s="18"/>
      <c r="G363" s="18"/>
      <c r="H363" s="9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7"/>
      <c r="C364" s="18"/>
      <c r="D364" s="18"/>
      <c r="E364" s="18"/>
      <c r="F364" s="18"/>
      <c r="G364" s="18"/>
      <c r="H364" s="9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7"/>
      <c r="C365" s="18"/>
      <c r="D365" s="18"/>
      <c r="E365" s="18"/>
      <c r="F365" s="18"/>
      <c r="G365" s="18"/>
      <c r="H365" s="9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7"/>
      <c r="C366" s="18"/>
      <c r="D366" s="18"/>
      <c r="E366" s="18"/>
      <c r="F366" s="18"/>
      <c r="G366" s="18"/>
      <c r="H366" s="9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7"/>
      <c r="C367" s="18"/>
      <c r="D367" s="18"/>
      <c r="E367" s="18"/>
      <c r="F367" s="18"/>
      <c r="G367" s="18"/>
      <c r="H367" s="9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7"/>
      <c r="C368" s="18"/>
      <c r="D368" s="18"/>
      <c r="E368" s="18"/>
      <c r="F368" s="18"/>
      <c r="G368" s="18"/>
      <c r="H368" s="9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7"/>
      <c r="C369" s="18"/>
      <c r="D369" s="18"/>
      <c r="E369" s="18"/>
      <c r="F369" s="18"/>
      <c r="G369" s="18"/>
      <c r="H369" s="9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7"/>
      <c r="C370" s="18"/>
      <c r="D370" s="18"/>
      <c r="E370" s="18"/>
      <c r="F370" s="18"/>
      <c r="G370" s="18"/>
      <c r="H370" s="9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7"/>
      <c r="C371" s="18"/>
      <c r="D371" s="18"/>
      <c r="E371" s="18"/>
      <c r="F371" s="18"/>
      <c r="G371" s="18"/>
      <c r="H371" s="9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7"/>
      <c r="C372" s="18"/>
      <c r="D372" s="18"/>
      <c r="E372" s="18"/>
      <c r="F372" s="18"/>
      <c r="G372" s="18"/>
      <c r="H372" s="9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7"/>
      <c r="C373" s="18"/>
      <c r="D373" s="18"/>
      <c r="E373" s="18"/>
      <c r="F373" s="18"/>
      <c r="G373" s="18"/>
      <c r="H373" s="9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7"/>
      <c r="C374" s="18"/>
      <c r="D374" s="18"/>
      <c r="E374" s="18"/>
      <c r="F374" s="18"/>
      <c r="G374" s="18"/>
      <c r="H374" s="9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7"/>
      <c r="C375" s="18"/>
      <c r="D375" s="18"/>
      <c r="E375" s="18"/>
      <c r="F375" s="18"/>
      <c r="G375" s="18"/>
      <c r="H375" s="9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7"/>
      <c r="C376" s="18"/>
      <c r="D376" s="18"/>
      <c r="E376" s="18"/>
      <c r="F376" s="18"/>
      <c r="G376" s="18"/>
      <c r="H376" s="9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7"/>
      <c r="C377" s="18"/>
      <c r="D377" s="18"/>
      <c r="E377" s="18"/>
      <c r="F377" s="18"/>
      <c r="G377" s="18"/>
      <c r="H377" s="9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7"/>
      <c r="C378" s="18"/>
      <c r="D378" s="18"/>
      <c r="E378" s="18"/>
      <c r="F378" s="18"/>
      <c r="G378" s="18"/>
      <c r="H378" s="9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7"/>
      <c r="C379" s="18"/>
      <c r="D379" s="18"/>
      <c r="E379" s="18"/>
      <c r="F379" s="18"/>
      <c r="G379" s="18"/>
      <c r="H379" s="9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7"/>
      <c r="C380" s="18"/>
      <c r="D380" s="18"/>
      <c r="E380" s="18"/>
      <c r="F380" s="18"/>
      <c r="G380" s="18"/>
      <c r="H380" s="9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7"/>
      <c r="C381" s="18"/>
      <c r="D381" s="18"/>
      <c r="E381" s="18"/>
      <c r="F381" s="18"/>
      <c r="G381" s="18"/>
      <c r="H381" s="9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7"/>
      <c r="C382" s="18"/>
      <c r="D382" s="18"/>
      <c r="E382" s="18"/>
      <c r="F382" s="18"/>
      <c r="G382" s="18"/>
      <c r="H382" s="9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7"/>
      <c r="C383" s="18"/>
      <c r="D383" s="18"/>
      <c r="E383" s="18"/>
      <c r="F383" s="18"/>
      <c r="G383" s="18"/>
      <c r="H383" s="9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7"/>
      <c r="C384" s="18"/>
      <c r="D384" s="18"/>
      <c r="E384" s="18"/>
      <c r="F384" s="18"/>
      <c r="G384" s="18"/>
      <c r="H384" s="9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7"/>
      <c r="C385" s="18"/>
      <c r="D385" s="18"/>
      <c r="E385" s="18"/>
      <c r="F385" s="18"/>
      <c r="G385" s="18"/>
      <c r="H385" s="9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7"/>
      <c r="C386" s="18"/>
      <c r="D386" s="18"/>
      <c r="E386" s="18"/>
      <c r="F386" s="18"/>
      <c r="G386" s="18"/>
      <c r="H386" s="9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7"/>
      <c r="C387" s="18"/>
      <c r="D387" s="18"/>
      <c r="E387" s="18"/>
      <c r="F387" s="18"/>
      <c r="G387" s="18"/>
      <c r="H387" s="9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7"/>
      <c r="C388" s="18"/>
      <c r="D388" s="18"/>
      <c r="E388" s="18"/>
      <c r="F388" s="18"/>
      <c r="G388" s="18"/>
      <c r="H388" s="9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7"/>
      <c r="C389" s="18"/>
      <c r="D389" s="18"/>
      <c r="E389" s="18"/>
      <c r="F389" s="18"/>
      <c r="G389" s="18"/>
      <c r="H389" s="9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7"/>
      <c r="C390" s="18"/>
      <c r="D390" s="18"/>
      <c r="E390" s="18"/>
      <c r="F390" s="18"/>
      <c r="G390" s="18"/>
      <c r="H390" s="9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7"/>
      <c r="C391" s="18"/>
      <c r="D391" s="18"/>
      <c r="E391" s="18"/>
      <c r="F391" s="18"/>
      <c r="G391" s="18"/>
      <c r="H391" s="9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7"/>
      <c r="C392" s="18"/>
      <c r="D392" s="18"/>
      <c r="E392" s="18"/>
      <c r="F392" s="18"/>
      <c r="G392" s="18"/>
      <c r="H392" s="9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7"/>
      <c r="C393" s="18"/>
      <c r="D393" s="18"/>
      <c r="E393" s="18"/>
      <c r="F393" s="18"/>
      <c r="G393" s="18"/>
      <c r="H393" s="9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7"/>
      <c r="C394" s="18"/>
      <c r="D394" s="18"/>
      <c r="E394" s="18"/>
      <c r="F394" s="18"/>
      <c r="G394" s="18"/>
      <c r="H394" s="9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7"/>
      <c r="C395" s="18"/>
      <c r="D395" s="18"/>
      <c r="E395" s="18"/>
      <c r="F395" s="18"/>
      <c r="G395" s="18"/>
      <c r="H395" s="9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7"/>
      <c r="C396" s="18"/>
      <c r="D396" s="18"/>
      <c r="E396" s="18"/>
      <c r="F396" s="18"/>
      <c r="G396" s="18"/>
      <c r="H396" s="9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7"/>
      <c r="C397" s="18"/>
      <c r="D397" s="18"/>
      <c r="E397" s="18"/>
      <c r="F397" s="18"/>
      <c r="G397" s="18"/>
      <c r="H397" s="9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7"/>
      <c r="C398" s="18"/>
      <c r="D398" s="18"/>
      <c r="E398" s="18"/>
      <c r="F398" s="18"/>
      <c r="G398" s="18"/>
      <c r="H398" s="9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7"/>
      <c r="C399" s="18"/>
      <c r="D399" s="18"/>
      <c r="E399" s="18"/>
      <c r="F399" s="18"/>
      <c r="G399" s="18"/>
      <c r="H399" s="9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7"/>
      <c r="C400" s="18"/>
      <c r="D400" s="18"/>
      <c r="E400" s="18"/>
      <c r="F400" s="18"/>
      <c r="G400" s="18"/>
      <c r="H400" s="9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7"/>
      <c r="C401" s="18"/>
      <c r="D401" s="18"/>
      <c r="E401" s="18"/>
      <c r="F401" s="18"/>
      <c r="G401" s="18"/>
      <c r="H401" s="9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7"/>
      <c r="C402" s="18"/>
      <c r="D402" s="18"/>
      <c r="E402" s="18"/>
      <c r="F402" s="18"/>
      <c r="G402" s="18"/>
      <c r="H402" s="9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7"/>
      <c r="C403" s="18"/>
      <c r="D403" s="18"/>
      <c r="E403" s="18"/>
      <c r="F403" s="18"/>
      <c r="G403" s="18"/>
      <c r="H403" s="9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7"/>
      <c r="C404" s="18"/>
      <c r="D404" s="18"/>
      <c r="E404" s="18"/>
      <c r="F404" s="18"/>
      <c r="G404" s="18"/>
      <c r="H404" s="9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7"/>
      <c r="C405" s="18"/>
      <c r="D405" s="18"/>
      <c r="E405" s="18"/>
      <c r="F405" s="18"/>
      <c r="G405" s="18"/>
      <c r="H405" s="9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7"/>
      <c r="C406" s="18"/>
      <c r="D406" s="18"/>
      <c r="E406" s="18"/>
      <c r="F406" s="18"/>
      <c r="G406" s="18"/>
      <c r="H406" s="9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7"/>
      <c r="C407" s="18"/>
      <c r="D407" s="18"/>
      <c r="E407" s="18"/>
      <c r="F407" s="18"/>
      <c r="G407" s="18"/>
      <c r="H407" s="9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7"/>
      <c r="C408" s="18"/>
      <c r="D408" s="18"/>
      <c r="E408" s="18"/>
      <c r="F408" s="18"/>
      <c r="G408" s="18"/>
      <c r="H408" s="9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7"/>
      <c r="C409" s="18"/>
      <c r="D409" s="18"/>
      <c r="E409" s="18"/>
      <c r="F409" s="18"/>
      <c r="G409" s="18"/>
      <c r="H409" s="9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7"/>
      <c r="C410" s="18"/>
      <c r="D410" s="18"/>
      <c r="E410" s="18"/>
      <c r="F410" s="18"/>
      <c r="G410" s="18"/>
      <c r="H410" s="9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7"/>
      <c r="C411" s="18"/>
      <c r="D411" s="18"/>
      <c r="E411" s="18"/>
      <c r="F411" s="18"/>
      <c r="G411" s="18"/>
      <c r="H411" s="9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7"/>
      <c r="C412" s="18"/>
      <c r="D412" s="18"/>
      <c r="E412" s="18"/>
      <c r="F412" s="18"/>
      <c r="G412" s="18"/>
      <c r="H412" s="9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7"/>
      <c r="C413" s="18"/>
      <c r="D413" s="18"/>
      <c r="E413" s="18"/>
      <c r="F413" s="18"/>
      <c r="G413" s="18"/>
      <c r="H413" s="9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7"/>
      <c r="C414" s="18"/>
      <c r="D414" s="18"/>
      <c r="E414" s="18"/>
      <c r="F414" s="18"/>
      <c r="G414" s="18"/>
      <c r="H414" s="9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7"/>
      <c r="C415" s="18"/>
      <c r="D415" s="18"/>
      <c r="E415" s="18"/>
      <c r="F415" s="18"/>
      <c r="G415" s="18"/>
      <c r="H415" s="9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7"/>
      <c r="C416" s="18"/>
      <c r="D416" s="18"/>
      <c r="E416" s="18"/>
      <c r="F416" s="18"/>
      <c r="G416" s="18"/>
      <c r="H416" s="9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7"/>
      <c r="C417" s="18"/>
      <c r="D417" s="18"/>
      <c r="E417" s="18"/>
      <c r="F417" s="18"/>
      <c r="G417" s="18"/>
      <c r="H417" s="9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7"/>
      <c r="C418" s="18"/>
      <c r="D418" s="18"/>
      <c r="E418" s="18"/>
      <c r="F418" s="18"/>
      <c r="G418" s="18"/>
      <c r="H418" s="9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7"/>
      <c r="C419" s="18"/>
      <c r="D419" s="18"/>
      <c r="E419" s="18"/>
      <c r="F419" s="18"/>
      <c r="G419" s="18"/>
      <c r="H419" s="9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7"/>
      <c r="C420" s="18"/>
      <c r="D420" s="18"/>
      <c r="E420" s="18"/>
      <c r="F420" s="18"/>
      <c r="G420" s="18"/>
      <c r="H420" s="9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7"/>
      <c r="C421" s="18"/>
      <c r="D421" s="18"/>
      <c r="E421" s="18"/>
      <c r="F421" s="18"/>
      <c r="G421" s="18"/>
      <c r="H421" s="9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7"/>
      <c r="C422" s="18"/>
      <c r="D422" s="18"/>
      <c r="E422" s="18"/>
      <c r="F422" s="18"/>
      <c r="G422" s="18"/>
      <c r="H422" s="9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7"/>
      <c r="C423" s="18"/>
      <c r="D423" s="18"/>
      <c r="E423" s="18"/>
      <c r="F423" s="18"/>
      <c r="G423" s="18"/>
      <c r="H423" s="9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7"/>
      <c r="C424" s="18"/>
      <c r="D424" s="18"/>
      <c r="E424" s="18"/>
      <c r="F424" s="18"/>
      <c r="G424" s="18"/>
      <c r="H424" s="9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7"/>
      <c r="C425" s="18"/>
      <c r="D425" s="18"/>
      <c r="E425" s="18"/>
      <c r="F425" s="18"/>
      <c r="G425" s="18"/>
      <c r="H425" s="9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7"/>
      <c r="C426" s="18"/>
      <c r="D426" s="18"/>
      <c r="E426" s="18"/>
      <c r="F426" s="18"/>
      <c r="G426" s="18"/>
      <c r="H426" s="9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7"/>
      <c r="C427" s="18"/>
      <c r="D427" s="18"/>
      <c r="E427" s="18"/>
      <c r="F427" s="18"/>
      <c r="G427" s="18"/>
      <c r="H427" s="9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7"/>
      <c r="C428" s="18"/>
      <c r="D428" s="18"/>
      <c r="E428" s="18"/>
      <c r="F428" s="18"/>
      <c r="G428" s="18"/>
      <c r="H428" s="9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7"/>
      <c r="C429" s="18"/>
      <c r="D429" s="18"/>
      <c r="E429" s="18"/>
      <c r="F429" s="18"/>
      <c r="G429" s="18"/>
      <c r="H429" s="9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7"/>
      <c r="C430" s="18"/>
      <c r="D430" s="18"/>
      <c r="E430" s="18"/>
      <c r="F430" s="18"/>
      <c r="G430" s="18"/>
      <c r="H430" s="9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7"/>
      <c r="C431" s="18"/>
      <c r="D431" s="18"/>
      <c r="E431" s="18"/>
      <c r="F431" s="18"/>
      <c r="G431" s="18"/>
      <c r="H431" s="9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7"/>
      <c r="C432" s="18"/>
      <c r="D432" s="18"/>
      <c r="E432" s="18"/>
      <c r="F432" s="18"/>
      <c r="G432" s="18"/>
      <c r="H432" s="9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7"/>
      <c r="C433" s="18"/>
      <c r="D433" s="18"/>
      <c r="E433" s="18"/>
      <c r="F433" s="18"/>
      <c r="G433" s="18"/>
      <c r="H433" s="9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7"/>
      <c r="C434" s="18"/>
      <c r="D434" s="18"/>
      <c r="E434" s="18"/>
      <c r="F434" s="18"/>
      <c r="G434" s="18"/>
      <c r="H434" s="9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7"/>
      <c r="C435" s="18"/>
      <c r="D435" s="18"/>
      <c r="E435" s="18"/>
      <c r="F435" s="18"/>
      <c r="G435" s="18"/>
      <c r="H435" s="9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7"/>
      <c r="C436" s="18"/>
      <c r="D436" s="18"/>
      <c r="E436" s="18"/>
      <c r="F436" s="18"/>
      <c r="G436" s="18"/>
      <c r="H436" s="9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7"/>
      <c r="C437" s="18"/>
      <c r="D437" s="18"/>
      <c r="E437" s="18"/>
      <c r="F437" s="18"/>
      <c r="G437" s="18"/>
      <c r="H437" s="9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7"/>
      <c r="C438" s="18"/>
      <c r="D438" s="18"/>
      <c r="E438" s="18"/>
      <c r="F438" s="18"/>
      <c r="G438" s="18"/>
      <c r="H438" s="9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7"/>
      <c r="C439" s="18"/>
      <c r="D439" s="18"/>
      <c r="E439" s="18"/>
      <c r="F439" s="18"/>
      <c r="G439" s="18"/>
      <c r="H439" s="9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7"/>
      <c r="C440" s="18"/>
      <c r="D440" s="18"/>
      <c r="E440" s="18"/>
      <c r="F440" s="18"/>
      <c r="G440" s="18"/>
      <c r="H440" s="9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7"/>
      <c r="C441" s="18"/>
      <c r="D441" s="18"/>
      <c r="E441" s="18"/>
      <c r="F441" s="18"/>
      <c r="G441" s="18"/>
      <c r="H441" s="9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7"/>
      <c r="C442" s="18"/>
      <c r="D442" s="18"/>
      <c r="E442" s="18"/>
      <c r="F442" s="18"/>
      <c r="G442" s="18"/>
      <c r="H442" s="9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7"/>
      <c r="C443" s="18"/>
      <c r="D443" s="18"/>
      <c r="E443" s="18"/>
      <c r="F443" s="18"/>
      <c r="G443" s="18"/>
      <c r="H443" s="9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7"/>
      <c r="C444" s="18"/>
      <c r="D444" s="18"/>
      <c r="E444" s="18"/>
      <c r="F444" s="18"/>
      <c r="G444" s="18"/>
      <c r="H444" s="9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7"/>
      <c r="C445" s="18"/>
      <c r="D445" s="18"/>
      <c r="E445" s="18"/>
      <c r="F445" s="18"/>
      <c r="G445" s="18"/>
      <c r="H445" s="9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7"/>
      <c r="C446" s="18"/>
      <c r="D446" s="18"/>
      <c r="E446" s="18"/>
      <c r="F446" s="18"/>
      <c r="G446" s="18"/>
      <c r="H446" s="9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7"/>
      <c r="C447" s="18"/>
      <c r="D447" s="18"/>
      <c r="E447" s="18"/>
      <c r="F447" s="18"/>
      <c r="G447" s="18"/>
      <c r="H447" s="9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7"/>
      <c r="C448" s="18"/>
      <c r="D448" s="18"/>
      <c r="E448" s="18"/>
      <c r="F448" s="18"/>
      <c r="G448" s="18"/>
      <c r="H448" s="9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7"/>
      <c r="C449" s="18"/>
      <c r="D449" s="18"/>
      <c r="E449" s="18"/>
      <c r="F449" s="18"/>
      <c r="G449" s="18"/>
      <c r="H449" s="9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7"/>
      <c r="C450" s="18"/>
      <c r="D450" s="18"/>
      <c r="E450" s="18"/>
      <c r="F450" s="18"/>
      <c r="G450" s="18"/>
      <c r="H450" s="9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7"/>
      <c r="C451" s="18"/>
      <c r="D451" s="18"/>
      <c r="E451" s="18"/>
      <c r="F451" s="18"/>
      <c r="G451" s="18"/>
      <c r="H451" s="9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7"/>
      <c r="C452" s="18"/>
      <c r="D452" s="18"/>
      <c r="E452" s="18"/>
      <c r="F452" s="18"/>
      <c r="G452" s="18"/>
      <c r="H452" s="9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7"/>
      <c r="C453" s="18"/>
      <c r="D453" s="18"/>
      <c r="E453" s="18"/>
      <c r="F453" s="18"/>
      <c r="G453" s="18"/>
      <c r="H453" s="9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7"/>
      <c r="C454" s="18"/>
      <c r="D454" s="18"/>
      <c r="E454" s="18"/>
      <c r="F454" s="18"/>
      <c r="G454" s="18"/>
      <c r="H454" s="9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7"/>
      <c r="C455" s="18"/>
      <c r="D455" s="18"/>
      <c r="E455" s="18"/>
      <c r="F455" s="18"/>
      <c r="G455" s="18"/>
      <c r="H455" s="9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7"/>
      <c r="C456" s="18"/>
      <c r="D456" s="18"/>
      <c r="E456" s="18"/>
      <c r="F456" s="18"/>
      <c r="G456" s="18"/>
      <c r="H456" s="9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7"/>
      <c r="C457" s="18"/>
      <c r="D457" s="18"/>
      <c r="E457" s="18"/>
      <c r="F457" s="18"/>
      <c r="G457" s="18"/>
      <c r="H457" s="9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7"/>
      <c r="C458" s="18"/>
      <c r="D458" s="18"/>
      <c r="E458" s="18"/>
      <c r="F458" s="18"/>
      <c r="G458" s="18"/>
      <c r="H458" s="9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7"/>
      <c r="C459" s="18"/>
      <c r="D459" s="18"/>
      <c r="E459" s="18"/>
      <c r="F459" s="18"/>
      <c r="G459" s="18"/>
      <c r="H459" s="9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7"/>
      <c r="C460" s="18"/>
      <c r="D460" s="18"/>
      <c r="E460" s="18"/>
      <c r="F460" s="18"/>
      <c r="G460" s="18"/>
      <c r="H460" s="9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7"/>
      <c r="C461" s="18"/>
      <c r="D461" s="18"/>
      <c r="E461" s="18"/>
      <c r="F461" s="18"/>
      <c r="G461" s="18"/>
      <c r="H461" s="9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7"/>
      <c r="C462" s="18"/>
      <c r="D462" s="18"/>
      <c r="E462" s="18"/>
      <c r="F462" s="18"/>
      <c r="G462" s="18"/>
      <c r="H462" s="9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7"/>
      <c r="C463" s="18"/>
      <c r="D463" s="18"/>
      <c r="E463" s="18"/>
      <c r="F463" s="18"/>
      <c r="G463" s="18"/>
      <c r="H463" s="9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7"/>
      <c r="C464" s="18"/>
      <c r="D464" s="18"/>
      <c r="E464" s="18"/>
      <c r="F464" s="18"/>
      <c r="G464" s="18"/>
      <c r="H464" s="9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7"/>
      <c r="C465" s="18"/>
      <c r="D465" s="18"/>
      <c r="E465" s="18"/>
      <c r="F465" s="18"/>
      <c r="G465" s="18"/>
      <c r="H465" s="9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7"/>
      <c r="C466" s="18"/>
      <c r="D466" s="18"/>
      <c r="E466" s="18"/>
      <c r="F466" s="18"/>
      <c r="G466" s="18"/>
      <c r="H466" s="9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7"/>
      <c r="C467" s="18"/>
      <c r="D467" s="18"/>
      <c r="E467" s="18"/>
      <c r="F467" s="18"/>
      <c r="G467" s="18"/>
      <c r="H467" s="9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7"/>
      <c r="C468" s="18"/>
      <c r="D468" s="18"/>
      <c r="E468" s="18"/>
      <c r="F468" s="18"/>
      <c r="G468" s="18"/>
      <c r="H468" s="9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7"/>
      <c r="C469" s="18"/>
      <c r="D469" s="18"/>
      <c r="E469" s="18"/>
      <c r="F469" s="18"/>
      <c r="G469" s="18"/>
      <c r="H469" s="9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7"/>
      <c r="C470" s="18"/>
      <c r="D470" s="18"/>
      <c r="E470" s="18"/>
      <c r="F470" s="18"/>
      <c r="G470" s="18"/>
      <c r="H470" s="9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7"/>
      <c r="C471" s="18"/>
      <c r="D471" s="18"/>
      <c r="E471" s="18"/>
      <c r="F471" s="18"/>
      <c r="G471" s="18"/>
      <c r="H471" s="9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7"/>
      <c r="C472" s="18"/>
      <c r="D472" s="18"/>
      <c r="E472" s="18"/>
      <c r="F472" s="18"/>
      <c r="G472" s="18"/>
      <c r="H472" s="9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7"/>
      <c r="C473" s="18"/>
      <c r="D473" s="18"/>
      <c r="E473" s="18"/>
      <c r="F473" s="18"/>
      <c r="G473" s="18"/>
      <c r="H473" s="9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7"/>
      <c r="C474" s="18"/>
      <c r="D474" s="18"/>
      <c r="E474" s="18"/>
      <c r="F474" s="18"/>
      <c r="G474" s="18"/>
      <c r="H474" s="9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7"/>
      <c r="C475" s="18"/>
      <c r="D475" s="18"/>
      <c r="E475" s="18"/>
      <c r="F475" s="18"/>
      <c r="G475" s="18"/>
      <c r="H475" s="9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7"/>
      <c r="C476" s="18"/>
      <c r="D476" s="18"/>
      <c r="E476" s="18"/>
      <c r="F476" s="18"/>
      <c r="G476" s="18"/>
      <c r="H476" s="9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7"/>
      <c r="C477" s="18"/>
      <c r="D477" s="18"/>
      <c r="E477" s="18"/>
      <c r="F477" s="18"/>
      <c r="G477" s="18"/>
      <c r="H477" s="9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7"/>
      <c r="C478" s="18"/>
      <c r="D478" s="18"/>
      <c r="E478" s="18"/>
      <c r="F478" s="18"/>
      <c r="G478" s="18"/>
      <c r="H478" s="9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7"/>
      <c r="C479" s="18"/>
      <c r="D479" s="18"/>
      <c r="E479" s="18"/>
      <c r="F479" s="18"/>
      <c r="G479" s="18"/>
      <c r="H479" s="9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7"/>
      <c r="C480" s="18"/>
      <c r="D480" s="18"/>
      <c r="E480" s="18"/>
      <c r="F480" s="18"/>
      <c r="G480" s="18"/>
      <c r="H480" s="9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7"/>
      <c r="C481" s="18"/>
      <c r="D481" s="18"/>
      <c r="E481" s="18"/>
      <c r="F481" s="18"/>
      <c r="G481" s="18"/>
      <c r="H481" s="9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7"/>
      <c r="C482" s="18"/>
      <c r="D482" s="18"/>
      <c r="E482" s="18"/>
      <c r="F482" s="18"/>
      <c r="G482" s="18"/>
      <c r="H482" s="9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7"/>
      <c r="C483" s="18"/>
      <c r="D483" s="18"/>
      <c r="E483" s="18"/>
      <c r="F483" s="18"/>
      <c r="G483" s="18"/>
      <c r="H483" s="9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7"/>
      <c r="C484" s="18"/>
      <c r="D484" s="18"/>
      <c r="E484" s="18"/>
      <c r="F484" s="18"/>
      <c r="G484" s="18"/>
      <c r="H484" s="9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7"/>
      <c r="C485" s="18"/>
      <c r="D485" s="18"/>
      <c r="E485" s="18"/>
      <c r="F485" s="18"/>
      <c r="G485" s="18"/>
      <c r="H485" s="9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7"/>
      <c r="C486" s="18"/>
      <c r="D486" s="18"/>
      <c r="E486" s="18"/>
      <c r="F486" s="18"/>
      <c r="G486" s="18"/>
      <c r="H486" s="9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7"/>
      <c r="C487" s="18"/>
      <c r="D487" s="18"/>
      <c r="E487" s="18"/>
      <c r="F487" s="18"/>
      <c r="G487" s="18"/>
      <c r="H487" s="9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7"/>
      <c r="C488" s="18"/>
      <c r="D488" s="18"/>
      <c r="E488" s="18"/>
      <c r="F488" s="18"/>
      <c r="G488" s="18"/>
      <c r="H488" s="9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7"/>
      <c r="C489" s="18"/>
      <c r="D489" s="18"/>
      <c r="E489" s="18"/>
      <c r="F489" s="18"/>
      <c r="G489" s="18"/>
      <c r="H489" s="9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7"/>
      <c r="C490" s="18"/>
      <c r="D490" s="18"/>
      <c r="E490" s="18"/>
      <c r="F490" s="18"/>
      <c r="G490" s="18"/>
      <c r="H490" s="9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7"/>
      <c r="C491" s="18"/>
      <c r="D491" s="18"/>
      <c r="E491" s="18"/>
      <c r="F491" s="18"/>
      <c r="G491" s="18"/>
      <c r="H491" s="9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7"/>
      <c r="C492" s="18"/>
      <c r="D492" s="18"/>
      <c r="E492" s="18"/>
      <c r="F492" s="18"/>
      <c r="G492" s="18"/>
      <c r="H492" s="9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7"/>
      <c r="C493" s="18"/>
      <c r="D493" s="18"/>
      <c r="E493" s="18"/>
      <c r="F493" s="18"/>
      <c r="G493" s="18"/>
      <c r="H493" s="9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7"/>
      <c r="C494" s="18"/>
      <c r="D494" s="18"/>
      <c r="E494" s="18"/>
      <c r="F494" s="18"/>
      <c r="G494" s="18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7"/>
      <c r="C495" s="18"/>
      <c r="D495" s="18"/>
      <c r="E495" s="18"/>
      <c r="F495" s="18"/>
      <c r="G495" s="18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7"/>
      <c r="C496" s="18"/>
      <c r="D496" s="18"/>
      <c r="E496" s="18"/>
      <c r="F496" s="18"/>
      <c r="G496" s="18"/>
      <c r="H496" s="9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7"/>
      <c r="C497" s="18"/>
      <c r="D497" s="18"/>
      <c r="E497" s="18"/>
      <c r="F497" s="18"/>
      <c r="G497" s="18"/>
      <c r="H497" s="9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7"/>
      <c r="C498" s="18"/>
      <c r="D498" s="18"/>
      <c r="E498" s="18"/>
      <c r="F498" s="18"/>
      <c r="G498" s="18"/>
      <c r="H498" s="9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7"/>
      <c r="C499" s="18"/>
      <c r="D499" s="18"/>
      <c r="E499" s="18"/>
      <c r="F499" s="18"/>
      <c r="G499" s="18"/>
      <c r="H499" s="9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7"/>
      <c r="C500" s="18"/>
      <c r="D500" s="18"/>
      <c r="E500" s="18"/>
      <c r="F500" s="18"/>
      <c r="G500" s="18"/>
      <c r="H500" s="9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7"/>
      <c r="C501" s="18"/>
      <c r="D501" s="18"/>
      <c r="E501" s="18"/>
      <c r="F501" s="18"/>
      <c r="G501" s="18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7"/>
      <c r="C502" s="18"/>
      <c r="D502" s="18"/>
      <c r="E502" s="18"/>
      <c r="F502" s="18"/>
      <c r="G502" s="18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7"/>
      <c r="C503" s="18"/>
      <c r="D503" s="18"/>
      <c r="E503" s="18"/>
      <c r="F503" s="18"/>
      <c r="G503" s="18"/>
      <c r="H503" s="9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7"/>
      <c r="C504" s="18"/>
      <c r="D504" s="18"/>
      <c r="E504" s="18"/>
      <c r="F504" s="18"/>
      <c r="G504" s="18"/>
      <c r="H504" s="9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7"/>
      <c r="C505" s="18"/>
      <c r="D505" s="18"/>
      <c r="E505" s="18"/>
      <c r="F505" s="18"/>
      <c r="G505" s="18"/>
      <c r="H505" s="9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7"/>
      <c r="C506" s="18"/>
      <c r="D506" s="18"/>
      <c r="E506" s="18"/>
      <c r="F506" s="18"/>
      <c r="G506" s="18"/>
      <c r="H506" s="9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7"/>
      <c r="C507" s="18"/>
      <c r="D507" s="18"/>
      <c r="E507" s="18"/>
      <c r="F507" s="18"/>
      <c r="G507" s="18"/>
      <c r="H507" s="9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7"/>
      <c r="C508" s="18"/>
      <c r="D508" s="18"/>
      <c r="E508" s="18"/>
      <c r="F508" s="18"/>
      <c r="G508" s="18"/>
      <c r="H508" s="9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7"/>
      <c r="C509" s="18"/>
      <c r="D509" s="18"/>
      <c r="E509" s="18"/>
      <c r="F509" s="18"/>
      <c r="G509" s="18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7"/>
      <c r="C510" s="18"/>
      <c r="D510" s="18"/>
      <c r="E510" s="18"/>
      <c r="F510" s="18"/>
      <c r="G510" s="18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7"/>
      <c r="C511" s="18"/>
      <c r="D511" s="18"/>
      <c r="E511" s="18"/>
      <c r="F511" s="18"/>
      <c r="G511" s="18"/>
      <c r="H511" s="9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7"/>
      <c r="C512" s="18"/>
      <c r="D512" s="18"/>
      <c r="E512" s="18"/>
      <c r="F512" s="18"/>
      <c r="G512" s="18"/>
      <c r="H512" s="9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7"/>
      <c r="C513" s="18"/>
      <c r="D513" s="18"/>
      <c r="E513" s="18"/>
      <c r="F513" s="18"/>
      <c r="G513" s="18"/>
      <c r="H513" s="9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7"/>
      <c r="C514" s="18"/>
      <c r="D514" s="18"/>
      <c r="E514" s="18"/>
      <c r="F514" s="18"/>
      <c r="G514" s="18"/>
      <c r="H514" s="9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7"/>
      <c r="C515" s="18"/>
      <c r="D515" s="18"/>
      <c r="E515" s="18"/>
      <c r="F515" s="18"/>
      <c r="G515" s="18"/>
      <c r="H515" s="9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7"/>
      <c r="C516" s="18"/>
      <c r="D516" s="18"/>
      <c r="E516" s="18"/>
      <c r="F516" s="18"/>
      <c r="G516" s="18"/>
      <c r="H516" s="9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7"/>
      <c r="C517" s="18"/>
      <c r="D517" s="18"/>
      <c r="E517" s="18"/>
      <c r="F517" s="18"/>
      <c r="G517" s="18"/>
      <c r="H517" s="9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7"/>
      <c r="C518" s="18"/>
      <c r="D518" s="18"/>
      <c r="E518" s="18"/>
      <c r="F518" s="18"/>
      <c r="G518" s="18"/>
      <c r="H518" s="9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7"/>
      <c r="C519" s="18"/>
      <c r="D519" s="18"/>
      <c r="E519" s="18"/>
      <c r="F519" s="18"/>
      <c r="G519" s="18"/>
      <c r="H519" s="9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7"/>
      <c r="C520" s="18"/>
      <c r="D520" s="18"/>
      <c r="E520" s="18"/>
      <c r="F520" s="18"/>
      <c r="G520" s="18"/>
      <c r="H520" s="9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7"/>
      <c r="C521" s="18"/>
      <c r="D521" s="18"/>
      <c r="E521" s="18"/>
      <c r="F521" s="18"/>
      <c r="G521" s="18"/>
      <c r="H521" s="9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7"/>
      <c r="C522" s="18"/>
      <c r="D522" s="18"/>
      <c r="E522" s="18"/>
      <c r="F522" s="18"/>
      <c r="G522" s="18"/>
      <c r="H522" s="9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7"/>
      <c r="C523" s="18"/>
      <c r="D523" s="18"/>
      <c r="E523" s="18"/>
      <c r="F523" s="18"/>
      <c r="G523" s="18"/>
      <c r="H523" s="9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7"/>
      <c r="C524" s="18"/>
      <c r="D524" s="18"/>
      <c r="E524" s="18"/>
      <c r="F524" s="18"/>
      <c r="G524" s="18"/>
      <c r="H524" s="9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7"/>
      <c r="C525" s="18"/>
      <c r="D525" s="18"/>
      <c r="E525" s="18"/>
      <c r="F525" s="18"/>
      <c r="G525" s="18"/>
      <c r="H525" s="9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7"/>
      <c r="C526" s="18"/>
      <c r="D526" s="18"/>
      <c r="E526" s="18"/>
      <c r="F526" s="18"/>
      <c r="G526" s="18"/>
      <c r="H526" s="9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7"/>
      <c r="C527" s="18"/>
      <c r="D527" s="18"/>
      <c r="E527" s="18"/>
      <c r="F527" s="18"/>
      <c r="G527" s="18"/>
      <c r="H527" s="9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7"/>
      <c r="C528" s="18"/>
      <c r="D528" s="18"/>
      <c r="E528" s="18"/>
      <c r="F528" s="18"/>
      <c r="G528" s="18"/>
      <c r="H528" s="9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7"/>
      <c r="C529" s="18"/>
      <c r="D529" s="18"/>
      <c r="E529" s="18"/>
      <c r="F529" s="18"/>
      <c r="G529" s="18"/>
      <c r="H529" s="9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7"/>
      <c r="C530" s="18"/>
      <c r="D530" s="18"/>
      <c r="E530" s="18"/>
      <c r="F530" s="18"/>
      <c r="G530" s="18"/>
      <c r="H530" s="9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7"/>
      <c r="C531" s="18"/>
      <c r="D531" s="18"/>
      <c r="E531" s="18"/>
      <c r="F531" s="18"/>
      <c r="G531" s="18"/>
      <c r="H531" s="9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7"/>
      <c r="C532" s="18"/>
      <c r="D532" s="18"/>
      <c r="E532" s="18"/>
      <c r="F532" s="18"/>
      <c r="G532" s="18"/>
      <c r="H532" s="9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7"/>
      <c r="C533" s="18"/>
      <c r="D533" s="18"/>
      <c r="E533" s="18"/>
      <c r="F533" s="18"/>
      <c r="G533" s="18"/>
      <c r="H533" s="9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7"/>
      <c r="C534" s="18"/>
      <c r="D534" s="18"/>
      <c r="E534" s="18"/>
      <c r="F534" s="18"/>
      <c r="G534" s="18"/>
      <c r="H534" s="9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7"/>
      <c r="C535" s="18"/>
      <c r="D535" s="18"/>
      <c r="E535" s="18"/>
      <c r="F535" s="18"/>
      <c r="G535" s="18"/>
      <c r="H535" s="9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7"/>
      <c r="C536" s="18"/>
      <c r="D536" s="18"/>
      <c r="E536" s="18"/>
      <c r="F536" s="18"/>
      <c r="G536" s="18"/>
      <c r="H536" s="9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7"/>
      <c r="C537" s="18"/>
      <c r="D537" s="18"/>
      <c r="E537" s="18"/>
      <c r="F537" s="18"/>
      <c r="G537" s="18"/>
      <c r="H537" s="9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7"/>
      <c r="C538" s="18"/>
      <c r="D538" s="18"/>
      <c r="E538" s="18"/>
      <c r="F538" s="18"/>
      <c r="G538" s="18"/>
      <c r="H538" s="9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7"/>
      <c r="C539" s="18"/>
      <c r="D539" s="18"/>
      <c r="E539" s="18"/>
      <c r="F539" s="18"/>
      <c r="G539" s="18"/>
      <c r="H539" s="9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7"/>
      <c r="C540" s="18"/>
      <c r="D540" s="18"/>
      <c r="E540" s="18"/>
      <c r="F540" s="18"/>
      <c r="G540" s="18"/>
      <c r="H540" s="9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7"/>
      <c r="C541" s="18"/>
      <c r="D541" s="18"/>
      <c r="E541" s="18"/>
      <c r="F541" s="18"/>
      <c r="G541" s="18"/>
      <c r="H541" s="9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7"/>
      <c r="C542" s="18"/>
      <c r="D542" s="18"/>
      <c r="E542" s="18"/>
      <c r="F542" s="18"/>
      <c r="G542" s="18"/>
      <c r="H542" s="9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7"/>
      <c r="C543" s="18"/>
      <c r="D543" s="18"/>
      <c r="E543" s="18"/>
      <c r="F543" s="18"/>
      <c r="G543" s="18"/>
      <c r="H543" s="9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7"/>
      <c r="C544" s="18"/>
      <c r="D544" s="18"/>
      <c r="E544" s="18"/>
      <c r="F544" s="18"/>
      <c r="G544" s="18"/>
      <c r="H544" s="9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7"/>
      <c r="C545" s="18"/>
      <c r="D545" s="18"/>
      <c r="E545" s="18"/>
      <c r="F545" s="18"/>
      <c r="G545" s="18"/>
      <c r="H545" s="9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7"/>
      <c r="C546" s="18"/>
      <c r="D546" s="18"/>
      <c r="E546" s="18"/>
      <c r="F546" s="18"/>
      <c r="G546" s="18"/>
      <c r="H546" s="9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7"/>
      <c r="C547" s="18"/>
      <c r="D547" s="18"/>
      <c r="E547" s="18"/>
      <c r="F547" s="18"/>
      <c r="G547" s="18"/>
      <c r="H547" s="9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7"/>
      <c r="C548" s="18"/>
      <c r="D548" s="18"/>
      <c r="E548" s="18"/>
      <c r="F548" s="18"/>
      <c r="G548" s="18"/>
      <c r="H548" s="9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7"/>
      <c r="C549" s="18"/>
      <c r="D549" s="18"/>
      <c r="E549" s="18"/>
      <c r="F549" s="18"/>
      <c r="G549" s="18"/>
      <c r="H549" s="9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7"/>
      <c r="C550" s="18"/>
      <c r="D550" s="18"/>
      <c r="E550" s="18"/>
      <c r="F550" s="18"/>
      <c r="G550" s="18"/>
      <c r="H550" s="9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7"/>
      <c r="C551" s="18"/>
      <c r="D551" s="18"/>
      <c r="E551" s="18"/>
      <c r="F551" s="18"/>
      <c r="G551" s="18"/>
      <c r="H551" s="9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7"/>
      <c r="C552" s="18"/>
      <c r="D552" s="18"/>
      <c r="E552" s="18"/>
      <c r="F552" s="18"/>
      <c r="G552" s="18"/>
      <c r="H552" s="9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7"/>
      <c r="C553" s="18"/>
      <c r="D553" s="18"/>
      <c r="E553" s="18"/>
      <c r="F553" s="18"/>
      <c r="G553" s="18"/>
      <c r="H553" s="9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7"/>
      <c r="C554" s="18"/>
      <c r="D554" s="18"/>
      <c r="E554" s="18"/>
      <c r="F554" s="18"/>
      <c r="G554" s="18"/>
      <c r="H554" s="9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7"/>
      <c r="C555" s="18"/>
      <c r="D555" s="18"/>
      <c r="E555" s="18"/>
      <c r="F555" s="18"/>
      <c r="G555" s="18"/>
      <c r="H555" s="9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7"/>
      <c r="C556" s="18"/>
      <c r="D556" s="18"/>
      <c r="E556" s="18"/>
      <c r="F556" s="18"/>
      <c r="G556" s="18"/>
      <c r="H556" s="9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7"/>
      <c r="C557" s="18"/>
      <c r="D557" s="18"/>
      <c r="E557" s="18"/>
      <c r="F557" s="18"/>
      <c r="G557" s="18"/>
      <c r="H557" s="9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7"/>
      <c r="C558" s="18"/>
      <c r="D558" s="18"/>
      <c r="E558" s="18"/>
      <c r="F558" s="18"/>
      <c r="G558" s="18"/>
      <c r="H558" s="9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7"/>
      <c r="C559" s="18"/>
      <c r="D559" s="18"/>
      <c r="E559" s="18"/>
      <c r="F559" s="18"/>
      <c r="G559" s="18"/>
      <c r="H559" s="9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7"/>
      <c r="C560" s="18"/>
      <c r="D560" s="18"/>
      <c r="E560" s="18"/>
      <c r="F560" s="18"/>
      <c r="G560" s="18"/>
      <c r="H560" s="9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7"/>
      <c r="C561" s="18"/>
      <c r="D561" s="18"/>
      <c r="E561" s="18"/>
      <c r="F561" s="18"/>
      <c r="G561" s="18"/>
      <c r="H561" s="9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7"/>
      <c r="C562" s="18"/>
      <c r="D562" s="18"/>
      <c r="E562" s="18"/>
      <c r="F562" s="18"/>
      <c r="G562" s="18"/>
      <c r="H562" s="9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7"/>
      <c r="C563" s="18"/>
      <c r="D563" s="18"/>
      <c r="E563" s="18"/>
      <c r="F563" s="18"/>
      <c r="G563" s="18"/>
      <c r="H563" s="9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7"/>
      <c r="C564" s="18"/>
      <c r="D564" s="18"/>
      <c r="E564" s="18"/>
      <c r="F564" s="18"/>
      <c r="G564" s="18"/>
      <c r="H564" s="9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7"/>
      <c r="C565" s="18"/>
      <c r="D565" s="18"/>
      <c r="E565" s="18"/>
      <c r="F565" s="18"/>
      <c r="G565" s="18"/>
      <c r="H565" s="9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7"/>
      <c r="C566" s="18"/>
      <c r="D566" s="18"/>
      <c r="E566" s="18"/>
      <c r="F566" s="18"/>
      <c r="G566" s="18"/>
      <c r="H566" s="9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7"/>
      <c r="C567" s="18"/>
      <c r="D567" s="18"/>
      <c r="E567" s="18"/>
      <c r="F567" s="18"/>
      <c r="G567" s="18"/>
      <c r="H567" s="9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7"/>
      <c r="C568" s="18"/>
      <c r="D568" s="18"/>
      <c r="E568" s="18"/>
      <c r="F568" s="18"/>
      <c r="G568" s="18"/>
      <c r="H568" s="9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7"/>
      <c r="C569" s="18"/>
      <c r="D569" s="18"/>
      <c r="E569" s="18"/>
      <c r="F569" s="18"/>
      <c r="G569" s="18"/>
      <c r="H569" s="9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7"/>
      <c r="C570" s="18"/>
      <c r="D570" s="18"/>
      <c r="E570" s="18"/>
      <c r="F570" s="18"/>
      <c r="G570" s="18"/>
      <c r="H570" s="9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7"/>
      <c r="C571" s="18"/>
      <c r="D571" s="18"/>
      <c r="E571" s="18"/>
      <c r="F571" s="18"/>
      <c r="G571" s="18"/>
      <c r="H571" s="9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7"/>
      <c r="C572" s="18"/>
      <c r="D572" s="18"/>
      <c r="E572" s="18"/>
      <c r="F572" s="18"/>
      <c r="G572" s="18"/>
      <c r="H572" s="9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7"/>
      <c r="C573" s="18"/>
      <c r="D573" s="18"/>
      <c r="E573" s="18"/>
      <c r="F573" s="18"/>
      <c r="G573" s="18"/>
      <c r="H573" s="9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7"/>
      <c r="C574" s="18"/>
      <c r="D574" s="18"/>
      <c r="E574" s="18"/>
      <c r="F574" s="18"/>
      <c r="G574" s="18"/>
      <c r="H574" s="9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7"/>
      <c r="C575" s="18"/>
      <c r="D575" s="18"/>
      <c r="E575" s="18"/>
      <c r="F575" s="18"/>
      <c r="G575" s="18"/>
      <c r="H575" s="9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7"/>
      <c r="C576" s="18"/>
      <c r="D576" s="18"/>
      <c r="E576" s="18"/>
      <c r="F576" s="18"/>
      <c r="G576" s="18"/>
      <c r="H576" s="9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7"/>
      <c r="C577" s="18"/>
      <c r="D577" s="18"/>
      <c r="E577" s="18"/>
      <c r="F577" s="18"/>
      <c r="G577" s="18"/>
      <c r="H577" s="9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7"/>
      <c r="C578" s="18"/>
      <c r="D578" s="18"/>
      <c r="E578" s="18"/>
      <c r="F578" s="18"/>
      <c r="G578" s="18"/>
      <c r="H578" s="9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7"/>
      <c r="C579" s="18"/>
      <c r="D579" s="18"/>
      <c r="E579" s="18"/>
      <c r="F579" s="18"/>
      <c r="G579" s="18"/>
      <c r="H579" s="9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7"/>
      <c r="C580" s="18"/>
      <c r="D580" s="18"/>
      <c r="E580" s="18"/>
      <c r="F580" s="18"/>
      <c r="G580" s="18"/>
      <c r="H580" s="9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7"/>
      <c r="C581" s="18"/>
      <c r="D581" s="18"/>
      <c r="E581" s="18"/>
      <c r="F581" s="18"/>
      <c r="G581" s="18"/>
      <c r="H581" s="9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7"/>
      <c r="C582" s="18"/>
      <c r="D582" s="18"/>
      <c r="E582" s="18"/>
      <c r="F582" s="18"/>
      <c r="G582" s="18"/>
      <c r="H582" s="9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7"/>
      <c r="C583" s="18"/>
      <c r="D583" s="18"/>
      <c r="E583" s="18"/>
      <c r="F583" s="18"/>
      <c r="G583" s="18"/>
      <c r="H583" s="9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7"/>
      <c r="C584" s="18"/>
      <c r="D584" s="18"/>
      <c r="E584" s="18"/>
      <c r="F584" s="18"/>
      <c r="G584" s="18"/>
      <c r="H584" s="9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7"/>
      <c r="C585" s="18"/>
      <c r="D585" s="18"/>
      <c r="E585" s="18"/>
      <c r="F585" s="18"/>
      <c r="G585" s="18"/>
      <c r="H585" s="9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7"/>
      <c r="C586" s="18"/>
      <c r="D586" s="18"/>
      <c r="E586" s="18"/>
      <c r="F586" s="18"/>
      <c r="G586" s="18"/>
      <c r="H586" s="9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7"/>
      <c r="C587" s="18"/>
      <c r="D587" s="18"/>
      <c r="E587" s="18"/>
      <c r="F587" s="18"/>
      <c r="G587" s="18"/>
      <c r="H587" s="9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7"/>
      <c r="C588" s="18"/>
      <c r="D588" s="18"/>
      <c r="E588" s="18"/>
      <c r="F588" s="18"/>
      <c r="G588" s="18"/>
      <c r="H588" s="9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7"/>
      <c r="C589" s="18"/>
      <c r="D589" s="18"/>
      <c r="E589" s="18"/>
      <c r="F589" s="18"/>
      <c r="G589" s="18"/>
      <c r="H589" s="9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7"/>
      <c r="C590" s="18"/>
      <c r="D590" s="18"/>
      <c r="E590" s="18"/>
      <c r="F590" s="18"/>
      <c r="G590" s="18"/>
      <c r="H590" s="9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7"/>
      <c r="C591" s="18"/>
      <c r="D591" s="18"/>
      <c r="E591" s="18"/>
      <c r="F591" s="18"/>
      <c r="G591" s="18"/>
      <c r="H591" s="9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7"/>
      <c r="C592" s="18"/>
      <c r="D592" s="18"/>
      <c r="E592" s="18"/>
      <c r="F592" s="18"/>
      <c r="G592" s="18"/>
      <c r="H592" s="9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7"/>
      <c r="C593" s="18"/>
      <c r="D593" s="18"/>
      <c r="E593" s="18"/>
      <c r="F593" s="18"/>
      <c r="G593" s="18"/>
      <c r="H593" s="9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7"/>
      <c r="C594" s="18"/>
      <c r="D594" s="18"/>
      <c r="E594" s="18"/>
      <c r="F594" s="18"/>
      <c r="G594" s="18"/>
      <c r="H594" s="9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7"/>
      <c r="C595" s="18"/>
      <c r="D595" s="18"/>
      <c r="E595" s="18"/>
      <c r="F595" s="18"/>
      <c r="G595" s="18"/>
      <c r="H595" s="9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7"/>
      <c r="C596" s="18"/>
      <c r="D596" s="18"/>
      <c r="E596" s="18"/>
      <c r="F596" s="18"/>
      <c r="G596" s="18"/>
      <c r="H596" s="9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7"/>
      <c r="C597" s="18"/>
      <c r="D597" s="18"/>
      <c r="E597" s="18"/>
      <c r="F597" s="18"/>
      <c r="G597" s="18"/>
      <c r="H597" s="9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7"/>
      <c r="C598" s="18"/>
      <c r="D598" s="18"/>
      <c r="E598" s="18"/>
      <c r="F598" s="18"/>
      <c r="G598" s="18"/>
      <c r="H598" s="9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7"/>
      <c r="C599" s="18"/>
      <c r="D599" s="18"/>
      <c r="E599" s="18"/>
      <c r="F599" s="18"/>
      <c r="G599" s="18"/>
      <c r="H599" s="9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7"/>
      <c r="C600" s="18"/>
      <c r="D600" s="18"/>
      <c r="E600" s="18"/>
      <c r="F600" s="18"/>
      <c r="G600" s="18"/>
      <c r="H600" s="9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7"/>
      <c r="C601" s="18"/>
      <c r="D601" s="18"/>
      <c r="E601" s="18"/>
      <c r="F601" s="18"/>
      <c r="G601" s="18"/>
      <c r="H601" s="9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7"/>
      <c r="C602" s="18"/>
      <c r="D602" s="18"/>
      <c r="E602" s="18"/>
      <c r="F602" s="18"/>
      <c r="G602" s="18"/>
      <c r="H602" s="9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7"/>
      <c r="C603" s="18"/>
      <c r="D603" s="18"/>
      <c r="E603" s="18"/>
      <c r="F603" s="18"/>
      <c r="G603" s="18"/>
      <c r="H603" s="9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7"/>
      <c r="C604" s="18"/>
      <c r="D604" s="18"/>
      <c r="E604" s="18"/>
      <c r="F604" s="18"/>
      <c r="G604" s="18"/>
      <c r="H604" s="9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7"/>
      <c r="C605" s="18"/>
      <c r="D605" s="18"/>
      <c r="E605" s="18"/>
      <c r="F605" s="18"/>
      <c r="G605" s="18"/>
      <c r="H605" s="9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7"/>
      <c r="C606" s="18"/>
      <c r="D606" s="18"/>
      <c r="E606" s="18"/>
      <c r="F606" s="18"/>
      <c r="G606" s="18"/>
      <c r="H606" s="9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7"/>
      <c r="C607" s="18"/>
      <c r="D607" s="18"/>
      <c r="E607" s="18"/>
      <c r="F607" s="18"/>
      <c r="G607" s="18"/>
      <c r="H607" s="9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7"/>
      <c r="C608" s="18"/>
      <c r="D608" s="18"/>
      <c r="E608" s="18"/>
      <c r="F608" s="18"/>
      <c r="G608" s="18"/>
      <c r="H608" s="9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7"/>
      <c r="C609" s="18"/>
      <c r="D609" s="18"/>
      <c r="E609" s="18"/>
      <c r="F609" s="18"/>
      <c r="G609" s="18"/>
      <c r="H609" s="9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7"/>
      <c r="C610" s="18"/>
      <c r="D610" s="18"/>
      <c r="E610" s="18"/>
      <c r="F610" s="18"/>
      <c r="G610" s="18"/>
      <c r="H610" s="9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7"/>
      <c r="C611" s="18"/>
      <c r="D611" s="18"/>
      <c r="E611" s="18"/>
      <c r="F611" s="18"/>
      <c r="G611" s="18"/>
      <c r="H611" s="9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7"/>
      <c r="C612" s="18"/>
      <c r="D612" s="18"/>
      <c r="E612" s="18"/>
      <c r="F612" s="18"/>
      <c r="G612" s="18"/>
      <c r="H612" s="9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7"/>
      <c r="C613" s="18"/>
      <c r="D613" s="18"/>
      <c r="E613" s="18"/>
      <c r="F613" s="18"/>
      <c r="G613" s="18"/>
      <c r="H613" s="9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7"/>
      <c r="C614" s="18"/>
      <c r="D614" s="18"/>
      <c r="E614" s="18"/>
      <c r="F614" s="18"/>
      <c r="G614" s="18"/>
      <c r="H614" s="9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7"/>
      <c r="C615" s="18"/>
      <c r="D615" s="18"/>
      <c r="E615" s="18"/>
      <c r="F615" s="18"/>
      <c r="G615" s="18"/>
      <c r="H615" s="9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7"/>
      <c r="C616" s="18"/>
      <c r="D616" s="18"/>
      <c r="E616" s="18"/>
      <c r="F616" s="18"/>
      <c r="G616" s="18"/>
      <c r="H616" s="9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7"/>
      <c r="C617" s="18"/>
      <c r="D617" s="18"/>
      <c r="E617" s="18"/>
      <c r="F617" s="18"/>
      <c r="G617" s="18"/>
      <c r="H617" s="9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7"/>
      <c r="C618" s="18"/>
      <c r="D618" s="18"/>
      <c r="E618" s="18"/>
      <c r="F618" s="18"/>
      <c r="G618" s="18"/>
      <c r="H618" s="9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7"/>
      <c r="C619" s="18"/>
      <c r="D619" s="18"/>
      <c r="E619" s="18"/>
      <c r="F619" s="18"/>
      <c r="G619" s="18"/>
      <c r="H619" s="9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7"/>
      <c r="C620" s="18"/>
      <c r="D620" s="18"/>
      <c r="E620" s="18"/>
      <c r="F620" s="18"/>
      <c r="G620" s="18"/>
      <c r="H620" s="9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7"/>
      <c r="C621" s="18"/>
      <c r="D621" s="18"/>
      <c r="E621" s="18"/>
      <c r="F621" s="18"/>
      <c r="G621" s="18"/>
      <c r="H621" s="9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7"/>
      <c r="C622" s="18"/>
      <c r="D622" s="18"/>
      <c r="E622" s="18"/>
      <c r="F622" s="18"/>
      <c r="G622" s="18"/>
      <c r="H622" s="9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7"/>
      <c r="C623" s="18"/>
      <c r="D623" s="18"/>
      <c r="E623" s="18"/>
      <c r="F623" s="18"/>
      <c r="G623" s="18"/>
      <c r="H623" s="9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7"/>
      <c r="C624" s="18"/>
      <c r="D624" s="18"/>
      <c r="E624" s="18"/>
      <c r="F624" s="18"/>
      <c r="G624" s="18"/>
      <c r="H624" s="9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7"/>
      <c r="C625" s="18"/>
      <c r="D625" s="18"/>
      <c r="E625" s="18"/>
      <c r="F625" s="18"/>
      <c r="G625" s="18"/>
      <c r="H625" s="9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7"/>
      <c r="C626" s="18"/>
      <c r="D626" s="18"/>
      <c r="E626" s="18"/>
      <c r="F626" s="18"/>
      <c r="G626" s="18"/>
      <c r="H626" s="9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7"/>
      <c r="C627" s="18"/>
      <c r="D627" s="18"/>
      <c r="E627" s="18"/>
      <c r="F627" s="18"/>
      <c r="G627" s="18"/>
      <c r="H627" s="9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7"/>
      <c r="C628" s="18"/>
      <c r="D628" s="18"/>
      <c r="E628" s="18"/>
      <c r="F628" s="18"/>
      <c r="G628" s="18"/>
      <c r="H628" s="9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7"/>
      <c r="C629" s="18"/>
      <c r="D629" s="18"/>
      <c r="E629" s="18"/>
      <c r="F629" s="18"/>
      <c r="G629" s="18"/>
      <c r="H629" s="9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7"/>
      <c r="C630" s="18"/>
      <c r="D630" s="18"/>
      <c r="E630" s="18"/>
      <c r="F630" s="18"/>
      <c r="G630" s="18"/>
      <c r="H630" s="9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7"/>
      <c r="C631" s="18"/>
      <c r="D631" s="18"/>
      <c r="E631" s="18"/>
      <c r="F631" s="18"/>
      <c r="G631" s="18"/>
      <c r="H631" s="9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7"/>
      <c r="C632" s="18"/>
      <c r="D632" s="18"/>
      <c r="E632" s="18"/>
      <c r="F632" s="18"/>
      <c r="G632" s="18"/>
      <c r="H632" s="9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7"/>
      <c r="C633" s="18"/>
      <c r="D633" s="18"/>
      <c r="E633" s="18"/>
      <c r="F633" s="18"/>
      <c r="G633" s="18"/>
      <c r="H633" s="9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7"/>
      <c r="C634" s="18"/>
      <c r="D634" s="18"/>
      <c r="E634" s="18"/>
      <c r="F634" s="18"/>
      <c r="G634" s="18"/>
      <c r="H634" s="9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7"/>
      <c r="C635" s="18"/>
      <c r="D635" s="18"/>
      <c r="E635" s="18"/>
      <c r="F635" s="18"/>
      <c r="G635" s="18"/>
      <c r="H635" s="9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7"/>
      <c r="C636" s="18"/>
      <c r="D636" s="18"/>
      <c r="E636" s="18"/>
      <c r="F636" s="18"/>
      <c r="G636" s="18"/>
      <c r="H636" s="9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7"/>
      <c r="C637" s="18"/>
      <c r="D637" s="18"/>
      <c r="E637" s="18"/>
      <c r="F637" s="18"/>
      <c r="G637" s="18"/>
      <c r="H637" s="9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7"/>
      <c r="C638" s="18"/>
      <c r="D638" s="18"/>
      <c r="E638" s="18"/>
      <c r="F638" s="18"/>
      <c r="G638" s="18"/>
      <c r="H638" s="9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7"/>
      <c r="C639" s="18"/>
      <c r="D639" s="18"/>
      <c r="E639" s="18"/>
      <c r="F639" s="18"/>
      <c r="G639" s="18"/>
      <c r="H639" s="9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7"/>
      <c r="C640" s="18"/>
      <c r="D640" s="18"/>
      <c r="E640" s="18"/>
      <c r="F640" s="18"/>
      <c r="G640" s="18"/>
      <c r="H640" s="9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7"/>
      <c r="C641" s="18"/>
      <c r="D641" s="18"/>
      <c r="E641" s="18"/>
      <c r="F641" s="18"/>
      <c r="G641" s="18"/>
      <c r="H641" s="9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7"/>
      <c r="C642" s="18"/>
      <c r="D642" s="18"/>
      <c r="E642" s="18"/>
      <c r="F642" s="18"/>
      <c r="G642" s="18"/>
      <c r="H642" s="9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7"/>
      <c r="C643" s="18"/>
      <c r="D643" s="18"/>
      <c r="E643" s="18"/>
      <c r="F643" s="18"/>
      <c r="G643" s="18"/>
      <c r="H643" s="9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7"/>
      <c r="C644" s="18"/>
      <c r="D644" s="18"/>
      <c r="E644" s="18"/>
      <c r="F644" s="18"/>
      <c r="G644" s="18"/>
      <c r="H644" s="9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7"/>
      <c r="C645" s="18"/>
      <c r="D645" s="18"/>
      <c r="E645" s="18"/>
      <c r="F645" s="18"/>
      <c r="G645" s="18"/>
      <c r="H645" s="9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7"/>
      <c r="C646" s="18"/>
      <c r="D646" s="18"/>
      <c r="E646" s="18"/>
      <c r="F646" s="18"/>
      <c r="G646" s="18"/>
      <c r="H646" s="9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7"/>
      <c r="C647" s="18"/>
      <c r="D647" s="18"/>
      <c r="E647" s="18"/>
      <c r="F647" s="18"/>
      <c r="G647" s="18"/>
      <c r="H647" s="9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7"/>
      <c r="C648" s="18"/>
      <c r="D648" s="18"/>
      <c r="E648" s="18"/>
      <c r="F648" s="18"/>
      <c r="G648" s="18"/>
      <c r="H648" s="9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7"/>
      <c r="C649" s="18"/>
      <c r="D649" s="18"/>
      <c r="E649" s="18"/>
      <c r="F649" s="18"/>
      <c r="G649" s="18"/>
      <c r="H649" s="9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7"/>
      <c r="C650" s="18"/>
      <c r="D650" s="18"/>
      <c r="E650" s="18"/>
      <c r="F650" s="18"/>
      <c r="G650" s="18"/>
      <c r="H650" s="9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7"/>
      <c r="C651" s="18"/>
      <c r="D651" s="18"/>
      <c r="E651" s="18"/>
      <c r="F651" s="18"/>
      <c r="G651" s="18"/>
      <c r="H651" s="9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7"/>
      <c r="C652" s="18"/>
      <c r="D652" s="18"/>
      <c r="E652" s="18"/>
      <c r="F652" s="18"/>
      <c r="G652" s="18"/>
      <c r="H652" s="9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7"/>
      <c r="C653" s="18"/>
      <c r="D653" s="18"/>
      <c r="E653" s="18"/>
      <c r="F653" s="18"/>
      <c r="G653" s="18"/>
      <c r="H653" s="9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7"/>
      <c r="C654" s="18"/>
      <c r="D654" s="18"/>
      <c r="E654" s="18"/>
      <c r="F654" s="18"/>
      <c r="G654" s="18"/>
      <c r="H654" s="9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7"/>
      <c r="C655" s="18"/>
      <c r="D655" s="18"/>
      <c r="E655" s="18"/>
      <c r="F655" s="18"/>
      <c r="G655" s="18"/>
      <c r="H655" s="9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7"/>
      <c r="C656" s="18"/>
      <c r="D656" s="18"/>
      <c r="E656" s="18"/>
      <c r="F656" s="18"/>
      <c r="G656" s="18"/>
      <c r="H656" s="9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7"/>
      <c r="C657" s="18"/>
      <c r="D657" s="18"/>
      <c r="E657" s="18"/>
      <c r="F657" s="18"/>
      <c r="G657" s="18"/>
      <c r="H657" s="9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7"/>
      <c r="C658" s="18"/>
      <c r="D658" s="18"/>
      <c r="E658" s="18"/>
      <c r="F658" s="18"/>
      <c r="G658" s="18"/>
      <c r="H658" s="9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7"/>
      <c r="C659" s="18"/>
      <c r="D659" s="18"/>
      <c r="E659" s="18"/>
      <c r="F659" s="18"/>
      <c r="G659" s="18"/>
      <c r="H659" s="9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7"/>
      <c r="C660" s="18"/>
      <c r="D660" s="18"/>
      <c r="E660" s="18"/>
      <c r="F660" s="18"/>
      <c r="G660" s="18"/>
      <c r="H660" s="9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7"/>
      <c r="C661" s="18"/>
      <c r="D661" s="18"/>
      <c r="E661" s="18"/>
      <c r="F661" s="18"/>
      <c r="G661" s="18"/>
      <c r="H661" s="9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7"/>
      <c r="C662" s="18"/>
      <c r="D662" s="18"/>
      <c r="E662" s="18"/>
      <c r="F662" s="18"/>
      <c r="G662" s="18"/>
      <c r="H662" s="9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7"/>
      <c r="C663" s="18"/>
      <c r="D663" s="18"/>
      <c r="E663" s="18"/>
      <c r="F663" s="18"/>
      <c r="G663" s="18"/>
      <c r="H663" s="9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7"/>
      <c r="C664" s="18"/>
      <c r="D664" s="18"/>
      <c r="E664" s="18"/>
      <c r="F664" s="18"/>
      <c r="G664" s="18"/>
      <c r="H664" s="9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7"/>
      <c r="C665" s="18"/>
      <c r="D665" s="18"/>
      <c r="E665" s="18"/>
      <c r="F665" s="18"/>
      <c r="G665" s="18"/>
      <c r="H665" s="9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7"/>
      <c r="C666" s="18"/>
      <c r="D666" s="18"/>
      <c r="E666" s="18"/>
      <c r="F666" s="18"/>
      <c r="G666" s="18"/>
      <c r="H666" s="9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7"/>
      <c r="C667" s="18"/>
      <c r="D667" s="18"/>
      <c r="E667" s="18"/>
      <c r="F667" s="18"/>
      <c r="G667" s="18"/>
      <c r="H667" s="9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7"/>
      <c r="C668" s="18"/>
      <c r="D668" s="18"/>
      <c r="E668" s="18"/>
      <c r="F668" s="18"/>
      <c r="G668" s="18"/>
      <c r="H668" s="9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7"/>
      <c r="C669" s="18"/>
      <c r="D669" s="18"/>
      <c r="E669" s="18"/>
      <c r="F669" s="18"/>
      <c r="G669" s="18"/>
      <c r="H669" s="9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7"/>
      <c r="C670" s="18"/>
      <c r="D670" s="18"/>
      <c r="E670" s="18"/>
      <c r="F670" s="18"/>
      <c r="G670" s="18"/>
      <c r="H670" s="9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7"/>
      <c r="C671" s="18"/>
      <c r="D671" s="18"/>
      <c r="E671" s="18"/>
      <c r="F671" s="18"/>
      <c r="G671" s="18"/>
      <c r="H671" s="9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7"/>
      <c r="C672" s="18"/>
      <c r="D672" s="18"/>
      <c r="E672" s="18"/>
      <c r="F672" s="18"/>
      <c r="G672" s="18"/>
      <c r="H672" s="9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7"/>
      <c r="C673" s="18"/>
      <c r="D673" s="18"/>
      <c r="E673" s="18"/>
      <c r="F673" s="18"/>
      <c r="G673" s="18"/>
      <c r="H673" s="9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7"/>
      <c r="C674" s="18"/>
      <c r="D674" s="18"/>
      <c r="E674" s="18"/>
      <c r="F674" s="18"/>
      <c r="G674" s="18"/>
      <c r="H674" s="9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7"/>
      <c r="C675" s="18"/>
      <c r="D675" s="18"/>
      <c r="E675" s="18"/>
      <c r="F675" s="18"/>
      <c r="G675" s="18"/>
      <c r="H675" s="9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7"/>
      <c r="C676" s="18"/>
      <c r="D676" s="18"/>
      <c r="E676" s="18"/>
      <c r="F676" s="18"/>
      <c r="G676" s="18"/>
      <c r="H676" s="9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7"/>
      <c r="C677" s="18"/>
      <c r="D677" s="18"/>
      <c r="E677" s="18"/>
      <c r="F677" s="18"/>
      <c r="G677" s="18"/>
      <c r="H677" s="9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7"/>
      <c r="C678" s="18"/>
      <c r="D678" s="18"/>
      <c r="E678" s="18"/>
      <c r="F678" s="18"/>
      <c r="G678" s="18"/>
      <c r="H678" s="9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7"/>
      <c r="C679" s="18"/>
      <c r="D679" s="18"/>
      <c r="E679" s="18"/>
      <c r="F679" s="18"/>
      <c r="G679" s="18"/>
      <c r="H679" s="9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7"/>
      <c r="C680" s="18"/>
      <c r="D680" s="18"/>
      <c r="E680" s="18"/>
      <c r="F680" s="18"/>
      <c r="G680" s="18"/>
      <c r="H680" s="9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7"/>
      <c r="C681" s="18"/>
      <c r="D681" s="18"/>
      <c r="E681" s="18"/>
      <c r="F681" s="18"/>
      <c r="G681" s="18"/>
      <c r="H681" s="9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7"/>
      <c r="C682" s="18"/>
      <c r="D682" s="18"/>
      <c r="E682" s="18"/>
      <c r="F682" s="18"/>
      <c r="G682" s="18"/>
      <c r="H682" s="9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7"/>
      <c r="C683" s="18"/>
      <c r="D683" s="18"/>
      <c r="E683" s="18"/>
      <c r="F683" s="18"/>
      <c r="G683" s="18"/>
      <c r="H683" s="9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7"/>
      <c r="C684" s="18"/>
      <c r="D684" s="18"/>
      <c r="E684" s="18"/>
      <c r="F684" s="18"/>
      <c r="G684" s="18"/>
      <c r="H684" s="9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7"/>
      <c r="C685" s="18"/>
      <c r="D685" s="18"/>
      <c r="E685" s="18"/>
      <c r="F685" s="18"/>
      <c r="G685" s="18"/>
      <c r="H685" s="9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7"/>
      <c r="C686" s="18"/>
      <c r="D686" s="18"/>
      <c r="E686" s="18"/>
      <c r="F686" s="18"/>
      <c r="G686" s="18"/>
      <c r="H686" s="9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7"/>
      <c r="C687" s="18"/>
      <c r="D687" s="18"/>
      <c r="E687" s="18"/>
      <c r="F687" s="18"/>
      <c r="G687" s="18"/>
      <c r="H687" s="9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7"/>
      <c r="C688" s="18"/>
      <c r="D688" s="18"/>
      <c r="E688" s="18"/>
      <c r="F688" s="18"/>
      <c r="G688" s="18"/>
      <c r="H688" s="9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7"/>
      <c r="C689" s="18"/>
      <c r="D689" s="18"/>
      <c r="E689" s="18"/>
      <c r="F689" s="18"/>
      <c r="G689" s="18"/>
      <c r="H689" s="9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7"/>
      <c r="C690" s="18"/>
      <c r="D690" s="18"/>
      <c r="E690" s="18"/>
      <c r="F690" s="18"/>
      <c r="G690" s="18"/>
      <c r="H690" s="9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7"/>
      <c r="C691" s="18"/>
      <c r="D691" s="18"/>
      <c r="E691" s="18"/>
      <c r="F691" s="18"/>
      <c r="G691" s="18"/>
      <c r="H691" s="9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7"/>
      <c r="C692" s="18"/>
      <c r="D692" s="18"/>
      <c r="E692" s="18"/>
      <c r="F692" s="18"/>
      <c r="G692" s="18"/>
      <c r="H692" s="9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7"/>
      <c r="C693" s="18"/>
      <c r="D693" s="18"/>
      <c r="E693" s="18"/>
      <c r="F693" s="18"/>
      <c r="G693" s="18"/>
      <c r="H693" s="9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7"/>
      <c r="C694" s="18"/>
      <c r="D694" s="18"/>
      <c r="E694" s="18"/>
      <c r="F694" s="18"/>
      <c r="G694" s="18"/>
      <c r="H694" s="9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7"/>
      <c r="C695" s="18"/>
      <c r="D695" s="18"/>
      <c r="E695" s="18"/>
      <c r="F695" s="18"/>
      <c r="G695" s="18"/>
      <c r="H695" s="9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7"/>
      <c r="C696" s="18"/>
      <c r="D696" s="18"/>
      <c r="E696" s="18"/>
      <c r="F696" s="18"/>
      <c r="G696" s="18"/>
      <c r="H696" s="9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7"/>
      <c r="C697" s="18"/>
      <c r="D697" s="18"/>
      <c r="E697" s="18"/>
      <c r="F697" s="18"/>
      <c r="G697" s="18"/>
      <c r="H697" s="9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7"/>
      <c r="C698" s="18"/>
      <c r="D698" s="18"/>
      <c r="E698" s="18"/>
      <c r="F698" s="18"/>
      <c r="G698" s="18"/>
      <c r="H698" s="9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7"/>
      <c r="C699" s="18"/>
      <c r="D699" s="18"/>
      <c r="E699" s="18"/>
      <c r="F699" s="18"/>
      <c r="G699" s="18"/>
      <c r="H699" s="9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7"/>
      <c r="C700" s="18"/>
      <c r="D700" s="18"/>
      <c r="E700" s="18"/>
      <c r="F700" s="18"/>
      <c r="G700" s="18"/>
      <c r="H700" s="9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7"/>
      <c r="C701" s="18"/>
      <c r="D701" s="18"/>
      <c r="E701" s="18"/>
      <c r="F701" s="18"/>
      <c r="G701" s="18"/>
      <c r="H701" s="9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7"/>
      <c r="C702" s="18"/>
      <c r="D702" s="18"/>
      <c r="E702" s="18"/>
      <c r="F702" s="18"/>
      <c r="G702" s="18"/>
      <c r="H702" s="9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7"/>
      <c r="C703" s="18"/>
      <c r="D703" s="18"/>
      <c r="E703" s="18"/>
      <c r="F703" s="18"/>
      <c r="G703" s="18"/>
      <c r="H703" s="9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7"/>
      <c r="C704" s="18"/>
      <c r="D704" s="18"/>
      <c r="E704" s="18"/>
      <c r="F704" s="18"/>
      <c r="G704" s="18"/>
      <c r="H704" s="9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7"/>
      <c r="C705" s="18"/>
      <c r="D705" s="18"/>
      <c r="E705" s="18"/>
      <c r="F705" s="18"/>
      <c r="G705" s="18"/>
      <c r="H705" s="9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7"/>
      <c r="C706" s="18"/>
      <c r="D706" s="18"/>
      <c r="E706" s="18"/>
      <c r="F706" s="18"/>
      <c r="G706" s="18"/>
      <c r="H706" s="9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7"/>
      <c r="C707" s="18"/>
      <c r="D707" s="18"/>
      <c r="E707" s="18"/>
      <c r="F707" s="18"/>
      <c r="G707" s="18"/>
      <c r="H707" s="9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7"/>
      <c r="C708" s="18"/>
      <c r="D708" s="18"/>
      <c r="E708" s="18"/>
      <c r="F708" s="18"/>
      <c r="G708" s="18"/>
      <c r="H708" s="9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7"/>
      <c r="C709" s="18"/>
      <c r="D709" s="18"/>
      <c r="E709" s="18"/>
      <c r="F709" s="18"/>
      <c r="G709" s="18"/>
      <c r="H709" s="9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7"/>
      <c r="C710" s="18"/>
      <c r="D710" s="18"/>
      <c r="E710" s="18"/>
      <c r="F710" s="18"/>
      <c r="G710" s="18"/>
      <c r="H710" s="9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7"/>
      <c r="C711" s="18"/>
      <c r="D711" s="18"/>
      <c r="E711" s="18"/>
      <c r="F711" s="18"/>
      <c r="G711" s="18"/>
      <c r="H711" s="9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7"/>
      <c r="C712" s="18"/>
      <c r="D712" s="18"/>
      <c r="E712" s="18"/>
      <c r="F712" s="18"/>
      <c r="G712" s="18"/>
      <c r="H712" s="9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7"/>
      <c r="C713" s="18"/>
      <c r="D713" s="18"/>
      <c r="E713" s="18"/>
      <c r="F713" s="18"/>
      <c r="G713" s="18"/>
      <c r="H713" s="9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7"/>
      <c r="C714" s="18"/>
      <c r="D714" s="18"/>
      <c r="E714" s="18"/>
      <c r="F714" s="18"/>
      <c r="G714" s="18"/>
      <c r="H714" s="9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7"/>
      <c r="C715" s="18"/>
      <c r="D715" s="18"/>
      <c r="E715" s="18"/>
      <c r="F715" s="18"/>
      <c r="G715" s="18"/>
      <c r="H715" s="9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7"/>
      <c r="C716" s="18"/>
      <c r="D716" s="18"/>
      <c r="E716" s="18"/>
      <c r="F716" s="18"/>
      <c r="G716" s="18"/>
      <c r="H716" s="9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7"/>
      <c r="C717" s="18"/>
      <c r="D717" s="18"/>
      <c r="E717" s="18"/>
      <c r="F717" s="18"/>
      <c r="G717" s="18"/>
      <c r="H717" s="9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7"/>
      <c r="C718" s="18"/>
      <c r="D718" s="18"/>
      <c r="E718" s="18"/>
      <c r="F718" s="18"/>
      <c r="G718" s="18"/>
      <c r="H718" s="9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7"/>
      <c r="C719" s="18"/>
      <c r="D719" s="18"/>
      <c r="E719" s="18"/>
      <c r="F719" s="18"/>
      <c r="G719" s="18"/>
      <c r="H719" s="9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7"/>
      <c r="C720" s="18"/>
      <c r="D720" s="18"/>
      <c r="E720" s="18"/>
      <c r="F720" s="18"/>
      <c r="G720" s="18"/>
      <c r="H720" s="9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7"/>
      <c r="C721" s="18"/>
      <c r="D721" s="18"/>
      <c r="E721" s="18"/>
      <c r="F721" s="18"/>
      <c r="G721" s="18"/>
      <c r="H721" s="9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7"/>
      <c r="C722" s="18"/>
      <c r="D722" s="18"/>
      <c r="E722" s="18"/>
      <c r="F722" s="18"/>
      <c r="G722" s="18"/>
      <c r="H722" s="9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7"/>
      <c r="C723" s="18"/>
      <c r="D723" s="18"/>
      <c r="E723" s="18"/>
      <c r="F723" s="18"/>
      <c r="G723" s="18"/>
      <c r="H723" s="9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7"/>
      <c r="C724" s="18"/>
      <c r="D724" s="18"/>
      <c r="E724" s="18"/>
      <c r="F724" s="18"/>
      <c r="G724" s="18"/>
      <c r="H724" s="9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7"/>
      <c r="C725" s="18"/>
      <c r="D725" s="18"/>
      <c r="E725" s="18"/>
      <c r="F725" s="18"/>
      <c r="G725" s="18"/>
      <c r="H725" s="9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7"/>
      <c r="C726" s="18"/>
      <c r="D726" s="18"/>
      <c r="E726" s="18"/>
      <c r="F726" s="18"/>
      <c r="G726" s="18"/>
      <c r="H726" s="9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7"/>
      <c r="C727" s="18"/>
      <c r="D727" s="18"/>
      <c r="E727" s="18"/>
      <c r="F727" s="18"/>
      <c r="G727" s="18"/>
      <c r="H727" s="9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7"/>
      <c r="C728" s="18"/>
      <c r="D728" s="18"/>
      <c r="E728" s="18"/>
      <c r="F728" s="18"/>
      <c r="G728" s="18"/>
      <c r="H728" s="9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7"/>
      <c r="C729" s="18"/>
      <c r="D729" s="18"/>
      <c r="E729" s="18"/>
      <c r="F729" s="18"/>
      <c r="G729" s="18"/>
      <c r="H729" s="9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7"/>
      <c r="C730" s="18"/>
      <c r="D730" s="18"/>
      <c r="E730" s="18"/>
      <c r="F730" s="18"/>
      <c r="G730" s="18"/>
      <c r="H730" s="9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7"/>
      <c r="C731" s="18"/>
      <c r="D731" s="18"/>
      <c r="E731" s="18"/>
      <c r="F731" s="18"/>
      <c r="G731" s="18"/>
      <c r="H731" s="9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7"/>
      <c r="C732" s="18"/>
      <c r="D732" s="18"/>
      <c r="E732" s="18"/>
      <c r="F732" s="18"/>
      <c r="G732" s="18"/>
      <c r="H732" s="9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7"/>
      <c r="C733" s="18"/>
      <c r="D733" s="18"/>
      <c r="E733" s="18"/>
      <c r="F733" s="18"/>
      <c r="G733" s="18"/>
      <c r="H733" s="9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7"/>
      <c r="C734" s="18"/>
      <c r="D734" s="18"/>
      <c r="E734" s="18"/>
      <c r="F734" s="18"/>
      <c r="G734" s="18"/>
      <c r="H734" s="9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7"/>
      <c r="C735" s="18"/>
      <c r="D735" s="18"/>
      <c r="E735" s="18"/>
      <c r="F735" s="18"/>
      <c r="G735" s="18"/>
      <c r="H735" s="9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7"/>
      <c r="C736" s="18"/>
      <c r="D736" s="18"/>
      <c r="E736" s="18"/>
      <c r="F736" s="18"/>
      <c r="G736" s="18"/>
      <c r="H736" s="9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7"/>
      <c r="C737" s="18"/>
      <c r="D737" s="18"/>
      <c r="E737" s="18"/>
      <c r="F737" s="18"/>
      <c r="G737" s="18"/>
      <c r="H737" s="9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7"/>
      <c r="C738" s="18"/>
      <c r="D738" s="18"/>
      <c r="E738" s="18"/>
      <c r="F738" s="18"/>
      <c r="G738" s="18"/>
      <c r="H738" s="9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7"/>
      <c r="C739" s="18"/>
      <c r="D739" s="18"/>
      <c r="E739" s="18"/>
      <c r="F739" s="18"/>
      <c r="G739" s="18"/>
      <c r="H739" s="9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7"/>
      <c r="C740" s="18"/>
      <c r="D740" s="18"/>
      <c r="E740" s="18"/>
      <c r="F740" s="18"/>
      <c r="G740" s="18"/>
      <c r="H740" s="9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7"/>
      <c r="C741" s="18"/>
      <c r="D741" s="18"/>
      <c r="E741" s="18"/>
      <c r="F741" s="18"/>
      <c r="G741" s="18"/>
      <c r="H741" s="9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7"/>
      <c r="C742" s="18"/>
      <c r="D742" s="18"/>
      <c r="E742" s="18"/>
      <c r="F742" s="18"/>
      <c r="G742" s="18"/>
      <c r="H742" s="9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7"/>
      <c r="C743" s="18"/>
      <c r="D743" s="18"/>
      <c r="E743" s="18"/>
      <c r="F743" s="18"/>
      <c r="G743" s="18"/>
      <c r="H743" s="9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7"/>
      <c r="C744" s="18"/>
      <c r="D744" s="18"/>
      <c r="E744" s="18"/>
      <c r="F744" s="18"/>
      <c r="G744" s="18"/>
      <c r="H744" s="9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7"/>
      <c r="C745" s="18"/>
      <c r="D745" s="18"/>
      <c r="E745" s="18"/>
      <c r="F745" s="18"/>
      <c r="G745" s="18"/>
      <c r="H745" s="9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7"/>
      <c r="C746" s="18"/>
      <c r="D746" s="18"/>
      <c r="E746" s="18"/>
      <c r="F746" s="18"/>
      <c r="G746" s="18"/>
      <c r="H746" s="9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7"/>
      <c r="C747" s="18"/>
      <c r="D747" s="18"/>
      <c r="E747" s="18"/>
      <c r="F747" s="18"/>
      <c r="G747" s="18"/>
      <c r="H747" s="9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7"/>
      <c r="C748" s="18"/>
      <c r="D748" s="18"/>
      <c r="E748" s="18"/>
      <c r="F748" s="18"/>
      <c r="G748" s="18"/>
      <c r="H748" s="9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7"/>
      <c r="C749" s="18"/>
      <c r="D749" s="18"/>
      <c r="E749" s="18"/>
      <c r="F749" s="18"/>
      <c r="G749" s="18"/>
      <c r="H749" s="9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7"/>
      <c r="C750" s="18"/>
      <c r="D750" s="18"/>
      <c r="E750" s="18"/>
      <c r="F750" s="18"/>
      <c r="G750" s="18"/>
      <c r="H750" s="9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7"/>
      <c r="C751" s="18"/>
      <c r="D751" s="18"/>
      <c r="E751" s="18"/>
      <c r="F751" s="18"/>
      <c r="G751" s="18"/>
      <c r="H751" s="9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7"/>
      <c r="C752" s="18"/>
      <c r="D752" s="18"/>
      <c r="E752" s="18"/>
      <c r="F752" s="18"/>
      <c r="G752" s="18"/>
      <c r="H752" s="9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7"/>
      <c r="C753" s="18"/>
      <c r="D753" s="18"/>
      <c r="E753" s="18"/>
      <c r="F753" s="18"/>
      <c r="G753" s="18"/>
      <c r="H753" s="9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7"/>
      <c r="C754" s="18"/>
      <c r="D754" s="18"/>
      <c r="E754" s="18"/>
      <c r="F754" s="18"/>
      <c r="G754" s="18"/>
      <c r="H754" s="9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7"/>
      <c r="C755" s="18"/>
      <c r="D755" s="18"/>
      <c r="E755" s="18"/>
      <c r="F755" s="18"/>
      <c r="G755" s="18"/>
      <c r="H755" s="9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7"/>
      <c r="C756" s="18"/>
      <c r="D756" s="18"/>
      <c r="E756" s="18"/>
      <c r="F756" s="18"/>
      <c r="G756" s="18"/>
      <c r="H756" s="9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7"/>
      <c r="C757" s="18"/>
      <c r="D757" s="18"/>
      <c r="E757" s="18"/>
      <c r="F757" s="18"/>
      <c r="G757" s="18"/>
      <c r="H757" s="9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7"/>
      <c r="C758" s="18"/>
      <c r="D758" s="18"/>
      <c r="E758" s="18"/>
      <c r="F758" s="18"/>
      <c r="G758" s="18"/>
      <c r="H758" s="9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7"/>
      <c r="C759" s="18"/>
      <c r="D759" s="18"/>
      <c r="E759" s="18"/>
      <c r="F759" s="18"/>
      <c r="G759" s="18"/>
      <c r="H759" s="9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7"/>
      <c r="C760" s="18"/>
      <c r="D760" s="18"/>
      <c r="E760" s="18"/>
      <c r="F760" s="18"/>
      <c r="G760" s="18"/>
      <c r="H760" s="9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7"/>
      <c r="C761" s="18"/>
      <c r="D761" s="18"/>
      <c r="E761" s="18"/>
      <c r="F761" s="18"/>
      <c r="G761" s="18"/>
      <c r="H761" s="9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7"/>
      <c r="C762" s="18"/>
      <c r="D762" s="18"/>
      <c r="E762" s="18"/>
      <c r="F762" s="18"/>
      <c r="G762" s="18"/>
      <c r="H762" s="9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7"/>
      <c r="C763" s="18"/>
      <c r="D763" s="18"/>
      <c r="E763" s="18"/>
      <c r="F763" s="18"/>
      <c r="G763" s="18"/>
      <c r="H763" s="9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7"/>
      <c r="C764" s="18"/>
      <c r="D764" s="18"/>
      <c r="E764" s="18"/>
      <c r="F764" s="18"/>
      <c r="G764" s="18"/>
      <c r="H764" s="9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7"/>
      <c r="C765" s="18"/>
      <c r="D765" s="18"/>
      <c r="E765" s="18"/>
      <c r="F765" s="18"/>
      <c r="G765" s="18"/>
      <c r="H765" s="9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7"/>
      <c r="C766" s="18"/>
      <c r="D766" s="18"/>
      <c r="E766" s="18"/>
      <c r="F766" s="18"/>
      <c r="G766" s="18"/>
      <c r="H766" s="9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7"/>
      <c r="C767" s="18"/>
      <c r="D767" s="18"/>
      <c r="E767" s="18"/>
      <c r="F767" s="18"/>
      <c r="G767" s="18"/>
      <c r="H767" s="9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7"/>
      <c r="C768" s="18"/>
      <c r="D768" s="18"/>
      <c r="E768" s="18"/>
      <c r="F768" s="18"/>
      <c r="G768" s="18"/>
      <c r="H768" s="9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7"/>
      <c r="C769" s="18"/>
      <c r="D769" s="18"/>
      <c r="E769" s="18"/>
      <c r="F769" s="18"/>
      <c r="G769" s="18"/>
      <c r="H769" s="9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7"/>
      <c r="C770" s="18"/>
      <c r="D770" s="18"/>
      <c r="E770" s="18"/>
      <c r="F770" s="18"/>
      <c r="G770" s="18"/>
      <c r="H770" s="9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7"/>
      <c r="C771" s="18"/>
      <c r="D771" s="18"/>
      <c r="E771" s="18"/>
      <c r="F771" s="18"/>
      <c r="G771" s="18"/>
      <c r="H771" s="9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7"/>
      <c r="C772" s="18"/>
      <c r="D772" s="18"/>
      <c r="E772" s="18"/>
      <c r="F772" s="18"/>
      <c r="G772" s="18"/>
      <c r="H772" s="9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7"/>
      <c r="C773" s="18"/>
      <c r="D773" s="18"/>
      <c r="E773" s="18"/>
      <c r="F773" s="18"/>
      <c r="G773" s="18"/>
      <c r="H773" s="9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7"/>
      <c r="C774" s="18"/>
      <c r="D774" s="18"/>
      <c r="E774" s="18"/>
      <c r="F774" s="18"/>
      <c r="G774" s="18"/>
      <c r="H774" s="9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7"/>
      <c r="C775" s="18"/>
      <c r="D775" s="18"/>
      <c r="E775" s="18"/>
      <c r="F775" s="18"/>
      <c r="G775" s="18"/>
      <c r="H775" s="9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7"/>
      <c r="C776" s="18"/>
      <c r="D776" s="18"/>
      <c r="E776" s="18"/>
      <c r="F776" s="18"/>
      <c r="G776" s="18"/>
      <c r="H776" s="9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7"/>
      <c r="C777" s="18"/>
      <c r="D777" s="18"/>
      <c r="E777" s="18"/>
      <c r="F777" s="18"/>
      <c r="G777" s="18"/>
      <c r="H777" s="9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7"/>
      <c r="C778" s="18"/>
      <c r="D778" s="18"/>
      <c r="E778" s="18"/>
      <c r="F778" s="18"/>
      <c r="G778" s="18"/>
      <c r="H778" s="9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7"/>
      <c r="C779" s="18"/>
      <c r="D779" s="18"/>
      <c r="E779" s="18"/>
      <c r="F779" s="18"/>
      <c r="G779" s="18"/>
      <c r="H779" s="9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7"/>
      <c r="C780" s="18"/>
      <c r="D780" s="18"/>
      <c r="E780" s="18"/>
      <c r="F780" s="18"/>
      <c r="G780" s="18"/>
      <c r="H780" s="9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7"/>
      <c r="C781" s="18"/>
      <c r="D781" s="18"/>
      <c r="E781" s="18"/>
      <c r="F781" s="18"/>
      <c r="G781" s="18"/>
      <c r="H781" s="9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7"/>
      <c r="C782" s="18"/>
      <c r="D782" s="18"/>
      <c r="E782" s="18"/>
      <c r="F782" s="18"/>
      <c r="G782" s="18"/>
      <c r="H782" s="9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7"/>
      <c r="C783" s="18"/>
      <c r="D783" s="18"/>
      <c r="E783" s="18"/>
      <c r="F783" s="18"/>
      <c r="G783" s="18"/>
      <c r="H783" s="9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7"/>
      <c r="C784" s="18"/>
      <c r="D784" s="18"/>
      <c r="E784" s="18"/>
      <c r="F784" s="18"/>
      <c r="G784" s="18"/>
      <c r="H784" s="9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7"/>
      <c r="C785" s="18"/>
      <c r="D785" s="18"/>
      <c r="E785" s="18"/>
      <c r="F785" s="18"/>
      <c r="G785" s="18"/>
      <c r="H785" s="9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7"/>
      <c r="C786" s="18"/>
      <c r="D786" s="18"/>
      <c r="E786" s="18"/>
      <c r="F786" s="18"/>
      <c r="G786" s="18"/>
      <c r="H786" s="9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7"/>
      <c r="C787" s="18"/>
      <c r="D787" s="18"/>
      <c r="E787" s="18"/>
      <c r="F787" s="18"/>
      <c r="G787" s="18"/>
      <c r="H787" s="9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7"/>
      <c r="C788" s="18"/>
      <c r="D788" s="18"/>
      <c r="E788" s="18"/>
      <c r="F788" s="18"/>
      <c r="G788" s="18"/>
      <c r="H788" s="9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7"/>
      <c r="C789" s="18"/>
      <c r="D789" s="18"/>
      <c r="E789" s="18"/>
      <c r="F789" s="18"/>
      <c r="G789" s="18"/>
      <c r="H789" s="9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7"/>
      <c r="C790" s="18"/>
      <c r="D790" s="18"/>
      <c r="E790" s="18"/>
      <c r="F790" s="18"/>
      <c r="G790" s="18"/>
      <c r="H790" s="9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7"/>
      <c r="C791" s="18"/>
      <c r="D791" s="18"/>
      <c r="E791" s="18"/>
      <c r="F791" s="18"/>
      <c r="G791" s="18"/>
      <c r="H791" s="9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7"/>
      <c r="C792" s="18"/>
      <c r="D792" s="18"/>
      <c r="E792" s="18"/>
      <c r="F792" s="18"/>
      <c r="G792" s="18"/>
      <c r="H792" s="9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7"/>
      <c r="C793" s="18"/>
      <c r="D793" s="18"/>
      <c r="E793" s="18"/>
      <c r="F793" s="18"/>
      <c r="G793" s="18"/>
      <c r="H793" s="9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7"/>
      <c r="C794" s="18"/>
      <c r="D794" s="18"/>
      <c r="E794" s="18"/>
      <c r="F794" s="18"/>
      <c r="G794" s="18"/>
      <c r="H794" s="9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7"/>
      <c r="C795" s="18"/>
      <c r="D795" s="18"/>
      <c r="E795" s="18"/>
      <c r="F795" s="18"/>
      <c r="G795" s="18"/>
      <c r="H795" s="9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7"/>
      <c r="C796" s="18"/>
      <c r="D796" s="18"/>
      <c r="E796" s="18"/>
      <c r="F796" s="18"/>
      <c r="G796" s="18"/>
      <c r="H796" s="9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7"/>
      <c r="C797" s="18"/>
      <c r="D797" s="18"/>
      <c r="E797" s="18"/>
      <c r="F797" s="18"/>
      <c r="G797" s="18"/>
      <c r="H797" s="9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7"/>
      <c r="C798" s="18"/>
      <c r="D798" s="18"/>
      <c r="E798" s="18"/>
      <c r="F798" s="18"/>
      <c r="G798" s="18"/>
      <c r="H798" s="9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7"/>
      <c r="C799" s="18"/>
      <c r="D799" s="18"/>
      <c r="E799" s="18"/>
      <c r="F799" s="18"/>
      <c r="G799" s="18"/>
      <c r="H799" s="9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7"/>
      <c r="C800" s="18"/>
      <c r="D800" s="18"/>
      <c r="E800" s="18"/>
      <c r="F800" s="18"/>
      <c r="G800" s="18"/>
      <c r="H800" s="9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7"/>
      <c r="C801" s="18"/>
      <c r="D801" s="18"/>
      <c r="E801" s="18"/>
      <c r="F801" s="18"/>
      <c r="G801" s="18"/>
      <c r="H801" s="9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7"/>
      <c r="C802" s="18"/>
      <c r="D802" s="18"/>
      <c r="E802" s="18"/>
      <c r="F802" s="18"/>
      <c r="G802" s="18"/>
      <c r="H802" s="9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7"/>
      <c r="C803" s="18"/>
      <c r="D803" s="18"/>
      <c r="E803" s="18"/>
      <c r="F803" s="18"/>
      <c r="G803" s="18"/>
      <c r="H803" s="9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7"/>
      <c r="C804" s="18"/>
      <c r="D804" s="18"/>
      <c r="E804" s="18"/>
      <c r="F804" s="18"/>
      <c r="G804" s="18"/>
      <c r="H804" s="9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7"/>
      <c r="C805" s="18"/>
      <c r="D805" s="18"/>
      <c r="E805" s="18"/>
      <c r="F805" s="18"/>
      <c r="G805" s="18"/>
      <c r="H805" s="9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7"/>
      <c r="C806" s="18"/>
      <c r="D806" s="18"/>
      <c r="E806" s="18"/>
      <c r="F806" s="18"/>
      <c r="G806" s="18"/>
      <c r="H806" s="9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7"/>
      <c r="C807" s="18"/>
      <c r="D807" s="18"/>
      <c r="E807" s="18"/>
      <c r="F807" s="18"/>
      <c r="G807" s="18"/>
      <c r="H807" s="9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7"/>
      <c r="C808" s="18"/>
      <c r="D808" s="18"/>
      <c r="E808" s="18"/>
      <c r="F808" s="18"/>
      <c r="G808" s="18"/>
      <c r="H808" s="9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7"/>
      <c r="C809" s="18"/>
      <c r="D809" s="18"/>
      <c r="E809" s="18"/>
      <c r="F809" s="18"/>
      <c r="G809" s="18"/>
      <c r="H809" s="9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7"/>
      <c r="C810" s="18"/>
      <c r="D810" s="18"/>
      <c r="E810" s="18"/>
      <c r="F810" s="18"/>
      <c r="G810" s="18"/>
      <c r="H810" s="9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7"/>
      <c r="C811" s="18"/>
      <c r="D811" s="18"/>
      <c r="E811" s="18"/>
      <c r="F811" s="18"/>
      <c r="G811" s="18"/>
      <c r="H811" s="9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7"/>
      <c r="C812" s="18"/>
      <c r="D812" s="18"/>
      <c r="E812" s="18"/>
      <c r="F812" s="18"/>
      <c r="G812" s="18"/>
      <c r="H812" s="9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7"/>
      <c r="C813" s="18"/>
      <c r="D813" s="18"/>
      <c r="E813" s="18"/>
      <c r="F813" s="18"/>
      <c r="G813" s="18"/>
      <c r="H813" s="9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7"/>
      <c r="C814" s="18"/>
      <c r="D814" s="18"/>
      <c r="E814" s="18"/>
      <c r="F814" s="18"/>
      <c r="G814" s="18"/>
      <c r="H814" s="9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7"/>
      <c r="C815" s="18"/>
      <c r="D815" s="18"/>
      <c r="E815" s="18"/>
      <c r="F815" s="18"/>
      <c r="G815" s="18"/>
      <c r="H815" s="9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7"/>
      <c r="C816" s="18"/>
      <c r="D816" s="18"/>
      <c r="E816" s="18"/>
      <c r="F816" s="18"/>
      <c r="G816" s="18"/>
      <c r="H816" s="9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7"/>
      <c r="C817" s="18"/>
      <c r="D817" s="18"/>
      <c r="E817" s="18"/>
      <c r="F817" s="18"/>
      <c r="G817" s="18"/>
      <c r="H817" s="9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7"/>
      <c r="C818" s="18"/>
      <c r="D818" s="18"/>
      <c r="E818" s="18"/>
      <c r="F818" s="18"/>
      <c r="G818" s="18"/>
      <c r="H818" s="9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7"/>
      <c r="C819" s="18"/>
      <c r="D819" s="18"/>
      <c r="E819" s="18"/>
      <c r="F819" s="18"/>
      <c r="G819" s="18"/>
      <c r="H819" s="9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7"/>
      <c r="C820" s="18"/>
      <c r="D820" s="18"/>
      <c r="E820" s="18"/>
      <c r="F820" s="18"/>
      <c r="G820" s="18"/>
      <c r="H820" s="9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7"/>
      <c r="C821" s="18"/>
      <c r="D821" s="18"/>
      <c r="E821" s="18"/>
      <c r="F821" s="18"/>
      <c r="G821" s="18"/>
      <c r="H821" s="9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7"/>
      <c r="C822" s="18"/>
      <c r="D822" s="18"/>
      <c r="E822" s="18"/>
      <c r="F822" s="18"/>
      <c r="G822" s="18"/>
      <c r="H822" s="9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7"/>
      <c r="C823" s="18"/>
      <c r="D823" s="18"/>
      <c r="E823" s="18"/>
      <c r="F823" s="18"/>
      <c r="G823" s="18"/>
      <c r="H823" s="9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7"/>
      <c r="C824" s="18"/>
      <c r="D824" s="18"/>
      <c r="E824" s="18"/>
      <c r="F824" s="18"/>
      <c r="G824" s="18"/>
      <c r="H824" s="9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7"/>
      <c r="C825" s="18"/>
      <c r="D825" s="18"/>
      <c r="E825" s="18"/>
      <c r="F825" s="18"/>
      <c r="G825" s="18"/>
      <c r="H825" s="9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7"/>
      <c r="C826" s="18"/>
      <c r="D826" s="18"/>
      <c r="E826" s="18"/>
      <c r="F826" s="18"/>
      <c r="G826" s="18"/>
      <c r="H826" s="9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7"/>
      <c r="C827" s="18"/>
      <c r="D827" s="18"/>
      <c r="E827" s="18"/>
      <c r="F827" s="18"/>
      <c r="G827" s="18"/>
      <c r="H827" s="9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7"/>
      <c r="C828" s="18"/>
      <c r="D828" s="18"/>
      <c r="E828" s="18"/>
      <c r="F828" s="18"/>
      <c r="G828" s="18"/>
      <c r="H828" s="9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7"/>
      <c r="C829" s="18"/>
      <c r="D829" s="18"/>
      <c r="E829" s="18"/>
      <c r="F829" s="18"/>
      <c r="G829" s="18"/>
      <c r="H829" s="9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7"/>
      <c r="C830" s="18"/>
      <c r="D830" s="18"/>
      <c r="E830" s="18"/>
      <c r="F830" s="18"/>
      <c r="G830" s="18"/>
      <c r="H830" s="9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7"/>
      <c r="C831" s="18"/>
      <c r="D831" s="18"/>
      <c r="E831" s="18"/>
      <c r="F831" s="18"/>
      <c r="G831" s="18"/>
      <c r="H831" s="9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7"/>
      <c r="C832" s="18"/>
      <c r="D832" s="18"/>
      <c r="E832" s="18"/>
      <c r="F832" s="18"/>
      <c r="G832" s="18"/>
      <c r="H832" s="9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7"/>
      <c r="C833" s="18"/>
      <c r="D833" s="18"/>
      <c r="E833" s="18"/>
      <c r="F833" s="18"/>
      <c r="G833" s="18"/>
      <c r="H833" s="9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7"/>
      <c r="C834" s="18"/>
      <c r="D834" s="18"/>
      <c r="E834" s="18"/>
      <c r="F834" s="18"/>
      <c r="G834" s="18"/>
      <c r="H834" s="9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7"/>
      <c r="C835" s="18"/>
      <c r="D835" s="18"/>
      <c r="E835" s="18"/>
      <c r="F835" s="18"/>
      <c r="G835" s="18"/>
      <c r="H835" s="9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7"/>
      <c r="C836" s="18"/>
      <c r="D836" s="18"/>
      <c r="E836" s="18"/>
      <c r="F836" s="18"/>
      <c r="G836" s="18"/>
      <c r="H836" s="9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7"/>
      <c r="C837" s="18"/>
      <c r="D837" s="18"/>
      <c r="E837" s="18"/>
      <c r="F837" s="18"/>
      <c r="G837" s="18"/>
      <c r="H837" s="9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7"/>
      <c r="C838" s="18"/>
      <c r="D838" s="18"/>
      <c r="E838" s="18"/>
      <c r="F838" s="18"/>
      <c r="G838" s="18"/>
      <c r="H838" s="9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7"/>
      <c r="C839" s="18"/>
      <c r="D839" s="18"/>
      <c r="E839" s="18"/>
      <c r="F839" s="18"/>
      <c r="G839" s="18"/>
      <c r="H839" s="9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7"/>
      <c r="C840" s="18"/>
      <c r="D840" s="18"/>
      <c r="E840" s="18"/>
      <c r="F840" s="18"/>
      <c r="G840" s="18"/>
      <c r="H840" s="9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7"/>
      <c r="C841" s="18"/>
      <c r="D841" s="18"/>
      <c r="E841" s="18"/>
      <c r="F841" s="18"/>
      <c r="G841" s="18"/>
      <c r="H841" s="9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7"/>
      <c r="C842" s="18"/>
      <c r="D842" s="18"/>
      <c r="E842" s="18"/>
      <c r="F842" s="18"/>
      <c r="G842" s="18"/>
      <c r="H842" s="9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7"/>
      <c r="C843" s="18"/>
      <c r="D843" s="18"/>
      <c r="E843" s="18"/>
      <c r="F843" s="18"/>
      <c r="G843" s="18"/>
      <c r="H843" s="9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7"/>
      <c r="C844" s="18"/>
      <c r="D844" s="18"/>
      <c r="E844" s="18"/>
      <c r="F844" s="18"/>
      <c r="G844" s="18"/>
      <c r="H844" s="9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7"/>
      <c r="C845" s="18"/>
      <c r="D845" s="18"/>
      <c r="E845" s="18"/>
      <c r="F845" s="18"/>
      <c r="G845" s="18"/>
      <c r="H845" s="9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7"/>
      <c r="C846" s="18"/>
      <c r="D846" s="18"/>
      <c r="E846" s="18"/>
      <c r="F846" s="18"/>
      <c r="G846" s="18"/>
      <c r="H846" s="9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7"/>
      <c r="C847" s="18"/>
      <c r="D847" s="18"/>
      <c r="E847" s="18"/>
      <c r="F847" s="18"/>
      <c r="G847" s="18"/>
      <c r="H847" s="9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7"/>
      <c r="C848" s="18"/>
      <c r="D848" s="18"/>
      <c r="E848" s="18"/>
      <c r="F848" s="18"/>
      <c r="G848" s="18"/>
      <c r="H848" s="9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7"/>
      <c r="C849" s="18"/>
      <c r="D849" s="18"/>
      <c r="E849" s="18"/>
      <c r="F849" s="18"/>
      <c r="G849" s="18"/>
      <c r="H849" s="9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7"/>
      <c r="C850" s="18"/>
      <c r="D850" s="18"/>
      <c r="E850" s="18"/>
      <c r="F850" s="18"/>
      <c r="G850" s="18"/>
      <c r="H850" s="9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7"/>
      <c r="C851" s="18"/>
      <c r="D851" s="18"/>
      <c r="E851" s="18"/>
      <c r="F851" s="18"/>
      <c r="G851" s="18"/>
      <c r="H851" s="9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7"/>
      <c r="C852" s="18"/>
      <c r="D852" s="18"/>
      <c r="E852" s="18"/>
      <c r="F852" s="18"/>
      <c r="G852" s="18"/>
      <c r="H852" s="9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7"/>
      <c r="C853" s="18"/>
      <c r="D853" s="18"/>
      <c r="E853" s="18"/>
      <c r="F853" s="18"/>
      <c r="G853" s="18"/>
      <c r="H853" s="9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7"/>
      <c r="C854" s="18"/>
      <c r="D854" s="18"/>
      <c r="E854" s="18"/>
      <c r="F854" s="18"/>
      <c r="G854" s="18"/>
      <c r="H854" s="9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7"/>
      <c r="C855" s="18"/>
      <c r="D855" s="18"/>
      <c r="E855" s="18"/>
      <c r="F855" s="18"/>
      <c r="G855" s="18"/>
      <c r="H855" s="9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7"/>
      <c r="C856" s="18"/>
      <c r="D856" s="18"/>
      <c r="E856" s="18"/>
      <c r="F856" s="18"/>
      <c r="G856" s="18"/>
      <c r="H856" s="9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7"/>
      <c r="C857" s="18"/>
      <c r="D857" s="18"/>
      <c r="E857" s="18"/>
      <c r="F857" s="18"/>
      <c r="G857" s="18"/>
      <c r="H857" s="9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7"/>
      <c r="C858" s="18"/>
      <c r="D858" s="18"/>
      <c r="E858" s="18"/>
      <c r="F858" s="18"/>
      <c r="G858" s="18"/>
      <c r="H858" s="9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7"/>
      <c r="C859" s="18"/>
      <c r="D859" s="18"/>
      <c r="E859" s="18"/>
      <c r="F859" s="18"/>
      <c r="G859" s="18"/>
      <c r="H859" s="9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7"/>
      <c r="C860" s="18"/>
      <c r="D860" s="18"/>
      <c r="E860" s="18"/>
      <c r="F860" s="18"/>
      <c r="G860" s="18"/>
      <c r="H860" s="9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7"/>
      <c r="C861" s="18"/>
      <c r="D861" s="18"/>
      <c r="E861" s="18"/>
      <c r="F861" s="18"/>
      <c r="G861" s="18"/>
      <c r="H861" s="9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7"/>
      <c r="C862" s="18"/>
      <c r="D862" s="18"/>
      <c r="E862" s="18"/>
      <c r="F862" s="18"/>
      <c r="G862" s="18"/>
      <c r="H862" s="9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7"/>
      <c r="C863" s="18"/>
      <c r="D863" s="18"/>
      <c r="E863" s="18"/>
      <c r="F863" s="18"/>
      <c r="G863" s="18"/>
      <c r="H863" s="9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7"/>
      <c r="C864" s="18"/>
      <c r="D864" s="18"/>
      <c r="E864" s="18"/>
      <c r="F864" s="18"/>
      <c r="G864" s="18"/>
      <c r="H864" s="9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7"/>
      <c r="C865" s="18"/>
      <c r="D865" s="18"/>
      <c r="E865" s="18"/>
      <c r="F865" s="18"/>
      <c r="G865" s="18"/>
      <c r="H865" s="9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7"/>
      <c r="C866" s="18"/>
      <c r="D866" s="18"/>
      <c r="E866" s="18"/>
      <c r="F866" s="18"/>
      <c r="G866" s="18"/>
      <c r="H866" s="9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7"/>
      <c r="C867" s="18"/>
      <c r="D867" s="18"/>
      <c r="E867" s="18"/>
      <c r="F867" s="18"/>
      <c r="G867" s="18"/>
      <c r="H867" s="9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7"/>
      <c r="C868" s="18"/>
      <c r="D868" s="18"/>
      <c r="E868" s="18"/>
      <c r="F868" s="18"/>
      <c r="G868" s="18"/>
      <c r="H868" s="9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7"/>
      <c r="C869" s="18"/>
      <c r="D869" s="18"/>
      <c r="E869" s="18"/>
      <c r="F869" s="18"/>
      <c r="G869" s="18"/>
      <c r="H869" s="9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7"/>
      <c r="C870" s="18"/>
      <c r="D870" s="18"/>
      <c r="E870" s="18"/>
      <c r="F870" s="18"/>
      <c r="G870" s="18"/>
      <c r="H870" s="9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7"/>
      <c r="C871" s="18"/>
      <c r="D871" s="18"/>
      <c r="E871" s="18"/>
      <c r="F871" s="18"/>
      <c r="G871" s="18"/>
      <c r="H871" s="9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7"/>
      <c r="C872" s="18"/>
      <c r="D872" s="18"/>
      <c r="E872" s="18"/>
      <c r="F872" s="18"/>
      <c r="G872" s="18"/>
      <c r="H872" s="9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7"/>
      <c r="C873" s="18"/>
      <c r="D873" s="18"/>
      <c r="E873" s="18"/>
      <c r="F873" s="18"/>
      <c r="G873" s="18"/>
      <c r="H873" s="9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7"/>
      <c r="C874" s="18"/>
      <c r="D874" s="18"/>
      <c r="E874" s="18"/>
      <c r="F874" s="18"/>
      <c r="G874" s="18"/>
      <c r="H874" s="9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7"/>
      <c r="C875" s="18"/>
      <c r="D875" s="18"/>
      <c r="E875" s="18"/>
      <c r="F875" s="18"/>
      <c r="G875" s="18"/>
      <c r="H875" s="9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7"/>
      <c r="C876" s="18"/>
      <c r="D876" s="18"/>
      <c r="E876" s="18"/>
      <c r="F876" s="18"/>
      <c r="G876" s="18"/>
      <c r="H876" s="9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7"/>
      <c r="C877" s="18"/>
      <c r="D877" s="18"/>
      <c r="E877" s="18"/>
      <c r="F877" s="18"/>
      <c r="G877" s="18"/>
      <c r="H877" s="9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7"/>
      <c r="C878" s="18"/>
      <c r="D878" s="18"/>
      <c r="E878" s="18"/>
      <c r="F878" s="18"/>
      <c r="G878" s="18"/>
      <c r="H878" s="9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7"/>
      <c r="C879" s="18"/>
      <c r="D879" s="18"/>
      <c r="E879" s="18"/>
      <c r="F879" s="18"/>
      <c r="G879" s="18"/>
      <c r="H879" s="9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7"/>
      <c r="C880" s="18"/>
      <c r="D880" s="18"/>
      <c r="E880" s="18"/>
      <c r="F880" s="18"/>
      <c r="G880" s="18"/>
      <c r="H880" s="9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7"/>
      <c r="C881" s="18"/>
      <c r="D881" s="18"/>
      <c r="E881" s="18"/>
      <c r="F881" s="18"/>
      <c r="G881" s="18"/>
      <c r="H881" s="9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7"/>
      <c r="C882" s="18"/>
      <c r="D882" s="18"/>
      <c r="E882" s="18"/>
      <c r="F882" s="18"/>
      <c r="G882" s="18"/>
      <c r="H882" s="9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7"/>
      <c r="C883" s="18"/>
      <c r="D883" s="18"/>
      <c r="E883" s="18"/>
      <c r="F883" s="18"/>
      <c r="G883" s="18"/>
      <c r="H883" s="9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7"/>
      <c r="C884" s="18"/>
      <c r="D884" s="18"/>
      <c r="E884" s="18"/>
      <c r="F884" s="18"/>
      <c r="G884" s="18"/>
      <c r="H884" s="9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7"/>
      <c r="C885" s="18"/>
      <c r="D885" s="18"/>
      <c r="E885" s="18"/>
      <c r="F885" s="18"/>
      <c r="G885" s="18"/>
      <c r="H885" s="9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7"/>
      <c r="C886" s="18"/>
      <c r="D886" s="18"/>
      <c r="E886" s="18"/>
      <c r="F886" s="18"/>
      <c r="G886" s="18"/>
      <c r="H886" s="9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7"/>
      <c r="C887" s="18"/>
      <c r="D887" s="18"/>
      <c r="E887" s="18"/>
      <c r="F887" s="18"/>
      <c r="G887" s="18"/>
      <c r="H887" s="9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7"/>
      <c r="C888" s="18"/>
      <c r="D888" s="18"/>
      <c r="E888" s="18"/>
      <c r="F888" s="18"/>
      <c r="G888" s="18"/>
      <c r="H888" s="9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7"/>
      <c r="C889" s="18"/>
      <c r="D889" s="18"/>
      <c r="E889" s="18"/>
      <c r="F889" s="18"/>
      <c r="G889" s="18"/>
      <c r="H889" s="9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7"/>
      <c r="C890" s="18"/>
      <c r="D890" s="18"/>
      <c r="E890" s="18"/>
      <c r="F890" s="18"/>
      <c r="G890" s="18"/>
      <c r="H890" s="9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7"/>
      <c r="C891" s="18"/>
      <c r="D891" s="18"/>
      <c r="E891" s="18"/>
      <c r="F891" s="18"/>
      <c r="G891" s="18"/>
      <c r="H891" s="9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7"/>
      <c r="C892" s="18"/>
      <c r="D892" s="18"/>
      <c r="E892" s="18"/>
      <c r="F892" s="18"/>
      <c r="G892" s="18"/>
      <c r="H892" s="9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7"/>
      <c r="C893" s="18"/>
      <c r="D893" s="18"/>
      <c r="E893" s="18"/>
      <c r="F893" s="18"/>
      <c r="G893" s="18"/>
      <c r="H893" s="9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7"/>
      <c r="C894" s="18"/>
      <c r="D894" s="18"/>
      <c r="E894" s="18"/>
      <c r="F894" s="18"/>
      <c r="G894" s="18"/>
      <c r="H894" s="9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7"/>
      <c r="C895" s="18"/>
      <c r="D895" s="18"/>
      <c r="E895" s="18"/>
      <c r="F895" s="18"/>
      <c r="G895" s="18"/>
      <c r="H895" s="9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7"/>
      <c r="C896" s="18"/>
      <c r="D896" s="18"/>
      <c r="E896" s="18"/>
      <c r="F896" s="18"/>
      <c r="G896" s="18"/>
      <c r="H896" s="9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7"/>
      <c r="C897" s="18"/>
      <c r="D897" s="18"/>
      <c r="E897" s="18"/>
      <c r="F897" s="18"/>
      <c r="G897" s="18"/>
      <c r="H897" s="9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7"/>
      <c r="C898" s="18"/>
      <c r="D898" s="18"/>
      <c r="E898" s="18"/>
      <c r="F898" s="18"/>
      <c r="G898" s="18"/>
      <c r="H898" s="9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7"/>
      <c r="C899" s="18"/>
      <c r="D899" s="18"/>
      <c r="E899" s="18"/>
      <c r="F899" s="18"/>
      <c r="G899" s="18"/>
      <c r="H899" s="9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7"/>
      <c r="C900" s="18"/>
      <c r="D900" s="18"/>
      <c r="E900" s="18"/>
      <c r="F900" s="18"/>
      <c r="G900" s="18"/>
      <c r="H900" s="9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7"/>
      <c r="C901" s="18"/>
      <c r="D901" s="18"/>
      <c r="E901" s="18"/>
      <c r="F901" s="18"/>
      <c r="G901" s="18"/>
      <c r="H901" s="9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7"/>
      <c r="C902" s="18"/>
      <c r="D902" s="18"/>
      <c r="E902" s="18"/>
      <c r="F902" s="18"/>
      <c r="G902" s="18"/>
      <c r="H902" s="9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7"/>
      <c r="C903" s="18"/>
      <c r="D903" s="18"/>
      <c r="E903" s="18"/>
      <c r="F903" s="18"/>
      <c r="G903" s="18"/>
      <c r="H903" s="9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7"/>
      <c r="C904" s="18"/>
      <c r="D904" s="18"/>
      <c r="E904" s="18"/>
      <c r="F904" s="18"/>
      <c r="G904" s="18"/>
      <c r="H904" s="9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7"/>
      <c r="C905" s="18"/>
      <c r="D905" s="18"/>
      <c r="E905" s="18"/>
      <c r="F905" s="18"/>
      <c r="G905" s="18"/>
      <c r="H905" s="9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7"/>
      <c r="C906" s="18"/>
      <c r="D906" s="18"/>
      <c r="E906" s="18"/>
      <c r="F906" s="18"/>
      <c r="G906" s="18"/>
      <c r="H906" s="9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7"/>
      <c r="C907" s="18"/>
      <c r="D907" s="18"/>
      <c r="E907" s="18"/>
      <c r="F907" s="18"/>
      <c r="G907" s="18"/>
      <c r="H907" s="9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7"/>
      <c r="C908" s="18"/>
      <c r="D908" s="18"/>
      <c r="E908" s="18"/>
      <c r="F908" s="18"/>
      <c r="G908" s="18"/>
      <c r="H908" s="9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7"/>
      <c r="C909" s="18"/>
      <c r="D909" s="18"/>
      <c r="E909" s="18"/>
      <c r="F909" s="18"/>
      <c r="G909" s="18"/>
      <c r="H909" s="9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7"/>
      <c r="C910" s="18"/>
      <c r="D910" s="18"/>
      <c r="E910" s="18"/>
      <c r="F910" s="18"/>
      <c r="G910" s="18"/>
      <c r="H910" s="9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7"/>
      <c r="C911" s="18"/>
      <c r="D911" s="18"/>
      <c r="E911" s="18"/>
      <c r="F911" s="18"/>
      <c r="G911" s="18"/>
      <c r="H911" s="9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7"/>
      <c r="C912" s="18"/>
      <c r="D912" s="18"/>
      <c r="E912" s="18"/>
      <c r="F912" s="18"/>
      <c r="G912" s="18"/>
      <c r="H912" s="9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7"/>
      <c r="C913" s="18"/>
      <c r="D913" s="18"/>
      <c r="E913" s="18"/>
      <c r="F913" s="18"/>
      <c r="G913" s="18"/>
      <c r="H913" s="9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7"/>
      <c r="C914" s="18"/>
      <c r="D914" s="18"/>
      <c r="E914" s="18"/>
      <c r="F914" s="18"/>
      <c r="G914" s="18"/>
      <c r="H914" s="9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7"/>
      <c r="C915" s="18"/>
      <c r="D915" s="18"/>
      <c r="E915" s="18"/>
      <c r="F915" s="18"/>
      <c r="G915" s="18"/>
      <c r="H915" s="9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7"/>
      <c r="C916" s="18"/>
      <c r="D916" s="18"/>
      <c r="E916" s="18"/>
      <c r="F916" s="18"/>
      <c r="G916" s="18"/>
      <c r="H916" s="9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7"/>
      <c r="C917" s="18"/>
      <c r="D917" s="18"/>
      <c r="E917" s="18"/>
      <c r="F917" s="18"/>
      <c r="G917" s="18"/>
      <c r="H917" s="9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7"/>
      <c r="C918" s="18"/>
      <c r="D918" s="18"/>
      <c r="E918" s="18"/>
      <c r="F918" s="18"/>
      <c r="G918" s="18"/>
      <c r="H918" s="9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7"/>
      <c r="C919" s="18"/>
      <c r="D919" s="18"/>
      <c r="E919" s="18"/>
      <c r="F919" s="18"/>
      <c r="G919" s="18"/>
      <c r="H919" s="9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7"/>
      <c r="C920" s="18"/>
      <c r="D920" s="18"/>
      <c r="E920" s="18"/>
      <c r="F920" s="18"/>
      <c r="G920" s="18"/>
      <c r="H920" s="9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7"/>
      <c r="C921" s="18"/>
      <c r="D921" s="18"/>
      <c r="E921" s="18"/>
      <c r="F921" s="18"/>
      <c r="G921" s="18"/>
      <c r="H921" s="9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7"/>
      <c r="C922" s="18"/>
      <c r="D922" s="18"/>
      <c r="E922" s="18"/>
      <c r="F922" s="18"/>
      <c r="G922" s="18"/>
      <c r="H922" s="9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7"/>
      <c r="C923" s="18"/>
      <c r="D923" s="18"/>
      <c r="E923" s="18"/>
      <c r="F923" s="18"/>
      <c r="G923" s="18"/>
      <c r="H923" s="9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7"/>
      <c r="C924" s="18"/>
      <c r="D924" s="18"/>
      <c r="E924" s="18"/>
      <c r="F924" s="18"/>
      <c r="G924" s="18"/>
      <c r="H924" s="9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7"/>
      <c r="C925" s="18"/>
      <c r="D925" s="18"/>
      <c r="E925" s="18"/>
      <c r="F925" s="18"/>
      <c r="G925" s="18"/>
      <c r="H925" s="9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7"/>
      <c r="C926" s="18"/>
      <c r="D926" s="18"/>
      <c r="E926" s="18"/>
      <c r="F926" s="18"/>
      <c r="G926" s="18"/>
      <c r="H926" s="9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7"/>
      <c r="C927" s="18"/>
      <c r="D927" s="18"/>
      <c r="E927" s="18"/>
      <c r="F927" s="18"/>
      <c r="G927" s="18"/>
      <c r="H927" s="9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7"/>
      <c r="C928" s="18"/>
      <c r="D928" s="18"/>
      <c r="E928" s="18"/>
      <c r="F928" s="18"/>
      <c r="G928" s="18"/>
      <c r="H928" s="9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7"/>
      <c r="C929" s="18"/>
      <c r="D929" s="18"/>
      <c r="E929" s="18"/>
      <c r="F929" s="18"/>
      <c r="G929" s="18"/>
      <c r="H929" s="9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7"/>
      <c r="C930" s="18"/>
      <c r="D930" s="18"/>
      <c r="E930" s="18"/>
      <c r="F930" s="18"/>
      <c r="G930" s="18"/>
      <c r="H930" s="9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7"/>
      <c r="C931" s="18"/>
      <c r="D931" s="18"/>
      <c r="E931" s="18"/>
      <c r="F931" s="18"/>
      <c r="G931" s="18"/>
      <c r="H931" s="9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7"/>
      <c r="C932" s="18"/>
      <c r="D932" s="18"/>
      <c r="E932" s="18"/>
      <c r="F932" s="18"/>
      <c r="G932" s="18"/>
      <c r="H932" s="9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7"/>
      <c r="C933" s="18"/>
      <c r="D933" s="18"/>
      <c r="E933" s="18"/>
      <c r="F933" s="18"/>
      <c r="G933" s="18"/>
      <c r="H933" s="9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7"/>
      <c r="C934" s="18"/>
      <c r="D934" s="18"/>
      <c r="E934" s="18"/>
      <c r="F934" s="18"/>
      <c r="G934" s="18"/>
      <c r="H934" s="9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7"/>
      <c r="C935" s="18"/>
      <c r="D935" s="18"/>
      <c r="E935" s="18"/>
      <c r="F935" s="18"/>
      <c r="G935" s="18"/>
      <c r="H935" s="9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7"/>
      <c r="C936" s="18"/>
      <c r="D936" s="18"/>
      <c r="E936" s="18"/>
      <c r="F936" s="18"/>
      <c r="G936" s="18"/>
      <c r="H936" s="9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7"/>
      <c r="C937" s="18"/>
      <c r="D937" s="18"/>
      <c r="E937" s="18"/>
      <c r="F937" s="18"/>
      <c r="G937" s="18"/>
      <c r="H937" s="9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7"/>
      <c r="C938" s="18"/>
      <c r="D938" s="18"/>
      <c r="E938" s="18"/>
      <c r="F938" s="18"/>
      <c r="G938" s="18"/>
      <c r="H938" s="9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7"/>
      <c r="C939" s="18"/>
      <c r="D939" s="18"/>
      <c r="E939" s="18"/>
      <c r="F939" s="18"/>
      <c r="G939" s="18"/>
      <c r="H939" s="9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7"/>
      <c r="C940" s="18"/>
      <c r="D940" s="18"/>
      <c r="E940" s="18"/>
      <c r="F940" s="18"/>
      <c r="G940" s="18"/>
      <c r="H940" s="9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7"/>
      <c r="C941" s="18"/>
      <c r="D941" s="18"/>
      <c r="E941" s="18"/>
      <c r="F941" s="18"/>
      <c r="G941" s="18"/>
      <c r="H941" s="9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7"/>
      <c r="C942" s="18"/>
      <c r="D942" s="18"/>
      <c r="E942" s="18"/>
      <c r="F942" s="18"/>
      <c r="G942" s="18"/>
      <c r="H942" s="9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7"/>
      <c r="C943" s="18"/>
      <c r="D943" s="18"/>
      <c r="E943" s="18"/>
      <c r="F943" s="18"/>
      <c r="G943" s="18"/>
      <c r="H943" s="9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7"/>
      <c r="C944" s="18"/>
      <c r="D944" s="18"/>
      <c r="E944" s="18"/>
      <c r="F944" s="18"/>
      <c r="G944" s="18"/>
      <c r="H944" s="9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7"/>
      <c r="C945" s="18"/>
      <c r="D945" s="18"/>
      <c r="E945" s="18"/>
      <c r="F945" s="18"/>
      <c r="G945" s="18"/>
      <c r="H945" s="9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7"/>
      <c r="C946" s="18"/>
      <c r="D946" s="18"/>
      <c r="E946" s="18"/>
      <c r="F946" s="18"/>
      <c r="G946" s="18"/>
      <c r="H946" s="9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7"/>
      <c r="C947" s="18"/>
      <c r="D947" s="18"/>
      <c r="E947" s="18"/>
      <c r="F947" s="18"/>
      <c r="G947" s="18"/>
      <c r="H947" s="9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7"/>
      <c r="C948" s="18"/>
      <c r="D948" s="18"/>
      <c r="E948" s="18"/>
      <c r="F948" s="18"/>
      <c r="G948" s="18"/>
      <c r="H948" s="9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7"/>
      <c r="C949" s="18"/>
      <c r="D949" s="18"/>
      <c r="E949" s="18"/>
      <c r="F949" s="18"/>
      <c r="G949" s="18"/>
      <c r="H949" s="9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7"/>
      <c r="C950" s="18"/>
      <c r="D950" s="18"/>
      <c r="E950" s="18"/>
      <c r="F950" s="18"/>
      <c r="G950" s="18"/>
      <c r="H950" s="9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7"/>
      <c r="C951" s="18"/>
      <c r="D951" s="18"/>
      <c r="E951" s="18"/>
      <c r="F951" s="18"/>
      <c r="G951" s="18"/>
      <c r="H951" s="9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7"/>
      <c r="C952" s="18"/>
      <c r="D952" s="18"/>
      <c r="E952" s="18"/>
      <c r="F952" s="18"/>
      <c r="G952" s="18"/>
      <c r="H952" s="9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7"/>
      <c r="C953" s="18"/>
      <c r="D953" s="18"/>
      <c r="E953" s="18"/>
      <c r="F953" s="18"/>
      <c r="G953" s="18"/>
      <c r="H953" s="9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7"/>
      <c r="C954" s="18"/>
      <c r="D954" s="18"/>
      <c r="E954" s="18"/>
      <c r="F954" s="18"/>
      <c r="G954" s="18"/>
      <c r="H954" s="9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7"/>
      <c r="C955" s="18"/>
      <c r="D955" s="18"/>
      <c r="E955" s="18"/>
      <c r="F955" s="18"/>
      <c r="G955" s="18"/>
      <c r="H955" s="9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7"/>
      <c r="C956" s="18"/>
      <c r="D956" s="18"/>
      <c r="E956" s="18"/>
      <c r="F956" s="18"/>
      <c r="G956" s="18"/>
      <c r="H956" s="9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7"/>
      <c r="C957" s="18"/>
      <c r="D957" s="18"/>
      <c r="E957" s="18"/>
      <c r="F957" s="18"/>
      <c r="G957" s="18"/>
      <c r="H957" s="9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7"/>
      <c r="C958" s="18"/>
      <c r="D958" s="18"/>
      <c r="E958" s="18"/>
      <c r="F958" s="18"/>
      <c r="G958" s="18"/>
      <c r="H958" s="9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7"/>
      <c r="C959" s="18"/>
      <c r="D959" s="18"/>
      <c r="E959" s="18"/>
      <c r="F959" s="18"/>
      <c r="G959" s="18"/>
      <c r="H959" s="9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7"/>
      <c r="C960" s="18"/>
      <c r="D960" s="18"/>
      <c r="E960" s="18"/>
      <c r="F960" s="18"/>
      <c r="G960" s="18"/>
      <c r="H960" s="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7"/>
      <c r="C961" s="18"/>
      <c r="D961" s="18"/>
      <c r="E961" s="18"/>
      <c r="F961" s="18"/>
      <c r="G961" s="18"/>
      <c r="H961" s="9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7"/>
      <c r="C962" s="18"/>
      <c r="D962" s="18"/>
      <c r="E962" s="18"/>
      <c r="F962" s="18"/>
      <c r="G962" s="18"/>
      <c r="H962" s="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7"/>
      <c r="C963" s="18"/>
      <c r="D963" s="18"/>
      <c r="E963" s="18"/>
      <c r="F963" s="18"/>
      <c r="G963" s="18"/>
      <c r="H963" s="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7"/>
      <c r="C964" s="18"/>
      <c r="D964" s="18"/>
      <c r="E964" s="18"/>
      <c r="F964" s="18"/>
      <c r="G964" s="18"/>
      <c r="H964" s="9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7"/>
      <c r="C965" s="18"/>
      <c r="D965" s="18"/>
      <c r="E965" s="18"/>
      <c r="F965" s="18"/>
      <c r="G965" s="18"/>
      <c r="H965" s="9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7"/>
      <c r="C966" s="18"/>
      <c r="D966" s="18"/>
      <c r="E966" s="18"/>
      <c r="F966" s="18"/>
      <c r="G966" s="18"/>
      <c r="H966" s="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7"/>
      <c r="C967" s="18"/>
      <c r="D967" s="18"/>
      <c r="E967" s="18"/>
      <c r="F967" s="18"/>
      <c r="G967" s="18"/>
      <c r="H967" s="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7"/>
      <c r="C968" s="18"/>
      <c r="D968" s="18"/>
      <c r="E968" s="18"/>
      <c r="F968" s="18"/>
      <c r="G968" s="18"/>
      <c r="H968" s="9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7"/>
      <c r="C969" s="18"/>
      <c r="D969" s="18"/>
      <c r="E969" s="18"/>
      <c r="F969" s="18"/>
      <c r="G969" s="18"/>
      <c r="H969" s="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7"/>
      <c r="C970" s="18"/>
      <c r="D970" s="18"/>
      <c r="E970" s="18"/>
      <c r="F970" s="18"/>
      <c r="G970" s="18"/>
      <c r="H970" s="9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7"/>
      <c r="C971" s="18"/>
      <c r="D971" s="18"/>
      <c r="E971" s="18"/>
      <c r="F971" s="18"/>
      <c r="G971" s="18"/>
      <c r="H971" s="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7"/>
      <c r="C972" s="18"/>
      <c r="D972" s="18"/>
      <c r="E972" s="18"/>
      <c r="F972" s="18"/>
      <c r="G972" s="18"/>
      <c r="H972" s="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7"/>
      <c r="C973" s="18"/>
      <c r="D973" s="18"/>
      <c r="E973" s="18"/>
      <c r="F973" s="18"/>
      <c r="G973" s="18"/>
      <c r="H973" s="9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7"/>
      <c r="C974" s="18"/>
      <c r="D974" s="18"/>
      <c r="E974" s="18"/>
      <c r="F974" s="18"/>
      <c r="G974" s="18"/>
      <c r="H974" s="9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7"/>
      <c r="C975" s="18"/>
      <c r="D975" s="18"/>
      <c r="E975" s="18"/>
      <c r="F975" s="18"/>
      <c r="G975" s="18"/>
      <c r="H975" s="9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7"/>
      <c r="C976" s="18"/>
      <c r="D976" s="18"/>
      <c r="E976" s="18"/>
      <c r="F976" s="18"/>
      <c r="G976" s="18"/>
      <c r="H976" s="9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7"/>
      <c r="C977" s="18"/>
      <c r="D977" s="18"/>
      <c r="E977" s="18"/>
      <c r="F977" s="18"/>
      <c r="G977" s="18"/>
      <c r="H977" s="9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7"/>
      <c r="C978" s="18"/>
      <c r="D978" s="18"/>
      <c r="E978" s="18"/>
      <c r="F978" s="18"/>
      <c r="G978" s="18"/>
      <c r="H978" s="9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7"/>
      <c r="C979" s="18"/>
      <c r="D979" s="18"/>
      <c r="E979" s="18"/>
      <c r="F979" s="18"/>
      <c r="G979" s="18"/>
      <c r="H979" s="9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7"/>
      <c r="C980" s="18"/>
      <c r="D980" s="18"/>
      <c r="E980" s="18"/>
      <c r="F980" s="18"/>
      <c r="G980" s="18"/>
      <c r="H980" s="9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7"/>
      <c r="C981" s="18"/>
      <c r="D981" s="18"/>
      <c r="E981" s="18"/>
      <c r="F981" s="18"/>
      <c r="G981" s="18"/>
      <c r="H981" s="9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7"/>
      <c r="C982" s="18"/>
      <c r="D982" s="18"/>
      <c r="E982" s="18"/>
      <c r="F982" s="18"/>
      <c r="G982" s="18"/>
      <c r="H982" s="9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7"/>
      <c r="C983" s="18"/>
      <c r="D983" s="18"/>
      <c r="E983" s="18"/>
      <c r="F983" s="18"/>
      <c r="G983" s="18"/>
      <c r="H983" s="9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7"/>
      <c r="C984" s="18"/>
      <c r="D984" s="18"/>
      <c r="E984" s="18"/>
      <c r="F984" s="18"/>
      <c r="G984" s="18"/>
      <c r="H984" s="9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7"/>
      <c r="C985" s="18"/>
      <c r="D985" s="18"/>
      <c r="E985" s="18"/>
      <c r="F985" s="18"/>
      <c r="G985" s="18"/>
      <c r="H985" s="9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7"/>
      <c r="C986" s="18"/>
      <c r="D986" s="18"/>
      <c r="E986" s="18"/>
      <c r="F986" s="18"/>
      <c r="G986" s="18"/>
      <c r="H986" s="9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7"/>
      <c r="C987" s="18"/>
      <c r="D987" s="18"/>
      <c r="E987" s="18"/>
      <c r="F987" s="18"/>
      <c r="G987" s="18"/>
      <c r="H987" s="9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7"/>
      <c r="C988" s="18"/>
      <c r="D988" s="18"/>
      <c r="E988" s="18"/>
      <c r="F988" s="18"/>
      <c r="G988" s="18"/>
      <c r="H988" s="9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7"/>
      <c r="C989" s="18"/>
      <c r="D989" s="18"/>
      <c r="E989" s="18"/>
      <c r="F989" s="18"/>
      <c r="G989" s="18"/>
      <c r="H989" s="9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7"/>
      <c r="C990" s="18"/>
      <c r="D990" s="18"/>
      <c r="E990" s="18"/>
      <c r="F990" s="18"/>
      <c r="G990" s="18"/>
      <c r="H990" s="9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7"/>
      <c r="C991" s="18"/>
      <c r="D991" s="18"/>
      <c r="E991" s="18"/>
      <c r="F991" s="18"/>
      <c r="G991" s="18"/>
      <c r="H991" s="9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7"/>
      <c r="C992" s="18"/>
      <c r="D992" s="18"/>
      <c r="E992" s="18"/>
      <c r="F992" s="18"/>
      <c r="G992" s="18"/>
      <c r="H992" s="9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7"/>
      <c r="C993" s="18"/>
      <c r="D993" s="18"/>
      <c r="E993" s="18"/>
      <c r="F993" s="18"/>
      <c r="G993" s="18"/>
      <c r="H993" s="9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7"/>
      <c r="C994" s="18"/>
      <c r="D994" s="18"/>
      <c r="E994" s="18"/>
      <c r="F994" s="18"/>
      <c r="G994" s="18"/>
      <c r="H994" s="9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7"/>
      <c r="C995" s="18"/>
      <c r="D995" s="18"/>
      <c r="E995" s="18"/>
      <c r="F995" s="18"/>
      <c r="G995" s="18"/>
      <c r="H995" s="9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7"/>
      <c r="C996" s="18"/>
      <c r="D996" s="18"/>
      <c r="E996" s="18"/>
      <c r="F996" s="18"/>
      <c r="G996" s="18"/>
      <c r="H996" s="9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0.0"/>
    <col customWidth="1" min="3" max="3" width="7.43"/>
    <col customWidth="1" min="4" max="4" width="16.86"/>
    <col customWidth="1" min="5" max="5" width="15.29"/>
    <col customWidth="1" min="6" max="6" width="37.86"/>
    <col customWidth="1" min="7" max="7" width="14.57"/>
    <col customWidth="1" min="8" max="9" width="11.43"/>
    <col customWidth="1" min="10" max="10" width="10.0"/>
    <col customWidth="1" min="11" max="11" width="10.29"/>
    <col customWidth="1" min="12" max="12" width="24.86"/>
    <col customWidth="1" min="13" max="13" width="24.14"/>
  </cols>
  <sheetData>
    <row r="1" ht="30.0" customHeight="1">
      <c r="A1" s="2" t="str">
        <f>'Choix étudiants'!A1</f>
        <v>Horodateur</v>
      </c>
      <c r="B1" s="4" t="s">
        <v>0</v>
      </c>
      <c r="C1" s="5" t="str">
        <f>'Choix étudiants'!C1</f>
        <v>Filière</v>
      </c>
      <c r="D1" s="5" t="str">
        <f>'Choix étudiants'!D1</f>
        <v>Nom</v>
      </c>
      <c r="E1" s="5" t="str">
        <f>'Choix étudiants'!E1</f>
        <v>Prénom</v>
      </c>
      <c r="F1" s="5" t="str">
        <f>'Choix étudiants'!F1</f>
        <v>Mail</v>
      </c>
      <c r="G1" s="10" t="str">
        <f>'Choix étudiants'!H1</f>
        <v>Choix 1 : référence</v>
      </c>
      <c r="H1" s="5" t="str">
        <f>'Choix étudiants'!J1</f>
        <v>Choix 2 : Référence</v>
      </c>
      <c r="I1" s="5" t="str">
        <f>'Choix étudiants'!L1</f>
        <v>Choix 3 : Référence</v>
      </c>
      <c r="J1" s="5" t="str">
        <f>'Choix étudiants'!N1</f>
        <v>Choix 4 : Référence</v>
      </c>
      <c r="K1" s="5" t="str">
        <f>'Choix étudiants'!P1</f>
        <v>Choix 5 : Référence</v>
      </c>
      <c r="L1" s="5" t="str">
        <f>'Choix étudiants'!Q1</f>
        <v>Départ international</v>
      </c>
      <c r="M1" s="13" t="str">
        <f>'Choix étudiants'!R1</f>
        <v>Entrepreneuriat : sujet</v>
      </c>
      <c r="N1" s="14"/>
      <c r="O1" s="14"/>
      <c r="P1" s="14"/>
      <c r="Q1" s="14"/>
      <c r="R1" s="14"/>
      <c r="S1" s="14"/>
      <c r="T1" s="14"/>
      <c r="U1" s="14"/>
    </row>
    <row r="2" ht="30.0" hidden="1" customHeight="1">
      <c r="A2" s="17">
        <f>'Choix étudiants'!A29</f>
        <v>43362.24494</v>
      </c>
      <c r="B2" s="4" t="s">
        <v>1</v>
      </c>
      <c r="C2" s="5" t="str">
        <f>'Choix étudiants'!C29</f>
        <v>SE</v>
      </c>
      <c r="D2" s="5" t="str">
        <f>'Choix étudiants'!D29</f>
        <v>BRIERRE-BATTAIS</v>
      </c>
      <c r="E2" s="5" t="str">
        <f>'Choix étudiants'!E29</f>
        <v>Tim</v>
      </c>
      <c r="F2" s="5" t="str">
        <f>'Choix étudiants'!F29</f>
        <v>tim.brierre-battais@edu.esiee.fr</v>
      </c>
      <c r="G2" s="21" t="str">
        <f>'Choix étudiants'!H29</f>
        <v>C1</v>
      </c>
      <c r="H2" s="5" t="str">
        <f>'Choix étudiants'!J29</f>
        <v>R11</v>
      </c>
      <c r="I2" s="5" t="str">
        <f>'Choix étudiants'!L29</f>
        <v>R6</v>
      </c>
      <c r="J2" s="5" t="str">
        <f>'Choix étudiants'!N29</f>
        <v>R5</v>
      </c>
      <c r="K2" s="5" t="str">
        <f>'Choix étudiants'!P29</f>
        <v>R14</v>
      </c>
      <c r="L2" s="5" t="str">
        <f>'Choix étudiants'!Q29</f>
        <v>Je pars au semestre 2</v>
      </c>
      <c r="M2" s="13" t="str">
        <f>'Choix étudiants'!R29</f>
        <v/>
      </c>
      <c r="N2" s="14"/>
      <c r="O2" s="14"/>
      <c r="P2" s="14"/>
      <c r="Q2" s="14"/>
      <c r="R2" s="14"/>
      <c r="S2" s="14"/>
      <c r="T2" s="14"/>
      <c r="U2" s="14"/>
    </row>
    <row r="3" ht="30.0" hidden="1" customHeight="1">
      <c r="A3" s="17">
        <f>'Choix étudiants'!A65</f>
        <v>43362.38969</v>
      </c>
      <c r="B3" s="4" t="s">
        <v>1</v>
      </c>
      <c r="C3" s="5" t="str">
        <f>'Choix étudiants'!C65</f>
        <v>INF</v>
      </c>
      <c r="D3" s="5" t="str">
        <f>'Choix étudiants'!D65</f>
        <v>ESPINASSE</v>
      </c>
      <c r="E3" s="5" t="str">
        <f>'Choix étudiants'!E65</f>
        <v>Baptiste</v>
      </c>
      <c r="F3" s="5" t="str">
        <f>'Choix étudiants'!F65</f>
        <v>baptiste.espinasse@edu.esiee.fr</v>
      </c>
      <c r="G3" s="14" t="str">
        <f>'Choix étudiants'!H65</f>
        <v>R5</v>
      </c>
      <c r="H3" s="21" t="str">
        <f>'Choix étudiants'!J65</f>
        <v>C1</v>
      </c>
      <c r="I3" s="5" t="str">
        <f>'Choix étudiants'!L65</f>
        <v>R16</v>
      </c>
      <c r="J3" s="5" t="str">
        <f>'Choix étudiants'!N65</f>
        <v>R28</v>
      </c>
      <c r="K3" s="5" t="str">
        <f>'Choix étudiants'!P65</f>
        <v>R29</v>
      </c>
      <c r="L3" s="5" t="str">
        <f>'Choix étudiants'!Q65</f>
        <v>Je pars au semestre 1</v>
      </c>
      <c r="M3" s="13" t="str">
        <f>'Choix étudiants'!R65</f>
        <v/>
      </c>
      <c r="N3" s="14"/>
      <c r="O3" s="14"/>
      <c r="P3" s="14"/>
      <c r="Q3" s="14"/>
      <c r="R3" s="14"/>
      <c r="S3" s="14"/>
      <c r="T3" s="14"/>
      <c r="U3" s="14"/>
    </row>
    <row r="4" ht="30.0" hidden="1" customHeight="1">
      <c r="A4" s="17">
        <f>'Choix étudiants'!A100</f>
        <v>43360.41755</v>
      </c>
      <c r="B4" s="4" t="s">
        <v>1</v>
      </c>
      <c r="C4" s="5" t="str">
        <f>'Choix étudiants'!C100</f>
        <v>SE</v>
      </c>
      <c r="D4" s="5" t="str">
        <f>'Choix étudiants'!D100</f>
        <v>JOUNIAUX</v>
      </c>
      <c r="E4" s="5" t="str">
        <f>'Choix étudiants'!E100</f>
        <v>Colin</v>
      </c>
      <c r="F4" s="5" t="str">
        <f>'Choix étudiants'!F100</f>
        <v>colin.jouniaux@edu.esiee.fr</v>
      </c>
      <c r="G4" s="21" t="str">
        <f>'Choix étudiants'!H100</f>
        <v>C1</v>
      </c>
      <c r="H4" s="5" t="str">
        <f>'Choix étudiants'!J100</f>
        <v>C2</v>
      </c>
      <c r="I4" s="5" t="str">
        <f>'Choix étudiants'!L100</f>
        <v>R7</v>
      </c>
      <c r="J4" s="5" t="str">
        <f>'Choix étudiants'!N100</f>
        <v>R11</v>
      </c>
      <c r="K4" s="5" t="str">
        <f>'Choix étudiants'!P100</f>
        <v>R5</v>
      </c>
      <c r="L4" s="5" t="str">
        <f>'Choix étudiants'!Q100</f>
        <v>Je ne pars pas</v>
      </c>
      <c r="M4" s="13" t="str">
        <f>'Choix étudiants'!R100</f>
        <v/>
      </c>
      <c r="N4" s="14"/>
      <c r="O4" s="14"/>
      <c r="P4" s="14"/>
      <c r="Q4" s="14"/>
      <c r="R4" s="14"/>
      <c r="S4" s="14"/>
      <c r="T4" s="14"/>
      <c r="U4" s="14"/>
    </row>
    <row r="5" ht="30.0" hidden="1" customHeight="1">
      <c r="A5" s="17">
        <f>'Choix étudiants'!A126</f>
        <v>43360.56745</v>
      </c>
      <c r="B5" s="4" t="s">
        <v>1</v>
      </c>
      <c r="C5" s="5" t="str">
        <f>'Choix étudiants'!C126</f>
        <v>SE</v>
      </c>
      <c r="D5" s="5" t="str">
        <f>'Choix étudiants'!D126</f>
        <v>MEMMO</v>
      </c>
      <c r="E5" s="5" t="str">
        <f>'Choix étudiants'!E126</f>
        <v>Kevin</v>
      </c>
      <c r="F5" s="5" t="str">
        <f>'Choix étudiants'!F126</f>
        <v>kevin.memmo@edu.esiee.fr</v>
      </c>
      <c r="G5" s="5" t="str">
        <f>'Choix étudiants'!H126</f>
        <v>C2</v>
      </c>
      <c r="H5" s="21" t="str">
        <f>'Choix étudiants'!J126</f>
        <v>C1</v>
      </c>
      <c r="I5" s="5" t="str">
        <f>'Choix étudiants'!L126</f>
        <v>R18</v>
      </c>
      <c r="J5" s="5" t="str">
        <f>'Choix étudiants'!N126</f>
        <v>E16</v>
      </c>
      <c r="K5" s="5" t="str">
        <f>'Choix étudiants'!P126</f>
        <v>E26</v>
      </c>
      <c r="L5" s="5" t="str">
        <f>'Choix étudiants'!Q126</f>
        <v>Je ne pars pas</v>
      </c>
      <c r="M5" s="13" t="str">
        <f>'Choix étudiants'!R126</f>
        <v/>
      </c>
      <c r="N5" s="14"/>
      <c r="O5" s="14"/>
      <c r="P5" s="14"/>
      <c r="Q5" s="14"/>
      <c r="R5" s="14"/>
      <c r="S5" s="14"/>
      <c r="T5" s="14"/>
      <c r="U5" s="14"/>
    </row>
    <row r="6" ht="30.0" hidden="1" customHeight="1">
      <c r="A6" s="17">
        <f>'Choix étudiants'!A159</f>
        <v>43360.43379</v>
      </c>
      <c r="B6" s="4" t="s">
        <v>1</v>
      </c>
      <c r="C6" s="5" t="str">
        <f>'Choix étudiants'!C159</f>
        <v>GI</v>
      </c>
      <c r="D6" s="5" t="str">
        <f>'Choix étudiants'!D159</f>
        <v>PININGRE</v>
      </c>
      <c r="E6" s="5" t="str">
        <f>'Choix étudiants'!E159</f>
        <v>Alban</v>
      </c>
      <c r="F6" s="5" t="str">
        <f>'Choix étudiants'!F159</f>
        <v>alban.piningre@edu.esiee.fr</v>
      </c>
      <c r="G6" s="21" t="str">
        <f>'Choix étudiants'!H159</f>
        <v>C1</v>
      </c>
      <c r="H6" s="5" t="str">
        <f>'Choix étudiants'!J159</f>
        <v>R24</v>
      </c>
      <c r="I6" s="5" t="str">
        <f>'Choix étudiants'!L159</f>
        <v>E10</v>
      </c>
      <c r="J6" s="5" t="str">
        <f>'Choix étudiants'!N159</f>
        <v>R12</v>
      </c>
      <c r="K6" s="5" t="str">
        <f>'Choix étudiants'!P159</f>
        <v>R31</v>
      </c>
      <c r="L6" s="5" t="str">
        <f>'Choix étudiants'!Q159</f>
        <v>Je ne pars pas</v>
      </c>
      <c r="M6" s="13" t="str">
        <f>'Choix étudiants'!R159</f>
        <v/>
      </c>
      <c r="N6" s="14"/>
      <c r="O6" s="14"/>
      <c r="P6" s="14"/>
      <c r="Q6" s="14"/>
      <c r="R6" s="14"/>
      <c r="S6" s="14"/>
      <c r="T6" s="14"/>
      <c r="U6" s="14"/>
    </row>
    <row r="7" ht="30.0" hidden="1" customHeight="1">
      <c r="A7" s="17">
        <f>'Choix étudiants'!A81</f>
        <v>43360.42042</v>
      </c>
      <c r="B7" s="4" t="s">
        <v>1</v>
      </c>
      <c r="C7" s="5" t="str">
        <f>'Choix étudiants'!C81</f>
        <v>SE</v>
      </c>
      <c r="D7" s="5" t="str">
        <f>'Choix étudiants'!D81</f>
        <v>GOEURIOT</v>
      </c>
      <c r="E7" s="5" t="str">
        <f>'Choix étudiants'!E81</f>
        <v>Damien</v>
      </c>
      <c r="F7" s="5" t="str">
        <f>'Choix étudiants'!F81</f>
        <v>damien.goeuriot@edu.esiee.fr</v>
      </c>
      <c r="G7" s="14" t="str">
        <f>'Choix étudiants'!H81</f>
        <v>R17</v>
      </c>
      <c r="H7" s="21" t="str">
        <f>'Choix étudiants'!J81</f>
        <v>C1</v>
      </c>
      <c r="I7" s="5" t="str">
        <f>'Choix étudiants'!L81</f>
        <v>E16</v>
      </c>
      <c r="J7" s="5" t="str">
        <f>'Choix étudiants'!N81</f>
        <v>C2</v>
      </c>
      <c r="K7" s="5" t="str">
        <f>'Choix étudiants'!P81</f>
        <v>E3</v>
      </c>
      <c r="L7" s="5" t="str">
        <f>'Choix étudiants'!Q81</f>
        <v>Je pars au semestre 2</v>
      </c>
      <c r="M7" s="13" t="str">
        <f>'Choix étudiants'!R81</f>
        <v/>
      </c>
      <c r="N7" s="14"/>
      <c r="O7" s="14"/>
      <c r="P7" s="14"/>
      <c r="Q7" s="14"/>
      <c r="R7" s="14"/>
      <c r="S7" s="14"/>
      <c r="T7" s="14"/>
      <c r="U7" s="14"/>
    </row>
    <row r="8" ht="30.0" hidden="1" customHeight="1">
      <c r="A8" s="17">
        <f>'Choix étudiants'!A127</f>
        <v>43362.35874</v>
      </c>
      <c r="B8" s="4" t="s">
        <v>1</v>
      </c>
      <c r="C8" s="5" t="str">
        <f>'Choix étudiants'!C127</f>
        <v>SE</v>
      </c>
      <c r="D8" s="5" t="str">
        <f>'Choix étudiants'!D127</f>
        <v>MENAUD</v>
      </c>
      <c r="E8" s="5" t="str">
        <f>'Choix étudiants'!E127</f>
        <v>Adrien</v>
      </c>
      <c r="F8" s="5" t="str">
        <f>'Choix étudiants'!F127</f>
        <v>adrien.menaud@edu.esiee.fr</v>
      </c>
      <c r="G8" s="28" t="s">
        <v>1</v>
      </c>
      <c r="H8" s="5" t="str">
        <f>'Choix étudiants'!J127</f>
        <v/>
      </c>
      <c r="I8" s="5" t="str">
        <f>'Choix étudiants'!L127</f>
        <v/>
      </c>
      <c r="J8" s="5" t="str">
        <f>'Choix étudiants'!N127</f>
        <v/>
      </c>
      <c r="K8" s="5" t="str">
        <f>'Choix étudiants'!P127</f>
        <v/>
      </c>
      <c r="L8" s="5" t="str">
        <f>'Choix étudiants'!Q127</f>
        <v>Je pars au semestre 1</v>
      </c>
      <c r="M8" s="13" t="str">
        <f>'Choix étudiants'!R127</f>
        <v/>
      </c>
      <c r="N8" s="14"/>
      <c r="O8" s="14"/>
      <c r="P8" s="14"/>
      <c r="Q8" s="14"/>
      <c r="R8" s="14"/>
      <c r="S8" s="14"/>
      <c r="T8" s="14"/>
      <c r="U8" s="14"/>
    </row>
    <row r="9" ht="30.0" hidden="1" customHeight="1">
      <c r="A9" s="17">
        <f>'Choix étudiants'!A137</f>
        <v>43360.42042</v>
      </c>
      <c r="B9" s="4" t="s">
        <v>1</v>
      </c>
      <c r="C9" s="5" t="str">
        <f>'Choix étudiants'!C137</f>
        <v>GI</v>
      </c>
      <c r="D9" s="5" t="str">
        <f>'Choix étudiants'!D137</f>
        <v>NATKUNARAJAH</v>
      </c>
      <c r="E9" s="5" t="str">
        <f>'Choix étudiants'!E137</f>
        <v>Ninthija</v>
      </c>
      <c r="F9" s="5" t="str">
        <f>'Choix étudiants'!F137</f>
        <v>ninthija.natkunarajah@edu.esiee.fr</v>
      </c>
      <c r="G9" s="14" t="str">
        <f>'Choix étudiants'!H137</f>
        <v>R32</v>
      </c>
      <c r="H9" s="5" t="str">
        <f>'Choix étudiants'!J137</f>
        <v>R24</v>
      </c>
      <c r="I9" s="21" t="str">
        <f>'Choix étudiants'!L137</f>
        <v>C1</v>
      </c>
      <c r="J9" s="5" t="str">
        <f>'Choix étudiants'!N137</f>
        <v>E10</v>
      </c>
      <c r="K9" s="5" t="str">
        <f>'Choix étudiants'!P137</f>
        <v>R31</v>
      </c>
      <c r="L9" s="5" t="str">
        <f>'Choix étudiants'!Q137</f>
        <v>Je ne pars pas</v>
      </c>
      <c r="M9" s="13" t="str">
        <f>'Choix étudiants'!R137</f>
        <v/>
      </c>
      <c r="N9" s="14"/>
      <c r="O9" s="14"/>
      <c r="P9" s="14"/>
      <c r="Q9" s="14"/>
      <c r="R9" s="14"/>
      <c r="S9" s="14"/>
      <c r="T9" s="14"/>
      <c r="U9" s="14"/>
    </row>
    <row r="10" ht="30.0" hidden="1" customHeight="1">
      <c r="A10" s="17">
        <f>'Choix étudiants'!A17</f>
        <v>43360.43281</v>
      </c>
      <c r="B10" s="4" t="s">
        <v>3</v>
      </c>
      <c r="C10" s="5" t="str">
        <f>'Choix étudiants'!C17</f>
        <v>ELE</v>
      </c>
      <c r="D10" s="5" t="str">
        <f>'Choix étudiants'!D17</f>
        <v>BERNARDINI</v>
      </c>
      <c r="E10" s="5" t="str">
        <f>'Choix étudiants'!E17</f>
        <v>Baptiste</v>
      </c>
      <c r="F10" s="5" t="str">
        <f>'Choix étudiants'!F17</f>
        <v>baptiste.bernardini@edu.esiee.fr</v>
      </c>
      <c r="G10" s="30" t="str">
        <f>'Choix étudiants'!H17</f>
        <v>C3</v>
      </c>
      <c r="H10" s="5" t="str">
        <f>'Choix étudiants'!J17</f>
        <v>R26</v>
      </c>
      <c r="I10" s="5" t="str">
        <f>'Choix étudiants'!L17</f>
        <v>C1</v>
      </c>
      <c r="J10" s="5" t="str">
        <f>'Choix étudiants'!N17</f>
        <v>R3</v>
      </c>
      <c r="K10" s="5" t="str">
        <f>'Choix étudiants'!P17</f>
        <v>R22</v>
      </c>
      <c r="L10" s="5" t="str">
        <f>'Choix étudiants'!Q17</f>
        <v>Je ne pars pas</v>
      </c>
      <c r="M10" s="13" t="str">
        <f>'Choix étudiants'!R17</f>
        <v/>
      </c>
      <c r="N10" s="14"/>
      <c r="O10" s="14"/>
      <c r="P10" s="14"/>
      <c r="Q10" s="14"/>
      <c r="R10" s="14"/>
      <c r="S10" s="14"/>
      <c r="T10" s="14"/>
      <c r="U10" s="14"/>
    </row>
    <row r="11" ht="30.0" hidden="1" customHeight="1">
      <c r="A11" s="17">
        <f>'Choix étudiants'!A23</f>
        <v>43361.33745</v>
      </c>
      <c r="B11" s="4" t="s">
        <v>3</v>
      </c>
      <c r="C11" s="5" t="str">
        <f>'Choix étudiants'!C23</f>
        <v>ELE</v>
      </c>
      <c r="D11" s="14" t="str">
        <f>'Choix étudiants'!D23</f>
        <v>BOISSEVAL</v>
      </c>
      <c r="E11" s="14" t="str">
        <f>'Choix étudiants'!E23</f>
        <v>Sébastien</v>
      </c>
      <c r="F11" s="5" t="str">
        <f>'Choix étudiants'!F23</f>
        <v>sebastien.boisseval@edu.esiee.fr</v>
      </c>
      <c r="G11" s="30" t="str">
        <f>'Choix étudiants'!H23</f>
        <v>C3</v>
      </c>
      <c r="H11" s="5" t="str">
        <f>'Choix étudiants'!J23</f>
        <v>R26</v>
      </c>
      <c r="I11" s="5" t="str">
        <f>'Choix étudiants'!L23</f>
        <v>R18</v>
      </c>
      <c r="J11" s="5" t="str">
        <f>'Choix étudiants'!N23</f>
        <v>R22</v>
      </c>
      <c r="K11" s="5" t="str">
        <f>'Choix étudiants'!P23</f>
        <v>R29</v>
      </c>
      <c r="L11" s="5" t="str">
        <f>'Choix étudiants'!Q23</f>
        <v>Je ne pars pas</v>
      </c>
      <c r="M11" s="13" t="str">
        <f>'Choix étudiants'!R23</f>
        <v/>
      </c>
      <c r="N11" s="14"/>
      <c r="O11" s="14"/>
      <c r="P11" s="14"/>
      <c r="Q11" s="14"/>
      <c r="R11" s="14"/>
      <c r="S11" s="14"/>
      <c r="T11" s="14"/>
      <c r="U11" s="14"/>
    </row>
    <row r="12" ht="30.0" hidden="1" customHeight="1">
      <c r="A12" s="17">
        <f>'Choix étudiants'!A122</f>
        <v>43360.53095</v>
      </c>
      <c r="B12" s="4" t="s">
        <v>3</v>
      </c>
      <c r="C12" s="5" t="str">
        <f>'Choix étudiants'!C122</f>
        <v>ELE</v>
      </c>
      <c r="D12" s="5" t="str">
        <f>'Choix étudiants'!D122</f>
        <v>MALOEUVRE</v>
      </c>
      <c r="E12" s="5" t="str">
        <f>'Choix étudiants'!E122</f>
        <v>Julie</v>
      </c>
      <c r="F12" s="5" t="str">
        <f>'Choix étudiants'!F122</f>
        <v>julie.maloeuvre@edu.esiee.fr</v>
      </c>
      <c r="G12" s="30" t="str">
        <f>'Choix étudiants'!H122</f>
        <v>C3</v>
      </c>
      <c r="H12" s="5" t="str">
        <f>'Choix étudiants'!J122</f>
        <v>R26</v>
      </c>
      <c r="I12" s="5" t="str">
        <f>'Choix étudiants'!L122</f>
        <v>R18</v>
      </c>
      <c r="J12" s="5" t="str">
        <f>'Choix étudiants'!N122</f>
        <v>R13</v>
      </c>
      <c r="K12" s="5" t="str">
        <f>'Choix étudiants'!P122</f>
        <v>E26</v>
      </c>
      <c r="L12" s="5" t="str">
        <f>'Choix étudiants'!Q122</f>
        <v>Je ne pars pas</v>
      </c>
      <c r="M12" s="13" t="str">
        <f>'Choix étudiants'!R122</f>
        <v/>
      </c>
      <c r="N12" s="14"/>
      <c r="O12" s="14"/>
      <c r="P12" s="14"/>
      <c r="Q12" s="14"/>
      <c r="R12" s="14"/>
      <c r="S12" s="14"/>
      <c r="T12" s="14"/>
      <c r="U12" s="14"/>
    </row>
    <row r="13" ht="30.0" hidden="1" customHeight="1">
      <c r="A13" s="17">
        <f>'Choix étudiants'!A164</f>
        <v>43360.4407</v>
      </c>
      <c r="B13" s="4" t="s">
        <v>3</v>
      </c>
      <c r="C13" s="5" t="str">
        <f>'Choix étudiants'!C164</f>
        <v>ELE</v>
      </c>
      <c r="D13" s="14" t="str">
        <f>'Choix étudiants'!D164</f>
        <v>PRESTAT</v>
      </c>
      <c r="E13" s="14" t="str">
        <f>'Choix étudiants'!E164</f>
        <v>Edouard</v>
      </c>
      <c r="F13" s="5" t="str">
        <f>'Choix étudiants'!F164</f>
        <v>edouard.prestat@edu.esiee.fr</v>
      </c>
      <c r="G13" s="30" t="str">
        <f>'Choix étudiants'!H164</f>
        <v>C3</v>
      </c>
      <c r="H13" s="5" t="str">
        <f>'Choix étudiants'!J164</f>
        <v>R26</v>
      </c>
      <c r="I13" s="5" t="str">
        <f>'Choix étudiants'!L164</f>
        <v>C1</v>
      </c>
      <c r="J13" s="5" t="str">
        <f>'Choix étudiants'!N164</f>
        <v>R4</v>
      </c>
      <c r="K13" s="5" t="str">
        <f>'Choix étudiants'!P164</f>
        <v>R24</v>
      </c>
      <c r="L13" s="5" t="str">
        <f>'Choix étudiants'!Q164</f>
        <v>Je ne pars pas</v>
      </c>
      <c r="M13" s="13" t="str">
        <f>'Choix étudiants'!R164</f>
        <v/>
      </c>
      <c r="N13" s="14"/>
      <c r="O13" s="14"/>
      <c r="P13" s="14"/>
      <c r="Q13" s="14"/>
      <c r="R13" s="14"/>
      <c r="S13" s="14"/>
      <c r="T13" s="14"/>
      <c r="U13" s="14"/>
    </row>
    <row r="14" ht="30.0" hidden="1" customHeight="1">
      <c r="A14" s="17">
        <f>'Choix étudiants'!A184</f>
        <v>43360.42872</v>
      </c>
      <c r="B14" s="4" t="s">
        <v>3</v>
      </c>
      <c r="C14" s="5" t="str">
        <f>'Choix étudiants'!C184</f>
        <v>ELE</v>
      </c>
      <c r="D14" s="5" t="str">
        <f>'Choix étudiants'!D184</f>
        <v>SAINATI</v>
      </c>
      <c r="E14" s="5" t="str">
        <f>'Choix étudiants'!E184</f>
        <v>Lucas</v>
      </c>
      <c r="F14" s="5" t="str">
        <f>'Choix étudiants'!F184</f>
        <v>lucas.sainati@edu.esiee.fr</v>
      </c>
      <c r="G14" s="30" t="str">
        <f>'Choix étudiants'!H184</f>
        <v>C3</v>
      </c>
      <c r="H14" s="5" t="str">
        <f>'Choix étudiants'!J184</f>
        <v>R26</v>
      </c>
      <c r="I14" s="5" t="str">
        <f>'Choix étudiants'!L184</f>
        <v>C1</v>
      </c>
      <c r="J14" s="5" t="str">
        <f>'Choix étudiants'!N184</f>
        <v>E32</v>
      </c>
      <c r="K14" s="5" t="str">
        <f>'Choix étudiants'!P184</f>
        <v>E20</v>
      </c>
      <c r="L14" s="5" t="str">
        <f>'Choix étudiants'!Q184</f>
        <v>Je pars au semestre 2</v>
      </c>
      <c r="M14" s="13" t="str">
        <f>'Choix étudiants'!R184</f>
        <v/>
      </c>
      <c r="N14" s="14"/>
      <c r="O14" s="14"/>
      <c r="P14" s="14"/>
      <c r="Q14" s="14"/>
      <c r="R14" s="14"/>
      <c r="S14" s="14"/>
      <c r="T14" s="14"/>
      <c r="U14" s="14"/>
    </row>
    <row r="15" ht="30.0" hidden="1" customHeight="1">
      <c r="A15" s="17">
        <f>'Choix étudiants'!A13</f>
        <v>43360.41894</v>
      </c>
      <c r="B15" s="4" t="s">
        <v>10</v>
      </c>
      <c r="C15" s="5" t="str">
        <f>'Choix étudiants'!C13</f>
        <v>BIO</v>
      </c>
      <c r="D15" s="5" t="str">
        <f>'Choix étudiants'!D13</f>
        <v>BATISTA</v>
      </c>
      <c r="E15" s="5" t="str">
        <f>'Choix étudiants'!E13</f>
        <v>Claire</v>
      </c>
      <c r="F15" s="5" t="str">
        <f>'Choix étudiants'!F13</f>
        <v>claire.batista@edu.esiee.fr</v>
      </c>
      <c r="G15" s="5" t="str">
        <f>'Choix étudiants'!H13</f>
        <v>R2</v>
      </c>
      <c r="H15" s="21" t="str">
        <f>'Choix étudiants'!J13</f>
        <v>E1</v>
      </c>
      <c r="I15" s="5" t="str">
        <f>'Choix étudiants'!L13</f>
        <v>E19</v>
      </c>
      <c r="J15" s="5" t="str">
        <f>'Choix étudiants'!N13</f>
        <v>E15</v>
      </c>
      <c r="K15" s="5" t="str">
        <f>'Choix étudiants'!P13</f>
        <v>R15</v>
      </c>
      <c r="L15" s="5" t="str">
        <f>'Choix étudiants'!Q13</f>
        <v>Je ne pars pas</v>
      </c>
      <c r="M15" s="13" t="str">
        <f>'Choix étudiants'!R13</f>
        <v/>
      </c>
      <c r="N15" s="14"/>
      <c r="O15" s="14"/>
      <c r="P15" s="14"/>
      <c r="Q15" s="14"/>
      <c r="R15" s="14"/>
      <c r="S15" s="14"/>
      <c r="T15" s="14"/>
      <c r="U15" s="14"/>
    </row>
    <row r="16" ht="30.0" hidden="1" customHeight="1">
      <c r="A16" s="17">
        <f>'Choix étudiants'!A35</f>
        <v>43360.46383</v>
      </c>
      <c r="B16" s="4" t="s">
        <v>10</v>
      </c>
      <c r="C16" s="5" t="str">
        <f>'Choix étudiants'!C35</f>
        <v>BIO</v>
      </c>
      <c r="D16" s="5" t="str">
        <f>'Choix étudiants'!D35</f>
        <v>CHARLIER</v>
      </c>
      <c r="E16" s="5" t="str">
        <f>'Choix étudiants'!E35</f>
        <v>Claire</v>
      </c>
      <c r="F16" s="5" t="str">
        <f>'Choix étudiants'!F35</f>
        <v>claire.charlier@edu.esiee.fr</v>
      </c>
      <c r="G16" s="21" t="str">
        <f>'Choix étudiants'!H35</f>
        <v>E1</v>
      </c>
      <c r="H16" s="14" t="str">
        <f>'Choix étudiants'!J35</f>
        <v>E19</v>
      </c>
      <c r="I16" s="5" t="str">
        <f>'Choix étudiants'!L35</f>
        <v>E15</v>
      </c>
      <c r="J16" s="5" t="str">
        <f>'Choix étudiants'!N35</f>
        <v>R2</v>
      </c>
      <c r="K16" s="5" t="str">
        <f>'Choix étudiants'!P35</f>
        <v>R3</v>
      </c>
      <c r="L16" s="5" t="str">
        <f>'Choix étudiants'!Q35</f>
        <v>Je pars au semestre 1</v>
      </c>
      <c r="M16" s="13" t="str">
        <f>'Choix étudiants'!R35</f>
        <v/>
      </c>
      <c r="N16" s="14"/>
      <c r="O16" s="14"/>
      <c r="P16" s="14"/>
      <c r="Q16" s="14"/>
      <c r="R16" s="14"/>
      <c r="S16" s="14"/>
      <c r="T16" s="14"/>
      <c r="U16" s="14"/>
    </row>
    <row r="17" ht="30.0" hidden="1" customHeight="1">
      <c r="A17" s="17">
        <f>'Choix étudiants'!A40</f>
        <v>43360.41989</v>
      </c>
      <c r="B17" s="4" t="s">
        <v>10</v>
      </c>
      <c r="C17" s="5" t="str">
        <f>'Choix étudiants'!C40</f>
        <v>BIO</v>
      </c>
      <c r="D17" s="5" t="str">
        <f>'Choix étudiants'!D40</f>
        <v>COLBOIS RICHARD</v>
      </c>
      <c r="E17" s="5" t="str">
        <f>'Choix étudiants'!E40</f>
        <v>Charlotte</v>
      </c>
      <c r="F17" s="5" t="str">
        <f>'Choix étudiants'!F40</f>
        <v>charlotte.colboisrichard@edu.esiee.fr</v>
      </c>
      <c r="G17" s="21" t="str">
        <f>'Choix étudiants'!H40</f>
        <v>E1</v>
      </c>
      <c r="H17" s="5" t="str">
        <f>'Choix étudiants'!J40</f>
        <v>E15</v>
      </c>
      <c r="I17" s="5" t="str">
        <f>'Choix étudiants'!L40</f>
        <v>R2</v>
      </c>
      <c r="J17" s="5" t="str">
        <f>'Choix étudiants'!N40</f>
        <v>R15</v>
      </c>
      <c r="K17" s="5" t="str">
        <f>'Choix étudiants'!P40</f>
        <v>E19</v>
      </c>
      <c r="L17" s="5" t="str">
        <f>'Choix étudiants'!Q40</f>
        <v>Je ne pars pas</v>
      </c>
      <c r="M17" s="13" t="str">
        <f>'Choix étudiants'!R40</f>
        <v/>
      </c>
      <c r="N17" s="14"/>
      <c r="O17" s="14"/>
      <c r="P17" s="14"/>
      <c r="Q17" s="14"/>
      <c r="R17" s="14"/>
      <c r="S17" s="14"/>
      <c r="T17" s="14"/>
      <c r="U17" s="14"/>
    </row>
    <row r="18" ht="30.0" hidden="1" customHeight="1">
      <c r="A18" s="17">
        <f>'Choix étudiants'!A53</f>
        <v>43360.45961</v>
      </c>
      <c r="B18" s="4" t="s">
        <v>10</v>
      </c>
      <c r="C18" s="5" t="str">
        <f>'Choix étudiants'!C53</f>
        <v>CYBER</v>
      </c>
      <c r="D18" s="5" t="str">
        <f>'Choix étudiants'!D53</f>
        <v>DESPORTES</v>
      </c>
      <c r="E18" s="5" t="str">
        <f>'Choix étudiants'!E53</f>
        <v>Etienne</v>
      </c>
      <c r="F18" s="5" t="str">
        <f>'Choix étudiants'!F53</f>
        <v>etienne.desportes@edu.esiee.fr</v>
      </c>
      <c r="G18" s="21" t="str">
        <f>'Choix étudiants'!H53</f>
        <v>E1</v>
      </c>
      <c r="H18" s="14" t="str">
        <f>'Choix étudiants'!J53</f>
        <v>R15</v>
      </c>
      <c r="I18" s="5" t="str">
        <f>'Choix étudiants'!L53</f>
        <v>E15</v>
      </c>
      <c r="J18" s="5" t="str">
        <f>'Choix étudiants'!N53</f>
        <v>E19</v>
      </c>
      <c r="K18" s="5" t="str">
        <f>'Choix étudiants'!P53</f>
        <v>R2</v>
      </c>
      <c r="L18" s="5" t="str">
        <f>'Choix étudiants'!Q53</f>
        <v>Je pars au semestre 2</v>
      </c>
      <c r="M18" s="13" t="str">
        <f>'Choix étudiants'!R53</f>
        <v/>
      </c>
      <c r="N18" s="14"/>
      <c r="O18" s="14"/>
      <c r="P18" s="14"/>
      <c r="Q18" s="14"/>
      <c r="R18" s="14"/>
      <c r="S18" s="14"/>
      <c r="T18" s="14"/>
      <c r="U18" s="14"/>
    </row>
    <row r="19" ht="30.0" hidden="1" customHeight="1">
      <c r="A19" s="17">
        <f>'Choix étudiants'!A154</f>
        <v>43360.42296</v>
      </c>
      <c r="B19" s="4" t="s">
        <v>10</v>
      </c>
      <c r="C19" s="5" t="str">
        <f>'Choix étudiants'!C154</f>
        <v>BIO</v>
      </c>
      <c r="D19" s="5" t="str">
        <f>'Choix étudiants'!D154</f>
        <v>PARMENTIER</v>
      </c>
      <c r="E19" s="5" t="str">
        <f>'Choix étudiants'!E154</f>
        <v>Juliette</v>
      </c>
      <c r="F19" s="5" t="str">
        <f>'Choix étudiants'!F154</f>
        <v>juliette.parmentier@edu.esiee.fr</v>
      </c>
      <c r="G19" s="5" t="str">
        <f>'Choix étudiants'!H154</f>
        <v>R2</v>
      </c>
      <c r="H19" s="21" t="str">
        <f>'Choix étudiants'!J154</f>
        <v>E1</v>
      </c>
      <c r="I19" s="5" t="str">
        <f>'Choix étudiants'!L154</f>
        <v>R24</v>
      </c>
      <c r="J19" s="5" t="str">
        <f>'Choix étudiants'!N154</f>
        <v>R3</v>
      </c>
      <c r="K19" s="5" t="str">
        <f>'Choix étudiants'!P154</f>
        <v>E19</v>
      </c>
      <c r="L19" s="5" t="str">
        <f>'Choix étudiants'!Q154</f>
        <v>Je ne pars pas</v>
      </c>
      <c r="M19" s="13" t="str">
        <f>'Choix étudiants'!R154</f>
        <v/>
      </c>
      <c r="N19" s="14"/>
      <c r="O19" s="14"/>
      <c r="P19" s="14"/>
      <c r="Q19" s="14"/>
      <c r="R19" s="14"/>
      <c r="S19" s="14"/>
      <c r="T19" s="14"/>
      <c r="U19" s="14"/>
    </row>
    <row r="20" ht="30.0" hidden="1" customHeight="1">
      <c r="A20" s="17" t="str">
        <f>'Choix étudiants'!A93</f>
        <v/>
      </c>
      <c r="B20" s="4" t="s">
        <v>13</v>
      </c>
      <c r="C20" s="5" t="str">
        <f>'Choix étudiants'!C93</f>
        <v>BIO</v>
      </c>
      <c r="D20" s="14" t="str">
        <f>'Choix étudiants'!D93</f>
        <v>HAMDANE</v>
      </c>
      <c r="E20" s="14" t="str">
        <f>'Choix étudiants'!E93</f>
        <v>Cinda</v>
      </c>
      <c r="F20" s="5" t="str">
        <f>'Choix étudiants'!F93</f>
        <v>cinda.hamdane@edu.esiee.fr</v>
      </c>
      <c r="G20" s="21" t="str">
        <f>'Choix étudiants'!H93</f>
        <v>E1</v>
      </c>
      <c r="H20" s="5" t="str">
        <f>'Choix étudiants'!J93</f>
        <v>R24</v>
      </c>
      <c r="I20" s="5" t="str">
        <f>'Choix étudiants'!L93</f>
        <v>R2</v>
      </c>
      <c r="J20" s="5" t="str">
        <f>'Choix étudiants'!N93</f>
        <v>E15</v>
      </c>
      <c r="K20" s="5" t="str">
        <f>'Choix étudiants'!P93</f>
        <v>R3</v>
      </c>
      <c r="L20" s="5" t="str">
        <f>'Choix étudiants'!Q93</f>
        <v>Je ne pars pas</v>
      </c>
      <c r="M20" s="13" t="str">
        <f>'Choix étudiants'!R93</f>
        <v/>
      </c>
      <c r="N20" s="14"/>
      <c r="O20" s="14"/>
      <c r="P20" s="14"/>
      <c r="Q20" s="14"/>
      <c r="R20" s="14"/>
      <c r="S20" s="14"/>
      <c r="T20" s="14"/>
      <c r="U20" s="14"/>
    </row>
    <row r="21" ht="30.0" hidden="1" customHeight="1">
      <c r="A21" s="17">
        <f>'Choix étudiants'!A4</f>
        <v>43360.43084</v>
      </c>
      <c r="B21" s="4" t="s">
        <v>15</v>
      </c>
      <c r="C21" s="5" t="str">
        <f>'Choix étudiants'!C4</f>
        <v>INF</v>
      </c>
      <c r="D21" s="5" t="str">
        <f>'Choix étudiants'!D4</f>
        <v>ANNE-LOUISE</v>
      </c>
      <c r="E21" s="5" t="str">
        <f>'Choix étudiants'!E4</f>
        <v>Yohan</v>
      </c>
      <c r="F21" s="5" t="str">
        <f>'Choix étudiants'!F4</f>
        <v>yohan.anne-louise@edu.esiee.fr</v>
      </c>
      <c r="G21" s="14" t="str">
        <f>'Choix étudiants'!H4</f>
        <v>R17</v>
      </c>
      <c r="H21" s="14" t="str">
        <f>'Choix étudiants'!J4</f>
        <v>E24</v>
      </c>
      <c r="I21" s="34" t="str">
        <f>'Choix étudiants'!L4</f>
        <v>E10</v>
      </c>
      <c r="J21" s="5" t="str">
        <f>'Choix étudiants'!N4</f>
        <v>E9</v>
      </c>
      <c r="K21" s="5" t="str">
        <f>'Choix étudiants'!P4</f>
        <v>E12</v>
      </c>
      <c r="L21" s="5" t="str">
        <f>'Choix étudiants'!Q4</f>
        <v>Je ne pars pas</v>
      </c>
      <c r="M21" s="13" t="str">
        <f>'Choix étudiants'!R4</f>
        <v/>
      </c>
      <c r="N21" s="14"/>
      <c r="O21" s="14"/>
      <c r="P21" s="14"/>
      <c r="Q21" s="14"/>
      <c r="R21" s="14"/>
      <c r="S21" s="14"/>
      <c r="T21" s="14"/>
      <c r="U21" s="14"/>
    </row>
    <row r="22" ht="30.0" hidden="1" customHeight="1">
      <c r="A22" s="17">
        <f>'Choix étudiants'!A34</f>
        <v>43360.43515</v>
      </c>
      <c r="B22" s="4" t="s">
        <v>15</v>
      </c>
      <c r="C22" s="5" t="str">
        <f>'Choix étudiants'!C34</f>
        <v>GI</v>
      </c>
      <c r="D22" s="5" t="str">
        <f>'Choix étudiants'!D34</f>
        <v>CHAAIRAT</v>
      </c>
      <c r="E22" s="5" t="str">
        <f>'Choix étudiants'!E34</f>
        <v>Nassim</v>
      </c>
      <c r="F22" s="5" t="str">
        <f>'Choix étudiants'!F34</f>
        <v>nassim.chaairat@edu.esiee.fr</v>
      </c>
      <c r="G22" s="14" t="str">
        <f>'Choix étudiants'!H34</f>
        <v>R32</v>
      </c>
      <c r="H22" s="34" t="str">
        <f>'Choix étudiants'!J34</f>
        <v>E10</v>
      </c>
      <c r="I22" s="5" t="str">
        <f>'Choix étudiants'!L34</f>
        <v>R24</v>
      </c>
      <c r="J22" s="5" t="str">
        <f>'Choix étudiants'!N34</f>
        <v>R31</v>
      </c>
      <c r="K22" s="5" t="str">
        <f>'Choix étudiants'!P34</f>
        <v>C1</v>
      </c>
      <c r="L22" s="5" t="str">
        <f>'Choix étudiants'!Q34</f>
        <v>Je ne pars pas</v>
      </c>
      <c r="M22" s="13" t="str">
        <f>'Choix étudiants'!R34</f>
        <v/>
      </c>
      <c r="N22" s="14"/>
      <c r="O22" s="14"/>
      <c r="P22" s="14"/>
      <c r="Q22" s="14"/>
      <c r="R22" s="14"/>
      <c r="S22" s="14"/>
      <c r="T22" s="14"/>
      <c r="U22" s="14"/>
    </row>
    <row r="23" ht="30.0" hidden="1" customHeight="1">
      <c r="A23" s="17">
        <f>'Choix étudiants'!A36</f>
        <v>43361.48493</v>
      </c>
      <c r="B23" s="4" t="s">
        <v>15</v>
      </c>
      <c r="C23" s="5" t="str">
        <f>'Choix étudiants'!C36</f>
        <v>INF</v>
      </c>
      <c r="D23" s="5" t="str">
        <f>'Choix étudiants'!D36</f>
        <v>CHARTIER</v>
      </c>
      <c r="E23" s="5" t="str">
        <f>'Choix étudiants'!E36</f>
        <v>Clément</v>
      </c>
      <c r="F23" s="5" t="str">
        <f>'Choix étudiants'!F36</f>
        <v>clement.chartier@edu.esiee.fr</v>
      </c>
      <c r="G23" s="14" t="str">
        <f>'Choix étudiants'!H36</f>
        <v>E24</v>
      </c>
      <c r="H23" s="5" t="str">
        <f>'Choix étudiants'!J36</f>
        <v>E8</v>
      </c>
      <c r="I23" s="5" t="str">
        <f>'Choix étudiants'!L36</f>
        <v>E6</v>
      </c>
      <c r="J23" s="5" t="str">
        <f>'Choix étudiants'!N36</f>
        <v>E9</v>
      </c>
      <c r="K23" s="34" t="str">
        <f>'Choix étudiants'!P36</f>
        <v>E10</v>
      </c>
      <c r="L23" s="5" t="str">
        <f>'Choix étudiants'!Q36</f>
        <v>Je ne pars pas</v>
      </c>
      <c r="M23" s="13" t="str">
        <f>'Choix étudiants'!R36</f>
        <v/>
      </c>
      <c r="N23" s="14"/>
      <c r="O23" s="14"/>
      <c r="P23" s="14"/>
      <c r="Q23" s="14"/>
      <c r="R23" s="14"/>
      <c r="S23" s="14"/>
      <c r="T23" s="14"/>
      <c r="U23" s="14"/>
    </row>
    <row r="24" ht="30.0" hidden="1" customHeight="1">
      <c r="A24" s="17">
        <f>'Choix étudiants'!A66</f>
        <v>43362.9707</v>
      </c>
      <c r="B24" s="4" t="s">
        <v>15</v>
      </c>
      <c r="C24" s="5" t="str">
        <f>'Choix étudiants'!C66</f>
        <v>GI</v>
      </c>
      <c r="D24" s="5" t="str">
        <f>'Choix étudiants'!D66</f>
        <v>EYSSERIC</v>
      </c>
      <c r="E24" s="5" t="str">
        <f>'Choix étudiants'!E66</f>
        <v>Clément</v>
      </c>
      <c r="F24" s="5" t="str">
        <f>'Choix étudiants'!F66</f>
        <v>clement.eysseric@edu.esiee.fr</v>
      </c>
      <c r="G24" s="5" t="str">
        <f>'Choix étudiants'!H66</f>
        <v>E9</v>
      </c>
      <c r="H24" s="34" t="str">
        <f>'Choix étudiants'!J66</f>
        <v>E10</v>
      </c>
      <c r="I24" s="5" t="str">
        <f>'Choix étudiants'!L66</f>
        <v>E8</v>
      </c>
      <c r="J24" s="5" t="str">
        <f>'Choix étudiants'!N66</f>
        <v>E11</v>
      </c>
      <c r="K24" s="5" t="str">
        <f>'Choix étudiants'!P66</f>
        <v>E12</v>
      </c>
      <c r="L24" s="5" t="str">
        <f>'Choix étudiants'!Q66</f>
        <v>Je ne pars pas</v>
      </c>
      <c r="M24" s="13" t="str">
        <f>'Choix étudiants'!R66</f>
        <v/>
      </c>
      <c r="N24" s="14"/>
      <c r="O24" s="14"/>
      <c r="P24" s="14"/>
      <c r="Q24" s="14"/>
      <c r="R24" s="14"/>
      <c r="S24" s="14"/>
      <c r="T24" s="14"/>
      <c r="U24" s="14"/>
    </row>
    <row r="25" ht="30.0" hidden="1" customHeight="1">
      <c r="A25" s="17">
        <f>'Choix étudiants'!A203</f>
        <v>43360.43193</v>
      </c>
      <c r="B25" s="4" t="s">
        <v>15</v>
      </c>
      <c r="C25" s="5" t="str">
        <f>'Choix étudiants'!C203</f>
        <v>GI</v>
      </c>
      <c r="D25" s="5" t="str">
        <f>'Choix étudiants'!D203</f>
        <v>VILIVONG</v>
      </c>
      <c r="E25" s="5" t="str">
        <f>'Choix étudiants'!E203</f>
        <v>Vincent</v>
      </c>
      <c r="F25" s="5" t="str">
        <f>'Choix étudiants'!F203</f>
        <v>vincent.vilivong@edu.esiee.fr</v>
      </c>
      <c r="G25" s="14" t="str">
        <f>'Choix étudiants'!H203</f>
        <v>R24</v>
      </c>
      <c r="H25" s="34" t="str">
        <f>'Choix étudiants'!J203</f>
        <v>E10</v>
      </c>
      <c r="I25" s="5" t="str">
        <f>'Choix étudiants'!L203</f>
        <v>R32</v>
      </c>
      <c r="J25" s="5" t="str">
        <f>'Choix étudiants'!N203</f>
        <v>R31</v>
      </c>
      <c r="K25" s="5" t="str">
        <f>'Choix étudiants'!P203</f>
        <v>C1</v>
      </c>
      <c r="L25" s="5" t="str">
        <f>'Choix étudiants'!Q203</f>
        <v>Je ne pars pas</v>
      </c>
      <c r="M25" s="13" t="str">
        <f>'Choix étudiants'!R203</f>
        <v/>
      </c>
      <c r="N25" s="14"/>
      <c r="O25" s="14"/>
      <c r="P25" s="14"/>
      <c r="Q25" s="14"/>
      <c r="R25" s="14"/>
      <c r="S25" s="14"/>
      <c r="T25" s="14"/>
      <c r="U25" s="14"/>
    </row>
    <row r="26" ht="30.0" hidden="1" customHeight="1">
      <c r="A26" s="17">
        <f>'Choix étudiants'!A204</f>
        <v>43360.4315</v>
      </c>
      <c r="B26" s="4" t="s">
        <v>15</v>
      </c>
      <c r="C26" s="5" t="str">
        <f>'Choix étudiants'!C204</f>
        <v>GI</v>
      </c>
      <c r="D26" s="5" t="str">
        <f>'Choix étudiants'!D204</f>
        <v>VITETTA</v>
      </c>
      <c r="E26" s="5" t="str">
        <f>'Choix étudiants'!E204</f>
        <v>Aurélien</v>
      </c>
      <c r="F26" s="5" t="str">
        <f>'Choix étudiants'!F204</f>
        <v>aurelien.vitetta@edu.esiee.fr</v>
      </c>
      <c r="G26" s="14" t="str">
        <f>'Choix étudiants'!H204</f>
        <v>R24</v>
      </c>
      <c r="H26" s="34" t="str">
        <f>'Choix étudiants'!J204</f>
        <v>E10</v>
      </c>
      <c r="I26" s="5" t="str">
        <f>'Choix étudiants'!L204</f>
        <v>R32</v>
      </c>
      <c r="J26" s="5" t="str">
        <f>'Choix étudiants'!N204</f>
        <v>R31</v>
      </c>
      <c r="K26" s="5" t="str">
        <f>'Choix étudiants'!P204</f>
        <v>C1</v>
      </c>
      <c r="L26" s="5" t="str">
        <f>'Choix étudiants'!Q204</f>
        <v>Je ne pars pas</v>
      </c>
      <c r="M26" s="13" t="str">
        <f>'Choix étudiants'!R204</f>
        <v/>
      </c>
      <c r="N26" s="14"/>
      <c r="O26" s="14"/>
      <c r="P26" s="14"/>
      <c r="Q26" s="14"/>
      <c r="R26" s="14"/>
      <c r="S26" s="14"/>
      <c r="T26" s="14"/>
      <c r="U26" s="14"/>
    </row>
    <row r="27" ht="30.0" hidden="1" customHeight="1">
      <c r="A27" s="17">
        <f>'Choix étudiants'!A38</f>
        <v>43360.48946</v>
      </c>
      <c r="B27" s="4" t="s">
        <v>17</v>
      </c>
      <c r="C27" s="5" t="str">
        <f>'Choix étudiants'!C38</f>
        <v>ENE</v>
      </c>
      <c r="D27" s="5" t="str">
        <f>'Choix étudiants'!D38</f>
        <v>CHOISY</v>
      </c>
      <c r="E27" s="5" t="str">
        <f>'Choix étudiants'!E38</f>
        <v>Victor</v>
      </c>
      <c r="F27" s="5" t="str">
        <f>'Choix étudiants'!F38</f>
        <v>victor.choisy@edu.esiee.fr</v>
      </c>
      <c r="G27" s="5" t="str">
        <f>'Choix étudiants'!H38</f>
        <v>R12</v>
      </c>
      <c r="H27" s="36" t="str">
        <f>'Choix étudiants'!J38</f>
        <v>E13</v>
      </c>
      <c r="I27" s="5" t="str">
        <f>'Choix étudiants'!L38</f>
        <v>R23</v>
      </c>
      <c r="J27" s="5" t="str">
        <f>'Choix étudiants'!N38</f>
        <v>R12</v>
      </c>
      <c r="K27" s="5" t="str">
        <f>'Choix étudiants'!P38</f>
        <v>R12</v>
      </c>
      <c r="L27" s="5" t="str">
        <f>'Choix étudiants'!Q38</f>
        <v>Je pars au semestre 2</v>
      </c>
      <c r="M27" s="13" t="str">
        <f>'Choix étudiants'!R38</f>
        <v/>
      </c>
      <c r="N27" s="14"/>
      <c r="O27" s="14"/>
      <c r="P27" s="14"/>
      <c r="Q27" s="14"/>
      <c r="R27" s="14"/>
      <c r="S27" s="14"/>
      <c r="T27" s="14"/>
      <c r="U27" s="14"/>
    </row>
    <row r="28" ht="30.0" hidden="1" customHeight="1">
      <c r="A28" s="17">
        <f>'Choix étudiants'!A41</f>
        <v>43360.50242</v>
      </c>
      <c r="B28" s="37" t="s">
        <v>17</v>
      </c>
      <c r="C28" s="5" t="str">
        <f>'Choix étudiants'!C41</f>
        <v>ENE</v>
      </c>
      <c r="D28" s="5" t="str">
        <f>'Choix étudiants'!D41</f>
        <v>COLLOGNAT</v>
      </c>
      <c r="E28" s="5" t="str">
        <f>'Choix étudiants'!E41</f>
        <v>Guillaume</v>
      </c>
      <c r="F28" s="5" t="str">
        <f>'Choix étudiants'!F41</f>
        <v>guillaume.collognat@edu.esiee.fr</v>
      </c>
      <c r="G28" s="14" t="str">
        <f>'Choix étudiants'!H41</f>
        <v>R12</v>
      </c>
      <c r="H28" s="36" t="str">
        <f>'Choix étudiants'!J41</f>
        <v>E13</v>
      </c>
      <c r="I28" s="5" t="str">
        <f>'Choix étudiants'!L41</f>
        <v>R23</v>
      </c>
      <c r="J28" s="5" t="str">
        <f>'Choix étudiants'!N41</f>
        <v>R12</v>
      </c>
      <c r="K28" s="5" t="str">
        <f>'Choix étudiants'!P41</f>
        <v>R12</v>
      </c>
      <c r="L28" s="5" t="str">
        <f>'Choix étudiants'!Q41</f>
        <v>Je ne pars pas</v>
      </c>
      <c r="M28" s="13" t="str">
        <f>'Choix étudiants'!R41</f>
        <v/>
      </c>
      <c r="N28" s="14"/>
      <c r="O28" s="14"/>
      <c r="P28" s="14"/>
      <c r="Q28" s="14"/>
      <c r="R28" s="14"/>
      <c r="S28" s="14"/>
      <c r="T28" s="14"/>
      <c r="U28" s="14"/>
    </row>
    <row r="29" ht="30.0" hidden="1" customHeight="1">
      <c r="A29" s="17">
        <f>'Choix étudiants'!A54</f>
        <v>43361.1345</v>
      </c>
      <c r="B29" s="4" t="s">
        <v>17</v>
      </c>
      <c r="C29" s="5" t="str">
        <f>'Choix étudiants'!C54</f>
        <v>ENE</v>
      </c>
      <c r="D29" s="5" t="str">
        <f>'Choix étudiants'!D54</f>
        <v>DIANE</v>
      </c>
      <c r="E29" s="5" t="str">
        <f>'Choix étudiants'!E54</f>
        <v>Victor</v>
      </c>
      <c r="F29" s="5" t="str">
        <f>'Choix étudiants'!F54</f>
        <v>victor.diane@edu.esiee.fr</v>
      </c>
      <c r="G29" s="5" t="str">
        <f>'Choix étudiants'!H54</f>
        <v>E25</v>
      </c>
      <c r="H29" s="14" t="str">
        <f>'Choix étudiants'!J54</f>
        <v>R1</v>
      </c>
      <c r="I29" s="5" t="str">
        <f>'Choix étudiants'!L54</f>
        <v>R12</v>
      </c>
      <c r="J29" s="36" t="str">
        <f>'Choix étudiants'!N54</f>
        <v>E13</v>
      </c>
      <c r="K29" s="5" t="str">
        <f>'Choix étudiants'!P54</f>
        <v>R23</v>
      </c>
      <c r="L29" s="5" t="str">
        <f>'Choix étudiants'!Q54</f>
        <v>Je ne pars pas</v>
      </c>
      <c r="M29" s="13" t="str">
        <f>'Choix étudiants'!R54</f>
        <v/>
      </c>
      <c r="N29" s="14"/>
      <c r="O29" s="14"/>
      <c r="P29" s="14"/>
      <c r="Q29" s="14"/>
      <c r="R29" s="14"/>
      <c r="S29" s="14"/>
      <c r="T29" s="14"/>
      <c r="U29" s="14"/>
    </row>
    <row r="30" ht="30.0" hidden="1" customHeight="1">
      <c r="A30" s="17">
        <f>'Choix étudiants'!A78</f>
        <v>43360.41852</v>
      </c>
      <c r="B30" s="37" t="s">
        <v>17</v>
      </c>
      <c r="C30" s="5" t="str">
        <f>'Choix étudiants'!C78</f>
        <v>ENE</v>
      </c>
      <c r="D30" s="5" t="str">
        <f>'Choix étudiants'!D78</f>
        <v>GHOZAYEL</v>
      </c>
      <c r="E30" s="5" t="str">
        <f>'Choix étudiants'!E78</f>
        <v>Leyane</v>
      </c>
      <c r="F30" s="5" t="str">
        <f>'Choix étudiants'!F78</f>
        <v>leyane.ghozayel@edu.esiee.fr</v>
      </c>
      <c r="G30" s="36" t="str">
        <f>'Choix étudiants'!H78</f>
        <v>E13</v>
      </c>
      <c r="H30" s="5" t="str">
        <f>'Choix étudiants'!J78</f>
        <v>R12</v>
      </c>
      <c r="I30" s="14" t="str">
        <f>'Choix étudiants'!L78</f>
        <v>R2</v>
      </c>
      <c r="J30" s="5" t="str">
        <f>'Choix étudiants'!N78</f>
        <v>E14</v>
      </c>
      <c r="K30" s="5" t="str">
        <f>'Choix étudiants'!P78</f>
        <v>E17</v>
      </c>
      <c r="L30" s="5" t="str">
        <f>'Choix étudiants'!Q78</f>
        <v>Je pars au semestre 1</v>
      </c>
      <c r="M30" s="13" t="str">
        <f>'Choix étudiants'!R78</f>
        <v/>
      </c>
      <c r="N30" s="14"/>
      <c r="O30" s="14"/>
      <c r="P30" s="14"/>
      <c r="Q30" s="14"/>
      <c r="R30" s="14"/>
      <c r="S30" s="14"/>
      <c r="T30" s="14"/>
      <c r="U30" s="14"/>
    </row>
    <row r="31" ht="30.0" hidden="1" customHeight="1">
      <c r="A31" s="17">
        <f>'Choix étudiants'!A44</f>
        <v>43362.13979</v>
      </c>
      <c r="B31" s="4" t="s">
        <v>17</v>
      </c>
      <c r="C31" s="5" t="str">
        <f>'Choix étudiants'!C44</f>
        <v>ENE</v>
      </c>
      <c r="D31" s="5" t="str">
        <f>'Choix étudiants'!D44</f>
        <v>CROZON</v>
      </c>
      <c r="E31" s="5" t="str">
        <f>'Choix étudiants'!E44</f>
        <v>Alexandre</v>
      </c>
      <c r="F31" s="5" t="str">
        <f>'Choix étudiants'!F44</f>
        <v>alexandre.crozon@edu.esiee.fr</v>
      </c>
      <c r="G31" s="14" t="str">
        <f>'Choix étudiants'!H44</f>
        <v>R12</v>
      </c>
      <c r="H31" s="38" t="s">
        <v>17</v>
      </c>
      <c r="I31" s="14" t="str">
        <f>'Choix étudiants'!L44</f>
        <v>R13</v>
      </c>
      <c r="J31" s="5" t="str">
        <f>'Choix étudiants'!N44</f>
        <v>E14</v>
      </c>
      <c r="K31" s="5" t="str">
        <f>'Choix étudiants'!P44</f>
        <v>R16</v>
      </c>
      <c r="L31" s="5" t="str">
        <f>'Choix étudiants'!Q44</f>
        <v>Je ne pars pas</v>
      </c>
      <c r="M31" s="13" t="str">
        <f>'Choix étudiants'!R44</f>
        <v/>
      </c>
      <c r="N31" s="14"/>
      <c r="O31" s="14"/>
      <c r="P31" s="14"/>
      <c r="Q31" s="14"/>
      <c r="R31" s="14"/>
      <c r="S31" s="14"/>
      <c r="T31" s="14"/>
      <c r="U31" s="14"/>
    </row>
    <row r="32" ht="30.0" hidden="1" customHeight="1">
      <c r="A32" s="17">
        <f>'Choix étudiants'!A62</f>
        <v>43360.56014</v>
      </c>
      <c r="B32" s="4" t="s">
        <v>17</v>
      </c>
      <c r="C32" s="5" t="str">
        <f>'Choix étudiants'!C62</f>
        <v>ENE</v>
      </c>
      <c r="D32" s="14" t="str">
        <f>'Choix étudiants'!D62</f>
        <v>DUSAUSOY</v>
      </c>
      <c r="E32" s="14" t="str">
        <f>'Choix étudiants'!E62</f>
        <v>Stéven</v>
      </c>
      <c r="F32" s="5" t="str">
        <f>'Choix étudiants'!F62</f>
        <v>steven.dusausoy@edu.esiee.fr</v>
      </c>
      <c r="G32" s="36" t="str">
        <f>'Choix étudiants'!H62</f>
        <v>E13</v>
      </c>
      <c r="H32" s="5" t="str">
        <f>'Choix étudiants'!J62</f>
        <v>R12</v>
      </c>
      <c r="I32" s="14" t="str">
        <f>'Choix étudiants'!L62</f>
        <v>R1</v>
      </c>
      <c r="J32" s="5" t="str">
        <f>'Choix étudiants'!N62</f>
        <v>E17</v>
      </c>
      <c r="K32" s="5" t="str">
        <f>'Choix étudiants'!P62</f>
        <v>E14</v>
      </c>
      <c r="L32" s="5" t="str">
        <f>'Choix étudiants'!Q62</f>
        <v>Je pars au semestre 1</v>
      </c>
      <c r="M32" s="13" t="str">
        <f>'Choix étudiants'!R61</f>
        <v/>
      </c>
      <c r="N32" s="14"/>
      <c r="O32" s="14"/>
      <c r="P32" s="14"/>
      <c r="Q32" s="14"/>
      <c r="R32" s="14"/>
      <c r="S32" s="14"/>
      <c r="T32" s="14"/>
      <c r="U32" s="14"/>
    </row>
    <row r="33" ht="30.0" hidden="1" customHeight="1">
      <c r="A33" s="17">
        <f>'Choix étudiants'!A145</f>
        <v>43362.48123</v>
      </c>
      <c r="B33" s="4" t="s">
        <v>17</v>
      </c>
      <c r="C33" s="5" t="str">
        <f>'Choix étudiants'!C145</f>
        <v>ENE</v>
      </c>
      <c r="D33" s="5" t="str">
        <f>'Choix étudiants'!D145</f>
        <v>OGBI</v>
      </c>
      <c r="E33" s="5" t="str">
        <f>'Choix étudiants'!E145</f>
        <v>Lucas</v>
      </c>
      <c r="F33" s="5" t="str">
        <f>'Choix étudiants'!F145</f>
        <v>lucas.ogbi@edu.esiee.fr</v>
      </c>
      <c r="G33" s="36" t="str">
        <f>'Choix étudiants'!H145</f>
        <v>E13</v>
      </c>
      <c r="H33" s="14" t="str">
        <f>'Choix étudiants'!J145</f>
        <v>R1</v>
      </c>
      <c r="I33" s="5" t="str">
        <f>'Choix étudiants'!L145</f>
        <v>R12</v>
      </c>
      <c r="J33" s="14" t="str">
        <f>'Choix étudiants'!N145</f>
        <v>R2</v>
      </c>
      <c r="K33" s="5" t="str">
        <f>'Choix étudiants'!P145</f>
        <v>R23</v>
      </c>
      <c r="L33" s="5" t="str">
        <f>'Choix étudiants'!Q145</f>
        <v>Je pars au semestre 1</v>
      </c>
      <c r="M33" s="13" t="str">
        <f>'Choix étudiants'!R139</f>
        <v/>
      </c>
      <c r="N33" s="14"/>
      <c r="O33" s="14"/>
      <c r="P33" s="14"/>
      <c r="Q33" s="14"/>
      <c r="R33" s="14"/>
      <c r="S33" s="14"/>
      <c r="T33" s="14"/>
      <c r="U33" s="14"/>
    </row>
    <row r="34" ht="30.0" hidden="1" customHeight="1">
      <c r="A34" s="2">
        <f>'Choix étudiants'!A195</f>
        <v>43360.42713</v>
      </c>
      <c r="B34" s="4" t="s">
        <v>17</v>
      </c>
      <c r="C34" s="5" t="str">
        <f>'Choix étudiants'!C195</f>
        <v>ENE</v>
      </c>
      <c r="D34" s="14" t="str">
        <f>'Choix étudiants'!D195</f>
        <v>TOULASSIDARANE</v>
      </c>
      <c r="E34" s="14" t="str">
        <f>'Choix étudiants'!E195</f>
        <v>Cavine</v>
      </c>
      <c r="F34" s="5" t="str">
        <f>'Choix étudiants'!F195</f>
        <v>cavine.toulassidarane@edu.esiee.fr</v>
      </c>
      <c r="G34" s="5" t="str">
        <f>'Choix étudiants'!H195</f>
        <v>R12</v>
      </c>
      <c r="H34" s="14" t="str">
        <f>'Choix étudiants'!J195</f>
        <v>E17</v>
      </c>
      <c r="I34" s="5" t="str">
        <f>'Choix étudiants'!L195</f>
        <v>R16</v>
      </c>
      <c r="J34" s="5" t="str">
        <f>'Choix étudiants'!N195</f>
        <v>R4</v>
      </c>
      <c r="K34" s="14" t="str">
        <f>'Choix étudiants'!P195</f>
        <v>R1</v>
      </c>
      <c r="L34" s="32" t="s">
        <v>21</v>
      </c>
      <c r="M34" s="13" t="str">
        <f>'Choix étudiants'!R195</f>
        <v/>
      </c>
      <c r="N34" s="14"/>
      <c r="O34" s="14"/>
      <c r="P34" s="14"/>
      <c r="Q34" s="14"/>
      <c r="R34" s="14"/>
      <c r="S34" s="14"/>
      <c r="T34" s="14"/>
      <c r="U34" s="14"/>
    </row>
    <row r="35" ht="30.0" hidden="1" customHeight="1">
      <c r="A35" s="17">
        <f>'Choix étudiants'!A37</f>
        <v>43362.35165</v>
      </c>
      <c r="B35" s="4" t="s">
        <v>22</v>
      </c>
      <c r="C35" s="5" t="str">
        <f>'Choix étudiants'!C37</f>
        <v>BIO</v>
      </c>
      <c r="D35" s="5" t="str">
        <f>'Choix étudiants'!D37</f>
        <v>CHERIF</v>
      </c>
      <c r="E35" s="5" t="str">
        <f>'Choix étudiants'!E37</f>
        <v>Alyssa</v>
      </c>
      <c r="F35" s="5" t="str">
        <f>'Choix étudiants'!F37</f>
        <v>alyssa.cherif@edu.esiee.fr</v>
      </c>
      <c r="G35" s="39" t="str">
        <f>'Choix étudiants'!H37</f>
        <v>E15</v>
      </c>
      <c r="H35" s="5" t="str">
        <f>'Choix étudiants'!J37</f>
        <v>E20</v>
      </c>
      <c r="I35" s="5" t="str">
        <f>'Choix étudiants'!L37</f>
        <v>E1</v>
      </c>
      <c r="J35" s="5" t="str">
        <f>'Choix étudiants'!N37</f>
        <v>E19</v>
      </c>
      <c r="K35" s="5" t="str">
        <f>'Choix étudiants'!P37</f>
        <v>R2</v>
      </c>
      <c r="L35" s="5" t="str">
        <f>'Choix étudiants'!Q37</f>
        <v>Je pars au semestre 1</v>
      </c>
      <c r="M35" s="13" t="str">
        <f>'Choix étudiants'!R37</f>
        <v/>
      </c>
      <c r="N35" s="14"/>
      <c r="O35" s="14"/>
      <c r="P35" s="14"/>
      <c r="Q35" s="14"/>
      <c r="R35" s="14"/>
      <c r="S35" s="14"/>
      <c r="T35" s="14"/>
      <c r="U35" s="14"/>
    </row>
    <row r="36" ht="30.0" hidden="1" customHeight="1">
      <c r="A36" s="17">
        <f>'Choix étudiants'!A46</f>
        <v>43360.52914</v>
      </c>
      <c r="B36" s="4" t="s">
        <v>22</v>
      </c>
      <c r="C36" s="5" t="str">
        <f>'Choix étudiants'!C46</f>
        <v>BIO</v>
      </c>
      <c r="D36" s="5" t="str">
        <f>'Choix étudiants'!D46</f>
        <v>DAMIAN</v>
      </c>
      <c r="E36" s="5" t="str">
        <f>'Choix étudiants'!E46</f>
        <v>Léa</v>
      </c>
      <c r="F36" s="5" t="str">
        <f>'Choix étudiants'!F46</f>
        <v>lea.damian@edu.esiee.fr</v>
      </c>
      <c r="G36" s="14" t="str">
        <f>'Choix étudiants'!H46</f>
        <v>R2</v>
      </c>
      <c r="H36" s="39" t="str">
        <f>'Choix étudiants'!J46</f>
        <v>E15</v>
      </c>
      <c r="I36" s="5" t="str">
        <f>'Choix étudiants'!L46</f>
        <v>R24</v>
      </c>
      <c r="J36" s="5" t="str">
        <f>'Choix étudiants'!N46</f>
        <v>E19</v>
      </c>
      <c r="K36" s="5" t="str">
        <f>'Choix étudiants'!P46</f>
        <v>E1</v>
      </c>
      <c r="L36" s="5" t="str">
        <f>'Choix étudiants'!Q46</f>
        <v>Je ne pars pas</v>
      </c>
      <c r="M36" s="13" t="str">
        <f>'Choix étudiants'!R46</f>
        <v/>
      </c>
      <c r="N36" s="14"/>
      <c r="O36" s="14"/>
      <c r="P36" s="14"/>
      <c r="Q36" s="14"/>
      <c r="R36" s="14"/>
      <c r="S36" s="14"/>
      <c r="T36" s="14"/>
      <c r="U36" s="14"/>
    </row>
    <row r="37" ht="30.0" hidden="1" customHeight="1">
      <c r="A37" s="17">
        <f>'Choix étudiants'!A57</f>
        <v>43360.43392</v>
      </c>
      <c r="B37" s="4" t="s">
        <v>22</v>
      </c>
      <c r="C37" s="5" t="str">
        <f>'Choix étudiants'!C57</f>
        <v>BIO</v>
      </c>
      <c r="D37" s="5" t="str">
        <f>'Choix étudiants'!D57</f>
        <v>DUARTE PEREIRA</v>
      </c>
      <c r="E37" s="5" t="str">
        <f>'Choix étudiants'!E57</f>
        <v>Flávio Miguel</v>
      </c>
      <c r="F37" s="5" t="str">
        <f>'Choix étudiants'!F57</f>
        <v>flaviomiguel.duartepereira@edu.esiee.fr</v>
      </c>
      <c r="G37" s="14" t="str">
        <f>'Choix étudiants'!H57</f>
        <v>R2</v>
      </c>
      <c r="H37" s="39" t="str">
        <f>'Choix étudiants'!J57</f>
        <v>E15</v>
      </c>
      <c r="I37" s="5" t="str">
        <f>'Choix étudiants'!L57</f>
        <v>E19</v>
      </c>
      <c r="J37" s="5" t="str">
        <f>'Choix étudiants'!N57</f>
        <v>R15</v>
      </c>
      <c r="K37" s="5" t="str">
        <f>'Choix étudiants'!P57</f>
        <v>E1</v>
      </c>
      <c r="L37" s="5" t="str">
        <f>'Choix étudiants'!Q57</f>
        <v>Je ne pars pas</v>
      </c>
      <c r="M37" s="13" t="str">
        <f>'Choix étudiants'!R57</f>
        <v/>
      </c>
      <c r="N37" s="14"/>
      <c r="O37" s="14"/>
      <c r="P37" s="14"/>
      <c r="Q37" s="14"/>
      <c r="R37" s="14"/>
      <c r="S37" s="14"/>
      <c r="T37" s="14"/>
      <c r="U37" s="14"/>
    </row>
    <row r="38" ht="30.0" hidden="1" customHeight="1">
      <c r="A38" s="17">
        <f>'Choix étudiants'!A68</f>
        <v>43360.42487</v>
      </c>
      <c r="B38" s="4" t="s">
        <v>22</v>
      </c>
      <c r="C38" s="5" t="str">
        <f>'Choix étudiants'!C68</f>
        <v>BIO</v>
      </c>
      <c r="D38" s="5" t="str">
        <f>'Choix étudiants'!D68</f>
        <v>FELIXAIN</v>
      </c>
      <c r="E38" s="5" t="str">
        <f>'Choix étudiants'!E68</f>
        <v>Olivia</v>
      </c>
      <c r="F38" s="5" t="str">
        <f>'Choix étudiants'!F68</f>
        <v>olivia.felixain@edu.esiee.fr</v>
      </c>
      <c r="G38" s="14" t="str">
        <f>'Choix étudiants'!H68</f>
        <v>E19</v>
      </c>
      <c r="H38" s="39" t="str">
        <f>'Choix étudiants'!J68</f>
        <v>E15</v>
      </c>
      <c r="I38" s="5" t="str">
        <f>'Choix étudiants'!L68</f>
        <v>R2</v>
      </c>
      <c r="J38" s="5" t="str">
        <f>'Choix étudiants'!N68</f>
        <v>R24</v>
      </c>
      <c r="K38" s="5" t="str">
        <f>'Choix étudiants'!P68</f>
        <v>E1</v>
      </c>
      <c r="L38" s="5" t="str">
        <f>'Choix étudiants'!Q68</f>
        <v>Je ne pars pas</v>
      </c>
      <c r="M38" s="13" t="str">
        <f>'Choix étudiants'!R68</f>
        <v/>
      </c>
      <c r="N38" s="14"/>
      <c r="O38" s="14"/>
      <c r="P38" s="14"/>
      <c r="Q38" s="14"/>
      <c r="R38" s="14"/>
      <c r="S38" s="14"/>
      <c r="T38" s="14"/>
      <c r="U38" s="14"/>
    </row>
    <row r="39" ht="30.0" hidden="1" customHeight="1">
      <c r="A39" s="17">
        <f>'Choix étudiants'!A199</f>
        <v>43362.27725</v>
      </c>
      <c r="B39" s="4" t="s">
        <v>22</v>
      </c>
      <c r="C39" s="5" t="str">
        <f>'Choix étudiants'!C199</f>
        <v>BIO</v>
      </c>
      <c r="D39" s="14" t="str">
        <f>'Choix étudiants'!D199</f>
        <v>VALETTE</v>
      </c>
      <c r="E39" s="14" t="str">
        <f>'Choix étudiants'!E199</f>
        <v>Marion</v>
      </c>
      <c r="F39" s="5" t="str">
        <f>'Choix étudiants'!F199</f>
        <v>marion.valette@edu.esiee.fr</v>
      </c>
      <c r="G39" s="39" t="str">
        <f>'Choix étudiants'!H199</f>
        <v>E15</v>
      </c>
      <c r="H39" s="5" t="str">
        <f>'Choix étudiants'!J199</f>
        <v>R24</v>
      </c>
      <c r="I39" s="5" t="str">
        <f>'Choix étudiants'!L199</f>
        <v>R15</v>
      </c>
      <c r="J39" s="5" t="str">
        <f>'Choix étudiants'!N199</f>
        <v>R27</v>
      </c>
      <c r="K39" s="5" t="str">
        <f>'Choix étudiants'!P199</f>
        <v>LL1</v>
      </c>
      <c r="L39" s="5" t="str">
        <f>'Choix étudiants'!Q199</f>
        <v>Je pars au semestre 1</v>
      </c>
      <c r="M39" s="13" t="str">
        <f>'Choix étudiants'!R199</f>
        <v/>
      </c>
      <c r="N39" s="14"/>
      <c r="O39" s="14"/>
      <c r="P39" s="14"/>
      <c r="Q39" s="14"/>
      <c r="R39" s="14"/>
      <c r="S39" s="14"/>
      <c r="T39" s="14"/>
      <c r="U39" s="14"/>
    </row>
    <row r="40" ht="30.0" hidden="1" customHeight="1">
      <c r="A40" s="17">
        <f>'Choix étudiants'!A212</f>
        <v>43360.42039</v>
      </c>
      <c r="B40" s="4" t="s">
        <v>22</v>
      </c>
      <c r="C40" s="5" t="str">
        <f>'Choix étudiants'!C212</f>
        <v>BIO</v>
      </c>
      <c r="D40" s="5" t="str">
        <f>'Choix étudiants'!D212</f>
        <v>ZEHANI</v>
      </c>
      <c r="E40" s="5" t="str">
        <f>'Choix étudiants'!E212</f>
        <v>Neïla</v>
      </c>
      <c r="F40" s="5" t="str">
        <f>'Choix étudiants'!F212</f>
        <v>neila.zehani@edu.esiee.fr</v>
      </c>
      <c r="G40" s="39" t="str">
        <f>'Choix étudiants'!H212</f>
        <v>E15</v>
      </c>
      <c r="H40" s="5" t="str">
        <f>'Choix étudiants'!J212</f>
        <v>E20</v>
      </c>
      <c r="I40" s="5" t="str">
        <f>'Choix étudiants'!L212</f>
        <v>R2</v>
      </c>
      <c r="J40" s="5" t="str">
        <f>'Choix étudiants'!N212</f>
        <v>R15</v>
      </c>
      <c r="K40" s="5" t="str">
        <f>'Choix étudiants'!P212</f>
        <v>E19</v>
      </c>
      <c r="L40" s="5" t="str">
        <f>'Choix étudiants'!Q212</f>
        <v>Je ne pars pas</v>
      </c>
      <c r="M40" s="13" t="str">
        <f>'Choix étudiants'!R212</f>
        <v/>
      </c>
      <c r="N40" s="14"/>
      <c r="O40" s="14"/>
      <c r="P40" s="14"/>
      <c r="Q40" s="14"/>
      <c r="R40" s="14"/>
      <c r="S40" s="14"/>
      <c r="T40" s="14"/>
      <c r="U40" s="14"/>
    </row>
    <row r="41" ht="30.0" hidden="1" customHeight="1">
      <c r="A41" s="17">
        <f>'Choix étudiants'!A26</f>
        <v>43361.84124</v>
      </c>
      <c r="B41" s="4" t="s">
        <v>23</v>
      </c>
      <c r="C41" s="5" t="str">
        <f>'Choix étudiants'!C26</f>
        <v>SE</v>
      </c>
      <c r="D41" s="5" t="str">
        <f>'Choix étudiants'!D26</f>
        <v>BORDIER</v>
      </c>
      <c r="E41" s="5" t="str">
        <f>'Choix étudiants'!E26</f>
        <v>Axel</v>
      </c>
      <c r="F41" s="5" t="str">
        <f>'Choix étudiants'!F26</f>
        <v>axel.bordier@edu.esiee.fr</v>
      </c>
      <c r="G41" s="40" t="str">
        <f>'Choix étudiants'!H26</f>
        <v>E16</v>
      </c>
      <c r="H41" s="14" t="str">
        <f>'Choix étudiants'!J26</f>
        <v>C2</v>
      </c>
      <c r="I41" s="5" t="str">
        <f>'Choix étudiants'!L26</f>
        <v>C1</v>
      </c>
      <c r="J41" s="5" t="str">
        <f>'Choix étudiants'!N26</f>
        <v>R5</v>
      </c>
      <c r="K41" s="5" t="str">
        <f>'Choix étudiants'!P26</f>
        <v>R7</v>
      </c>
      <c r="L41" s="5" t="str">
        <f>'Choix étudiants'!Q26</f>
        <v>Je pars au semestre 1</v>
      </c>
      <c r="M41" s="13" t="str">
        <f>'Choix étudiants'!R26</f>
        <v/>
      </c>
      <c r="N41" s="14"/>
      <c r="O41" s="14"/>
      <c r="P41" s="14"/>
      <c r="Q41" s="14"/>
      <c r="R41" s="14"/>
      <c r="S41" s="14"/>
      <c r="T41" s="14"/>
      <c r="U41" s="14"/>
    </row>
    <row r="42" ht="30.0" hidden="1" customHeight="1">
      <c r="A42" s="17">
        <f>'Choix étudiants'!A42</f>
        <v>43360.5138</v>
      </c>
      <c r="B42" s="4" t="s">
        <v>23</v>
      </c>
      <c r="C42" s="5" t="str">
        <f>'Choix étudiants'!C42</f>
        <v>INF</v>
      </c>
      <c r="D42" s="40" t="str">
        <f>'Choix étudiants'!D42</f>
        <v>CONTAT</v>
      </c>
      <c r="E42" s="5" t="str">
        <f>'Choix étudiants'!E42</f>
        <v>Gauthier</v>
      </c>
      <c r="F42" s="5" t="str">
        <f>'Choix étudiants'!F42</f>
        <v>gauthier.contat@edu.esiee.fr</v>
      </c>
      <c r="G42" s="40" t="str">
        <f>'Choix étudiants'!H42</f>
        <v>E16</v>
      </c>
      <c r="H42" s="14" t="str">
        <f>'Choix étudiants'!J42</f>
        <v>R13</v>
      </c>
      <c r="I42" s="5" t="str">
        <f>'Choix étudiants'!L42</f>
        <v>E11</v>
      </c>
      <c r="J42" s="5" t="str">
        <f>'Choix étudiants'!N42</f>
        <v>R18</v>
      </c>
      <c r="K42" s="5" t="str">
        <f>'Choix étudiants'!P42</f>
        <v>R18</v>
      </c>
      <c r="L42" s="5" t="str">
        <f>'Choix étudiants'!Q42</f>
        <v>Je ne pars pas</v>
      </c>
      <c r="M42" s="13" t="str">
        <f>'Choix étudiants'!R42</f>
        <v/>
      </c>
      <c r="N42" s="14"/>
      <c r="O42" s="14"/>
      <c r="P42" s="14"/>
      <c r="Q42" s="14"/>
      <c r="R42" s="14"/>
      <c r="S42" s="14"/>
      <c r="T42" s="14"/>
      <c r="U42" s="14"/>
    </row>
    <row r="43" ht="30.0" hidden="1" customHeight="1">
      <c r="A43" s="17">
        <f>'Choix étudiants'!A89</f>
        <v>43360.42303</v>
      </c>
      <c r="B43" s="4" t="s">
        <v>23</v>
      </c>
      <c r="C43" s="5" t="str">
        <f>'Choix étudiants'!C89</f>
        <v>SE</v>
      </c>
      <c r="D43" s="40" t="str">
        <f>'Choix étudiants'!D89</f>
        <v>GUMILA</v>
      </c>
      <c r="E43" s="5" t="str">
        <f>'Choix étudiants'!E89</f>
        <v>Pierre</v>
      </c>
      <c r="F43" s="5" t="str">
        <f>'Choix étudiants'!F89</f>
        <v>pierre.gumila@edu.esiee.fr</v>
      </c>
      <c r="G43" s="40" t="str">
        <f>'Choix étudiants'!H89</f>
        <v>E16</v>
      </c>
      <c r="H43" s="5" t="str">
        <f>'Choix étudiants'!J89</f>
        <v>R13</v>
      </c>
      <c r="I43" s="5" t="str">
        <f>'Choix étudiants'!L89</f>
        <v>R5</v>
      </c>
      <c r="J43" s="5" t="str">
        <f>'Choix étudiants'!N89</f>
        <v>R3</v>
      </c>
      <c r="K43" s="5" t="str">
        <f>'Choix étudiants'!P89</f>
        <v>E3</v>
      </c>
      <c r="L43" s="5" t="str">
        <f>'Choix étudiants'!Q89</f>
        <v>Je ne pars pas</v>
      </c>
      <c r="M43" s="13" t="str">
        <f>'Choix étudiants'!R89</f>
        <v/>
      </c>
      <c r="N43" s="14"/>
      <c r="O43" s="14"/>
      <c r="P43" s="14"/>
      <c r="Q43" s="14"/>
      <c r="R43" s="14"/>
      <c r="S43" s="14"/>
      <c r="T43" s="14"/>
      <c r="U43" s="14"/>
    </row>
    <row r="44" ht="30.0" hidden="1" customHeight="1">
      <c r="A44" s="17">
        <f>'Choix étudiants'!A95</f>
        <v>43360.4344</v>
      </c>
      <c r="B44" s="4" t="s">
        <v>23</v>
      </c>
      <c r="C44" s="5" t="str">
        <f>'Choix étudiants'!C95</f>
        <v>INF</v>
      </c>
      <c r="D44" s="40" t="str">
        <f>'Choix étudiants'!D95</f>
        <v>HEURTEBIZE</v>
      </c>
      <c r="E44" s="5" t="str">
        <f>'Choix étudiants'!E95</f>
        <v>Théo</v>
      </c>
      <c r="F44" s="5" t="str">
        <f>'Choix étudiants'!F95</f>
        <v>theo.heurtebize@edu.esiee.fr</v>
      </c>
      <c r="G44" s="40" t="str">
        <f>'Choix étudiants'!H95</f>
        <v>E16</v>
      </c>
      <c r="H44" s="5" t="str">
        <f>'Choix étudiants'!J95</f>
        <v>R13</v>
      </c>
      <c r="I44" s="5" t="str">
        <f>'Choix étudiants'!L95</f>
        <v>E2</v>
      </c>
      <c r="J44" s="5" t="str">
        <f>'Choix étudiants'!N95</f>
        <v>R25</v>
      </c>
      <c r="K44" s="5" t="str">
        <f>'Choix étudiants'!P95</f>
        <v>E5</v>
      </c>
      <c r="L44" s="5" t="str">
        <f>'Choix étudiants'!Q95</f>
        <v>Je pars au semestre 1</v>
      </c>
      <c r="M44" s="13" t="str">
        <f>'Choix étudiants'!R95</f>
        <v/>
      </c>
      <c r="N44" s="14"/>
      <c r="O44" s="14"/>
      <c r="P44" s="14"/>
      <c r="Q44" s="14"/>
      <c r="R44" s="14"/>
      <c r="S44" s="14"/>
      <c r="T44" s="14"/>
      <c r="U44" s="14"/>
    </row>
    <row r="45" ht="30.0" hidden="1" customHeight="1">
      <c r="A45" s="17">
        <f>'Choix étudiants'!A108</f>
        <v>43362.12552</v>
      </c>
      <c r="B45" s="4" t="s">
        <v>23</v>
      </c>
      <c r="C45" s="5" t="str">
        <f>'Choix étudiants'!C108</f>
        <v>SE</v>
      </c>
      <c r="D45" s="5" t="str">
        <f>'Choix étudiants'!D108</f>
        <v>LATRE</v>
      </c>
      <c r="E45" s="5" t="str">
        <f>'Choix étudiants'!E108</f>
        <v>Ryan</v>
      </c>
      <c r="F45" s="5" t="str">
        <f>'Choix étudiants'!F108</f>
        <v>ryan.latre@edu.esiee.fr</v>
      </c>
      <c r="G45" s="40" t="str">
        <f>'Choix étudiants'!H108</f>
        <v>E16</v>
      </c>
      <c r="H45" s="5" t="str">
        <f>'Choix étudiants'!J108</f>
        <v>R7</v>
      </c>
      <c r="I45" s="5" t="str">
        <f>'Choix étudiants'!L108</f>
        <v>R18</v>
      </c>
      <c r="J45" s="5" t="str">
        <f>'Choix étudiants'!N108</f>
        <v>E18</v>
      </c>
      <c r="K45" s="5" t="str">
        <f>'Choix étudiants'!P108</f>
        <v>C1</v>
      </c>
      <c r="L45" s="5" t="str">
        <f>'Choix étudiants'!Q108</f>
        <v>Je pars au semestre 2</v>
      </c>
      <c r="M45" s="13" t="str">
        <f>'Choix étudiants'!R108</f>
        <v/>
      </c>
      <c r="N45" s="14"/>
      <c r="O45" s="14"/>
      <c r="P45" s="14"/>
      <c r="Q45" s="14"/>
      <c r="R45" s="14"/>
      <c r="S45" s="14"/>
      <c r="T45" s="14"/>
      <c r="U45" s="14"/>
    </row>
    <row r="46" ht="30.0" hidden="1" customHeight="1">
      <c r="A46" s="17">
        <f>'Choix étudiants'!A133</f>
        <v>43360.56551</v>
      </c>
      <c r="B46" s="4" t="s">
        <v>23</v>
      </c>
      <c r="C46" s="5" t="str">
        <f>'Choix étudiants'!C133</f>
        <v>SE</v>
      </c>
      <c r="D46" s="40" t="str">
        <f>'Choix étudiants'!D133</f>
        <v>MICHEL</v>
      </c>
      <c r="E46" s="5" t="str">
        <f>'Choix étudiants'!E133</f>
        <v>Sébastien</v>
      </c>
      <c r="F46" s="5" t="str">
        <f>'Choix étudiants'!F133</f>
        <v>sebastien.michel@edu.esiee.fr</v>
      </c>
      <c r="G46" s="40" t="str">
        <f>'Choix étudiants'!H133</f>
        <v>E16</v>
      </c>
      <c r="H46" s="5" t="str">
        <f>'Choix étudiants'!J133</f>
        <v>R13</v>
      </c>
      <c r="I46" s="5" t="str">
        <f>'Choix étudiants'!L133</f>
        <v>R7</v>
      </c>
      <c r="J46" s="5" t="str">
        <f>'Choix étudiants'!N133</f>
        <v>E3</v>
      </c>
      <c r="K46" s="5" t="str">
        <f>'Choix étudiants'!P133</f>
        <v>R6</v>
      </c>
      <c r="L46" s="5" t="str">
        <f>'Choix étudiants'!Q133</f>
        <v>Je ne pars pas</v>
      </c>
      <c r="M46" s="13" t="str">
        <f>'Choix étudiants'!R133</f>
        <v/>
      </c>
      <c r="N46" s="14"/>
      <c r="O46" s="14"/>
      <c r="P46" s="14"/>
      <c r="Q46" s="14"/>
      <c r="R46" s="14"/>
      <c r="S46" s="14"/>
      <c r="T46" s="14"/>
      <c r="U46" s="14"/>
    </row>
    <row r="47" ht="30.0" hidden="1" customHeight="1">
      <c r="A47" s="17">
        <f>'Choix étudiants'!A156</f>
        <v>43360.52489</v>
      </c>
      <c r="B47" s="4" t="s">
        <v>23</v>
      </c>
      <c r="C47" s="5" t="str">
        <f>'Choix étudiants'!C156</f>
        <v>SE</v>
      </c>
      <c r="D47" s="5" t="str">
        <f>'Choix étudiants'!D156</f>
        <v>PERERA</v>
      </c>
      <c r="E47" s="5" t="str">
        <f>'Choix étudiants'!E156</f>
        <v>Madhushi</v>
      </c>
      <c r="F47" s="5" t="str">
        <f>'Choix étudiants'!F156</f>
        <v>madhushi.perera@edu.esiee.fr</v>
      </c>
      <c r="G47" s="40" t="str">
        <f>'Choix étudiants'!H156</f>
        <v>E16</v>
      </c>
      <c r="H47" s="5" t="str">
        <f>'Choix étudiants'!J156</f>
        <v>E20</v>
      </c>
      <c r="I47" s="5" t="str">
        <f>'Choix étudiants'!L156</f>
        <v>R6</v>
      </c>
      <c r="J47" s="5">
        <f>'Choix étudiants'!N156</f>
        <v>14</v>
      </c>
      <c r="K47" s="5" t="str">
        <f>'Choix étudiants'!P156</f>
        <v>R17</v>
      </c>
      <c r="L47" s="5" t="str">
        <f>'Choix étudiants'!Q156</f>
        <v>Je ne pars pas</v>
      </c>
      <c r="M47" s="13" t="str">
        <f>'Choix étudiants'!R156</f>
        <v/>
      </c>
      <c r="N47" s="14"/>
      <c r="O47" s="14"/>
      <c r="P47" s="14"/>
      <c r="Q47" s="14"/>
      <c r="R47" s="14"/>
      <c r="S47" s="14"/>
      <c r="T47" s="14"/>
      <c r="U47" s="14"/>
    </row>
    <row r="48" ht="30.0" hidden="1" customHeight="1">
      <c r="A48" s="17">
        <f>'Choix étudiants'!A14</f>
        <v>43362.36437</v>
      </c>
      <c r="B48" s="4" t="s">
        <v>27</v>
      </c>
      <c r="C48" s="5" t="str">
        <f>'Choix étudiants'!C14</f>
        <v>BIO</v>
      </c>
      <c r="D48" s="5" t="str">
        <f>'Choix étudiants'!D14</f>
        <v>BAUDOUIN</v>
      </c>
      <c r="E48" s="5" t="str">
        <f>'Choix étudiants'!E14</f>
        <v>Clara</v>
      </c>
      <c r="F48" s="5" t="str">
        <f>'Choix étudiants'!F14</f>
        <v>clara.baudouin@edu.esiee.fr</v>
      </c>
      <c r="G48" s="14" t="str">
        <f>'Choix étudiants'!H14</f>
        <v>E15</v>
      </c>
      <c r="H48" s="30" t="str">
        <f>'Choix étudiants'!J14</f>
        <v>E19</v>
      </c>
      <c r="I48" s="14" t="str">
        <f>'Choix étudiants'!L14</f>
        <v>E1</v>
      </c>
      <c r="J48" s="5" t="str">
        <f>'Choix étudiants'!N14</f>
        <v>R2</v>
      </c>
      <c r="K48" s="5" t="str">
        <f>'Choix étudiants'!P14</f>
        <v>E20</v>
      </c>
      <c r="L48" s="5" t="str">
        <f>'Choix étudiants'!Q14</f>
        <v>Je pars au semestre 1</v>
      </c>
      <c r="M48" s="13" t="str">
        <f>'Choix étudiants'!R14</f>
        <v/>
      </c>
      <c r="N48" s="14"/>
      <c r="O48" s="14"/>
      <c r="P48" s="14"/>
      <c r="Q48" s="14"/>
      <c r="R48" s="14"/>
      <c r="S48" s="14"/>
      <c r="T48" s="14"/>
      <c r="U48" s="14"/>
    </row>
    <row r="49" ht="30.0" customHeight="1">
      <c r="A49" s="2">
        <f>'Choix étudiants'!A92</f>
        <v>43360.4178</v>
      </c>
      <c r="B49" s="4" t="s">
        <v>27</v>
      </c>
      <c r="C49" s="5" t="str">
        <f>'Choix étudiants'!C92</f>
        <v>DSIA</v>
      </c>
      <c r="D49" s="5" t="str">
        <f>'Choix étudiants'!D92</f>
        <v>HAMANI</v>
      </c>
      <c r="E49" s="5" t="str">
        <f>'Choix étudiants'!E92</f>
        <v>Chams</v>
      </c>
      <c r="F49" s="5" t="str">
        <f>'Choix étudiants'!F92</f>
        <v>chams.hamami@edu.esiee.fr</v>
      </c>
      <c r="G49" s="5" t="str">
        <f>'Choix étudiants'!H92</f>
        <v>E24</v>
      </c>
      <c r="H49" s="5" t="str">
        <f>'Choix étudiants'!J92</f>
        <v>E21</v>
      </c>
      <c r="I49" s="30" t="str">
        <f>'Choix étudiants'!L92</f>
        <v>E19</v>
      </c>
      <c r="J49" s="5" t="str">
        <f>'Choix étudiants'!N92</f>
        <v>E7</v>
      </c>
      <c r="K49" s="5" t="str">
        <f>'Choix étudiants'!P92</f>
        <v>R13</v>
      </c>
      <c r="L49" s="5" t="str">
        <f>'Choix étudiants'!Q92</f>
        <v>Je ne pars pas</v>
      </c>
      <c r="M49" s="13" t="str">
        <f>'Choix étudiants'!R92</f>
        <v/>
      </c>
      <c r="N49" s="14"/>
      <c r="O49" s="14"/>
      <c r="P49" s="14"/>
      <c r="Q49" s="14"/>
      <c r="R49" s="14"/>
      <c r="S49" s="14"/>
      <c r="T49" s="14"/>
      <c r="U49" s="14"/>
    </row>
    <row r="50" ht="30.0" customHeight="1">
      <c r="A50" s="17">
        <f>'Choix étudiants'!A125</f>
        <v>43361.3974</v>
      </c>
      <c r="B50" s="4" t="s">
        <v>27</v>
      </c>
      <c r="C50" s="5" t="str">
        <f>'Choix étudiants'!C125</f>
        <v>DSIA</v>
      </c>
      <c r="D50" s="5" t="str">
        <f>'Choix étudiants'!D125</f>
        <v>MAVOUNGOU</v>
      </c>
      <c r="E50" s="5" t="str">
        <f>'Choix étudiants'!E125</f>
        <v>Steven</v>
      </c>
      <c r="F50" s="5" t="str">
        <f>'Choix étudiants'!F125</f>
        <v>steven.mavoungou@edu.esiee.fr</v>
      </c>
      <c r="G50" s="14" t="str">
        <f>'Choix étudiants'!H125</f>
        <v>E5</v>
      </c>
      <c r="H50" s="5" t="str">
        <f>'Choix étudiants'!J125</f>
        <v>E21</v>
      </c>
      <c r="I50" s="30" t="str">
        <f>'Choix étudiants'!L125</f>
        <v>E19</v>
      </c>
      <c r="J50" s="5" t="str">
        <f>'Choix étudiants'!N125</f>
        <v>E24</v>
      </c>
      <c r="K50" s="14" t="str">
        <f>'Choix étudiants'!P125</f>
        <v>E10</v>
      </c>
      <c r="L50" s="5" t="str">
        <f>'Choix étudiants'!Q125</f>
        <v>Je ne pars pas</v>
      </c>
      <c r="M50" s="13" t="str">
        <f>'Choix étudiants'!R125</f>
        <v/>
      </c>
      <c r="N50" s="14"/>
      <c r="O50" s="14"/>
      <c r="P50" s="14"/>
      <c r="Q50" s="14"/>
      <c r="R50" s="14"/>
      <c r="S50" s="14"/>
      <c r="T50" s="14"/>
      <c r="U50" s="14"/>
    </row>
    <row r="51" ht="30.0" customHeight="1">
      <c r="A51" s="17">
        <f>'Choix étudiants'!A143</f>
        <v>43362.01956</v>
      </c>
      <c r="B51" s="4" t="s">
        <v>27</v>
      </c>
      <c r="C51" s="5" t="str">
        <f>'Choix étudiants'!C143</f>
        <v>DSIA</v>
      </c>
      <c r="D51" s="5" t="str">
        <f>'Choix étudiants'!D143</f>
        <v>NGUYEN</v>
      </c>
      <c r="E51" s="5" t="str">
        <f>'Choix étudiants'!E143</f>
        <v>Lucas - Thien-Nhan</v>
      </c>
      <c r="F51" s="5" t="str">
        <f>'Choix étudiants'!F143</f>
        <v>lucas-thien-nhan.nguyen@edu.esiee.fr</v>
      </c>
      <c r="G51" s="14" t="str">
        <f>'Choix étudiants'!H143</f>
        <v>E5</v>
      </c>
      <c r="H51" s="5" t="str">
        <f>'Choix étudiants'!J143</f>
        <v>E21</v>
      </c>
      <c r="I51" s="30" t="str">
        <f>'Choix étudiants'!L143</f>
        <v>E19</v>
      </c>
      <c r="J51" s="5" t="str">
        <f>'Choix étudiants'!N143</f>
        <v>E24</v>
      </c>
      <c r="K51" s="5" t="str">
        <f>'Choix étudiants'!P143</f>
        <v>E10</v>
      </c>
      <c r="L51" s="5" t="str">
        <f>'Choix étudiants'!Q143</f>
        <v>Je ne pars pas</v>
      </c>
      <c r="M51" s="13" t="str">
        <f>'Choix étudiants'!R144</f>
        <v/>
      </c>
      <c r="N51" s="14"/>
      <c r="O51" s="14"/>
      <c r="P51" s="14"/>
      <c r="Q51" s="14"/>
      <c r="R51" s="14"/>
      <c r="S51" s="14"/>
      <c r="T51" s="14"/>
      <c r="U51" s="14"/>
    </row>
    <row r="52" ht="30.0" hidden="1" customHeight="1">
      <c r="A52" s="17">
        <f>'Choix étudiants'!A209</f>
        <v>43362.48825</v>
      </c>
      <c r="B52" s="4" t="s">
        <v>27</v>
      </c>
      <c r="C52" s="5" t="str">
        <f>'Choix étudiants'!C209</f>
        <v>SE</v>
      </c>
      <c r="D52" s="5" t="str">
        <f>'Choix étudiants'!D209</f>
        <v>YOUSSEF</v>
      </c>
      <c r="E52" s="5" t="str">
        <f>'Choix étudiants'!E209</f>
        <v>Stéphane</v>
      </c>
      <c r="F52" s="5" t="str">
        <f>'Choix étudiants'!F209</f>
        <v>stephane.youssef@edu.esiee.fr</v>
      </c>
      <c r="G52" s="30" t="str">
        <f>'Choix étudiants'!H209</f>
        <v>E19</v>
      </c>
      <c r="H52" s="14" t="str">
        <f>'Choix étudiants'!J209</f>
        <v>E16</v>
      </c>
      <c r="I52" s="14" t="str">
        <f>'Choix étudiants'!L209</f>
        <v>R5</v>
      </c>
      <c r="J52" s="5" t="str">
        <f>'Choix étudiants'!N209</f>
        <v>R3</v>
      </c>
      <c r="K52" s="5" t="str">
        <f>'Choix étudiants'!P209</f>
        <v>C1</v>
      </c>
      <c r="L52" s="5" t="str">
        <f>'Choix étudiants'!Q209</f>
        <v>Je ne pars pas</v>
      </c>
      <c r="M52" s="13" t="str">
        <f>'Choix étudiants'!R210</f>
        <v/>
      </c>
      <c r="N52" s="14"/>
      <c r="O52" s="14"/>
      <c r="P52" s="14"/>
      <c r="Q52" s="14"/>
      <c r="R52" s="14"/>
      <c r="S52" s="14"/>
      <c r="T52" s="14"/>
      <c r="U52" s="14"/>
    </row>
    <row r="53" ht="30.0" customHeight="1">
      <c r="A53" s="17">
        <f>'Choix étudiants'!A134</f>
        <v>43361.40951</v>
      </c>
      <c r="B53" s="4" t="s">
        <v>27</v>
      </c>
      <c r="C53" s="5" t="str">
        <f>'Choix étudiants'!C134</f>
        <v>DSIA</v>
      </c>
      <c r="D53" s="5" t="str">
        <f>'Choix étudiants'!D134</f>
        <v>MOHAMMAD</v>
      </c>
      <c r="E53" s="5" t="str">
        <f>'Choix étudiants'!E134</f>
        <v>Sohaibe</v>
      </c>
      <c r="F53" s="5" t="str">
        <f>'Choix étudiants'!F134</f>
        <v>sohaibe.mohammad@edu.esiee.fr</v>
      </c>
      <c r="G53" s="14" t="str">
        <f>'Choix étudiants'!H134</f>
        <v>E24</v>
      </c>
      <c r="H53" s="14" t="str">
        <f>'Choix étudiants'!J134</f>
        <v>E8</v>
      </c>
      <c r="I53" s="5" t="str">
        <f>'Choix étudiants'!L134</f>
        <v>E6</v>
      </c>
      <c r="J53" s="5" t="str">
        <f>'Choix étudiants'!N134</f>
        <v>E9</v>
      </c>
      <c r="K53" s="5" t="str">
        <f>'Choix étudiants'!P134</f>
        <v>E10</v>
      </c>
      <c r="L53" s="5" t="str">
        <f>'Choix étudiants'!Q134</f>
        <v>Je ne pars pas</v>
      </c>
      <c r="M53" s="13" t="str">
        <f>'Choix étudiants'!R55</f>
        <v/>
      </c>
      <c r="N53" s="14"/>
      <c r="O53" s="14"/>
      <c r="P53" s="14"/>
      <c r="Q53" s="14"/>
      <c r="R53" s="14"/>
      <c r="S53" s="14"/>
      <c r="T53" s="14"/>
      <c r="U53" s="14"/>
    </row>
    <row r="54" ht="30.0" hidden="1" customHeight="1">
      <c r="A54" s="17">
        <f>'Choix étudiants'!A55</f>
        <v>43360.42248</v>
      </c>
      <c r="B54" s="4" t="s">
        <v>29</v>
      </c>
      <c r="C54" s="5" t="str">
        <f>'Choix étudiants'!C55</f>
        <v>IMC</v>
      </c>
      <c r="D54" s="5" t="str">
        <f>'Choix étudiants'!D55</f>
        <v>DOUARRE</v>
      </c>
      <c r="E54" s="5" t="str">
        <f>'Choix étudiants'!E55</f>
        <v>Damien</v>
      </c>
      <c r="F54" s="5" t="str">
        <f>'Choix étudiants'!F55</f>
        <v>damien.douarre@edu.esiee.fr</v>
      </c>
      <c r="G54" s="39" t="str">
        <f>'Choix étudiants'!H55</f>
        <v>E23</v>
      </c>
      <c r="H54" s="5" t="str">
        <f>'Choix étudiants'!J55</f>
        <v>E22</v>
      </c>
      <c r="I54" s="5" t="str">
        <f>'Choix étudiants'!L55</f>
        <v>E24</v>
      </c>
      <c r="J54" s="5" t="str">
        <f>'Choix étudiants'!N55</f>
        <v>E1</v>
      </c>
      <c r="K54" s="5" t="str">
        <f>'Choix étudiants'!P55</f>
        <v>R2</v>
      </c>
      <c r="L54" s="5" t="str">
        <f>'Choix étudiants'!Q55</f>
        <v>Je ne pars pas</v>
      </c>
      <c r="M54" s="13" t="str">
        <f>'Choix étudiants'!R120</f>
        <v/>
      </c>
      <c r="N54" s="14"/>
      <c r="O54" s="14"/>
      <c r="P54" s="14"/>
      <c r="Q54" s="14"/>
      <c r="R54" s="14"/>
      <c r="S54" s="14"/>
      <c r="T54" s="14"/>
      <c r="U54" s="14"/>
    </row>
    <row r="55" ht="30.0" hidden="1" customHeight="1">
      <c r="A55" s="17">
        <f>'Choix étudiants'!A120</f>
        <v>43362.15578</v>
      </c>
      <c r="B55" s="4" t="s">
        <v>29</v>
      </c>
      <c r="C55" s="5" t="str">
        <f>'Choix étudiants'!C120</f>
        <v>CYBER</v>
      </c>
      <c r="D55" s="5" t="str">
        <f>'Choix étudiants'!D120</f>
        <v>LY</v>
      </c>
      <c r="E55" s="5" t="str">
        <f>'Choix étudiants'!E120</f>
        <v>Jimmy</v>
      </c>
      <c r="F55" s="5" t="str">
        <f>'Choix étudiants'!F120</f>
        <v>jimmy.ly@edu.esiee.fr</v>
      </c>
      <c r="G55" s="39" t="str">
        <f>'Choix étudiants'!H120</f>
        <v>E23</v>
      </c>
      <c r="H55" s="5" t="str">
        <f>'Choix étudiants'!J120</f>
        <v>E22</v>
      </c>
      <c r="I55" s="5" t="str">
        <f>'Choix étudiants'!L120</f>
        <v>E24</v>
      </c>
      <c r="J55" s="5" t="str">
        <f>'Choix étudiants'!N120</f>
        <v>E11</v>
      </c>
      <c r="K55" s="5" t="str">
        <f>'Choix étudiants'!P120</f>
        <v>E2</v>
      </c>
      <c r="L55" s="5" t="str">
        <f>'Choix étudiants'!Q120</f>
        <v>Je ne pars pas</v>
      </c>
      <c r="M55" s="13" t="str">
        <f>'Choix étudiants'!R176</f>
        <v/>
      </c>
      <c r="N55" s="14"/>
      <c r="O55" s="14"/>
      <c r="P55" s="14"/>
      <c r="Q55" s="14"/>
      <c r="R55" s="14"/>
      <c r="S55" s="14"/>
      <c r="T55" s="14"/>
      <c r="U55" s="14"/>
    </row>
    <row r="56" ht="30.0" hidden="1" customHeight="1">
      <c r="A56" s="17">
        <f>'Choix étudiants'!A176</f>
        <v>43360.42033</v>
      </c>
      <c r="B56" s="4" t="s">
        <v>29</v>
      </c>
      <c r="C56" s="5" t="str">
        <f>'Choix étudiants'!C176</f>
        <v>INF</v>
      </c>
      <c r="D56" s="5" t="str">
        <f>'Choix étudiants'!D176</f>
        <v>ROGER-GORLIN</v>
      </c>
      <c r="E56" s="5" t="str">
        <f>'Choix étudiants'!E176</f>
        <v>Edwin</v>
      </c>
      <c r="F56" s="5" t="str">
        <f>'Choix étudiants'!F176</f>
        <v>edwin.roger-gorlin@edu.esiee.fr</v>
      </c>
      <c r="G56" s="39" t="str">
        <f>'Choix étudiants'!H176</f>
        <v>E23</v>
      </c>
      <c r="H56" s="14" t="str">
        <f>'Choix étudiants'!J176</f>
        <v>E22</v>
      </c>
      <c r="I56" s="5" t="str">
        <f>'Choix étudiants'!L176</f>
        <v>E24</v>
      </c>
      <c r="J56" s="5" t="str">
        <f>'Choix étudiants'!N176</f>
        <v>E5</v>
      </c>
      <c r="K56" s="5" t="str">
        <f>'Choix étudiants'!P176</f>
        <v>E14</v>
      </c>
      <c r="L56" s="5" t="str">
        <f>'Choix étudiants'!Q176</f>
        <v>Je ne pars pas</v>
      </c>
      <c r="M56" s="13" t="str">
        <f>'Choix étudiants'!R198</f>
        <v/>
      </c>
      <c r="N56" s="14"/>
      <c r="O56" s="14"/>
      <c r="P56" s="14"/>
      <c r="Q56" s="14"/>
      <c r="R56" s="14"/>
      <c r="S56" s="14"/>
      <c r="T56" s="14"/>
      <c r="U56" s="14"/>
    </row>
    <row r="57" ht="30.0" hidden="1" customHeight="1">
      <c r="A57" s="17">
        <f>'Choix étudiants'!A198</f>
        <v>43361.50617</v>
      </c>
      <c r="B57" s="4" t="s">
        <v>29</v>
      </c>
      <c r="C57" s="5" t="str">
        <f>'Choix étudiants'!C198</f>
        <v>CYBER</v>
      </c>
      <c r="D57" s="5" t="str">
        <f>'Choix étudiants'!D198</f>
        <v>VALENCE</v>
      </c>
      <c r="E57" s="5" t="str">
        <f>'Choix étudiants'!E198</f>
        <v>Corentin</v>
      </c>
      <c r="F57" s="5" t="str">
        <f>'Choix étudiants'!F198</f>
        <v>corentin.valence@edu.esiee.fr</v>
      </c>
      <c r="G57" s="39" t="str">
        <f>'Choix étudiants'!H198</f>
        <v>E23</v>
      </c>
      <c r="H57" s="5" t="str">
        <f>'Choix étudiants'!J198</f>
        <v>E22</v>
      </c>
      <c r="I57" s="5" t="str">
        <f>'Choix étudiants'!L198</f>
        <v>R21</v>
      </c>
      <c r="J57" s="5" t="str">
        <f>'Choix étudiants'!N198</f>
        <v>E2</v>
      </c>
      <c r="K57" s="5" t="str">
        <f>'Choix étudiants'!P198</f>
        <v>R27</v>
      </c>
      <c r="L57" s="5" t="str">
        <f>'Choix étudiants'!Q198</f>
        <v>Je pars au semestre 1</v>
      </c>
      <c r="M57" s="13" t="str">
        <f>'Choix étudiants'!R202</f>
        <v/>
      </c>
      <c r="N57" s="14"/>
      <c r="O57" s="14"/>
      <c r="P57" s="14"/>
      <c r="Q57" s="14"/>
      <c r="R57" s="14"/>
      <c r="S57" s="14"/>
      <c r="T57" s="14"/>
      <c r="U57" s="14"/>
    </row>
    <row r="58" ht="30.0" hidden="1" customHeight="1">
      <c r="A58" s="17">
        <f>'Choix étudiants'!A202</f>
        <v>43360.42189</v>
      </c>
      <c r="B58" s="4" t="s">
        <v>29</v>
      </c>
      <c r="C58" s="5" t="str">
        <f>'Choix étudiants'!C202</f>
        <v>IMC</v>
      </c>
      <c r="D58" s="5" t="str">
        <f>'Choix étudiants'!D202</f>
        <v>VIDAL</v>
      </c>
      <c r="E58" s="5" t="str">
        <f>'Choix étudiants'!E202</f>
        <v>Valentin</v>
      </c>
      <c r="F58" s="5" t="str">
        <f>'Choix étudiants'!F202</f>
        <v>valentin.vidal@edu.esiee.fr</v>
      </c>
      <c r="G58" s="39" t="str">
        <f>'Choix étudiants'!H202</f>
        <v>E23</v>
      </c>
      <c r="H58" s="5" t="str">
        <f>'Choix étudiants'!J202</f>
        <v>E22</v>
      </c>
      <c r="I58" s="5" t="str">
        <f>'Choix étudiants'!L202</f>
        <v>E24</v>
      </c>
      <c r="J58" s="5" t="str">
        <f>'Choix étudiants'!N202</f>
        <v>E1</v>
      </c>
      <c r="K58" s="5" t="str">
        <f>'Choix étudiants'!P202</f>
        <v>E2</v>
      </c>
      <c r="L58" s="5" t="str">
        <f>'Choix étudiants'!Q202</f>
        <v>Je ne pars pas</v>
      </c>
      <c r="M58" s="13" t="str">
        <f>'Choix étudiants'!R47</f>
        <v/>
      </c>
      <c r="N58" s="14"/>
      <c r="O58" s="14"/>
      <c r="P58" s="14"/>
      <c r="Q58" s="14"/>
      <c r="R58" s="14"/>
      <c r="S58" s="14"/>
      <c r="T58" s="14"/>
      <c r="U58" s="14"/>
    </row>
    <row r="59" ht="30.0" hidden="1" customHeight="1">
      <c r="A59" s="17">
        <f>'Choix étudiants'!A47</f>
        <v>43360.44034</v>
      </c>
      <c r="B59" s="4" t="s">
        <v>29</v>
      </c>
      <c r="C59" s="5" t="str">
        <f>'Choix étudiants'!C47</f>
        <v>GI</v>
      </c>
      <c r="D59" s="5" t="str">
        <f>'Choix étudiants'!D47</f>
        <v>DAMON</v>
      </c>
      <c r="E59" s="5" t="str">
        <f>'Choix étudiants'!E47</f>
        <v>Clarisse</v>
      </c>
      <c r="F59" s="5" t="str">
        <f>'Choix étudiants'!F47</f>
        <v>clarisse.damon@edu.esiee.fr</v>
      </c>
      <c r="G59" s="14" t="str">
        <f>'Choix étudiants'!H47</f>
        <v>R31</v>
      </c>
      <c r="H59" s="5" t="str">
        <f>'Choix étudiants'!J47</f>
        <v>E21</v>
      </c>
      <c r="I59" s="39" t="str">
        <f>'Choix étudiants'!L47</f>
        <v>E23</v>
      </c>
      <c r="J59" s="5" t="str">
        <f>'Choix étudiants'!N47</f>
        <v>R32</v>
      </c>
      <c r="K59" s="5" t="str">
        <f>'Choix étudiants'!P47</f>
        <v>R24</v>
      </c>
      <c r="L59" s="5" t="str">
        <f>'Choix étudiants'!Q47</f>
        <v>Je pars au semestre 2</v>
      </c>
      <c r="M59" s="13" t="str">
        <f>'Choix étudiants'!R25</f>
        <v/>
      </c>
      <c r="N59" s="14"/>
      <c r="O59" s="14"/>
      <c r="P59" s="14"/>
      <c r="Q59" s="14"/>
      <c r="R59" s="14"/>
      <c r="S59" s="14"/>
      <c r="T59" s="14"/>
      <c r="U59" s="14"/>
    </row>
    <row r="60" ht="30.0" hidden="1" customHeight="1">
      <c r="A60" s="17">
        <f>'Choix étudiants'!A25</f>
        <v>43360.42303</v>
      </c>
      <c r="B60" s="4" t="s">
        <v>32</v>
      </c>
      <c r="C60" s="5" t="str">
        <f>'Choix étudiants'!C25</f>
        <v>BIO</v>
      </c>
      <c r="D60" s="5" t="str">
        <f>'Choix étudiants'!D25</f>
        <v>BONNET-RENOSI</v>
      </c>
      <c r="E60" s="5" t="str">
        <f>'Choix étudiants'!E25</f>
        <v>Lucile</v>
      </c>
      <c r="F60" s="5" t="str">
        <f>'Choix étudiants'!F25</f>
        <v>lucile.bonnet-renosi@edu.esiee.fr</v>
      </c>
      <c r="G60" s="42" t="str">
        <f>'Choix étudiants'!H25</f>
        <v>E25</v>
      </c>
      <c r="H60" s="5" t="str">
        <f>'Choix étudiants'!J25</f>
        <v>R3</v>
      </c>
      <c r="I60" s="5" t="str">
        <f>'Choix étudiants'!L25</f>
        <v>R2</v>
      </c>
      <c r="J60" s="5" t="str">
        <f>'Choix étudiants'!N25</f>
        <v>R15</v>
      </c>
      <c r="K60" s="5" t="str">
        <f>'Choix étudiants'!P25</f>
        <v>E15</v>
      </c>
      <c r="L60" s="5" t="str">
        <f>'Choix étudiants'!Q25</f>
        <v>Je pars au semestre 2</v>
      </c>
      <c r="M60" s="13" t="str">
        <f>'Choix étudiants'!R76</f>
        <v/>
      </c>
      <c r="N60" s="14"/>
      <c r="O60" s="14"/>
      <c r="P60" s="14"/>
      <c r="Q60" s="14"/>
      <c r="R60" s="14"/>
      <c r="S60" s="14"/>
      <c r="T60" s="14"/>
      <c r="U60" s="14"/>
    </row>
    <row r="61" ht="30.0" hidden="1" customHeight="1">
      <c r="A61" s="17">
        <f>'Choix étudiants'!A76</f>
        <v>43360.45924</v>
      </c>
      <c r="B61" s="4" t="s">
        <v>32</v>
      </c>
      <c r="C61" s="5" t="str">
        <f>'Choix étudiants'!C76</f>
        <v>GI</v>
      </c>
      <c r="D61" s="5" t="str">
        <f>'Choix étudiants'!D76</f>
        <v>GERARD</v>
      </c>
      <c r="E61" s="5" t="str">
        <f>'Choix étudiants'!E76</f>
        <v>Candice</v>
      </c>
      <c r="F61" s="5" t="str">
        <f>'Choix étudiants'!F76</f>
        <v>candice.gerard@edu.esiee.fr</v>
      </c>
      <c r="G61" s="42" t="str">
        <f>'Choix étudiants'!H76</f>
        <v>E25</v>
      </c>
      <c r="H61" s="5" t="str">
        <f>'Choix étudiants'!J76</f>
        <v>R32</v>
      </c>
      <c r="I61" s="5" t="str">
        <f>'Choix étudiants'!L76</f>
        <v>R24</v>
      </c>
      <c r="J61" s="5" t="str">
        <f>'Choix étudiants'!N76</f>
        <v>R31</v>
      </c>
      <c r="K61" s="5" t="str">
        <f>'Choix étudiants'!P76</f>
        <v>R17</v>
      </c>
      <c r="L61" s="5" t="str">
        <f>'Choix étudiants'!Q76</f>
        <v>Je ne pars pas</v>
      </c>
      <c r="M61" s="13" t="str">
        <f>'Choix étudiants'!R146</f>
        <v/>
      </c>
      <c r="N61" s="14"/>
      <c r="O61" s="14"/>
      <c r="P61" s="14"/>
      <c r="Q61" s="14"/>
      <c r="R61" s="14"/>
      <c r="S61" s="14"/>
      <c r="T61" s="14"/>
      <c r="U61" s="14"/>
    </row>
    <row r="62" ht="30.0" hidden="1" customHeight="1">
      <c r="A62" s="17">
        <f>'Choix étudiants'!A146</f>
        <v>43360.43626</v>
      </c>
      <c r="B62" s="4" t="s">
        <v>32</v>
      </c>
      <c r="C62" s="5" t="str">
        <f>'Choix étudiants'!C146</f>
        <v>GI</v>
      </c>
      <c r="D62" s="5" t="str">
        <f>'Choix étudiants'!D146</f>
        <v>ORANGER</v>
      </c>
      <c r="E62" s="5" t="str">
        <f>'Choix étudiants'!E146</f>
        <v>Raphaël</v>
      </c>
      <c r="F62" s="5" t="str">
        <f>'Choix étudiants'!F146</f>
        <v>raphael.oranger@edu.esiee.fr</v>
      </c>
      <c r="G62" s="42" t="str">
        <f>'Choix étudiants'!H146</f>
        <v>E25</v>
      </c>
      <c r="H62" s="5" t="str">
        <f>'Choix étudiants'!J146</f>
        <v>C1</v>
      </c>
      <c r="I62" s="5" t="str">
        <f>'Choix étudiants'!L146</f>
        <v>R24</v>
      </c>
      <c r="J62" s="5" t="str">
        <f>'Choix étudiants'!N146</f>
        <v>R31</v>
      </c>
      <c r="K62" s="5" t="str">
        <f>'Choix étudiants'!P146</f>
        <v>E10</v>
      </c>
      <c r="L62" s="5" t="str">
        <f>'Choix étudiants'!Q146</f>
        <v>Je ne pars pas</v>
      </c>
      <c r="M62" s="13" t="str">
        <f>'Choix étudiants'!R147</f>
        <v/>
      </c>
      <c r="N62" s="14"/>
      <c r="O62" s="14"/>
      <c r="P62" s="14"/>
      <c r="Q62" s="14"/>
      <c r="R62" s="14"/>
      <c r="S62" s="14"/>
      <c r="T62" s="14"/>
      <c r="U62" s="14"/>
    </row>
    <row r="63" ht="30.0" hidden="1" customHeight="1">
      <c r="A63" s="17">
        <f>'Choix étudiants'!A147</f>
        <v>43360.51908</v>
      </c>
      <c r="B63" s="4" t="s">
        <v>32</v>
      </c>
      <c r="C63" s="5" t="str">
        <f>'Choix étudiants'!C147</f>
        <v>SE</v>
      </c>
      <c r="D63" s="5" t="str">
        <f>'Choix étudiants'!D147</f>
        <v>OTSUKA PETERLEVITZ FRIGERIO</v>
      </c>
      <c r="E63" s="5" t="str">
        <f>'Choix étudiants'!E147</f>
        <v>Larissa</v>
      </c>
      <c r="F63" s="5" t="str">
        <f>'Choix étudiants'!F147</f>
        <v>larissa.otsukapeterlevitzfrigerio@edu.esiee.fr</v>
      </c>
      <c r="G63" s="42" t="str">
        <f>'Choix étudiants'!H147</f>
        <v>E25</v>
      </c>
      <c r="H63" s="5" t="str">
        <f>'Choix étudiants'!J147</f>
        <v>R14</v>
      </c>
      <c r="I63" s="14" t="str">
        <f>'Choix étudiants'!L147</f>
        <v>R3</v>
      </c>
      <c r="J63" s="5" t="str">
        <f>'Choix étudiants'!N147</f>
        <v>R5</v>
      </c>
      <c r="K63" s="5" t="str">
        <f>'Choix étudiants'!P147</f>
        <v>R11</v>
      </c>
      <c r="L63" s="5" t="str">
        <f>'Choix étudiants'!Q147</f>
        <v>Je ne pars pas</v>
      </c>
      <c r="M63" s="13" t="str">
        <f>'Choix étudiants'!R151</f>
        <v/>
      </c>
      <c r="N63" s="14"/>
      <c r="O63" s="14"/>
      <c r="P63" s="14"/>
      <c r="Q63" s="14"/>
      <c r="R63" s="14"/>
      <c r="S63" s="14"/>
      <c r="T63" s="14"/>
      <c r="U63" s="14"/>
    </row>
    <row r="64" ht="30.0" hidden="1" customHeight="1">
      <c r="A64" s="17">
        <f>'Choix étudiants'!A151</f>
        <v>43362.64725</v>
      </c>
      <c r="B64" s="4" t="s">
        <v>32</v>
      </c>
      <c r="C64" s="5" t="str">
        <f>'Choix étudiants'!C151</f>
        <v>GI</v>
      </c>
      <c r="D64" s="5" t="str">
        <f>'Choix étudiants'!D151</f>
        <v>PALMIER</v>
      </c>
      <c r="E64" s="5" t="str">
        <f>'Choix étudiants'!E151</f>
        <v>Boris</v>
      </c>
      <c r="F64" s="5" t="str">
        <f>'Choix étudiants'!F151</f>
        <v>boris.palmier@edu.esiee.fr</v>
      </c>
      <c r="G64" s="42" t="s">
        <v>32</v>
      </c>
      <c r="H64" s="32" t="s">
        <v>33</v>
      </c>
      <c r="I64" s="32" t="s">
        <v>34</v>
      </c>
      <c r="J64" s="32" t="s">
        <v>35</v>
      </c>
      <c r="K64" s="32" t="s">
        <v>36</v>
      </c>
      <c r="L64" s="5" t="str">
        <f>'Choix étudiants'!Q151</f>
        <v>Je ne pars pas</v>
      </c>
      <c r="M64" s="13" t="str">
        <f>'Choix étudiants'!R180</f>
        <v/>
      </c>
      <c r="N64" s="14"/>
      <c r="O64" s="14"/>
      <c r="P64" s="14"/>
      <c r="Q64" s="14"/>
      <c r="R64" s="14"/>
      <c r="S64" s="14"/>
      <c r="T64" s="14"/>
      <c r="U64" s="14"/>
    </row>
    <row r="65" ht="30.0" hidden="1" customHeight="1">
      <c r="A65" s="17">
        <f>'Choix étudiants'!A180</f>
        <v>43360.45152</v>
      </c>
      <c r="B65" s="4" t="s">
        <v>32</v>
      </c>
      <c r="C65" s="5" t="str">
        <f>'Choix étudiants'!C180</f>
        <v>GI</v>
      </c>
      <c r="D65" s="5" t="str">
        <f>'Choix étudiants'!D180</f>
        <v>ROUSSEL</v>
      </c>
      <c r="E65" s="5" t="str">
        <f>'Choix étudiants'!E180</f>
        <v>Edouard</v>
      </c>
      <c r="F65" s="5" t="str">
        <f>'Choix étudiants'!F180</f>
        <v>edouard.roussel@edu.esiee.fr</v>
      </c>
      <c r="G65" s="42" t="str">
        <f>'Choix étudiants'!H180</f>
        <v>E25</v>
      </c>
      <c r="H65" s="5" t="str">
        <f>'Choix étudiants'!J180</f>
        <v>R12</v>
      </c>
      <c r="I65" s="5" t="str">
        <f>'Choix étudiants'!L180</f>
        <v>R31</v>
      </c>
      <c r="J65" s="5" t="str">
        <f>'Choix étudiants'!N180</f>
        <v>R31</v>
      </c>
      <c r="K65" s="5" t="str">
        <f>'Choix étudiants'!P180</f>
        <v>R31</v>
      </c>
      <c r="L65" s="5" t="str">
        <f>'Choix étudiants'!Q180</f>
        <v>Je ne pars pas</v>
      </c>
      <c r="M65" s="13" t="str">
        <f>'Choix étudiants'!R186</f>
        <v/>
      </c>
      <c r="N65" s="14"/>
      <c r="O65" s="14"/>
      <c r="P65" s="14"/>
      <c r="Q65" s="14"/>
      <c r="R65" s="14"/>
      <c r="S65" s="14"/>
      <c r="T65" s="14"/>
      <c r="U65" s="14"/>
    </row>
    <row r="66" ht="30.0" customHeight="1">
      <c r="A66" s="2">
        <f>'Choix étudiants'!A186</f>
        <v>43362.37235</v>
      </c>
      <c r="B66" s="4" t="s">
        <v>37</v>
      </c>
      <c r="C66" s="5" t="str">
        <f>'Choix étudiants'!C186</f>
        <v>DSIA</v>
      </c>
      <c r="D66" s="5" t="str">
        <f>'Choix étudiants'!D186</f>
        <v>SEBAN</v>
      </c>
      <c r="E66" s="5" t="str">
        <f>'Choix étudiants'!E186</f>
        <v>Dan</v>
      </c>
      <c r="F66" s="5" t="str">
        <f>'Choix étudiants'!F186</f>
        <v>dan.seban@edu.esiee.fr</v>
      </c>
      <c r="G66" s="14" t="str">
        <f>'Choix étudiants'!H186</f>
        <v>E7</v>
      </c>
      <c r="H66" s="43" t="str">
        <f>'Choix étudiants'!J186</f>
        <v>E4</v>
      </c>
      <c r="I66" s="5" t="str">
        <f>'Choix étudiants'!L186</f>
        <v>E24</v>
      </c>
      <c r="J66" s="5" t="str">
        <f>'Choix étudiants'!N186</f>
        <v>R27</v>
      </c>
      <c r="K66" s="5" t="str">
        <f>'Choix étudiants'!P186</f>
        <v>LL1</v>
      </c>
      <c r="L66" s="5" t="str">
        <f>'Choix étudiants'!Q186</f>
        <v>Je pars au semestre 1</v>
      </c>
      <c r="M66" s="13" t="str">
        <f>'Choix étudiants'!R11</f>
        <v/>
      </c>
      <c r="N66" s="14"/>
      <c r="O66" s="14"/>
      <c r="P66" s="14"/>
      <c r="Q66" s="14"/>
      <c r="R66" s="14"/>
      <c r="S66" s="14"/>
      <c r="T66" s="14"/>
      <c r="U66" s="14"/>
    </row>
    <row r="67" ht="30.0" customHeight="1">
      <c r="A67" s="17">
        <f>'Choix étudiants'!A11</f>
        <v>43361.36741</v>
      </c>
      <c r="B67" s="4" t="s">
        <v>37</v>
      </c>
      <c r="C67" s="5" t="str">
        <f>'Choix étudiants'!C11</f>
        <v>DSIA</v>
      </c>
      <c r="D67" s="5" t="str">
        <f>'Choix étudiants'!D11</f>
        <v>BARBOSA VAZ</v>
      </c>
      <c r="E67" s="5" t="str">
        <f>'Choix étudiants'!E11</f>
        <v>Vincent</v>
      </c>
      <c r="F67" s="5" t="str">
        <f>'Choix étudiants'!F11</f>
        <v>vincent.barbosavaz@edu.esiee.fr</v>
      </c>
      <c r="G67" s="43" t="s">
        <v>37</v>
      </c>
      <c r="H67" s="5" t="str">
        <f>'Choix étudiants'!J11</f>
        <v/>
      </c>
      <c r="I67" s="5" t="str">
        <f>'Choix étudiants'!L11</f>
        <v/>
      </c>
      <c r="J67" s="5" t="str">
        <f>'Choix étudiants'!N11</f>
        <v/>
      </c>
      <c r="K67" s="5" t="str">
        <f>'Choix étudiants'!P11</f>
        <v/>
      </c>
      <c r="L67" s="5" t="str">
        <f>'Choix étudiants'!Q11</f>
        <v>Je ne pars pas</v>
      </c>
      <c r="M67" s="13" t="str">
        <f>'Choix étudiants'!R105</f>
        <v/>
      </c>
      <c r="N67" s="14"/>
      <c r="O67" s="14"/>
      <c r="P67" s="14"/>
      <c r="Q67" s="14"/>
      <c r="R67" s="14"/>
      <c r="S67" s="14"/>
      <c r="T67" s="14"/>
      <c r="U67" s="14"/>
    </row>
    <row r="68" ht="30.0" customHeight="1">
      <c r="A68" s="17">
        <f>'Choix étudiants'!A105</f>
        <v>43361.43433</v>
      </c>
      <c r="B68" s="4" t="s">
        <v>37</v>
      </c>
      <c r="C68" s="5" t="str">
        <f>'Choix étudiants'!C105</f>
        <v>DSIA</v>
      </c>
      <c r="D68" s="14" t="str">
        <f>'Choix étudiants'!D105</f>
        <v>KUHLMANN</v>
      </c>
      <c r="E68" s="14" t="str">
        <f>'Choix étudiants'!E105</f>
        <v>Florian</v>
      </c>
      <c r="F68" s="5" t="str">
        <f>'Choix étudiants'!F105</f>
        <v>florian.kuhlmann@edu.esiee.fr</v>
      </c>
      <c r="G68" s="43" t="str">
        <f>'Choix étudiants'!H105</f>
        <v>E4</v>
      </c>
      <c r="H68" s="5" t="str">
        <f>'Choix étudiants'!J105</f>
        <v>E6</v>
      </c>
      <c r="I68" s="5" t="str">
        <f>'Choix étudiants'!L105</f>
        <v>E5</v>
      </c>
      <c r="J68" s="5" t="str">
        <f>'Choix étudiants'!N105</f>
        <v>R25</v>
      </c>
      <c r="K68" s="5" t="str">
        <f>'Choix étudiants'!P105</f>
        <v>E2</v>
      </c>
      <c r="L68" s="5" t="str">
        <f>'Choix étudiants'!Q105</f>
        <v>Je pars au semestre 1</v>
      </c>
      <c r="M68" s="13" t="str">
        <f>'Choix étudiants'!R141</f>
        <v/>
      </c>
      <c r="N68" s="14"/>
      <c r="O68" s="14"/>
      <c r="P68" s="14"/>
      <c r="Q68" s="14"/>
      <c r="R68" s="14"/>
      <c r="S68" s="14"/>
      <c r="T68" s="14"/>
      <c r="U68" s="14"/>
    </row>
    <row r="69" ht="30.0" hidden="1" customHeight="1">
      <c r="A69" s="17">
        <f>'Choix étudiants'!A140</f>
        <v>43360.57639</v>
      </c>
      <c r="B69" s="4" t="s">
        <v>37</v>
      </c>
      <c r="C69" s="5" t="str">
        <f>'Choix étudiants'!C140</f>
        <v>CYBER</v>
      </c>
      <c r="D69" s="5" t="str">
        <f>'Choix étudiants'!D140</f>
        <v>NGALLE EDELL</v>
      </c>
      <c r="E69" s="5" t="str">
        <f>'Choix étudiants'!E140</f>
        <v>Diandra</v>
      </c>
      <c r="F69" s="5" t="str">
        <f>'Choix étudiants'!F140</f>
        <v>diandra.ngalleedell@edu.esiee.fr</v>
      </c>
      <c r="G69" s="43" t="str">
        <f>'Choix étudiants'!H140</f>
        <v>E4</v>
      </c>
      <c r="H69" s="5" t="str">
        <f>'Choix étudiants'!J140</f>
        <v>E11</v>
      </c>
      <c r="I69" s="5" t="str">
        <f>'Choix étudiants'!L140</f>
        <v>R8</v>
      </c>
      <c r="J69" s="5" t="str">
        <f>'Choix étudiants'!N140</f>
        <v>E7</v>
      </c>
      <c r="K69" s="5" t="str">
        <f>'Choix étudiants'!P140</f>
        <v>R15</v>
      </c>
      <c r="L69" s="5" t="str">
        <f>'Choix étudiants'!Q140</f>
        <v>Je ne pars pas</v>
      </c>
      <c r="M69" s="13" t="str">
        <f>'Choix étudiants'!R91</f>
        <v/>
      </c>
      <c r="N69" s="14"/>
      <c r="O69" s="14"/>
      <c r="P69" s="14"/>
      <c r="Q69" s="14"/>
      <c r="R69" s="14"/>
      <c r="S69" s="14"/>
      <c r="T69" s="14"/>
      <c r="U69" s="14"/>
    </row>
    <row r="70" ht="30.0" customHeight="1">
      <c r="A70" s="17">
        <f>'Choix étudiants'!A91</f>
        <v>43360.5763</v>
      </c>
      <c r="B70" s="4" t="s">
        <v>37</v>
      </c>
      <c r="C70" s="5" t="str">
        <f>'Choix étudiants'!C91</f>
        <v>DSIA</v>
      </c>
      <c r="D70" s="14" t="str">
        <f>'Choix étudiants'!D91</f>
        <v>HAIOUN</v>
      </c>
      <c r="E70" s="14" t="str">
        <f>'Choix étudiants'!E91</f>
        <v>Jérémie</v>
      </c>
      <c r="F70" s="5" t="str">
        <f>'Choix étudiants'!F91</f>
        <v>jeremie.haioun@edu.esiee.fr</v>
      </c>
      <c r="G70" s="14" t="str">
        <f>'Choix étudiants'!H91</f>
        <v>C4</v>
      </c>
      <c r="H70" s="14" t="str">
        <f>'Choix étudiants'!J91</f>
        <v>E7</v>
      </c>
      <c r="I70" s="43" t="str">
        <f>'Choix étudiants'!L91</f>
        <v>E4</v>
      </c>
      <c r="J70" s="14" t="str">
        <f>'Choix étudiants'!N91</f>
        <v>R25</v>
      </c>
      <c r="K70" s="5" t="str">
        <f>'Choix étudiants'!P91</f>
        <v>E24</v>
      </c>
      <c r="L70" s="5" t="str">
        <f>'Choix étudiants'!Q91</f>
        <v>Je pars au semestre 2</v>
      </c>
      <c r="M70" s="13" t="str">
        <f>'Choix étudiants'!R32</f>
        <v/>
      </c>
      <c r="N70" s="14"/>
      <c r="O70" s="14"/>
      <c r="P70" s="14"/>
      <c r="Q70" s="14"/>
      <c r="R70" s="14"/>
      <c r="S70" s="14"/>
      <c r="T70" s="14"/>
      <c r="U70" s="14"/>
    </row>
    <row r="71" ht="30.0" customHeight="1">
      <c r="A71" s="17">
        <f>'Choix étudiants'!A32</f>
        <v>43360.44006</v>
      </c>
      <c r="B71" s="4" t="s">
        <v>37</v>
      </c>
      <c r="C71" s="5" t="str">
        <f>'Choix étudiants'!C32</f>
        <v>DSIA</v>
      </c>
      <c r="D71" s="5" t="str">
        <f>'Choix étudiants'!D32</f>
        <v>CARDOSO</v>
      </c>
      <c r="E71" s="5" t="str">
        <f>'Choix étudiants'!E32</f>
        <v>William</v>
      </c>
      <c r="F71" s="5" t="str">
        <f>'Choix étudiants'!F32</f>
        <v>william.cardoso@edu.esiee.fr</v>
      </c>
      <c r="G71" s="14" t="str">
        <f>'Choix étudiants'!H32</f>
        <v>E7</v>
      </c>
      <c r="H71" s="43" t="str">
        <f>'Choix étudiants'!J32</f>
        <v>E4</v>
      </c>
      <c r="I71" s="5" t="str">
        <f>'Choix étudiants'!L32</f>
        <v>R10</v>
      </c>
      <c r="J71" s="5" t="str">
        <f>'Choix étudiants'!N32</f>
        <v>E7</v>
      </c>
      <c r="K71" s="5" t="str">
        <f>'Choix étudiants'!P32</f>
        <v>E4</v>
      </c>
      <c r="L71" s="5" t="str">
        <f>'Choix étudiants'!Q32</f>
        <v>Je ne pars pas</v>
      </c>
      <c r="M71" s="13" t="str">
        <f>'Choix étudiants'!R43</f>
        <v/>
      </c>
      <c r="N71" s="14"/>
      <c r="O71" s="14"/>
      <c r="P71" s="14"/>
      <c r="Q71" s="14"/>
      <c r="R71" s="14"/>
      <c r="S71" s="14"/>
      <c r="T71" s="14"/>
      <c r="U71" s="14"/>
    </row>
    <row r="72" ht="30.0" customHeight="1">
      <c r="A72" s="17">
        <f>'Choix étudiants'!A43</f>
        <v>43360.42231</v>
      </c>
      <c r="B72" s="4" t="s">
        <v>37</v>
      </c>
      <c r="C72" s="5" t="str">
        <f>'Choix étudiants'!C43</f>
        <v>DSIA</v>
      </c>
      <c r="D72" s="14" t="str">
        <f>'Choix étudiants'!D43</f>
        <v>COVILLE</v>
      </c>
      <c r="E72" s="14" t="str">
        <f>'Choix étudiants'!E43</f>
        <v>Romain</v>
      </c>
      <c r="F72" s="5" t="str">
        <f>'Choix étudiants'!F43</f>
        <v>romain.coville@edu.esiee.fr</v>
      </c>
      <c r="G72" s="14" t="str">
        <f>'Choix étudiants'!H43</f>
        <v>E7</v>
      </c>
      <c r="H72" s="43" t="str">
        <f>'Choix étudiants'!J43</f>
        <v>E4</v>
      </c>
      <c r="I72" s="5" t="str">
        <f>'Choix étudiants'!L43</f>
        <v>E24</v>
      </c>
      <c r="J72" s="5" t="str">
        <f>'Choix étudiants'!N43</f>
        <v>E7</v>
      </c>
      <c r="K72" s="5" t="str">
        <f>'Choix étudiants'!P43</f>
        <v>E4</v>
      </c>
      <c r="L72" s="5" t="str">
        <f>'Choix étudiants'!Q43</f>
        <v>Je ne pars pas</v>
      </c>
      <c r="M72" s="13" t="str">
        <f>'Choix étudiants'!R142</f>
        <v/>
      </c>
      <c r="N72" s="14"/>
      <c r="O72" s="14"/>
      <c r="P72" s="14"/>
      <c r="Q72" s="14"/>
      <c r="R72" s="14"/>
      <c r="S72" s="14"/>
      <c r="T72" s="14"/>
      <c r="U72" s="14"/>
    </row>
    <row r="73" ht="30.0" customHeight="1">
      <c r="A73" s="17">
        <f>'Choix étudiants'!A141</f>
        <v>43362.60256</v>
      </c>
      <c r="B73" s="4" t="s">
        <v>39</v>
      </c>
      <c r="C73" s="5" t="str">
        <f>'Choix étudiants'!C141</f>
        <v>DSIA</v>
      </c>
      <c r="D73" s="5" t="str">
        <f>'Choix étudiants'!D141</f>
        <v>NGOUANSAVANH</v>
      </c>
      <c r="E73" s="5" t="str">
        <f>'Choix étudiants'!E141</f>
        <v>Cléa</v>
      </c>
      <c r="F73" s="5" t="str">
        <f>'Choix étudiants'!F141</f>
        <v>clea.ngouansavanh@edu.esiee.fr</v>
      </c>
      <c r="G73" s="39" t="str">
        <f>'Choix étudiants'!H141</f>
        <v>E7</v>
      </c>
      <c r="H73" s="14" t="str">
        <f>'Choix étudiants'!J141</f>
        <v>E4</v>
      </c>
      <c r="I73" s="5" t="str">
        <f>'Choix étudiants'!L141</f>
        <v>E24</v>
      </c>
      <c r="J73" s="5" t="str">
        <f>'Choix étudiants'!N141</f>
        <v>R27</v>
      </c>
      <c r="K73" s="5" t="str">
        <f>'Choix étudiants'!P141</f>
        <v>LL1</v>
      </c>
      <c r="L73" s="5" t="str">
        <f>'Choix étudiants'!Q141</f>
        <v>Je pars au semestre 1</v>
      </c>
      <c r="M73" s="13" t="str">
        <f>'Choix étudiants'!R143</f>
        <v/>
      </c>
      <c r="N73" s="14"/>
      <c r="O73" s="14"/>
      <c r="P73" s="14"/>
      <c r="Q73" s="14"/>
      <c r="R73" s="14"/>
      <c r="S73" s="14"/>
      <c r="T73" s="14"/>
      <c r="U73" s="14"/>
    </row>
    <row r="74" ht="30.0" customHeight="1">
      <c r="A74" s="17">
        <f>'Choix étudiants'!A142</f>
        <v>43362.00349</v>
      </c>
      <c r="B74" s="4" t="s">
        <v>39</v>
      </c>
      <c r="C74" s="5" t="str">
        <f>'Choix étudiants'!C142</f>
        <v>DSIA</v>
      </c>
      <c r="D74" s="5" t="str">
        <f>'Choix étudiants'!D142</f>
        <v>N'GUELA</v>
      </c>
      <c r="E74" s="5" t="str">
        <f>'Choix étudiants'!E142</f>
        <v>Janique</v>
      </c>
      <c r="F74" s="5" t="str">
        <f>'Choix étudiants'!F142</f>
        <v>janique.nguela@edu.esiee.fr</v>
      </c>
      <c r="G74" s="39" t="str">
        <f>'Choix étudiants'!H142</f>
        <v>E7</v>
      </c>
      <c r="H74" s="14" t="str">
        <f>'Choix étudiants'!J142</f>
        <v>R13</v>
      </c>
      <c r="I74" s="5" t="str">
        <f>'Choix étudiants'!L142</f>
        <v>E17</v>
      </c>
      <c r="J74" s="5" t="str">
        <f>'Choix étudiants'!N142</f>
        <v>R25</v>
      </c>
      <c r="K74" s="5" t="str">
        <f>'Choix étudiants'!P142</f>
        <v>E10</v>
      </c>
      <c r="L74" s="5" t="str">
        <f>'Choix étudiants'!Q142</f>
        <v>Je ne pars pas</v>
      </c>
      <c r="M74" s="13" t="str">
        <f>'Choix étudiants'!R161</f>
        <v/>
      </c>
      <c r="N74" s="14"/>
      <c r="O74" s="14"/>
      <c r="P74" s="14"/>
      <c r="Q74" s="14"/>
      <c r="R74" s="14"/>
      <c r="S74" s="14"/>
      <c r="T74" s="14"/>
      <c r="U74" s="14"/>
    </row>
    <row r="75" ht="30.0" customHeight="1">
      <c r="A75" s="17">
        <f>'Choix étudiants'!A161</f>
        <v>43362.62425</v>
      </c>
      <c r="B75" s="4" t="s">
        <v>39</v>
      </c>
      <c r="C75" s="5" t="str">
        <f>'Choix étudiants'!C161</f>
        <v>DSIA</v>
      </c>
      <c r="D75" s="5" t="str">
        <f>'Choix étudiants'!D161</f>
        <v>POULAIN</v>
      </c>
      <c r="E75" s="5" t="str">
        <f>'Choix étudiants'!E161</f>
        <v>Steven</v>
      </c>
      <c r="F75" s="5" t="str">
        <f>'Choix étudiants'!F161</f>
        <v>steven.poulain@edu.esiee.fr</v>
      </c>
      <c r="G75" s="39" t="s">
        <v>39</v>
      </c>
      <c r="H75" s="14">
        <f>'Choix étudiants'!J161</f>
        <v>19</v>
      </c>
      <c r="I75" s="5">
        <f>'Choix étudiants'!L161</f>
        <v>4</v>
      </c>
      <c r="J75" s="5">
        <f>'Choix étudiants'!N161</f>
        <v>31</v>
      </c>
      <c r="K75" s="5">
        <f>'Choix étudiants'!P161</f>
        <v>24</v>
      </c>
      <c r="L75" s="5" t="str">
        <f>'Choix étudiants'!Q161</f>
        <v>Je ne pars pas</v>
      </c>
      <c r="M75" s="13" t="str">
        <f>'Choix étudiants'!R27</f>
        <v/>
      </c>
      <c r="N75" s="14"/>
      <c r="O75" s="14"/>
      <c r="P75" s="14"/>
      <c r="Q75" s="14"/>
      <c r="R75" s="14"/>
      <c r="S75" s="14"/>
      <c r="T75" s="14"/>
      <c r="U75" s="14"/>
    </row>
    <row r="76" ht="30.0" customHeight="1">
      <c r="A76" s="17">
        <f>'Choix étudiants'!A27</f>
        <v>43360.42186</v>
      </c>
      <c r="B76" s="4" t="s">
        <v>39</v>
      </c>
      <c r="C76" s="5" t="str">
        <f>'Choix étudiants'!C27</f>
        <v>DSIA</v>
      </c>
      <c r="D76" s="5" t="str">
        <f>'Choix étudiants'!D27</f>
        <v>BOUILLANNE</v>
      </c>
      <c r="E76" s="5" t="str">
        <f>'Choix étudiants'!E27</f>
        <v>Elias</v>
      </c>
      <c r="F76" s="5" t="str">
        <f>'Choix étudiants'!F27</f>
        <v>elias.bouillanne@edu.esiee.fr</v>
      </c>
      <c r="G76" s="39" t="str">
        <f>'Choix étudiants'!H27</f>
        <v>E7</v>
      </c>
      <c r="H76" s="5" t="str">
        <f>'Choix étudiants'!J27</f>
        <v>E4</v>
      </c>
      <c r="I76" s="5" t="str">
        <f>'Choix étudiants'!L27</f>
        <v>E19</v>
      </c>
      <c r="J76" s="5" t="str">
        <f>'Choix étudiants'!N27</f>
        <v>E23</v>
      </c>
      <c r="K76" s="5" t="str">
        <f>'Choix étudiants'!P27</f>
        <v>E17</v>
      </c>
      <c r="L76" s="5" t="str">
        <f>'Choix étudiants'!Q27</f>
        <v>Je ne pars pas</v>
      </c>
      <c r="M76" s="13" t="str">
        <f>'Choix étudiants'!R63</f>
        <v/>
      </c>
      <c r="N76" s="14"/>
      <c r="O76" s="14"/>
      <c r="P76" s="14"/>
      <c r="Q76" s="14"/>
      <c r="R76" s="14"/>
      <c r="S76" s="14"/>
      <c r="T76" s="14"/>
      <c r="U76" s="14"/>
    </row>
    <row r="77" ht="30.0" customHeight="1">
      <c r="A77" s="17">
        <f>'Choix étudiants'!A63</f>
        <v>43360.42266</v>
      </c>
      <c r="B77" s="4" t="s">
        <v>39</v>
      </c>
      <c r="C77" s="5" t="str">
        <f>'Choix étudiants'!C63</f>
        <v>DSIA</v>
      </c>
      <c r="D77" s="5" t="str">
        <f>'Choix étudiants'!D63</f>
        <v>DUSSAUSSOIS</v>
      </c>
      <c r="E77" s="5" t="str">
        <f>'Choix étudiants'!E63</f>
        <v>Marine</v>
      </c>
      <c r="F77" s="5" t="str">
        <f>'Choix étudiants'!F63</f>
        <v>marine.dussaussois@edu.esiee.fr</v>
      </c>
      <c r="G77" s="39" t="str">
        <f>'Choix étudiants'!H63</f>
        <v>E7</v>
      </c>
      <c r="H77" s="14" t="str">
        <f>'Choix étudiants'!J63</f>
        <v>E4</v>
      </c>
      <c r="I77" s="5" t="str">
        <f>'Choix étudiants'!L63</f>
        <v>E19</v>
      </c>
      <c r="J77" s="5" t="str">
        <f>'Choix étudiants'!N63</f>
        <v>R10</v>
      </c>
      <c r="K77" s="5" t="str">
        <f>'Choix étudiants'!P63</f>
        <v>E17</v>
      </c>
      <c r="L77" s="5" t="str">
        <f>'Choix étudiants'!Q63</f>
        <v>Je ne pars pas</v>
      </c>
      <c r="M77" s="13" t="str">
        <f>'Choix étudiants'!R101</f>
        <v/>
      </c>
      <c r="N77" s="14"/>
      <c r="O77" s="14"/>
      <c r="P77" s="14"/>
      <c r="Q77" s="14"/>
      <c r="R77" s="14"/>
      <c r="S77" s="14"/>
      <c r="T77" s="14"/>
      <c r="U77" s="14"/>
    </row>
    <row r="78" ht="30.0" customHeight="1">
      <c r="A78" s="17">
        <f>'Choix étudiants'!A101</f>
        <v>43360.41793</v>
      </c>
      <c r="B78" s="4" t="s">
        <v>39</v>
      </c>
      <c r="C78" s="5" t="str">
        <f>'Choix étudiants'!C101</f>
        <v>DSIA</v>
      </c>
      <c r="D78" s="5" t="str">
        <f>'Choix étudiants'!D101</f>
        <v>JUSTIN</v>
      </c>
      <c r="E78" s="5" t="str">
        <f>'Choix étudiants'!E101</f>
        <v>Romain</v>
      </c>
      <c r="F78" s="5" t="str">
        <f>'Choix étudiants'!F101</f>
        <v>romain.justin@edu.esiee.fr</v>
      </c>
      <c r="G78" s="39" t="str">
        <f>'Choix étudiants'!H101</f>
        <v>E7</v>
      </c>
      <c r="H78" s="14" t="str">
        <f>'Choix étudiants'!J101</f>
        <v>E4</v>
      </c>
      <c r="I78" s="5" t="str">
        <f>'Choix étudiants'!L101</f>
        <v>R15</v>
      </c>
      <c r="J78" s="5" t="str">
        <f>'Choix étudiants'!N101</f>
        <v>E24</v>
      </c>
      <c r="K78" s="5" t="str">
        <f>'Choix étudiants'!P101</f>
        <v>R9</v>
      </c>
      <c r="L78" s="5" t="str">
        <f>'Choix étudiants'!Q101</f>
        <v>Je ne pars pas</v>
      </c>
      <c r="M78" s="13" t="str">
        <f>'Choix étudiants'!R97</f>
        <v/>
      </c>
      <c r="N78" s="14"/>
      <c r="O78" s="14"/>
      <c r="P78" s="14"/>
      <c r="Q78" s="14"/>
      <c r="R78" s="14"/>
      <c r="S78" s="14"/>
      <c r="T78" s="14"/>
      <c r="U78" s="14"/>
    </row>
    <row r="79" ht="30.0" customHeight="1">
      <c r="A79" s="17">
        <f>'Choix étudiants'!A97</f>
        <v>43360.57621</v>
      </c>
      <c r="B79" s="4" t="s">
        <v>39</v>
      </c>
      <c r="C79" s="5" t="str">
        <f>'Choix étudiants'!C97</f>
        <v>DSIA</v>
      </c>
      <c r="D79" s="14" t="str">
        <f>'Choix étudiants'!D97</f>
        <v>HULIN</v>
      </c>
      <c r="E79" s="14" t="str">
        <f>'Choix étudiants'!E97</f>
        <v>Baptiste</v>
      </c>
      <c r="F79" s="5" t="str">
        <f>'Choix étudiants'!F97</f>
        <v>baptiste.hulin@edu.esiee.fr</v>
      </c>
      <c r="G79" s="14" t="str">
        <f>'Choix étudiants'!H97</f>
        <v>C4</v>
      </c>
      <c r="H79" s="39" t="str">
        <f>'Choix étudiants'!J97</f>
        <v>E7</v>
      </c>
      <c r="I79" s="5" t="str">
        <f>'Choix étudiants'!L97</f>
        <v>E4</v>
      </c>
      <c r="J79" s="5" t="str">
        <f>'Choix étudiants'!N97</f>
        <v>R25</v>
      </c>
      <c r="K79" s="5" t="str">
        <f>'Choix étudiants'!P97</f>
        <v>E24</v>
      </c>
      <c r="L79" s="5" t="str">
        <f>'Choix étudiants'!Q97</f>
        <v>Je pars au semestre 2</v>
      </c>
      <c r="M79" s="13" t="str">
        <f>'Choix étudiants'!R103</f>
        <v/>
      </c>
      <c r="N79" s="14"/>
      <c r="O79" s="14"/>
      <c r="P79" s="14"/>
      <c r="Q79" s="14"/>
      <c r="R79" s="14"/>
      <c r="S79" s="14"/>
      <c r="T79" s="14"/>
      <c r="U79" s="14"/>
    </row>
    <row r="80" ht="30.0" hidden="1" customHeight="1">
      <c r="A80" s="17">
        <f>'Choix étudiants'!A103</f>
        <v>43361.3973</v>
      </c>
      <c r="B80" s="4" t="s">
        <v>42</v>
      </c>
      <c r="C80" s="5" t="str">
        <f>'Choix étudiants'!C103</f>
        <v>IMC</v>
      </c>
      <c r="D80" s="46" t="str">
        <f>'Choix étudiants'!D103</f>
        <v>KHERAJ VANNAPHAPHONH</v>
      </c>
      <c r="E80" s="5" t="str">
        <f>'Choix étudiants'!E103</f>
        <v>Viktoria</v>
      </c>
      <c r="F80" s="5" t="str">
        <f>'Choix étudiants'!F103</f>
        <v>viktoria.kherajvannaphaphonh@edu.esiee.fr</v>
      </c>
      <c r="G80" s="46" t="str">
        <f>'Choix étudiants'!H103</f>
        <v/>
      </c>
      <c r="H80" s="5" t="str">
        <f>'Choix étudiants'!J103</f>
        <v/>
      </c>
      <c r="I80" s="5" t="str">
        <f>'Choix étudiants'!L103</f>
        <v/>
      </c>
      <c r="J80" s="5" t="str">
        <f>'Choix étudiants'!N103</f>
        <v/>
      </c>
      <c r="K80" s="5" t="str">
        <f>'Choix étudiants'!P103</f>
        <v/>
      </c>
      <c r="L80" s="5" t="str">
        <f>'Choix étudiants'!Q103</f>
        <v>Je ne pars pas</v>
      </c>
      <c r="M80" s="13" t="str">
        <f>'Choix étudiants'!R106</f>
        <v/>
      </c>
      <c r="N80" s="14"/>
      <c r="O80" s="14"/>
      <c r="P80" s="14"/>
      <c r="Q80" s="14"/>
      <c r="R80" s="14"/>
      <c r="S80" s="14"/>
      <c r="T80" s="14"/>
      <c r="U80" s="14"/>
    </row>
    <row r="81" ht="30.0" hidden="1" customHeight="1">
      <c r="A81" s="17">
        <f>'Choix étudiants'!A106</f>
        <v>43360.46779</v>
      </c>
      <c r="B81" s="4" t="s">
        <v>42</v>
      </c>
      <c r="C81" s="5" t="str">
        <f>'Choix étudiants'!C106</f>
        <v>INF</v>
      </c>
      <c r="D81" s="46" t="str">
        <f>'Choix étudiants'!D106</f>
        <v>LACLAUTRE</v>
      </c>
      <c r="E81" s="5" t="str">
        <f>'Choix étudiants'!E106</f>
        <v>Solène</v>
      </c>
      <c r="F81" s="5" t="str">
        <f>'Choix étudiants'!F106</f>
        <v>solene.laclautre@edu.esiee.fr</v>
      </c>
      <c r="G81" s="46" t="str">
        <f>'Choix étudiants'!H106</f>
        <v/>
      </c>
      <c r="H81" s="5" t="str">
        <f>'Choix étudiants'!J106</f>
        <v/>
      </c>
      <c r="I81" s="5" t="str">
        <f>'Choix étudiants'!L106</f>
        <v/>
      </c>
      <c r="J81" s="5" t="str">
        <f>'Choix étudiants'!N106</f>
        <v/>
      </c>
      <c r="K81" s="5" t="str">
        <f>'Choix étudiants'!P106</f>
        <v/>
      </c>
      <c r="L81" s="5" t="str">
        <f>'Choix étudiants'!Q106</f>
        <v>Je ne pars pas</v>
      </c>
      <c r="M81" s="13" t="str">
        <f>'Choix étudiants'!R129</f>
        <v/>
      </c>
      <c r="N81" s="14"/>
      <c r="O81" s="14"/>
      <c r="P81" s="14"/>
      <c r="Q81" s="14"/>
      <c r="R81" s="14"/>
      <c r="S81" s="14"/>
      <c r="T81" s="14"/>
      <c r="U81" s="14"/>
    </row>
    <row r="82" ht="30.0" hidden="1" customHeight="1">
      <c r="A82" s="17">
        <f>'Choix étudiants'!A129</f>
        <v>43361.01353</v>
      </c>
      <c r="B82" s="4" t="s">
        <v>42</v>
      </c>
      <c r="C82" s="5" t="str">
        <f>'Choix étudiants'!C129</f>
        <v>INF</v>
      </c>
      <c r="D82" s="46" t="str">
        <f>'Choix étudiants'!D129</f>
        <v>MERKITOU</v>
      </c>
      <c r="E82" s="5" t="str">
        <f>'Choix étudiants'!E129</f>
        <v>Sabrina</v>
      </c>
      <c r="F82" s="5" t="str">
        <f>'Choix étudiants'!F129</f>
        <v>sabrina.merkitou@edu.esiee.fr</v>
      </c>
      <c r="G82" s="46" t="str">
        <f>'Choix étudiants'!H129</f>
        <v/>
      </c>
      <c r="H82" s="14" t="str">
        <f>'Choix étudiants'!J129</f>
        <v/>
      </c>
      <c r="I82" s="5" t="str">
        <f>'Choix étudiants'!L129</f>
        <v/>
      </c>
      <c r="J82" s="5" t="str">
        <f>'Choix étudiants'!N129</f>
        <v/>
      </c>
      <c r="K82" s="5" t="str">
        <f>'Choix étudiants'!P129</f>
        <v/>
      </c>
      <c r="L82" s="5" t="str">
        <f>'Choix étudiants'!Q129</f>
        <v>Je ne pars pas</v>
      </c>
      <c r="M82" s="13" t="str">
        <f>'Choix étudiants'!R181</f>
        <v/>
      </c>
      <c r="N82" s="14"/>
      <c r="O82" s="14"/>
      <c r="P82" s="14"/>
      <c r="Q82" s="14"/>
      <c r="R82" s="14"/>
      <c r="S82" s="14"/>
      <c r="T82" s="14"/>
      <c r="U82" s="14"/>
    </row>
    <row r="83" ht="30.0" hidden="1" customHeight="1">
      <c r="A83" s="17">
        <f>'Choix étudiants'!A181</f>
        <v>43361.2326</v>
      </c>
      <c r="B83" s="4" t="s">
        <v>42</v>
      </c>
      <c r="C83" s="5" t="str">
        <f>'Choix étudiants'!C181</f>
        <v>CYBER</v>
      </c>
      <c r="D83" s="46" t="str">
        <f>'Choix étudiants'!D181</f>
        <v>ROUX</v>
      </c>
      <c r="E83" s="5" t="str">
        <f>'Choix étudiants'!E181</f>
        <v>Emilie</v>
      </c>
      <c r="F83" s="5" t="str">
        <f>'Choix étudiants'!F181</f>
        <v>emilie.roux@edu.esiee.fr</v>
      </c>
      <c r="G83" s="46" t="str">
        <f>'Choix étudiants'!H181</f>
        <v/>
      </c>
      <c r="H83" s="14" t="str">
        <f>'Choix étudiants'!J181</f>
        <v/>
      </c>
      <c r="I83" s="5" t="str">
        <f>'Choix étudiants'!L181</f>
        <v/>
      </c>
      <c r="J83" s="5" t="str">
        <f>'Choix étudiants'!N181</f>
        <v/>
      </c>
      <c r="K83" s="5" t="str">
        <f>'Choix étudiants'!P181</f>
        <v/>
      </c>
      <c r="L83" s="5" t="str">
        <f>'Choix étudiants'!Q181</f>
        <v>Je ne pars pas</v>
      </c>
      <c r="M83" s="13" t="str">
        <f>'Choix étudiants'!R191</f>
        <v/>
      </c>
      <c r="N83" s="14"/>
      <c r="O83" s="14"/>
      <c r="P83" s="14"/>
      <c r="Q83" s="14"/>
      <c r="R83" s="14"/>
      <c r="S83" s="14"/>
      <c r="T83" s="14"/>
      <c r="U83" s="14"/>
    </row>
    <row r="84" ht="30.0" hidden="1" customHeight="1">
      <c r="A84" s="17">
        <f>'Choix étudiants'!A191</f>
        <v>43360.50924</v>
      </c>
      <c r="B84" s="4" t="s">
        <v>42</v>
      </c>
      <c r="C84" s="5" t="str">
        <f>'Choix étudiants'!C191</f>
        <v>SE</v>
      </c>
      <c r="D84" s="46" t="str">
        <f>'Choix étudiants'!D191</f>
        <v>TERRACHER</v>
      </c>
      <c r="E84" s="5" t="str">
        <f>'Choix étudiants'!E191</f>
        <v>Audrey</v>
      </c>
      <c r="F84" s="5" t="str">
        <f>'Choix étudiants'!F191</f>
        <v>audrey.terracher@edu.esiee.fr</v>
      </c>
      <c r="G84" s="46" t="str">
        <f>'Choix étudiants'!H191</f>
        <v/>
      </c>
      <c r="H84" s="5" t="str">
        <f>'Choix étudiants'!J191</f>
        <v/>
      </c>
      <c r="I84" s="5" t="str">
        <f>'Choix étudiants'!L191</f>
        <v/>
      </c>
      <c r="J84" s="5" t="str">
        <f>'Choix étudiants'!N191</f>
        <v/>
      </c>
      <c r="K84" s="5" t="str">
        <f>'Choix étudiants'!P191</f>
        <v/>
      </c>
      <c r="L84" s="5" t="str">
        <f>'Choix étudiants'!Q191</f>
        <v>Je ne pars pas</v>
      </c>
      <c r="M84" s="13" t="str">
        <f>'Choix étudiants'!R211</f>
        <v/>
      </c>
      <c r="N84" s="14"/>
      <c r="O84" s="14"/>
      <c r="P84" s="14"/>
      <c r="Q84" s="14"/>
      <c r="R84" s="14"/>
      <c r="S84" s="14"/>
      <c r="T84" s="14"/>
      <c r="U84" s="14"/>
    </row>
    <row r="85" ht="30.0" hidden="1" customHeight="1">
      <c r="A85" s="17">
        <f>'Choix étudiants'!A211</f>
        <v>43360.95918</v>
      </c>
      <c r="B85" s="4" t="s">
        <v>42</v>
      </c>
      <c r="C85" s="5" t="str">
        <f>'Choix étudiants'!C211</f>
        <v>INF</v>
      </c>
      <c r="D85" s="46" t="str">
        <f>'Choix étudiants'!D211</f>
        <v>YVANOFF-FRECHIN</v>
      </c>
      <c r="E85" s="14" t="str">
        <f>'Choix étudiants'!E211</f>
        <v>Camille</v>
      </c>
      <c r="F85" s="5" t="str">
        <f>'Choix étudiants'!F211</f>
        <v>camille.yvanoff-frechin@edu.esiee.fr</v>
      </c>
      <c r="G85" s="46" t="str">
        <f>'Choix étudiants'!H211</f>
        <v/>
      </c>
      <c r="H85" s="14" t="str">
        <f>'Choix étudiants'!J211</f>
        <v/>
      </c>
      <c r="I85" s="5" t="str">
        <f>'Choix étudiants'!L211</f>
        <v/>
      </c>
      <c r="J85" s="5" t="str">
        <f>'Choix étudiants'!N211</f>
        <v/>
      </c>
      <c r="K85" s="5" t="str">
        <f>'Choix étudiants'!P211</f>
        <v/>
      </c>
      <c r="L85" s="5" t="str">
        <f>'Choix étudiants'!Q211</f>
        <v>Je ne pars pas</v>
      </c>
      <c r="M85" s="13" t="str">
        <f>'Choix étudiants'!R15</f>
        <v/>
      </c>
      <c r="N85" s="14"/>
      <c r="O85" s="14"/>
      <c r="P85" s="14"/>
      <c r="Q85" s="14"/>
      <c r="R85" s="14"/>
      <c r="S85" s="14"/>
      <c r="T85" s="14"/>
      <c r="U85" s="14"/>
    </row>
    <row r="86" ht="30.0" hidden="1" customHeight="1">
      <c r="A86" s="17">
        <f>'Choix étudiants'!A15</f>
        <v>43360.50745</v>
      </c>
      <c r="B86" s="4" t="s">
        <v>45</v>
      </c>
      <c r="C86" s="5" t="str">
        <f>'Choix étudiants'!C15</f>
        <v>GI</v>
      </c>
      <c r="D86" s="21" t="str">
        <f>'Choix étudiants'!D15</f>
        <v>BEN AMOR</v>
      </c>
      <c r="E86" s="5" t="str">
        <f>'Choix étudiants'!E15</f>
        <v>Alia</v>
      </c>
      <c r="F86" s="5" t="str">
        <f>'Choix étudiants'!F15</f>
        <v>alia.benamor@edu.esiee.fr</v>
      </c>
      <c r="G86" s="21" t="str">
        <f>'Choix étudiants'!H15</f>
        <v/>
      </c>
      <c r="H86" s="5" t="str">
        <f>'Choix étudiants'!J15</f>
        <v/>
      </c>
      <c r="I86" s="5" t="str">
        <f>'Choix étudiants'!L15</f>
        <v/>
      </c>
      <c r="J86" s="5" t="str">
        <f>'Choix étudiants'!N15</f>
        <v/>
      </c>
      <c r="K86" s="5" t="str">
        <f>'Choix étudiants'!P15</f>
        <v/>
      </c>
      <c r="L86" s="5" t="str">
        <f>'Choix étudiants'!Q15</f>
        <v>Je ne pars pas</v>
      </c>
      <c r="M86" s="13" t="str">
        <f>'Choix étudiants'!R59</f>
        <v/>
      </c>
      <c r="N86" s="14"/>
      <c r="O86" s="14"/>
      <c r="P86" s="14"/>
      <c r="Q86" s="14"/>
      <c r="R86" s="14"/>
      <c r="S86" s="14"/>
      <c r="T86" s="14"/>
      <c r="U86" s="14"/>
    </row>
    <row r="87" ht="30.0" hidden="1" customHeight="1">
      <c r="A87" s="17">
        <f>'Choix étudiants'!A59</f>
        <v>43360.51713</v>
      </c>
      <c r="B87" s="4" t="s">
        <v>45</v>
      </c>
      <c r="C87" s="5" t="str">
        <f>'Choix étudiants'!C59</f>
        <v>GI</v>
      </c>
      <c r="D87" s="21" t="str">
        <f>'Choix étudiants'!D59</f>
        <v>DURAND</v>
      </c>
      <c r="E87" s="5" t="str">
        <f>'Choix étudiants'!E59</f>
        <v>valentin</v>
      </c>
      <c r="F87" s="5" t="str">
        <f>'Choix étudiants'!F59</f>
        <v>valentin.durand@edu.esiee.fr</v>
      </c>
      <c r="G87" s="21" t="str">
        <f>'Choix étudiants'!H59</f>
        <v/>
      </c>
      <c r="H87" s="5" t="str">
        <f>'Choix étudiants'!J59</f>
        <v/>
      </c>
      <c r="I87" s="5" t="str">
        <f>'Choix étudiants'!L59</f>
        <v/>
      </c>
      <c r="J87" s="5" t="str">
        <f>'Choix étudiants'!N59</f>
        <v/>
      </c>
      <c r="K87" s="5" t="str">
        <f>'Choix étudiants'!P59</f>
        <v/>
      </c>
      <c r="L87" s="5" t="str">
        <f>'Choix étudiants'!Q59</f>
        <v>Je pars au semestre 2</v>
      </c>
      <c r="M87" s="13" t="str">
        <f>'Choix étudiants'!R82</f>
        <v/>
      </c>
      <c r="N87" s="14"/>
      <c r="O87" s="14"/>
      <c r="P87" s="14"/>
      <c r="Q87" s="14"/>
      <c r="R87" s="14"/>
      <c r="S87" s="14"/>
      <c r="T87" s="14"/>
      <c r="U87" s="14"/>
    </row>
    <row r="88" ht="30.0" hidden="1" customHeight="1">
      <c r="A88" s="17">
        <f>'Choix étudiants'!A82</f>
        <v>43360.50905</v>
      </c>
      <c r="B88" s="4" t="s">
        <v>45</v>
      </c>
      <c r="C88" s="5" t="str">
        <f>'Choix étudiants'!C82</f>
        <v>GI</v>
      </c>
      <c r="D88" s="21" t="str">
        <f>'Choix étudiants'!D82</f>
        <v>GOMES FRANCISCO</v>
      </c>
      <c r="E88" s="5" t="str">
        <f>'Choix étudiants'!E82</f>
        <v>Georges</v>
      </c>
      <c r="F88" s="5" t="str">
        <f>'Choix étudiants'!F82</f>
        <v>georges.gomesfrancisco@edu.esiee.fr</v>
      </c>
      <c r="G88" s="21" t="str">
        <f>'Choix étudiants'!H82</f>
        <v/>
      </c>
      <c r="H88" s="5" t="str">
        <f>'Choix étudiants'!J82</f>
        <v/>
      </c>
      <c r="I88" s="5" t="str">
        <f>'Choix étudiants'!L82</f>
        <v/>
      </c>
      <c r="J88" s="5" t="str">
        <f>'Choix étudiants'!N82</f>
        <v/>
      </c>
      <c r="K88" s="5" t="str">
        <f>'Choix étudiants'!P82</f>
        <v/>
      </c>
      <c r="L88" s="5" t="str">
        <f>'Choix étudiants'!Q82</f>
        <v>Je ne pars pas</v>
      </c>
      <c r="M88" s="13" t="str">
        <f>'Choix étudiants'!R85</f>
        <v/>
      </c>
      <c r="N88" s="14"/>
      <c r="O88" s="14"/>
      <c r="P88" s="14"/>
      <c r="Q88" s="14"/>
      <c r="R88" s="14"/>
      <c r="S88" s="14"/>
      <c r="T88" s="14"/>
      <c r="U88" s="14"/>
    </row>
    <row r="89" ht="30.0" hidden="1" customHeight="1">
      <c r="A89" s="17">
        <f>'Choix étudiants'!A85</f>
        <v>43360.52711</v>
      </c>
      <c r="B89" s="4" t="s">
        <v>45</v>
      </c>
      <c r="C89" s="5" t="str">
        <f>'Choix étudiants'!C85</f>
        <v>IMC</v>
      </c>
      <c r="D89" s="21" t="str">
        <f>'Choix étudiants'!D85</f>
        <v>GRARE</v>
      </c>
      <c r="E89" s="5" t="str">
        <f>'Choix étudiants'!E85</f>
        <v>Laura</v>
      </c>
      <c r="F89" s="5" t="str">
        <f>'Choix étudiants'!F85</f>
        <v>laura.grare@edu.esiee.fr</v>
      </c>
      <c r="G89" s="21" t="str">
        <f>'Choix étudiants'!H85</f>
        <v/>
      </c>
      <c r="H89" s="5" t="str">
        <f>'Choix étudiants'!J85</f>
        <v/>
      </c>
      <c r="I89" s="5" t="str">
        <f>'Choix étudiants'!L85</f>
        <v/>
      </c>
      <c r="J89" s="5" t="str">
        <f>'Choix étudiants'!N85</f>
        <v/>
      </c>
      <c r="K89" s="5" t="str">
        <f>'Choix étudiants'!P85</f>
        <v/>
      </c>
      <c r="L89" s="5" t="str">
        <f>'Choix étudiants'!Q85</f>
        <v>Je ne pars pas</v>
      </c>
      <c r="M89" s="13" t="str">
        <f>'Choix étudiants'!R98</f>
        <v/>
      </c>
      <c r="N89" s="14"/>
      <c r="O89" s="14"/>
      <c r="P89" s="14"/>
      <c r="Q89" s="14"/>
      <c r="R89" s="14"/>
      <c r="S89" s="14"/>
      <c r="T89" s="14"/>
      <c r="U89" s="14"/>
    </row>
    <row r="90" ht="30.0" hidden="1" customHeight="1">
      <c r="A90" s="17">
        <f>'Choix étudiants'!A98</f>
        <v>43360.58039</v>
      </c>
      <c r="B90" s="4" t="s">
        <v>45</v>
      </c>
      <c r="C90" s="5" t="str">
        <f>'Choix étudiants'!C98</f>
        <v>BIO</v>
      </c>
      <c r="D90" s="21" t="str">
        <f>'Choix étudiants'!D98</f>
        <v>IAKIMOV</v>
      </c>
      <c r="E90" s="5" t="str">
        <f>'Choix étudiants'!E98</f>
        <v>Valentino</v>
      </c>
      <c r="F90" s="5" t="str">
        <f>'Choix étudiants'!F98</f>
        <v>valentino.iakimov@edu.esiee.fr</v>
      </c>
      <c r="G90" s="21" t="str">
        <f>'Choix étudiants'!H98</f>
        <v/>
      </c>
      <c r="H90" s="5" t="str">
        <f>'Choix étudiants'!J98</f>
        <v/>
      </c>
      <c r="I90" s="5" t="str">
        <f>'Choix étudiants'!L98</f>
        <v/>
      </c>
      <c r="J90" s="5" t="str">
        <f>'Choix étudiants'!N98</f>
        <v/>
      </c>
      <c r="K90" s="5" t="str">
        <f>'Choix étudiants'!P98</f>
        <v/>
      </c>
      <c r="L90" s="5" t="str">
        <f>'Choix étudiants'!Q98</f>
        <v>Je ne pars pas</v>
      </c>
      <c r="M90" s="13" t="str">
        <f>'Choix étudiants'!R123</f>
        <v/>
      </c>
      <c r="N90" s="14"/>
      <c r="O90" s="14"/>
      <c r="P90" s="14"/>
      <c r="Q90" s="14"/>
      <c r="R90" s="14"/>
      <c r="S90" s="14"/>
      <c r="T90" s="14"/>
      <c r="U90" s="14"/>
    </row>
    <row r="91" ht="30.0" hidden="1" customHeight="1">
      <c r="A91" s="17">
        <f>'Choix étudiants'!A123</f>
        <v>43360.51549</v>
      </c>
      <c r="B91" s="4" t="s">
        <v>45</v>
      </c>
      <c r="C91" s="5" t="str">
        <f>'Choix étudiants'!C123</f>
        <v>ENE</v>
      </c>
      <c r="D91" s="21" t="str">
        <f>'Choix étudiants'!D123</f>
        <v>MARCHAND</v>
      </c>
      <c r="E91" s="5" t="str">
        <f>'Choix étudiants'!E123</f>
        <v>Sébastien</v>
      </c>
      <c r="F91" s="5" t="str">
        <f>'Choix étudiants'!F123</f>
        <v>sebastien.marchand@edu.esiee.fr</v>
      </c>
      <c r="G91" s="21" t="str">
        <f>'Choix étudiants'!H123</f>
        <v/>
      </c>
      <c r="H91" s="5" t="str">
        <f>'Choix étudiants'!J123</f>
        <v/>
      </c>
      <c r="I91" s="5" t="str">
        <f>'Choix étudiants'!L123</f>
        <v/>
      </c>
      <c r="J91" s="5" t="str">
        <f>'Choix étudiants'!N123</f>
        <v/>
      </c>
      <c r="K91" s="5" t="str">
        <f>'Choix étudiants'!P123</f>
        <v/>
      </c>
      <c r="L91" s="5" t="str">
        <f>'Choix étudiants'!Q123</f>
        <v>Je ne pars pas</v>
      </c>
      <c r="M91" s="13" t="str">
        <f>'Choix étudiants'!R182</f>
        <v/>
      </c>
      <c r="N91" s="14"/>
      <c r="O91" s="14"/>
      <c r="P91" s="14"/>
      <c r="Q91" s="14"/>
      <c r="R91" s="14"/>
      <c r="S91" s="14"/>
      <c r="T91" s="14"/>
      <c r="U91" s="14"/>
    </row>
    <row r="92" ht="30.0" hidden="1" customHeight="1">
      <c r="A92" s="17">
        <f>'Choix étudiants'!A182</f>
        <v>43361.14972</v>
      </c>
      <c r="B92" s="4" t="s">
        <v>45</v>
      </c>
      <c r="C92" s="5" t="str">
        <f>'Choix étudiants'!C182</f>
        <v>ENE</v>
      </c>
      <c r="D92" s="21" t="str">
        <f>'Choix étudiants'!D182</f>
        <v>ROY</v>
      </c>
      <c r="E92" s="14" t="str">
        <f>'Choix étudiants'!E182</f>
        <v>Antoine</v>
      </c>
      <c r="F92" s="5" t="str">
        <f>'Choix étudiants'!F182</f>
        <v>antoine.roy@edu.esiee.fr</v>
      </c>
      <c r="G92" s="21" t="str">
        <f>'Choix étudiants'!H182</f>
        <v/>
      </c>
      <c r="H92" s="14" t="str">
        <f>'Choix étudiants'!J182</f>
        <v/>
      </c>
      <c r="I92" s="14" t="str">
        <f>'Choix étudiants'!L182</f>
        <v/>
      </c>
      <c r="J92" s="5" t="str">
        <f>'Choix étudiants'!N182</f>
        <v/>
      </c>
      <c r="K92" s="5" t="str">
        <f>'Choix étudiants'!P182</f>
        <v/>
      </c>
      <c r="L92" s="5" t="str">
        <f>'Choix étudiants'!Q182</f>
        <v>Je pars au semestre 1</v>
      </c>
      <c r="M92" s="13" t="str">
        <f>'Choix étudiants'!R77</f>
        <v/>
      </c>
      <c r="N92" s="14"/>
      <c r="O92" s="14"/>
      <c r="P92" s="14"/>
      <c r="Q92" s="14"/>
      <c r="R92" s="14"/>
      <c r="S92" s="14"/>
      <c r="T92" s="14"/>
      <c r="U92" s="14"/>
    </row>
    <row r="93" ht="30.0" customHeight="1">
      <c r="A93" s="17">
        <f>'Choix étudiants'!A77</f>
        <v>43362.52284</v>
      </c>
      <c r="B93" s="4" t="s">
        <v>46</v>
      </c>
      <c r="C93" s="5" t="str">
        <f>'Choix étudiants'!C77</f>
        <v>DSIA</v>
      </c>
      <c r="D93" s="40" t="str">
        <f>'Choix étudiants'!D77</f>
        <v>GHIDAGLIA</v>
      </c>
      <c r="E93" s="5" t="str">
        <f>'Choix étudiants'!E77</f>
        <v>Boris</v>
      </c>
      <c r="F93" s="5" t="str">
        <f>'Choix étudiants'!F77</f>
        <v>boris.ghidaglia@edu.esiee.fr</v>
      </c>
      <c r="G93" s="40" t="str">
        <f>'Choix étudiants'!H77</f>
        <v/>
      </c>
      <c r="H93" s="5" t="str">
        <f>'Choix étudiants'!J77</f>
        <v/>
      </c>
      <c r="I93" s="5" t="str">
        <f>'Choix étudiants'!L77</f>
        <v/>
      </c>
      <c r="J93" s="5" t="str">
        <f>'Choix étudiants'!N77</f>
        <v/>
      </c>
      <c r="K93" s="5" t="str">
        <f>'Choix étudiants'!P77</f>
        <v/>
      </c>
      <c r="L93" s="5" t="str">
        <f>'Choix étudiants'!Q77</f>
        <v>Je ne pars pas</v>
      </c>
      <c r="M93" s="13" t="str">
        <f>'Choix étudiants'!R165</f>
        <v/>
      </c>
      <c r="N93" s="14"/>
      <c r="O93" s="14"/>
      <c r="P93" s="14"/>
      <c r="Q93" s="14"/>
      <c r="R93" s="14"/>
      <c r="S93" s="14"/>
      <c r="T93" s="14"/>
      <c r="U93" s="14"/>
    </row>
    <row r="94" ht="30.0" customHeight="1">
      <c r="A94" s="17">
        <f>'Choix étudiants'!A165</f>
        <v>43363.00972</v>
      </c>
      <c r="B94" s="4" t="s">
        <v>46</v>
      </c>
      <c r="C94" s="5" t="str">
        <f>'Choix étudiants'!C165</f>
        <v>DSIA</v>
      </c>
      <c r="D94" s="40" t="str">
        <f>'Choix étudiants'!D165</f>
        <v>PROLONGEAU</v>
      </c>
      <c r="E94" s="5" t="str">
        <f>'Choix étudiants'!E165</f>
        <v>Augustin</v>
      </c>
      <c r="F94" s="5" t="str">
        <f>'Choix étudiants'!F165</f>
        <v>augustin.prolongeau@edu.esiee.fr</v>
      </c>
      <c r="G94" s="40" t="str">
        <f>'Choix étudiants'!H165</f>
        <v/>
      </c>
      <c r="H94" s="5" t="str">
        <f>'Choix étudiants'!J165</f>
        <v/>
      </c>
      <c r="I94" s="5" t="str">
        <f>'Choix étudiants'!L165</f>
        <v/>
      </c>
      <c r="J94" s="5" t="str">
        <f>'Choix étudiants'!N165</f>
        <v/>
      </c>
      <c r="K94" s="5" t="str">
        <f>'Choix étudiants'!P165</f>
        <v/>
      </c>
      <c r="L94" s="5" t="str">
        <f>'Choix étudiants'!Q165</f>
        <v>Je ne pars pas</v>
      </c>
      <c r="M94" s="13" t="str">
        <f>'Choix étudiants'!R12</f>
        <v/>
      </c>
      <c r="N94" s="14"/>
      <c r="O94" s="14"/>
      <c r="P94" s="14"/>
      <c r="Q94" s="14"/>
      <c r="R94" s="14"/>
      <c r="S94" s="14"/>
      <c r="T94" s="14"/>
      <c r="U94" s="14"/>
    </row>
    <row r="95" ht="30.0" hidden="1" customHeight="1">
      <c r="A95" s="17">
        <f>'Choix étudiants'!A12</f>
        <v>43361.33919</v>
      </c>
      <c r="B95" s="4" t="s">
        <v>47</v>
      </c>
      <c r="C95" s="5" t="str">
        <f>'Choix étudiants'!C12</f>
        <v>GI</v>
      </c>
      <c r="D95" s="47" t="str">
        <f>'Choix étudiants'!D12</f>
        <v>BARGE</v>
      </c>
      <c r="E95" s="5" t="str">
        <f>'Choix étudiants'!E12</f>
        <v>Loïc</v>
      </c>
      <c r="F95" s="5" t="str">
        <f>'Choix étudiants'!F12</f>
        <v>loic.barge@edu.esiee.fr</v>
      </c>
      <c r="G95" s="14"/>
      <c r="H95" s="5"/>
      <c r="I95" s="5"/>
      <c r="J95" s="5"/>
      <c r="K95" s="5"/>
      <c r="L95" s="5" t="str">
        <f>'Choix étudiants'!Q12</f>
        <v>Je ne pars pas</v>
      </c>
      <c r="M95" s="13" t="str">
        <f>'Choix étudiants'!R28</f>
        <v/>
      </c>
      <c r="N95" s="14"/>
      <c r="O95" s="14"/>
      <c r="P95" s="14"/>
      <c r="Q95" s="14"/>
      <c r="R95" s="14"/>
      <c r="S95" s="14"/>
      <c r="T95" s="14"/>
      <c r="U95" s="14"/>
    </row>
    <row r="96" ht="30.0" hidden="1" customHeight="1">
      <c r="A96" s="17">
        <f>'Choix étudiants'!A28</f>
        <v>43362.41358</v>
      </c>
      <c r="B96" s="4" t="s">
        <v>47</v>
      </c>
      <c r="C96" s="5" t="str">
        <f>'Choix étudiants'!C28</f>
        <v>SE</v>
      </c>
      <c r="D96" s="47" t="str">
        <f>'Choix étudiants'!D28</f>
        <v>BOUILLEUX</v>
      </c>
      <c r="E96" s="5" t="str">
        <f>'Choix étudiants'!E28</f>
        <v>Victor</v>
      </c>
      <c r="F96" s="5" t="str">
        <f>'Choix étudiants'!F28</f>
        <v>victor.bouilleux@edu.esiee.fr</v>
      </c>
      <c r="G96" s="14"/>
      <c r="H96" s="5"/>
      <c r="I96" s="5"/>
      <c r="J96" s="5"/>
      <c r="K96" s="5"/>
      <c r="L96" s="5" t="str">
        <f>'Choix étudiants'!Q28</f>
        <v>Je ne pars pas</v>
      </c>
      <c r="M96" s="13" t="str">
        <f>'Choix étudiants'!R150</f>
        <v/>
      </c>
      <c r="N96" s="14"/>
      <c r="O96" s="14"/>
      <c r="P96" s="14"/>
      <c r="Q96" s="14"/>
      <c r="R96" s="14"/>
      <c r="S96" s="14"/>
      <c r="T96" s="14"/>
      <c r="U96" s="14"/>
    </row>
    <row r="97" ht="30.0" hidden="1" customHeight="1">
      <c r="A97" s="17">
        <f>'Choix étudiants'!A150</f>
        <v>43362.50646</v>
      </c>
      <c r="B97" s="4" t="s">
        <v>47</v>
      </c>
      <c r="C97" s="5" t="str">
        <f>'Choix étudiants'!C150</f>
        <v>SE</v>
      </c>
      <c r="D97" s="47" t="str">
        <f>'Choix étudiants'!D150</f>
        <v>OUVRARD</v>
      </c>
      <c r="E97" s="5" t="str">
        <f>'Choix étudiants'!E150</f>
        <v>Thomas</v>
      </c>
      <c r="F97" s="5" t="str">
        <f>'Choix étudiants'!F150</f>
        <v>thomas.ouvrard@edu.esiee.fr</v>
      </c>
      <c r="G97" s="14"/>
      <c r="H97" s="14"/>
      <c r="I97" s="5"/>
      <c r="J97" s="5"/>
      <c r="K97" s="5"/>
      <c r="L97" s="5" t="str">
        <f>'Choix étudiants'!Q150</f>
        <v>Je ne pars pas</v>
      </c>
      <c r="M97" s="13" t="str">
        <f>'Choix étudiants'!R193</f>
        <v/>
      </c>
      <c r="N97" s="14"/>
      <c r="O97" s="14"/>
      <c r="P97" s="14"/>
      <c r="Q97" s="14"/>
      <c r="R97" s="14"/>
      <c r="S97" s="14"/>
      <c r="T97" s="14"/>
      <c r="U97" s="14"/>
    </row>
    <row r="98" ht="30.0" hidden="1" customHeight="1">
      <c r="A98" s="17">
        <f>'Choix étudiants'!A193</f>
        <v>43360.42531</v>
      </c>
      <c r="B98" s="4" t="s">
        <v>47</v>
      </c>
      <c r="C98" s="5" t="str">
        <f>'Choix étudiants'!C193</f>
        <v>SE</v>
      </c>
      <c r="D98" s="47" t="str">
        <f>'Choix étudiants'!D193</f>
        <v>THONG VANH</v>
      </c>
      <c r="E98" s="5" t="str">
        <f>'Choix étudiants'!E193</f>
        <v>Eva</v>
      </c>
      <c r="F98" s="5" t="str">
        <f>'Choix étudiants'!F193</f>
        <v>eva.thong-vanh@edu.esiee.fr</v>
      </c>
      <c r="G98" s="14"/>
      <c r="H98" s="5"/>
      <c r="I98" s="14"/>
      <c r="J98" s="5"/>
      <c r="K98" s="5"/>
      <c r="L98" s="5" t="str">
        <f>'Choix étudiants'!Q193</f>
        <v>Je ne pars pas</v>
      </c>
      <c r="M98" s="13" t="str">
        <f>'Choix étudiants'!R136</f>
        <v/>
      </c>
      <c r="N98" s="14"/>
      <c r="O98" s="14"/>
      <c r="P98" s="14"/>
      <c r="Q98" s="14"/>
      <c r="R98" s="14"/>
      <c r="S98" s="14"/>
      <c r="T98" s="14"/>
      <c r="U98" s="14"/>
    </row>
    <row r="99" ht="30.0" hidden="1" customHeight="1">
      <c r="A99" s="17">
        <f>'Choix étudiants'!A136</f>
        <v>43360.52272</v>
      </c>
      <c r="B99" s="4" t="s">
        <v>47</v>
      </c>
      <c r="C99" s="5" t="str">
        <f>'Choix étudiants'!C136</f>
        <v>SE</v>
      </c>
      <c r="D99" s="47" t="str">
        <f>'Choix étudiants'!D136</f>
        <v>NASSER</v>
      </c>
      <c r="E99" s="14" t="str">
        <f>'Choix étudiants'!E136</f>
        <v>Abdulmajid</v>
      </c>
      <c r="F99" s="5" t="str">
        <f>'Choix étudiants'!F136</f>
        <v>abdulmajid.nasser@edu.esiee.fr</v>
      </c>
      <c r="G99" s="14"/>
      <c r="H99" s="14"/>
      <c r="I99" s="5"/>
      <c r="J99" s="5"/>
      <c r="K99" s="5"/>
      <c r="L99" s="5" t="str">
        <f>'Choix étudiants'!Q136</f>
        <v>Je pars au semestre 2</v>
      </c>
      <c r="M99" s="13" t="str">
        <f>'Choix étudiants'!R96</f>
        <v/>
      </c>
      <c r="N99" s="14"/>
      <c r="O99" s="14"/>
      <c r="P99" s="14"/>
      <c r="Q99" s="14"/>
      <c r="R99" s="14"/>
      <c r="S99" s="14"/>
      <c r="T99" s="14"/>
      <c r="U99" s="14"/>
    </row>
    <row r="100" ht="30.0" hidden="1" customHeight="1">
      <c r="A100" s="5"/>
      <c r="B100" s="4" t="s">
        <v>47</v>
      </c>
      <c r="C100" s="32" t="s">
        <v>48</v>
      </c>
      <c r="D100" s="48" t="s">
        <v>49</v>
      </c>
      <c r="E100" s="49" t="s">
        <v>50</v>
      </c>
      <c r="F100" s="32" t="s">
        <v>51</v>
      </c>
      <c r="G100" s="14"/>
      <c r="H100" s="14"/>
      <c r="I100" s="5"/>
      <c r="J100" s="5"/>
      <c r="K100" s="5"/>
      <c r="L100" s="32" t="s">
        <v>52</v>
      </c>
      <c r="M100" s="13"/>
      <c r="N100" s="14"/>
      <c r="O100" s="14"/>
      <c r="P100" s="14"/>
      <c r="Q100" s="14"/>
      <c r="R100" s="14"/>
      <c r="S100" s="14"/>
      <c r="T100" s="14"/>
      <c r="U100" s="14"/>
    </row>
    <row r="101" ht="30.0" hidden="1" customHeight="1">
      <c r="A101" s="17">
        <f>'Choix étudiants'!A96</f>
        <v>43362.41922</v>
      </c>
      <c r="B101" s="4" t="s">
        <v>53</v>
      </c>
      <c r="C101" s="5" t="str">
        <f>'Choix étudiants'!C96</f>
        <v>IMC</v>
      </c>
      <c r="D101" s="14" t="str">
        <f>'Choix étudiants'!D96</f>
        <v>HOSSEINI</v>
      </c>
      <c r="E101" s="14" t="str">
        <f>'Choix étudiants'!E96</f>
        <v>Sahar</v>
      </c>
      <c r="F101" s="5" t="str">
        <f>'Choix étudiants'!F96</f>
        <v>sahar.hosseini@edu.esiee.fr</v>
      </c>
      <c r="G101" s="46" t="str">
        <f>'Choix étudiants'!H96</f>
        <v>LL1</v>
      </c>
      <c r="H101" s="5" t="str">
        <f>'Choix étudiants'!J96</f>
        <v>R27</v>
      </c>
      <c r="I101" s="5" t="str">
        <f>'Choix étudiants'!L96</f>
        <v>R28</v>
      </c>
      <c r="J101" s="5" t="str">
        <f>'Choix étudiants'!N96</f>
        <v>R29</v>
      </c>
      <c r="K101" s="5" t="str">
        <f>'Choix étudiants'!P96</f>
        <v>R30</v>
      </c>
      <c r="L101" s="5" t="str">
        <f>'Choix étudiants'!Q96</f>
        <v>Je ne pars pas</v>
      </c>
      <c r="M101" s="13" t="str">
        <f>'Choix étudiants'!R112</f>
        <v/>
      </c>
      <c r="N101" s="14"/>
      <c r="O101" s="14"/>
      <c r="P101" s="14"/>
      <c r="Q101" s="14"/>
      <c r="R101" s="14"/>
      <c r="S101" s="14"/>
      <c r="T101" s="14"/>
      <c r="U101" s="14"/>
    </row>
    <row r="102" ht="30.0" customHeight="1">
      <c r="A102" s="17">
        <f>'Choix étudiants'!A112</f>
        <v>43362.50889</v>
      </c>
      <c r="B102" s="4" t="s">
        <v>53</v>
      </c>
      <c r="C102" s="5" t="str">
        <f>'Choix étudiants'!C112</f>
        <v>DSIA</v>
      </c>
      <c r="D102" s="5" t="str">
        <f>'Choix étudiants'!D112</f>
        <v>LECERT</v>
      </c>
      <c r="E102" s="5" t="str">
        <f>'Choix étudiants'!E112</f>
        <v>Arthur</v>
      </c>
      <c r="F102" s="5" t="str">
        <f>'Choix étudiants'!F112</f>
        <v>arthur.lecert@edu.esiee.fr</v>
      </c>
      <c r="G102" s="14" t="str">
        <f>'Choix étudiants'!H112</f>
        <v>E7</v>
      </c>
      <c r="H102" s="14" t="str">
        <f>'Choix étudiants'!J112</f>
        <v>E4</v>
      </c>
      <c r="I102" s="5" t="str">
        <f>'Choix étudiants'!L112</f>
        <v>E24</v>
      </c>
      <c r="J102" s="5" t="str">
        <f>'Choix étudiants'!N112</f>
        <v>R9</v>
      </c>
      <c r="K102" s="46" t="str">
        <f>'Choix étudiants'!P112</f>
        <v>LL1</v>
      </c>
      <c r="L102" s="5" t="str">
        <f>'Choix étudiants'!Q112</f>
        <v>Je pars au semestre 1</v>
      </c>
      <c r="M102" s="13" t="str">
        <f>'Choix étudiants'!R31</f>
        <v/>
      </c>
      <c r="N102" s="14"/>
      <c r="O102" s="14"/>
      <c r="P102" s="14"/>
      <c r="Q102" s="14"/>
      <c r="R102" s="14"/>
      <c r="S102" s="14"/>
      <c r="T102" s="14"/>
      <c r="U102" s="14"/>
    </row>
    <row r="103" ht="30.0" hidden="1" customHeight="1">
      <c r="A103" s="17">
        <f>'Choix étudiants'!A31</f>
        <v>43362.29253</v>
      </c>
      <c r="B103" s="4" t="s">
        <v>53</v>
      </c>
      <c r="C103" s="5" t="str">
        <f>'Choix étudiants'!C31</f>
        <v>CYBER</v>
      </c>
      <c r="D103" s="5" t="str">
        <f>'Choix étudiants'!D31</f>
        <v>CALLOT</v>
      </c>
      <c r="E103" s="5" t="str">
        <f>'Choix étudiants'!E31</f>
        <v>Evrard</v>
      </c>
      <c r="F103" s="5" t="str">
        <f>'Choix étudiants'!F31</f>
        <v>evrard.callot@edu.esiee.fr</v>
      </c>
      <c r="G103" s="14" t="str">
        <f>'Choix étudiants'!H31</f>
        <v>R15</v>
      </c>
      <c r="H103" s="5" t="str">
        <f>'Choix étudiants'!J31</f>
        <v>E4</v>
      </c>
      <c r="I103" s="32" t="s">
        <v>54</v>
      </c>
      <c r="J103" s="46" t="str">
        <f>'Choix étudiants'!N31</f>
        <v>LL1</v>
      </c>
      <c r="K103" s="5" t="str">
        <f>'Choix étudiants'!P31</f>
        <v>R27</v>
      </c>
      <c r="L103" s="5" t="str">
        <f>'Choix étudiants'!Q31</f>
        <v>Je pars au semestre 1</v>
      </c>
      <c r="M103" s="13" t="str">
        <f>'Choix étudiants'!R21</f>
        <v/>
      </c>
      <c r="N103" s="14"/>
      <c r="O103" s="14"/>
      <c r="P103" s="14"/>
      <c r="Q103" s="14"/>
      <c r="R103" s="14"/>
      <c r="S103" s="14"/>
      <c r="T103" s="14"/>
      <c r="U103" s="14"/>
    </row>
    <row r="104" ht="30.0" hidden="1" customHeight="1">
      <c r="A104" s="17">
        <f>'Choix étudiants'!A21</f>
        <v>43364.19527</v>
      </c>
      <c r="B104" s="4" t="s">
        <v>53</v>
      </c>
      <c r="C104" s="5" t="str">
        <f>'Choix étudiants'!C21</f>
        <v>IMC</v>
      </c>
      <c r="D104" s="5" t="str">
        <f>'Choix étudiants'!D21</f>
        <v>BLOND</v>
      </c>
      <c r="E104" s="5" t="str">
        <f>'Choix étudiants'!E21</f>
        <v>Roman</v>
      </c>
      <c r="F104" s="5" t="str">
        <f>'Choix étudiants'!F21</f>
        <v>roman.blond@edu.esiee.fr</v>
      </c>
      <c r="G104" s="49" t="s">
        <v>55</v>
      </c>
      <c r="H104" s="46" t="str">
        <f>'Choix étudiants'!J21</f>
        <v>LL1</v>
      </c>
      <c r="I104" s="5" t="str">
        <f>'Choix étudiants'!L21</f>
        <v>R27</v>
      </c>
      <c r="J104" s="5" t="str">
        <f>'Choix étudiants'!N21</f>
        <v>LL1</v>
      </c>
      <c r="K104" s="5" t="str">
        <f>'Choix étudiants'!P21</f>
        <v>R27</v>
      </c>
      <c r="L104" s="32" t="s">
        <v>56</v>
      </c>
      <c r="M104" s="13" t="str">
        <f>'Choix étudiants'!R5</f>
        <v/>
      </c>
      <c r="N104" s="14"/>
      <c r="O104" s="14"/>
      <c r="P104" s="14"/>
      <c r="Q104" s="14"/>
      <c r="R104" s="14"/>
      <c r="S104" s="14"/>
      <c r="T104" s="14"/>
      <c r="U104" s="14"/>
    </row>
    <row r="105" ht="30.0" hidden="1" customHeight="1">
      <c r="A105" s="17">
        <f>'Choix étudiants'!A5</f>
        <v>43360.57349</v>
      </c>
      <c r="B105" s="4" t="s">
        <v>57</v>
      </c>
      <c r="C105" s="5" t="str">
        <f>'Choix étudiants'!C5</f>
        <v>ENE</v>
      </c>
      <c r="D105" s="5" t="str">
        <f>'Choix étudiants'!D5</f>
        <v>ARFAOUI</v>
      </c>
      <c r="E105" s="5" t="str">
        <f>'Choix étudiants'!E5</f>
        <v>Inès</v>
      </c>
      <c r="F105" s="5" t="str">
        <f>'Choix étudiants'!F5</f>
        <v>ines.arfaoui@edu.esiee.fr</v>
      </c>
      <c r="G105" s="5" t="str">
        <f>'Choix étudiants'!H5</f>
        <v>R12</v>
      </c>
      <c r="H105" s="5" t="str">
        <f>'Choix étudiants'!J5</f>
        <v>R16</v>
      </c>
      <c r="I105" s="21" t="str">
        <f>'Choix étudiants'!L5</f>
        <v>R1</v>
      </c>
      <c r="J105" s="14" t="str">
        <f>'Choix étudiants'!N5</f>
        <v>E13</v>
      </c>
      <c r="K105" s="5" t="str">
        <f>'Choix étudiants'!P5</f>
        <v>R12</v>
      </c>
      <c r="L105" s="5" t="str">
        <f>'Choix étudiants'!Q5</f>
        <v>Je ne pars pas</v>
      </c>
      <c r="M105" s="13" t="str">
        <f>'Choix étudiants'!R52</f>
        <v/>
      </c>
      <c r="N105" s="14"/>
      <c r="O105" s="14"/>
      <c r="P105" s="14"/>
      <c r="Q105" s="14"/>
      <c r="R105" s="14"/>
      <c r="S105" s="14"/>
      <c r="T105" s="14"/>
      <c r="U105" s="14"/>
    </row>
    <row r="106" ht="30.0" hidden="1" customHeight="1">
      <c r="A106" s="17">
        <f>'Choix étudiants'!A52</f>
        <v>43360.6927</v>
      </c>
      <c r="B106" s="4" t="s">
        <v>57</v>
      </c>
      <c r="C106" s="5" t="str">
        <f>'Choix étudiants'!C52</f>
        <v>ENE</v>
      </c>
      <c r="D106" s="14" t="str">
        <f>'Choix étudiants'!D52</f>
        <v>DESCAMPS</v>
      </c>
      <c r="E106" s="14" t="str">
        <f>'Choix étudiants'!E52</f>
        <v>Guillaume</v>
      </c>
      <c r="F106" s="5" t="str">
        <f>'Choix étudiants'!F52</f>
        <v>guillaume.descamps@edu.esiee.fr</v>
      </c>
      <c r="G106" s="14" t="str">
        <f>'Choix étudiants'!H52</f>
        <v>E13</v>
      </c>
      <c r="H106" s="21" t="str">
        <f>'Choix étudiants'!J52</f>
        <v>R1</v>
      </c>
      <c r="I106" s="5" t="str">
        <f>'Choix étudiants'!L52</f>
        <v>R23</v>
      </c>
      <c r="J106" s="5" t="str">
        <f>'Choix étudiants'!N52</f>
        <v>R12</v>
      </c>
      <c r="K106" s="5" t="str">
        <f>'Choix étudiants'!P52</f>
        <v>R4</v>
      </c>
      <c r="L106" s="5" t="str">
        <f>'Choix étudiants'!Q52</f>
        <v>Je pars au semestre 1</v>
      </c>
      <c r="M106" s="13" t="str">
        <f>'Choix étudiants'!R30</f>
        <v/>
      </c>
      <c r="N106" s="14"/>
      <c r="O106" s="14"/>
      <c r="P106" s="14"/>
      <c r="Q106" s="14"/>
      <c r="R106" s="14"/>
      <c r="S106" s="14"/>
      <c r="T106" s="14"/>
      <c r="U106" s="14"/>
    </row>
    <row r="107" ht="30.0" hidden="1" customHeight="1">
      <c r="A107" s="17">
        <f>'Choix étudiants'!A30</f>
        <v>43361.17467</v>
      </c>
      <c r="B107" s="4" t="s">
        <v>57</v>
      </c>
      <c r="C107" s="5" t="str">
        <f>'Choix étudiants'!C30</f>
        <v>ENE</v>
      </c>
      <c r="D107" s="5" t="str">
        <f>'Choix étudiants'!D30</f>
        <v>CAILLE</v>
      </c>
      <c r="E107" s="5" t="str">
        <f>'Choix étudiants'!E30</f>
        <v>Yoan</v>
      </c>
      <c r="F107" s="5" t="str">
        <f>'Choix étudiants'!F30</f>
        <v>yoan.caille@edu.esiee.fr</v>
      </c>
      <c r="G107" s="21" t="str">
        <f>'Choix étudiants'!H30</f>
        <v>R1</v>
      </c>
      <c r="H107" s="5" t="str">
        <f>'Choix étudiants'!J30</f>
        <v>R12</v>
      </c>
      <c r="I107" s="5" t="str">
        <f>'Choix étudiants'!L30</f>
        <v>E17</v>
      </c>
      <c r="J107" s="5" t="str">
        <f>'Choix étudiants'!N30</f>
        <v>E13</v>
      </c>
      <c r="K107" s="5" t="str">
        <f>'Choix étudiants'!P30</f>
        <v>R17</v>
      </c>
      <c r="L107" s="5" t="str">
        <f>'Choix étudiants'!Q30</f>
        <v>Je ne pars pas</v>
      </c>
      <c r="M107" s="13" t="str">
        <f>'Choix étudiants'!R49</f>
        <v/>
      </c>
      <c r="N107" s="14"/>
      <c r="O107" s="14"/>
      <c r="P107" s="14"/>
      <c r="Q107" s="14"/>
      <c r="R107" s="14"/>
      <c r="S107" s="14"/>
      <c r="T107" s="14"/>
      <c r="U107" s="14"/>
    </row>
    <row r="108" ht="30.0" hidden="1" customHeight="1">
      <c r="A108" s="17">
        <f>'Choix étudiants'!A49</f>
        <v>43362.14319</v>
      </c>
      <c r="B108" s="4" t="s">
        <v>57</v>
      </c>
      <c r="C108" s="5" t="str">
        <f>'Choix étudiants'!C49</f>
        <v>ENE</v>
      </c>
      <c r="D108" s="5" t="str">
        <f>'Choix étudiants'!D49</f>
        <v>DELONCLE</v>
      </c>
      <c r="E108" s="5" t="str">
        <f>'Choix étudiants'!E49</f>
        <v>Lucas</v>
      </c>
      <c r="F108" s="5" t="str">
        <f>'Choix étudiants'!F49</f>
        <v>lucas.deloncle@edu.esiee.fr</v>
      </c>
      <c r="G108" s="5" t="str">
        <f>'Choix étudiants'!H49</f>
        <v>R12</v>
      </c>
      <c r="H108" s="21" t="str">
        <f>'Choix étudiants'!J49</f>
        <v>R1</v>
      </c>
      <c r="I108" s="5" t="str">
        <f>'Choix étudiants'!L49</f>
        <v>E13</v>
      </c>
      <c r="J108" s="5" t="str">
        <f>'Choix étudiants'!N49</f>
        <v>E14</v>
      </c>
      <c r="K108" s="5" t="str">
        <f>'Choix étudiants'!P49</f>
        <v>R2</v>
      </c>
      <c r="L108" s="5" t="str">
        <f>'Choix étudiants'!Q49</f>
        <v>Je ne pars pas</v>
      </c>
      <c r="M108" s="13" t="str">
        <f>'Choix étudiants'!R131</f>
        <v/>
      </c>
      <c r="N108" s="14"/>
      <c r="O108" s="14"/>
      <c r="P108" s="14"/>
      <c r="Q108" s="14"/>
      <c r="R108" s="14"/>
      <c r="S108" s="14"/>
      <c r="T108" s="14"/>
      <c r="U108" s="14"/>
    </row>
    <row r="109" ht="30.0" hidden="1" customHeight="1">
      <c r="A109" s="17">
        <f>'Choix étudiants'!A131</f>
        <v>43360.44243</v>
      </c>
      <c r="B109" s="4" t="s">
        <v>57</v>
      </c>
      <c r="C109" s="5" t="str">
        <f>'Choix étudiants'!C131</f>
        <v>ENE</v>
      </c>
      <c r="D109" s="5" t="str">
        <f>'Choix étudiants'!D131</f>
        <v>MEZRHAB</v>
      </c>
      <c r="E109" s="5" t="str">
        <f>'Choix étudiants'!E131</f>
        <v>Brahim</v>
      </c>
      <c r="F109" s="5" t="str">
        <f>'Choix étudiants'!F131</f>
        <v>brahim.mezrhab@edu.esiee.fr</v>
      </c>
      <c r="G109" s="21" t="str">
        <f>'Choix étudiants'!H131</f>
        <v>R1</v>
      </c>
      <c r="H109" s="5" t="str">
        <f>'Choix étudiants'!J131</f>
        <v>R12</v>
      </c>
      <c r="I109" s="5" t="str">
        <f>'Choix étudiants'!L131</f>
        <v>E13</v>
      </c>
      <c r="J109" s="5" t="str">
        <f>'Choix étudiants'!N131</f>
        <v>R23</v>
      </c>
      <c r="K109" s="5" t="str">
        <f>'Choix étudiants'!P131</f>
        <v>E14</v>
      </c>
      <c r="L109" s="32" t="s">
        <v>52</v>
      </c>
      <c r="M109" s="13" t="str">
        <f>'Choix étudiants'!R174</f>
        <v/>
      </c>
      <c r="N109" s="14"/>
      <c r="O109" s="14"/>
      <c r="P109" s="14"/>
      <c r="Q109" s="14"/>
      <c r="R109" s="14"/>
      <c r="S109" s="14"/>
      <c r="T109" s="14"/>
      <c r="U109" s="14"/>
    </row>
    <row r="110" ht="30.0" hidden="1" customHeight="1">
      <c r="A110" s="17">
        <f>'Choix étudiants'!A174</f>
        <v>43360.64322</v>
      </c>
      <c r="B110" s="4" t="s">
        <v>57</v>
      </c>
      <c r="C110" s="5" t="str">
        <f>'Choix étudiants'!C174</f>
        <v>ENE</v>
      </c>
      <c r="D110" s="5" t="str">
        <f>'Choix étudiants'!D174</f>
        <v>REICHERT</v>
      </c>
      <c r="E110" s="5" t="str">
        <f>'Choix étudiants'!E174</f>
        <v>Alice</v>
      </c>
      <c r="F110" s="5" t="str">
        <f>'Choix étudiants'!F174</f>
        <v>alice.reichert@edu.esiee.fr</v>
      </c>
      <c r="G110" s="14" t="str">
        <f>'Choix étudiants'!H174</f>
        <v>E13</v>
      </c>
      <c r="H110" s="21" t="str">
        <f>'Choix étudiants'!J174</f>
        <v>R1</v>
      </c>
      <c r="I110" s="5" t="str">
        <f>'Choix étudiants'!L174</f>
        <v>R12</v>
      </c>
      <c r="J110" s="5" t="str">
        <f>'Choix étudiants'!N174</f>
        <v>R16</v>
      </c>
      <c r="K110" s="5" t="str">
        <f>'Choix étudiants'!P174</f>
        <v>R4</v>
      </c>
      <c r="L110" s="5" t="str">
        <f>'Choix étudiants'!Q174</f>
        <v>Je pars au semestre 1</v>
      </c>
      <c r="M110" s="13" t="str">
        <f>'Choix étudiants'!R190</f>
        <v/>
      </c>
      <c r="N110" s="14"/>
      <c r="O110" s="14"/>
      <c r="P110" s="14"/>
      <c r="Q110" s="14"/>
      <c r="R110" s="14"/>
      <c r="S110" s="14"/>
      <c r="T110" s="14"/>
      <c r="U110" s="14"/>
    </row>
    <row r="111" ht="30.0" hidden="1" customHeight="1">
      <c r="A111" s="17">
        <f>'Choix étudiants'!A190</f>
        <v>43360.42383</v>
      </c>
      <c r="B111" s="4" t="s">
        <v>57</v>
      </c>
      <c r="C111" s="5" t="str">
        <f>'Choix étudiants'!C190</f>
        <v>ENE</v>
      </c>
      <c r="D111" s="5" t="str">
        <f>'Choix étudiants'!D190</f>
        <v>SINACOLA</v>
      </c>
      <c r="E111" s="5" t="str">
        <f>'Choix étudiants'!E190</f>
        <v>Vincent</v>
      </c>
      <c r="F111" s="5" t="str">
        <f>'Choix étudiants'!F190</f>
        <v>vincent.sinacola@edu.esiee.fr</v>
      </c>
      <c r="G111" s="5" t="str">
        <f>'Choix étudiants'!H190</f>
        <v>R23</v>
      </c>
      <c r="H111" s="21" t="str">
        <f>'Choix étudiants'!J190</f>
        <v>R1</v>
      </c>
      <c r="I111" s="5" t="str">
        <f>'Choix étudiants'!L190</f>
        <v>E13</v>
      </c>
      <c r="J111" s="5" t="str">
        <f>'Choix étudiants'!N190</f>
        <v>R12</v>
      </c>
      <c r="K111" s="5" t="str">
        <f>'Choix étudiants'!P190</f>
        <v>E14</v>
      </c>
      <c r="L111" s="5" t="str">
        <f>'Choix étudiants'!Q190</f>
        <v>Je ne pars pas</v>
      </c>
      <c r="M111" s="13" t="str">
        <f>'Choix étudiants'!R20</f>
        <v/>
      </c>
      <c r="N111" s="14"/>
      <c r="O111" s="14"/>
      <c r="P111" s="14"/>
      <c r="Q111" s="14"/>
      <c r="R111" s="14"/>
      <c r="S111" s="14"/>
      <c r="T111" s="14"/>
      <c r="U111" s="14"/>
    </row>
    <row r="112" ht="30.0" hidden="1" customHeight="1">
      <c r="A112" s="2">
        <f>'Choix étudiants'!A20</f>
        <v>43361.20218</v>
      </c>
      <c r="B112" s="4" t="s">
        <v>57</v>
      </c>
      <c r="C112" s="5" t="str">
        <f>'Choix étudiants'!C20</f>
        <v>ENE</v>
      </c>
      <c r="D112" s="5" t="str">
        <f>'Choix étudiants'!D20</f>
        <v>BILOSI</v>
      </c>
      <c r="E112" s="5" t="str">
        <f>'Choix étudiants'!E20</f>
        <v>Pierre-Marc</v>
      </c>
      <c r="F112" s="5" t="str">
        <f>'Choix étudiants'!F20</f>
        <v>pierre-marc.bilosi@edu.esiee.fr</v>
      </c>
      <c r="G112" s="14" t="str">
        <f>'Choix étudiants'!H20</f>
        <v>R16</v>
      </c>
      <c r="H112" s="21" t="str">
        <f>'Choix étudiants'!J20</f>
        <v>R1</v>
      </c>
      <c r="I112" s="5" t="str">
        <f>'Choix étudiants'!L20</f>
        <v>R23</v>
      </c>
      <c r="J112" s="5" t="str">
        <f>'Choix étudiants'!N20</f>
        <v>E13</v>
      </c>
      <c r="K112" s="5" t="str">
        <f>'Choix étudiants'!P20</f>
        <v>R16</v>
      </c>
      <c r="L112" s="5" t="str">
        <f>'Choix étudiants'!Q20</f>
        <v>Je pars au semestre 2</v>
      </c>
      <c r="M112" s="13" t="str">
        <f>'Choix étudiants'!R192</f>
        <v/>
      </c>
      <c r="N112" s="14"/>
      <c r="O112" s="14"/>
      <c r="P112" s="14"/>
      <c r="Q112" s="14"/>
      <c r="R112" s="14"/>
      <c r="S112" s="14"/>
      <c r="T112" s="14"/>
      <c r="U112" s="14"/>
    </row>
    <row r="113" ht="30.0" hidden="1" customHeight="1">
      <c r="A113" s="17">
        <f>'Choix étudiants'!A192</f>
        <v>43360.41886</v>
      </c>
      <c r="B113" s="4" t="s">
        <v>36</v>
      </c>
      <c r="C113" s="5" t="str">
        <f>'Choix étudiants'!C192</f>
        <v>SE</v>
      </c>
      <c r="D113" s="5" t="str">
        <f>'Choix étudiants'!D192</f>
        <v>THAI</v>
      </c>
      <c r="E113" s="5" t="str">
        <f>'Choix étudiants'!E192</f>
        <v>Willy</v>
      </c>
      <c r="F113" s="5" t="str">
        <f>'Choix étudiants'!F192</f>
        <v>willy.thai@edu.esiee.fr</v>
      </c>
      <c r="G113" s="14" t="str">
        <f>'Choix étudiants'!H192</f>
        <v>E16</v>
      </c>
      <c r="H113" s="51" t="str">
        <f>'Choix étudiants'!J192</f>
        <v>R11</v>
      </c>
      <c r="I113" s="5" t="str">
        <f>'Choix étudiants'!L192</f>
        <v>E18</v>
      </c>
      <c r="J113" s="5" t="str">
        <f>'Choix étudiants'!N192</f>
        <v>R13</v>
      </c>
      <c r="K113" s="5" t="str">
        <f>'Choix étudiants'!P192</f>
        <v>C2</v>
      </c>
      <c r="L113" s="5" t="str">
        <f>'Choix étudiants'!Q192</f>
        <v>Je ne pars pas</v>
      </c>
      <c r="M113" s="13" t="str">
        <f>'Choix étudiants'!R3</f>
        <v/>
      </c>
      <c r="N113" s="14"/>
      <c r="O113" s="14"/>
      <c r="P113" s="14"/>
      <c r="Q113" s="14"/>
      <c r="R113" s="14"/>
      <c r="S113" s="14"/>
      <c r="T113" s="14"/>
      <c r="U113" s="14"/>
    </row>
    <row r="114" ht="30.0" hidden="1" customHeight="1">
      <c r="A114" s="17">
        <f>'Choix étudiants'!A3</f>
        <v>43362.59442</v>
      </c>
      <c r="B114" s="4" t="s">
        <v>36</v>
      </c>
      <c r="C114" s="5" t="str">
        <f>'Choix étudiants'!C3</f>
        <v>IMC</v>
      </c>
      <c r="D114" s="5" t="str">
        <f>'Choix étudiants'!D3</f>
        <v>AMIOT</v>
      </c>
      <c r="E114" s="5" t="str">
        <f>'Choix étudiants'!E3</f>
        <v>Nicolas</v>
      </c>
      <c r="F114" s="5" t="str">
        <f>'Choix étudiants'!F3</f>
        <v>nicolas.amiot@edu.esiee.fr</v>
      </c>
      <c r="G114" s="14" t="str">
        <f>'Choix étudiants'!H3</f>
        <v>R21</v>
      </c>
      <c r="H114" s="5" t="str">
        <f>'Choix étudiants'!J3</f>
        <v>R20</v>
      </c>
      <c r="I114" s="51" t="str">
        <f>'Choix étudiants'!L3</f>
        <v>R11</v>
      </c>
      <c r="J114" s="5" t="str">
        <f>'Choix étudiants'!N3</f>
        <v>R13</v>
      </c>
      <c r="K114" s="5" t="str">
        <f>'Choix étudiants'!P3</f>
        <v>R25</v>
      </c>
      <c r="L114" s="5" t="str">
        <f>'Choix étudiants'!Q3</f>
        <v>Je ne pars pas</v>
      </c>
      <c r="M114" s="13" t="str">
        <f>'Choix étudiants'!R87</f>
        <v/>
      </c>
      <c r="N114" s="14"/>
      <c r="O114" s="14"/>
      <c r="P114" s="14"/>
      <c r="Q114" s="14"/>
      <c r="R114" s="14"/>
      <c r="S114" s="14"/>
      <c r="T114" s="14"/>
      <c r="U114" s="14"/>
    </row>
    <row r="115" ht="30.0" hidden="1" customHeight="1">
      <c r="A115" s="17">
        <f>'Choix étudiants'!A87</f>
        <v>43362.41953</v>
      </c>
      <c r="B115" s="4" t="s">
        <v>36</v>
      </c>
      <c r="C115" s="5" t="str">
        <f>'Choix étudiants'!C87</f>
        <v>IMC</v>
      </c>
      <c r="D115" s="5" t="str">
        <f>'Choix étudiants'!D87</f>
        <v>GUILLEMIN</v>
      </c>
      <c r="E115" s="5" t="str">
        <f>'Choix étudiants'!E87</f>
        <v>Eloi</v>
      </c>
      <c r="F115" s="5" t="str">
        <f>'Choix étudiants'!F87</f>
        <v>eloi.guillemin@edu.esiee.fr</v>
      </c>
      <c r="G115" s="51" t="str">
        <f>'Choix étudiants'!H87</f>
        <v>R11</v>
      </c>
      <c r="H115" s="5" t="str">
        <f>'Choix étudiants'!J87</f>
        <v>E23</v>
      </c>
      <c r="I115" s="5" t="str">
        <f>'Choix étudiants'!L87</f>
        <v>E22</v>
      </c>
      <c r="J115" s="5" t="str">
        <f>'Choix étudiants'!N87</f>
        <v>E24</v>
      </c>
      <c r="K115" s="5" t="str">
        <f>'Choix étudiants'!P87</f>
        <v>R5</v>
      </c>
      <c r="L115" s="5" t="str">
        <f>'Choix étudiants'!Q87</f>
        <v>Je pars au semestre 2</v>
      </c>
      <c r="M115" s="13" t="str">
        <f>'Choix étudiants'!R119</f>
        <v/>
      </c>
      <c r="N115" s="14"/>
      <c r="O115" s="14"/>
      <c r="P115" s="14"/>
      <c r="Q115" s="14"/>
      <c r="R115" s="14"/>
      <c r="S115" s="14"/>
      <c r="T115" s="14"/>
      <c r="U115" s="14"/>
    </row>
    <row r="116" ht="30.0" hidden="1" customHeight="1">
      <c r="A116" s="17">
        <f>'Choix étudiants'!A119</f>
        <v>43360.42156</v>
      </c>
      <c r="B116" s="4" t="s">
        <v>36</v>
      </c>
      <c r="C116" s="5" t="str">
        <f>'Choix étudiants'!C119</f>
        <v>INF</v>
      </c>
      <c r="D116" s="5" t="str">
        <f>'Choix étudiants'!D119</f>
        <v>LY</v>
      </c>
      <c r="E116" s="5" t="str">
        <f>'Choix étudiants'!E119</f>
        <v>Eddy</v>
      </c>
      <c r="F116" s="5" t="str">
        <f>'Choix étudiants'!F119</f>
        <v>eddy.ly@edu.esiee.fr</v>
      </c>
      <c r="G116" s="51" t="str">
        <f>'Choix étudiants'!H119</f>
        <v>R11</v>
      </c>
      <c r="H116" s="5" t="str">
        <f>'Choix étudiants'!J119</f>
        <v>E2</v>
      </c>
      <c r="I116" s="5" t="str">
        <f>'Choix étudiants'!L119</f>
        <v>R7</v>
      </c>
      <c r="J116" s="5" t="str">
        <f>'Choix étudiants'!N119</f>
        <v>R25</v>
      </c>
      <c r="K116" s="5" t="str">
        <f>'Choix étudiants'!P119</f>
        <v>R27</v>
      </c>
      <c r="L116" s="5" t="str">
        <f>'Choix étudiants'!Q119</f>
        <v>Je pars au semestre 1</v>
      </c>
      <c r="M116" s="13" t="str">
        <f>'Choix étudiants'!R162</f>
        <v/>
      </c>
      <c r="N116" s="14"/>
      <c r="O116" s="14"/>
      <c r="P116" s="14"/>
      <c r="Q116" s="14"/>
      <c r="R116" s="14"/>
      <c r="S116" s="14"/>
      <c r="T116" s="14"/>
      <c r="U116" s="14"/>
    </row>
    <row r="117" ht="30.0" hidden="1" customHeight="1">
      <c r="A117" s="17">
        <f>'Choix étudiants'!A162</f>
        <v>43360.41913</v>
      </c>
      <c r="B117" s="4" t="s">
        <v>36</v>
      </c>
      <c r="C117" s="5" t="str">
        <f>'Choix étudiants'!C162</f>
        <v>INF</v>
      </c>
      <c r="D117" s="5" t="str">
        <f>'Choix étudiants'!D162</f>
        <v>POURET</v>
      </c>
      <c r="E117" s="5" t="str">
        <f>'Choix étudiants'!E162</f>
        <v>Valentin</v>
      </c>
      <c r="F117" s="5" t="str">
        <f>'Choix étudiants'!F162</f>
        <v>valentin.pouret@edu.esiee.fr</v>
      </c>
      <c r="G117" s="51" t="str">
        <f>'Choix étudiants'!H162</f>
        <v>R11</v>
      </c>
      <c r="H117" s="5" t="str">
        <f>'Choix étudiants'!J162</f>
        <v>E23</v>
      </c>
      <c r="I117" s="5" t="str">
        <f>'Choix étudiants'!L162</f>
        <v>R7</v>
      </c>
      <c r="J117" s="5" t="str">
        <f>'Choix étudiants'!N162</f>
        <v>E2</v>
      </c>
      <c r="K117" s="5" t="str">
        <f>'Choix étudiants'!P162</f>
        <v>R9</v>
      </c>
      <c r="L117" s="5" t="str">
        <f>'Choix étudiants'!Q162</f>
        <v>Je ne pars pas</v>
      </c>
      <c r="M117" s="13" t="str">
        <f>'Choix étudiants'!R64</f>
        <v/>
      </c>
      <c r="N117" s="14"/>
      <c r="O117" s="14"/>
      <c r="P117" s="14"/>
      <c r="Q117" s="14"/>
      <c r="R117" s="14"/>
      <c r="S117" s="14"/>
      <c r="T117" s="14"/>
      <c r="U117" s="14"/>
    </row>
    <row r="118" ht="30.0" hidden="1" customHeight="1">
      <c r="A118" s="17">
        <f>'Choix étudiants'!A64</f>
        <v>43362.46021</v>
      </c>
      <c r="B118" s="4" t="s">
        <v>36</v>
      </c>
      <c r="C118" s="5" t="str">
        <f>'Choix étudiants'!C64</f>
        <v>SE</v>
      </c>
      <c r="D118" s="5" t="str">
        <f>'Choix étudiants'!D64</f>
        <v>EMMANUEL</v>
      </c>
      <c r="E118" s="5" t="str">
        <f>'Choix étudiants'!E64</f>
        <v>Jerry</v>
      </c>
      <c r="F118" s="5" t="str">
        <f>'Choix étudiants'!F64</f>
        <v>jerry.emmanuel@edu.esiee.fr</v>
      </c>
      <c r="G118" s="14" t="str">
        <f>'Choix étudiants'!H64</f>
        <v>R6</v>
      </c>
      <c r="H118" s="14" t="str">
        <f>'Choix étudiants'!J64</f>
        <v>E16</v>
      </c>
      <c r="I118" s="5" t="str">
        <f>'Choix étudiants'!L64</f>
        <v>R18</v>
      </c>
      <c r="J118" s="14" t="str">
        <f>'Choix étudiants'!N64</f>
        <v>R7</v>
      </c>
      <c r="K118" s="51" t="str">
        <f>'Choix étudiants'!P64</f>
        <v>R11</v>
      </c>
      <c r="L118" s="5" t="str">
        <f>'Choix étudiants'!Q64</f>
        <v>Je ne pars pas</v>
      </c>
      <c r="M118" s="13" t="str">
        <f>'Choix étudiants'!R86</f>
        <v/>
      </c>
      <c r="N118" s="14"/>
      <c r="O118" s="14"/>
      <c r="P118" s="14"/>
      <c r="Q118" s="14"/>
      <c r="R118" s="14"/>
      <c r="S118" s="14"/>
      <c r="T118" s="14"/>
      <c r="U118" s="14"/>
    </row>
    <row r="119" ht="30.0" hidden="1" customHeight="1">
      <c r="A119" s="17">
        <f>'Choix étudiants'!A86</f>
        <v>43360.45859</v>
      </c>
      <c r="B119" s="4" t="s">
        <v>58</v>
      </c>
      <c r="C119" s="5" t="str">
        <f>'Choix étudiants'!C86</f>
        <v>ENE</v>
      </c>
      <c r="D119" s="47" t="str">
        <f>'Choix étudiants'!D86</f>
        <v>GRIRA</v>
      </c>
      <c r="E119" s="5" t="str">
        <f>'Choix étudiants'!E86</f>
        <v>Salem</v>
      </c>
      <c r="F119" s="5" t="str">
        <f>'Choix étudiants'!F86</f>
        <v>salem.grira@edu.esiee.fr</v>
      </c>
      <c r="G119" s="47" t="str">
        <f>'Choix étudiants'!H86</f>
        <v>R12</v>
      </c>
      <c r="H119" s="14" t="str">
        <f>'Choix étudiants'!J86</f>
        <v>R1</v>
      </c>
      <c r="I119" s="5" t="str">
        <f>'Choix étudiants'!L86</f>
        <v>E14</v>
      </c>
      <c r="J119" s="5" t="str">
        <f>'Choix étudiants'!N86</f>
        <v>E13</v>
      </c>
      <c r="K119" s="5" t="str">
        <f>'Choix étudiants'!P86</f>
        <v>R23</v>
      </c>
      <c r="L119" s="5" t="str">
        <f>'Choix étudiants'!Q86</f>
        <v>Je ne pars pas</v>
      </c>
      <c r="M119" s="13" t="str">
        <f>'Choix étudiants'!R102</f>
        <v/>
      </c>
      <c r="N119" s="14"/>
      <c r="O119" s="14"/>
      <c r="P119" s="14"/>
      <c r="Q119" s="14"/>
      <c r="R119" s="14"/>
      <c r="S119" s="14"/>
      <c r="T119" s="14"/>
      <c r="U119" s="14"/>
    </row>
    <row r="120" ht="30.0" hidden="1" customHeight="1">
      <c r="A120" s="17">
        <f>'Choix étudiants'!A102</f>
        <v>43360.44477</v>
      </c>
      <c r="B120" s="4" t="s">
        <v>58</v>
      </c>
      <c r="C120" s="5" t="str">
        <f>'Choix étudiants'!C102</f>
        <v>ENE</v>
      </c>
      <c r="D120" s="47" t="str">
        <f>'Choix étudiants'!D102</f>
        <v>KA</v>
      </c>
      <c r="E120" s="5" t="str">
        <f>'Choix étudiants'!E102</f>
        <v>Alexandre</v>
      </c>
      <c r="F120" s="5" t="str">
        <f>'Choix étudiants'!F102</f>
        <v>alexandre.ka@edu.esiee.fr</v>
      </c>
      <c r="G120" s="47" t="str">
        <f>'Choix étudiants'!H102</f>
        <v>R12</v>
      </c>
      <c r="H120" s="5" t="str">
        <f>'Choix étudiants'!J102</f>
        <v>R1</v>
      </c>
      <c r="I120" s="5" t="str">
        <f>'Choix étudiants'!L102</f>
        <v>E14</v>
      </c>
      <c r="J120" s="5" t="str">
        <f>'Choix étudiants'!N102</f>
        <v>E13</v>
      </c>
      <c r="K120" s="5" t="str">
        <f>'Choix étudiants'!P102</f>
        <v>R23</v>
      </c>
      <c r="L120" s="5" t="str">
        <f>'Choix étudiants'!Q102</f>
        <v>Je ne pars pas</v>
      </c>
      <c r="M120" s="13" t="str">
        <f>'Choix étudiants'!R111</f>
        <v/>
      </c>
      <c r="N120" s="14"/>
      <c r="O120" s="14"/>
      <c r="P120" s="14"/>
      <c r="Q120" s="14"/>
      <c r="R120" s="14"/>
      <c r="S120" s="14"/>
      <c r="T120" s="14"/>
      <c r="U120" s="14"/>
    </row>
    <row r="121" ht="30.0" hidden="1" customHeight="1">
      <c r="A121" s="17">
        <f>'Choix étudiants'!A111</f>
        <v>43360.41908</v>
      </c>
      <c r="B121" s="4" t="s">
        <v>58</v>
      </c>
      <c r="C121" s="5" t="str">
        <f>'Choix étudiants'!C111</f>
        <v>ENE</v>
      </c>
      <c r="D121" s="47" t="str">
        <f>'Choix étudiants'!D111</f>
        <v>LEAS</v>
      </c>
      <c r="E121" s="5" t="str">
        <f>'Choix étudiants'!E111</f>
        <v>Sokbora</v>
      </c>
      <c r="F121" s="5" t="str">
        <f>'Choix étudiants'!F111</f>
        <v>sokbora.leas@edu.esiee.fr</v>
      </c>
      <c r="G121" s="47" t="str">
        <f>'Choix étudiants'!H111</f>
        <v>R12</v>
      </c>
      <c r="H121" s="5" t="str">
        <f>'Choix étudiants'!J111</f>
        <v>R1</v>
      </c>
      <c r="I121" s="5" t="str">
        <f>'Choix étudiants'!L111</f>
        <v>E14</v>
      </c>
      <c r="J121" s="5" t="str">
        <f>'Choix étudiants'!N111</f>
        <v>E13</v>
      </c>
      <c r="K121" s="5" t="str">
        <f>'Choix étudiants'!P111</f>
        <v>R23</v>
      </c>
      <c r="L121" s="5" t="str">
        <f>'Choix étudiants'!Q111</f>
        <v>Je ne pars pas</v>
      </c>
      <c r="M121" s="13" t="str">
        <f>'Choix étudiants'!R178</f>
        <v/>
      </c>
      <c r="N121" s="14"/>
      <c r="O121" s="14"/>
      <c r="P121" s="14"/>
      <c r="Q121" s="14"/>
      <c r="R121" s="14"/>
      <c r="S121" s="14"/>
      <c r="T121" s="14"/>
      <c r="U121" s="14"/>
    </row>
    <row r="122" ht="30.0" hidden="1" customHeight="1">
      <c r="A122" s="17">
        <f>'Choix étudiants'!A178</f>
        <v>43362.26915</v>
      </c>
      <c r="B122" s="4" t="s">
        <v>58</v>
      </c>
      <c r="C122" s="5" t="str">
        <f>'Choix étudiants'!C178</f>
        <v>ENE</v>
      </c>
      <c r="D122" s="47" t="str">
        <f>'Choix étudiants'!D178</f>
        <v>ROUBAUD</v>
      </c>
      <c r="E122" s="5" t="str">
        <f>'Choix étudiants'!E178</f>
        <v>Nicolas</v>
      </c>
      <c r="F122" s="5" t="str">
        <f>'Choix étudiants'!F178</f>
        <v>nicolas.roubaud@edu.esiee.fr</v>
      </c>
      <c r="G122" s="47" t="str">
        <f>'Choix étudiants'!H178</f>
        <v>R12</v>
      </c>
      <c r="H122" s="14" t="str">
        <f>'Choix étudiants'!J178</f>
        <v>R1</v>
      </c>
      <c r="I122" s="14" t="str">
        <f>'Choix étudiants'!L178</f>
        <v>E14</v>
      </c>
      <c r="J122" s="5" t="str">
        <f>'Choix étudiants'!N178</f>
        <v>E13</v>
      </c>
      <c r="K122" s="5" t="str">
        <f>'Choix étudiants'!P178</f>
        <v>R23</v>
      </c>
      <c r="L122" s="5" t="str">
        <f>'Choix étudiants'!Q178</f>
        <v>Je ne pars pas</v>
      </c>
      <c r="M122" s="13" t="str">
        <f>'Choix étudiants'!R206</f>
        <v/>
      </c>
      <c r="N122" s="14"/>
      <c r="O122" s="14"/>
      <c r="P122" s="14"/>
      <c r="Q122" s="14"/>
      <c r="R122" s="14"/>
      <c r="S122" s="14"/>
      <c r="T122" s="14"/>
      <c r="U122" s="14"/>
    </row>
    <row r="123" ht="30.0" hidden="1" customHeight="1">
      <c r="A123" s="17">
        <f>'Choix étudiants'!A206</f>
        <v>43360.41948</v>
      </c>
      <c r="B123" s="4" t="s">
        <v>58</v>
      </c>
      <c r="C123" s="5" t="str">
        <f>'Choix étudiants'!C206</f>
        <v>ENE</v>
      </c>
      <c r="D123" s="47" t="str">
        <f>'Choix étudiants'!D206</f>
        <v>VU</v>
      </c>
      <c r="E123" s="5" t="str">
        <f>'Choix étudiants'!E206</f>
        <v>Yann</v>
      </c>
      <c r="F123" s="5" t="str">
        <f>'Choix étudiants'!F206</f>
        <v>yann.vu@edu.esiee.fr</v>
      </c>
      <c r="G123" s="47" t="str">
        <f>'Choix étudiants'!H206</f>
        <v>R12</v>
      </c>
      <c r="H123" s="5" t="str">
        <f>'Choix étudiants'!J206</f>
        <v>R1</v>
      </c>
      <c r="I123" s="5" t="str">
        <f>'Choix étudiants'!L206</f>
        <v>E14</v>
      </c>
      <c r="J123" s="5" t="str">
        <f>'Choix étudiants'!N206</f>
        <v>E13</v>
      </c>
      <c r="K123" s="5" t="str">
        <f>'Choix étudiants'!P206</f>
        <v>R23</v>
      </c>
      <c r="L123" s="5" t="str">
        <f>'Choix étudiants'!Q206</f>
        <v>Je ne pars pas</v>
      </c>
      <c r="M123" s="5"/>
      <c r="N123" s="14"/>
      <c r="O123" s="14"/>
      <c r="P123" s="14"/>
      <c r="Q123" s="14"/>
      <c r="R123" s="14"/>
      <c r="S123" s="14"/>
      <c r="T123" s="14"/>
      <c r="U123" s="14"/>
    </row>
    <row r="124" ht="30.0" hidden="1" customHeight="1">
      <c r="A124" s="2">
        <f>'Choix étudiants'!A213</f>
        <v>43360.42029</v>
      </c>
      <c r="B124" s="4" t="s">
        <v>58</v>
      </c>
      <c r="C124" s="5" t="str">
        <f>'Choix étudiants'!C213</f>
        <v>ENE</v>
      </c>
      <c r="D124" s="47" t="str">
        <f>'Choix étudiants'!D213</f>
        <v>ZEMRI</v>
      </c>
      <c r="E124" s="5" t="str">
        <f>'Choix étudiants'!E213</f>
        <v>Sammy</v>
      </c>
      <c r="F124" s="5" t="str">
        <f>'Choix étudiants'!F213</f>
        <v>sammy.zemri@edu.esiee.fr</v>
      </c>
      <c r="G124" s="47" t="str">
        <f>'Choix étudiants'!H213</f>
        <v>R12</v>
      </c>
      <c r="H124" s="5" t="str">
        <f>'Choix étudiants'!J213</f>
        <v>R1</v>
      </c>
      <c r="I124" s="5" t="str">
        <f>'Choix étudiants'!L213</f>
        <v>E14</v>
      </c>
      <c r="J124" s="5" t="str">
        <f>'Choix étudiants'!N213</f>
        <v>E13</v>
      </c>
      <c r="K124" s="5" t="str">
        <f>'Choix étudiants'!P213</f>
        <v>R23</v>
      </c>
      <c r="L124" s="5" t="str">
        <f>'Choix étudiants'!Q213</f>
        <v>Je ne pars pas</v>
      </c>
      <c r="M124" s="13" t="str">
        <f>'Choix étudiants'!R19</f>
        <v/>
      </c>
      <c r="N124" s="14"/>
      <c r="O124" s="14"/>
      <c r="P124" s="14"/>
      <c r="Q124" s="14"/>
      <c r="R124" s="14"/>
      <c r="S124" s="14"/>
      <c r="T124" s="14"/>
      <c r="U124" s="14"/>
    </row>
    <row r="125" ht="30.0" hidden="1" customHeight="1">
      <c r="A125" s="17">
        <f>'Choix étudiants'!A19</f>
        <v>43361.38084</v>
      </c>
      <c r="B125" s="4" t="s">
        <v>59</v>
      </c>
      <c r="C125" s="5" t="str">
        <f>'Choix étudiants'!C19</f>
        <v>ENE</v>
      </c>
      <c r="D125" s="5" t="str">
        <f>'Choix étudiants'!D19</f>
        <v>BEZZINA</v>
      </c>
      <c r="E125" s="5" t="str">
        <f>'Choix étudiants'!E19</f>
        <v>Lorenzo</v>
      </c>
      <c r="F125" s="5" t="str">
        <f>'Choix étudiants'!F19</f>
        <v>lorenzo.bezzina@edu.esiee.fr</v>
      </c>
      <c r="G125" s="30" t="str">
        <f>'Choix étudiants'!H19</f>
        <v>R16</v>
      </c>
      <c r="H125" s="5" t="str">
        <f>'Choix étudiants'!J19</f>
        <v>R1</v>
      </c>
      <c r="I125" s="5" t="str">
        <f>'Choix étudiants'!L19</f>
        <v>E14</v>
      </c>
      <c r="J125" s="5" t="str">
        <f>'Choix étudiants'!N19</f>
        <v>E13</v>
      </c>
      <c r="K125" s="5" t="str">
        <f>'Choix étudiants'!P19</f>
        <v>R23</v>
      </c>
      <c r="L125" s="5" t="str">
        <f>'Choix étudiants'!Q19</f>
        <v>Je ne pars pas</v>
      </c>
      <c r="M125" s="13" t="str">
        <f>'Choix étudiants'!R58</f>
        <v/>
      </c>
      <c r="N125" s="14"/>
      <c r="O125" s="14"/>
      <c r="P125" s="14"/>
      <c r="Q125" s="14"/>
      <c r="R125" s="14"/>
      <c r="S125" s="14"/>
      <c r="T125" s="14"/>
      <c r="U125" s="14"/>
    </row>
    <row r="126" ht="30.0" hidden="1" customHeight="1">
      <c r="A126" s="17">
        <f>'Choix étudiants'!A58</f>
        <v>43360.53029</v>
      </c>
      <c r="B126" s="4" t="s">
        <v>59</v>
      </c>
      <c r="C126" s="5" t="str">
        <f>'Choix étudiants'!C58</f>
        <v>ENE</v>
      </c>
      <c r="D126" s="5" t="str">
        <f>'Choix étudiants'!D58</f>
        <v>DUCHAMP</v>
      </c>
      <c r="E126" s="5" t="str">
        <f>'Choix étudiants'!E58</f>
        <v>Apolline</v>
      </c>
      <c r="F126" s="5" t="str">
        <f>'Choix étudiants'!F58</f>
        <v>apolline.duchamp@edu.esiee.fr</v>
      </c>
      <c r="G126" s="30" t="str">
        <f>'Choix étudiants'!H58</f>
        <v>R16</v>
      </c>
      <c r="H126" s="5" t="str">
        <f>'Choix étudiants'!J58</f>
        <v>R4</v>
      </c>
      <c r="I126" s="5" t="str">
        <f>'Choix étudiants'!L58</f>
        <v>R12</v>
      </c>
      <c r="J126" s="5" t="str">
        <f>'Choix étudiants'!N58</f>
        <v>R1</v>
      </c>
      <c r="K126" s="5" t="str">
        <f>'Choix étudiants'!P58</f>
        <v>R17</v>
      </c>
      <c r="L126" s="5" t="str">
        <f>'Choix étudiants'!Q58</f>
        <v>Je ne pars pas</v>
      </c>
      <c r="M126" s="13" t="str">
        <f>'Choix étudiants'!R145</f>
        <v/>
      </c>
      <c r="N126" s="14"/>
      <c r="O126" s="14"/>
      <c r="P126" s="14"/>
      <c r="Q126" s="14"/>
      <c r="R126" s="14"/>
      <c r="S126" s="14"/>
      <c r="T126" s="14"/>
      <c r="U126" s="14"/>
    </row>
    <row r="127" ht="30.0" hidden="1" customHeight="1">
      <c r="A127" s="17">
        <f>'Choix étudiants'!A144</f>
        <v>43362.30896</v>
      </c>
      <c r="B127" s="4" t="s">
        <v>59</v>
      </c>
      <c r="C127" s="5" t="str">
        <f>'Choix étudiants'!C144</f>
        <v>ENE</v>
      </c>
      <c r="D127" s="5" t="str">
        <f>'Choix étudiants'!D144</f>
        <v>NOURI</v>
      </c>
      <c r="E127" s="5" t="str">
        <f>'Choix étudiants'!E144</f>
        <v>Sarah</v>
      </c>
      <c r="F127" s="5" t="str">
        <f>'Choix étudiants'!F144</f>
        <v>sarah.nouri@edu.esiee.fr</v>
      </c>
      <c r="G127" s="30" t="str">
        <f>'Choix étudiants'!H144</f>
        <v>R16 </v>
      </c>
      <c r="H127" s="5" t="str">
        <f>'Choix étudiants'!J144</f>
        <v>R23</v>
      </c>
      <c r="I127" s="5" t="str">
        <f>'Choix étudiants'!L144</f>
        <v>R24</v>
      </c>
      <c r="J127" s="5" t="str">
        <f>'Choix étudiants'!N144</f>
        <v>R16</v>
      </c>
      <c r="K127" s="5" t="str">
        <f>'Choix étudiants'!P144</f>
        <v>R16 </v>
      </c>
      <c r="L127" s="5" t="str">
        <f>'Choix étudiants'!Q144</f>
        <v>Je ne pars pas</v>
      </c>
      <c r="M127" s="13" t="str">
        <f>'Choix étudiants'!R172</f>
        <v/>
      </c>
      <c r="N127" s="14"/>
      <c r="O127" s="14"/>
      <c r="P127" s="14"/>
      <c r="Q127" s="14"/>
      <c r="R127" s="14"/>
      <c r="S127" s="14"/>
      <c r="T127" s="14"/>
      <c r="U127" s="14"/>
    </row>
    <row r="128" ht="30.0" hidden="1" customHeight="1">
      <c r="A128" s="17">
        <f>'Choix étudiants'!A172</f>
        <v>43361.20501</v>
      </c>
      <c r="B128" s="4" t="s">
        <v>59</v>
      </c>
      <c r="C128" s="5" t="str">
        <f>'Choix étudiants'!C172</f>
        <v>ENE</v>
      </c>
      <c r="D128" s="5" t="str">
        <f>'Choix étudiants'!D172</f>
        <v>RAMFUL</v>
      </c>
      <c r="E128" s="5" t="str">
        <f>'Choix étudiants'!E172</f>
        <v>Rochan</v>
      </c>
      <c r="F128" s="5" t="str">
        <f>'Choix étudiants'!F172</f>
        <v>rochan.ramful@edu.esiee.fr</v>
      </c>
      <c r="G128" s="30" t="str">
        <f>'Choix étudiants'!H172</f>
        <v>R16</v>
      </c>
      <c r="H128" s="5" t="str">
        <f>'Choix étudiants'!J172</f>
        <v>R1</v>
      </c>
      <c r="I128" s="5" t="str">
        <f>'Choix étudiants'!L172</f>
        <v>E14</v>
      </c>
      <c r="J128" s="5" t="str">
        <f>'Choix étudiants'!N172</f>
        <v>E13</v>
      </c>
      <c r="K128" s="5" t="str">
        <f>'Choix étudiants'!P172</f>
        <v>R2</v>
      </c>
      <c r="L128" s="5" t="str">
        <f>'Choix étudiants'!Q172</f>
        <v>Je ne pars pas</v>
      </c>
      <c r="M128" s="13" t="str">
        <f>'Choix étudiants'!R208</f>
        <v/>
      </c>
      <c r="N128" s="14"/>
      <c r="O128" s="14"/>
      <c r="P128" s="14"/>
      <c r="Q128" s="14"/>
      <c r="R128" s="14"/>
      <c r="S128" s="14"/>
      <c r="T128" s="14"/>
      <c r="U128" s="14"/>
    </row>
    <row r="129" ht="30.0" hidden="1" customHeight="1">
      <c r="A129" s="17">
        <f>'Choix étudiants'!A208</f>
        <v>43360.42965</v>
      </c>
      <c r="B129" s="4" t="s">
        <v>59</v>
      </c>
      <c r="C129" s="5" t="str">
        <f>'Choix étudiants'!C208</f>
        <v>ENE</v>
      </c>
      <c r="D129" s="5" t="str">
        <f>'Choix étudiants'!D208</f>
        <v>YETMOU</v>
      </c>
      <c r="E129" s="5" t="str">
        <f>'Choix étudiants'!E208</f>
        <v>Estelle Confort Audrey</v>
      </c>
      <c r="F129" s="5" t="str">
        <f>'Choix étudiants'!F208</f>
        <v>estelleconfortaudrey.yetmou@edu.esiee.fr</v>
      </c>
      <c r="G129" s="14" t="str">
        <f>'Choix étudiants'!H208</f>
        <v>R12</v>
      </c>
      <c r="H129" s="30" t="str">
        <f>'Choix étudiants'!J208</f>
        <v>R16</v>
      </c>
      <c r="I129" s="5" t="str">
        <f>'Choix étudiants'!L208</f>
        <v>R23</v>
      </c>
      <c r="J129" s="5" t="str">
        <f>'Choix étudiants'!N208</f>
        <v>R1</v>
      </c>
      <c r="K129" s="32" t="s">
        <v>17</v>
      </c>
      <c r="L129" s="5" t="str">
        <f>'Choix étudiants'!Q208</f>
        <v>Je ne pars pas</v>
      </c>
      <c r="M129" s="13" t="str">
        <f>'Choix étudiants'!R135</f>
        <v/>
      </c>
      <c r="N129" s="14"/>
      <c r="O129" s="14"/>
      <c r="P129" s="14"/>
      <c r="Q129" s="14"/>
      <c r="R129" s="14"/>
      <c r="S129" s="14"/>
      <c r="T129" s="14"/>
      <c r="U129" s="14"/>
    </row>
    <row r="130" ht="30.0" hidden="1" customHeight="1">
      <c r="A130" s="17">
        <f>'Choix étudiants'!A135</f>
        <v>43361.3858</v>
      </c>
      <c r="B130" s="4" t="s">
        <v>59</v>
      </c>
      <c r="C130" s="5" t="str">
        <f>'Choix étudiants'!C135</f>
        <v>ENE</v>
      </c>
      <c r="D130" s="5" t="str">
        <f>'Choix étudiants'!D135</f>
        <v>MOLA</v>
      </c>
      <c r="E130" s="5" t="str">
        <f>'Choix étudiants'!E135</f>
        <v>Steffi</v>
      </c>
      <c r="F130" s="5" t="str">
        <f>'Choix étudiants'!F135</f>
        <v>steffi.mola@edu.esiee.fr</v>
      </c>
      <c r="G130" s="5" t="str">
        <f>'Choix étudiants'!H135</f>
        <v>R12</v>
      </c>
      <c r="H130" s="14" t="str">
        <f>'Choix étudiants'!J135</f>
        <v>R17</v>
      </c>
      <c r="I130" s="30" t="str">
        <f>'Choix étudiants'!L135</f>
        <v>R16</v>
      </c>
      <c r="J130" s="14" t="str">
        <f>'Choix étudiants'!N135</f>
        <v>R1</v>
      </c>
      <c r="K130" s="5" t="str">
        <f>'Choix étudiants'!P135</f>
        <v>R12</v>
      </c>
      <c r="L130" s="5" t="str">
        <f>'Choix étudiants'!Q135</f>
        <v>Je ne pars pas</v>
      </c>
      <c r="M130" s="13" t="str">
        <f>'Choix étudiants'!R9</f>
        <v/>
      </c>
      <c r="N130" s="14"/>
      <c r="O130" s="14"/>
      <c r="P130" s="14"/>
      <c r="Q130" s="14"/>
      <c r="R130" s="14"/>
      <c r="S130" s="14"/>
      <c r="T130" s="14"/>
      <c r="U130" s="14"/>
    </row>
    <row r="131" ht="30.0" hidden="1" customHeight="1">
      <c r="A131" s="17">
        <f>'Choix étudiants'!A9</f>
        <v>43360.43816</v>
      </c>
      <c r="B131" s="4" t="s">
        <v>60</v>
      </c>
      <c r="C131" s="5" t="str">
        <f>'Choix étudiants'!C9</f>
        <v>INF</v>
      </c>
      <c r="D131" s="5" t="str">
        <f>'Choix étudiants'!D9</f>
        <v>BALLET</v>
      </c>
      <c r="E131" s="5" t="str">
        <f>'Choix étudiants'!E9</f>
        <v>Stéphane</v>
      </c>
      <c r="F131" s="5" t="str">
        <f>'Choix étudiants'!F9</f>
        <v>stephane.ballet@edu.esiee.fr</v>
      </c>
      <c r="G131" s="47" t="str">
        <f>'Choix étudiants'!H9</f>
        <v>R18</v>
      </c>
      <c r="H131" s="5" t="str">
        <f>'Choix étudiants'!J9</f>
        <v>R13</v>
      </c>
      <c r="I131" s="5" t="str">
        <f>'Choix étudiants'!L9</f>
        <v>E5</v>
      </c>
      <c r="J131" s="5" t="str">
        <f>'Choix étudiants'!N9</f>
        <v>E24</v>
      </c>
      <c r="K131" s="5" t="str">
        <f>'Choix étudiants'!P9</f>
        <v>R20</v>
      </c>
      <c r="L131" s="5" t="str">
        <f>'Choix étudiants'!Q9</f>
        <v>Je ne pars pas</v>
      </c>
      <c r="M131" s="13" t="str">
        <f>'Choix étudiants'!R10</f>
        <v/>
      </c>
      <c r="N131" s="14"/>
      <c r="O131" s="14"/>
      <c r="P131" s="14"/>
      <c r="Q131" s="14"/>
      <c r="R131" s="14"/>
      <c r="S131" s="14"/>
      <c r="T131" s="14"/>
      <c r="U131" s="14"/>
    </row>
    <row r="132" ht="30.0" customHeight="1">
      <c r="A132" s="17">
        <f>'Choix étudiants'!A10</f>
        <v>43360.42807</v>
      </c>
      <c r="B132" s="4" t="s">
        <v>60</v>
      </c>
      <c r="C132" s="5" t="str">
        <f>'Choix étudiants'!C10</f>
        <v>DSIA</v>
      </c>
      <c r="D132" s="5" t="str">
        <f>'Choix étudiants'!D10</f>
        <v>BAO</v>
      </c>
      <c r="E132" s="5" t="str">
        <f>'Choix étudiants'!E10</f>
        <v>Patrick</v>
      </c>
      <c r="F132" s="5" t="str">
        <f>'Choix étudiants'!F10</f>
        <v>patrick.bao@edu.esiee.fr</v>
      </c>
      <c r="G132" s="47" t="str">
        <f>'Choix étudiants'!H10</f>
        <v>R18</v>
      </c>
      <c r="H132" s="5" t="str">
        <f>'Choix étudiants'!J10</f>
        <v>R13</v>
      </c>
      <c r="I132" s="5" t="str">
        <f>'Choix étudiants'!L10</f>
        <v>E4</v>
      </c>
      <c r="J132" s="5" t="str">
        <f>'Choix étudiants'!N10</f>
        <v>E21</v>
      </c>
      <c r="K132" s="5" t="str">
        <f>'Choix étudiants'!P10</f>
        <v>R18</v>
      </c>
      <c r="L132" s="5" t="str">
        <f>'Choix étudiants'!Q10</f>
        <v>Je ne pars pas</v>
      </c>
      <c r="M132" s="13" t="str">
        <f>'Choix étudiants'!R45</f>
        <v/>
      </c>
      <c r="N132" s="14"/>
      <c r="O132" s="14"/>
      <c r="P132" s="14"/>
      <c r="Q132" s="14"/>
      <c r="R132" s="14"/>
      <c r="S132" s="14"/>
      <c r="T132" s="14"/>
      <c r="U132" s="14"/>
    </row>
    <row r="133" ht="30.0" hidden="1" customHeight="1">
      <c r="A133" s="17">
        <f>'Choix étudiants'!A45</f>
        <v>43360.41964</v>
      </c>
      <c r="B133" s="4" t="s">
        <v>60</v>
      </c>
      <c r="C133" s="5" t="str">
        <f>'Choix étudiants'!C45</f>
        <v>SE</v>
      </c>
      <c r="D133" s="5" t="str">
        <f>'Choix étudiants'!D45</f>
        <v>DACOSSE</v>
      </c>
      <c r="E133" s="5" t="str">
        <f>'Choix étudiants'!E45</f>
        <v>Alexandre</v>
      </c>
      <c r="F133" s="5" t="str">
        <f>'Choix étudiants'!F45</f>
        <v>alexandre.dacosse@edu.esiee.fr</v>
      </c>
      <c r="G133" s="47" t="str">
        <f>'Choix étudiants'!H45</f>
        <v>R18</v>
      </c>
      <c r="H133" s="5" t="str">
        <f>'Choix étudiants'!J45</f>
        <v>R13</v>
      </c>
      <c r="I133" s="5" t="str">
        <f>'Choix étudiants'!L45</f>
        <v>E20</v>
      </c>
      <c r="J133" s="5" t="str">
        <f>'Choix étudiants'!N45</f>
        <v>R11</v>
      </c>
      <c r="K133" s="5" t="str">
        <f>'Choix étudiants'!P45</f>
        <v>E19</v>
      </c>
      <c r="L133" s="5" t="str">
        <f>'Choix étudiants'!Q45</f>
        <v>Je ne pars pas</v>
      </c>
      <c r="M133" s="13" t="str">
        <f>'Choix étudiants'!R69</f>
        <v/>
      </c>
      <c r="N133" s="14"/>
      <c r="O133" s="14"/>
      <c r="P133" s="14"/>
      <c r="Q133" s="14"/>
      <c r="R133" s="14"/>
      <c r="S133" s="14"/>
      <c r="T133" s="14"/>
      <c r="U133" s="14"/>
    </row>
    <row r="134" ht="30.0" hidden="1" customHeight="1">
      <c r="A134" s="17">
        <f>'Choix étudiants'!A69</f>
        <v>43360.42095</v>
      </c>
      <c r="B134" s="4" t="s">
        <v>60</v>
      </c>
      <c r="C134" s="5" t="str">
        <f>'Choix étudiants'!C69</f>
        <v>ELE</v>
      </c>
      <c r="D134" s="5" t="str">
        <f>'Choix étudiants'!D69</f>
        <v>FERRARA</v>
      </c>
      <c r="E134" s="5" t="str">
        <f>'Choix étudiants'!E69</f>
        <v>Romain</v>
      </c>
      <c r="F134" s="5" t="str">
        <f>'Choix étudiants'!F69</f>
        <v>romain.ferrara@edu.esiee.fr</v>
      </c>
      <c r="G134" s="47" t="str">
        <f>'Choix étudiants'!H69</f>
        <v>R18</v>
      </c>
      <c r="H134" s="5" t="str">
        <f>'Choix étudiants'!J69</f>
        <v>R13</v>
      </c>
      <c r="I134" s="5" t="str">
        <f>'Choix étudiants'!L69</f>
        <v>E20</v>
      </c>
      <c r="J134" s="5" t="str">
        <f>'Choix étudiants'!N69</f>
        <v>R22</v>
      </c>
      <c r="K134" s="5" t="str">
        <f>'Choix étudiants'!P69</f>
        <v>R29</v>
      </c>
      <c r="L134" s="5" t="str">
        <f>'Choix étudiants'!Q69</f>
        <v>Je pars au semestre 2</v>
      </c>
      <c r="M134" s="13" t="str">
        <f>'Choix étudiants'!R71</f>
        <v/>
      </c>
      <c r="N134" s="14"/>
      <c r="O134" s="14"/>
      <c r="P134" s="14"/>
      <c r="Q134" s="14"/>
      <c r="R134" s="14"/>
      <c r="S134" s="14"/>
      <c r="T134" s="14"/>
      <c r="U134" s="14"/>
    </row>
    <row r="135" ht="30.0" hidden="1" customHeight="1">
      <c r="A135" s="17">
        <f>'Choix étudiants'!A71</f>
        <v>43360.42805</v>
      </c>
      <c r="B135" s="4" t="s">
        <v>60</v>
      </c>
      <c r="C135" s="5" t="str">
        <f>'Choix étudiants'!C71</f>
        <v>SE</v>
      </c>
      <c r="D135" s="5" t="str">
        <f>'Choix étudiants'!D71</f>
        <v>FLOURET</v>
      </c>
      <c r="E135" s="5" t="str">
        <f>'Choix étudiants'!E71</f>
        <v>Achille</v>
      </c>
      <c r="F135" s="5" t="str">
        <f>'Choix étudiants'!F71</f>
        <v>achille.flouret@edu.esiee.fr</v>
      </c>
      <c r="G135" s="47" t="str">
        <f>'Choix étudiants'!H71</f>
        <v>R18</v>
      </c>
      <c r="H135" s="5" t="str">
        <f>'Choix étudiants'!J71</f>
        <v>R13</v>
      </c>
      <c r="I135" s="5" t="str">
        <f>'Choix étudiants'!L71</f>
        <v>E20</v>
      </c>
      <c r="J135" s="5" t="str">
        <f>'Choix étudiants'!N71</f>
        <v>R11</v>
      </c>
      <c r="K135" s="5" t="str">
        <f>'Choix étudiants'!P71</f>
        <v>E19</v>
      </c>
      <c r="L135" s="5" t="str">
        <f>'Choix étudiants'!Q71</f>
        <v>Je ne pars pas</v>
      </c>
      <c r="M135" s="13" t="str">
        <f>'Choix étudiants'!R179</f>
        <v/>
      </c>
      <c r="N135" s="14"/>
      <c r="O135" s="14"/>
      <c r="P135" s="14"/>
      <c r="Q135" s="14"/>
      <c r="R135" s="14"/>
      <c r="S135" s="14"/>
      <c r="T135" s="14"/>
      <c r="U135" s="14"/>
    </row>
    <row r="136" ht="30.0" hidden="1" customHeight="1">
      <c r="A136" s="17">
        <f>'Choix étudiants'!A179</f>
        <v>43362.17667</v>
      </c>
      <c r="B136" s="4" t="s">
        <v>60</v>
      </c>
      <c r="C136" s="5" t="str">
        <f>'Choix étudiants'!C179</f>
        <v>CYBER</v>
      </c>
      <c r="D136" s="5" t="str">
        <f>'Choix étudiants'!D179</f>
        <v>ROUICHI</v>
      </c>
      <c r="E136" s="5" t="str">
        <f>'Choix étudiants'!E179</f>
        <v>Antoine</v>
      </c>
      <c r="F136" s="5" t="str">
        <f>'Choix étudiants'!F179</f>
        <v>antoine.rouichi@edu.esiee.fr</v>
      </c>
      <c r="G136" s="47" t="str">
        <f>'Choix étudiants'!H179</f>
        <v>R18</v>
      </c>
      <c r="H136" s="5" t="str">
        <f>'Choix étudiants'!J179</f>
        <v>R13</v>
      </c>
      <c r="I136" s="5" t="str">
        <f>'Choix étudiants'!L179</f>
        <v>R11</v>
      </c>
      <c r="J136" s="5" t="str">
        <f>'Choix étudiants'!N179</f>
        <v>R9</v>
      </c>
      <c r="K136" s="5" t="str">
        <f>'Choix étudiants'!P179</f>
        <v>R8</v>
      </c>
      <c r="L136" s="5" t="str">
        <f>'Choix étudiants'!Q179</f>
        <v>Je ne pars pas</v>
      </c>
      <c r="M136" s="13" t="str">
        <f>'Choix étudiants'!R7</f>
        <v/>
      </c>
      <c r="N136" s="14"/>
      <c r="O136" s="14"/>
      <c r="P136" s="14"/>
      <c r="Q136" s="14"/>
      <c r="R136" s="14"/>
      <c r="S136" s="14"/>
      <c r="T136" s="14"/>
      <c r="U136" s="14"/>
    </row>
    <row r="137" ht="30.0" hidden="1" customHeight="1">
      <c r="A137" s="17">
        <f>'Choix étudiants'!A7</f>
        <v>43362.46773</v>
      </c>
      <c r="B137" s="4" t="s">
        <v>60</v>
      </c>
      <c r="C137" s="5" t="str">
        <f>'Choix étudiants'!C7</f>
        <v>SE</v>
      </c>
      <c r="D137" s="5" t="str">
        <f>'Choix étudiants'!D7</f>
        <v>ARZEL</v>
      </c>
      <c r="E137" s="5" t="str">
        <f>'Choix étudiants'!E7</f>
        <v>Timothée</v>
      </c>
      <c r="F137" s="5" t="str">
        <f>'Choix étudiants'!F7</f>
        <v>timothee.arzel@edu.esiee.fr</v>
      </c>
      <c r="G137" s="5" t="str">
        <f>'Choix étudiants'!H7</f>
        <v>E16</v>
      </c>
      <c r="H137" s="14" t="str">
        <f>'Choix étudiants'!J7</f>
        <v>E17</v>
      </c>
      <c r="I137" s="5" t="str">
        <f>'Choix étudiants'!L7</f>
        <v>E3</v>
      </c>
      <c r="J137" s="5" t="str">
        <f>'Choix étudiants'!N7</f>
        <v>E12</v>
      </c>
      <c r="K137" s="5" t="str">
        <f>'Choix étudiants'!P7</f>
        <v>E20</v>
      </c>
      <c r="L137" s="5" t="str">
        <f>'Choix étudiants'!Q7</f>
        <v>Je pars au semestre 1</v>
      </c>
      <c r="M137" s="13" t="str">
        <f>'Choix étudiants'!R175</f>
        <v/>
      </c>
      <c r="N137" s="14"/>
      <c r="O137" s="14"/>
      <c r="P137" s="14"/>
      <c r="Q137" s="14"/>
      <c r="R137" s="14"/>
      <c r="S137" s="14"/>
      <c r="T137" s="14"/>
      <c r="U137" s="14"/>
    </row>
    <row r="138" ht="30.0" hidden="1" customHeight="1">
      <c r="A138" s="17">
        <f>'Choix étudiants'!A175</f>
        <v>43362.71714</v>
      </c>
      <c r="B138" s="4" t="s">
        <v>61</v>
      </c>
      <c r="C138" s="5" t="str">
        <f>'Choix étudiants'!C175</f>
        <v>INF</v>
      </c>
      <c r="D138" s="5" t="str">
        <f>'Choix étudiants'!D175</f>
        <v>REINERT</v>
      </c>
      <c r="E138" s="5" t="str">
        <f>'Choix étudiants'!E175</f>
        <v>Thomas</v>
      </c>
      <c r="F138" s="5" t="str">
        <f>'Choix étudiants'!F175</f>
        <v>thomas.reinert@edu.esiee.fr</v>
      </c>
      <c r="G138" s="14" t="str">
        <f>'Choix étudiants'!H175</f>
        <v>R21</v>
      </c>
      <c r="H138" s="5" t="str">
        <f>'Choix étudiants'!J175</f>
        <v>R6</v>
      </c>
      <c r="I138" s="5" t="str">
        <f>'Choix étudiants'!L175</f>
        <v>E2</v>
      </c>
      <c r="J138" s="5" t="str">
        <f>'Choix étudiants'!N175</f>
        <v>R21</v>
      </c>
      <c r="K138" s="5" t="str">
        <f>'Choix étudiants'!P175</f>
        <v>R6</v>
      </c>
      <c r="L138" s="5" t="str">
        <f>'Choix étudiants'!Q175</f>
        <v>Je ne pars pas</v>
      </c>
      <c r="M138" s="13" t="str">
        <f>'Choix étudiants'!R8</f>
        <v/>
      </c>
      <c r="N138" s="14"/>
      <c r="O138" s="14"/>
      <c r="P138" s="14"/>
      <c r="Q138" s="14"/>
      <c r="R138" s="14"/>
      <c r="S138" s="14"/>
      <c r="T138" s="14"/>
      <c r="U138" s="14"/>
    </row>
    <row r="139" ht="30.0" hidden="1" customHeight="1">
      <c r="A139" s="17">
        <f>'Choix étudiants'!A8</f>
        <v>43361.00445</v>
      </c>
      <c r="B139" s="4" t="s">
        <v>61</v>
      </c>
      <c r="C139" s="5" t="str">
        <f>'Choix étudiants'!C8</f>
        <v>CYBER</v>
      </c>
      <c r="D139" s="5" t="str">
        <f>'Choix étudiants'!D8</f>
        <v>BAKWA</v>
      </c>
      <c r="E139" s="5" t="str">
        <f>'Choix étudiants'!E8</f>
        <v>Mathias</v>
      </c>
      <c r="F139" s="5" t="str">
        <f>'Choix étudiants'!F8</f>
        <v>mathias.bakwa@edu.esiee.fr</v>
      </c>
      <c r="G139" s="52" t="str">
        <f>'Choix étudiants'!H8</f>
        <v>R19</v>
      </c>
      <c r="H139" s="14" t="str">
        <f>'Choix étudiants'!J8</f>
        <v>R8</v>
      </c>
      <c r="I139" s="5" t="str">
        <f>'Choix étudiants'!L8</f>
        <v>R9</v>
      </c>
      <c r="J139" s="5" t="str">
        <f>'Choix étudiants'!N8</f>
        <v>R4</v>
      </c>
      <c r="K139" s="5" t="str">
        <f>'Choix étudiants'!P8</f>
        <v>E22</v>
      </c>
      <c r="L139" s="5" t="str">
        <f>'Choix étudiants'!Q8</f>
        <v>Je ne pars pas</v>
      </c>
      <c r="M139" s="13" t="str">
        <f>'Choix étudiants'!R83</f>
        <v/>
      </c>
      <c r="N139" s="14"/>
      <c r="O139" s="14"/>
      <c r="P139" s="14"/>
      <c r="Q139" s="14"/>
      <c r="R139" s="14"/>
      <c r="S139" s="14"/>
      <c r="T139" s="14"/>
      <c r="U139" s="14"/>
    </row>
    <row r="140" ht="30.0" hidden="1" customHeight="1">
      <c r="A140" s="17">
        <f>'Choix étudiants'!A83</f>
        <v>43360.53242</v>
      </c>
      <c r="B140" s="4" t="s">
        <v>61</v>
      </c>
      <c r="C140" s="5" t="str">
        <f>'Choix étudiants'!C83</f>
        <v>CYBER</v>
      </c>
      <c r="D140" s="5" t="str">
        <f>'Choix étudiants'!D83</f>
        <v>GONCALVES</v>
      </c>
      <c r="E140" s="5" t="str">
        <f>'Choix étudiants'!E83</f>
        <v>Alexandre</v>
      </c>
      <c r="F140" s="5" t="str">
        <f>'Choix étudiants'!F83</f>
        <v>alexandre.goncalves@edu.esiee.fr</v>
      </c>
      <c r="G140" s="14" t="str">
        <f>'Choix étudiants'!H83</f>
        <v>R4</v>
      </c>
      <c r="H140" s="14" t="str">
        <f>'Choix étudiants'!J83</f>
        <v>R9</v>
      </c>
      <c r="I140" s="52" t="str">
        <f>'Choix étudiants'!L83</f>
        <v>R19</v>
      </c>
      <c r="J140" s="5" t="str">
        <f>'Choix étudiants'!N83</f>
        <v>R8</v>
      </c>
      <c r="K140" s="5" t="str">
        <f>'Choix étudiants'!P83</f>
        <v>E16</v>
      </c>
      <c r="L140" s="5" t="str">
        <f>'Choix étudiants'!Q83</f>
        <v>Je ne pars pas</v>
      </c>
      <c r="M140" s="13" t="str">
        <f>'Choix étudiants'!R152</f>
        <v/>
      </c>
      <c r="N140" s="14"/>
      <c r="O140" s="14"/>
      <c r="P140" s="14"/>
      <c r="Q140" s="14"/>
      <c r="R140" s="14"/>
      <c r="S140" s="14"/>
      <c r="T140" s="14"/>
      <c r="U140" s="14"/>
    </row>
    <row r="141" ht="30.0" hidden="1" customHeight="1">
      <c r="A141" s="17">
        <f>'Choix étudiants'!A152</f>
        <v>43360.41884</v>
      </c>
      <c r="B141" s="4" t="s">
        <v>61</v>
      </c>
      <c r="C141" s="5" t="str">
        <f>'Choix étudiants'!C152</f>
        <v>CYBER</v>
      </c>
      <c r="D141" s="5" t="str">
        <f>'Choix étudiants'!D152</f>
        <v>PANCRAZI</v>
      </c>
      <c r="E141" s="5" t="str">
        <f>'Choix étudiants'!E152</f>
        <v>Andrea</v>
      </c>
      <c r="F141" s="5" t="str">
        <f>'Choix étudiants'!F152</f>
        <v>andrea.pancrazi@edu.esiee.fr</v>
      </c>
      <c r="G141" s="52" t="str">
        <f>'Choix étudiants'!H152</f>
        <v>R19</v>
      </c>
      <c r="H141" s="5" t="str">
        <f>'Choix étudiants'!J152</f>
        <v>R9</v>
      </c>
      <c r="I141" s="5" t="str">
        <f>'Choix étudiants'!L152</f>
        <v>E24</v>
      </c>
      <c r="J141" s="5" t="str">
        <f>'Choix étudiants'!N152</f>
        <v>R8</v>
      </c>
      <c r="K141" s="5" t="str">
        <f>'Choix étudiants'!P152</f>
        <v>E6</v>
      </c>
      <c r="L141" s="5" t="str">
        <f>'Choix étudiants'!Q152</f>
        <v>Je ne pars pas</v>
      </c>
      <c r="M141" s="13" t="str">
        <f>'Choix étudiants'!R196</f>
        <v/>
      </c>
      <c r="N141" s="14"/>
      <c r="O141" s="14"/>
      <c r="P141" s="14"/>
      <c r="Q141" s="14"/>
      <c r="R141" s="14"/>
      <c r="S141" s="14"/>
      <c r="T141" s="14"/>
      <c r="U141" s="14"/>
    </row>
    <row r="142" ht="30.0" customHeight="1">
      <c r="A142" s="17" t="str">
        <f>'Choix étudiants'!A196</f>
        <v/>
      </c>
      <c r="B142" s="4" t="s">
        <v>61</v>
      </c>
      <c r="C142" s="5" t="str">
        <f>'Choix étudiants'!C196</f>
        <v>DSIA</v>
      </c>
      <c r="D142" s="5" t="str">
        <f>'Choix étudiants'!D196</f>
        <v>TRAN</v>
      </c>
      <c r="E142" s="5" t="str">
        <f>'Choix étudiants'!E196</f>
        <v>Jérôme</v>
      </c>
      <c r="F142" s="5" t="str">
        <f>'Choix étudiants'!F196</f>
        <v>jerome.tran@edu.esiee.fr</v>
      </c>
      <c r="G142" s="14" t="str">
        <f>'Choix étudiants'!H196</f>
        <v/>
      </c>
      <c r="H142" s="5" t="str">
        <f>'Choix étudiants'!J196</f>
        <v/>
      </c>
      <c r="I142" s="5" t="str">
        <f>'Choix étudiants'!L196</f>
        <v/>
      </c>
      <c r="J142" s="5" t="str">
        <f>'Choix étudiants'!N196</f>
        <v/>
      </c>
      <c r="K142" s="5" t="str">
        <f>'Choix étudiants'!P196</f>
        <v/>
      </c>
      <c r="L142" s="32" t="s">
        <v>56</v>
      </c>
      <c r="M142" s="13" t="str">
        <f>'Choix étudiants'!R50</f>
        <v/>
      </c>
      <c r="N142" s="14"/>
      <c r="O142" s="14"/>
      <c r="P142" s="14"/>
      <c r="Q142" s="14"/>
      <c r="R142" s="14"/>
      <c r="S142" s="14"/>
      <c r="T142" s="14"/>
      <c r="U142" s="14"/>
    </row>
    <row r="143" ht="30.0" hidden="1" customHeight="1">
      <c r="A143" s="17">
        <f>'Choix étudiants'!A50</f>
        <v>43360.42603</v>
      </c>
      <c r="B143" s="4" t="s">
        <v>62</v>
      </c>
      <c r="C143" s="5" t="str">
        <f>'Choix étudiants'!C50</f>
        <v>BIO</v>
      </c>
      <c r="D143" s="43" t="str">
        <f>'Choix étudiants'!D50</f>
        <v>DEMEER</v>
      </c>
      <c r="E143" s="5" t="str">
        <f>'Choix étudiants'!E50</f>
        <v>Eléna</v>
      </c>
      <c r="F143" s="5" t="str">
        <f>'Choix étudiants'!F50</f>
        <v>elena.demeer@edu.esiee.fr</v>
      </c>
      <c r="G143" s="5" t="str">
        <f>'Choix étudiants'!H50</f>
        <v>R24</v>
      </c>
      <c r="H143" s="53" t="str">
        <f>'Choix étudiants'!J50</f>
        <v>R2</v>
      </c>
      <c r="I143" s="5" t="str">
        <f>'Choix étudiants'!L50</f>
        <v>R3</v>
      </c>
      <c r="J143" s="5" t="str">
        <f>'Choix étudiants'!N50</f>
        <v>E1</v>
      </c>
      <c r="K143" s="5" t="str">
        <f>'Choix étudiants'!P50</f>
        <v>E19</v>
      </c>
      <c r="L143" s="5" t="str">
        <f>'Choix étudiants'!Q50</f>
        <v>Je ne pars pas</v>
      </c>
      <c r="M143" s="13" t="str">
        <f>'Choix étudiants'!R70</f>
        <v/>
      </c>
      <c r="N143" s="14"/>
      <c r="O143" s="14"/>
      <c r="P143" s="14"/>
      <c r="Q143" s="14"/>
      <c r="R143" s="14"/>
      <c r="S143" s="14"/>
      <c r="T143" s="14"/>
      <c r="U143" s="14"/>
    </row>
    <row r="144" ht="30.0" hidden="1" customHeight="1">
      <c r="A144" s="17">
        <f>'Choix étudiants'!A70</f>
        <v>43360.4359</v>
      </c>
      <c r="B144" s="4" t="s">
        <v>62</v>
      </c>
      <c r="C144" s="5" t="str">
        <f>'Choix étudiants'!C70</f>
        <v>BIO</v>
      </c>
      <c r="D144" s="5" t="str">
        <f>'Choix étudiants'!D70</f>
        <v>FLEURANTUS</v>
      </c>
      <c r="E144" s="5" t="str">
        <f>'Choix étudiants'!E70</f>
        <v>Barbara</v>
      </c>
      <c r="F144" s="5" t="str">
        <f>'Choix étudiants'!F70</f>
        <v>barbara.fleurantus@edu.esiee.fr</v>
      </c>
      <c r="G144" s="53" t="str">
        <f>'Choix étudiants'!H70</f>
        <v>R2</v>
      </c>
      <c r="H144" s="54" t="str">
        <f>'Choix étudiants'!J70</f>
        <v>R24</v>
      </c>
      <c r="I144" s="5" t="str">
        <f>'Choix étudiants'!L70</f>
        <v>E20</v>
      </c>
      <c r="J144" s="5" t="str">
        <f>'Choix étudiants'!N70</f>
        <v>R3</v>
      </c>
      <c r="K144" s="5" t="str">
        <f>'Choix étudiants'!P70</f>
        <v>E15</v>
      </c>
      <c r="L144" s="5" t="str">
        <f>'Choix étudiants'!Q70</f>
        <v>Je ne pars pas</v>
      </c>
      <c r="M144" s="13" t="str">
        <f>'Choix étudiants'!R99</f>
        <v/>
      </c>
      <c r="N144" s="14"/>
      <c r="O144" s="14"/>
      <c r="P144" s="14"/>
      <c r="Q144" s="14"/>
      <c r="R144" s="14"/>
      <c r="S144" s="14"/>
      <c r="T144" s="14"/>
      <c r="U144" s="14"/>
    </row>
    <row r="145" ht="30.0" hidden="1" customHeight="1">
      <c r="A145" s="17">
        <f>'Choix étudiants'!A99</f>
        <v>43361.08939</v>
      </c>
      <c r="B145" s="4" t="s">
        <v>62</v>
      </c>
      <c r="C145" s="5" t="str">
        <f>'Choix étudiants'!C99</f>
        <v>INF</v>
      </c>
      <c r="D145" s="5" t="str">
        <f>'Choix étudiants'!D99</f>
        <v>JOLY</v>
      </c>
      <c r="E145" s="5" t="str">
        <f>'Choix étudiants'!E99</f>
        <v>Morgane Marie Catherine</v>
      </c>
      <c r="F145" s="5" t="str">
        <f>'Choix étudiants'!F99</f>
        <v>morganemariecatherine.joly@edu.esiee.fr</v>
      </c>
      <c r="G145" s="5" t="str">
        <f>'Choix étudiants'!H99</f>
        <v>R5</v>
      </c>
      <c r="H145" s="53" t="str">
        <f>'Choix étudiants'!J99</f>
        <v>R2</v>
      </c>
      <c r="I145" s="5" t="str">
        <f>'Choix étudiants'!L99</f>
        <v>E1</v>
      </c>
      <c r="J145" s="5" t="str">
        <f>'Choix étudiants'!N99</f>
        <v>E11</v>
      </c>
      <c r="K145" s="5" t="str">
        <f>'Choix étudiants'!P99</f>
        <v>R9</v>
      </c>
      <c r="L145" s="5" t="str">
        <f>'Choix étudiants'!Q99</f>
        <v>Je pars au semestre 1</v>
      </c>
      <c r="M145" s="13" t="str">
        <f>'Choix étudiants'!R167</f>
        <v/>
      </c>
      <c r="N145" s="14"/>
      <c r="O145" s="14"/>
      <c r="P145" s="14"/>
      <c r="Q145" s="14"/>
      <c r="R145" s="14"/>
      <c r="S145" s="14"/>
      <c r="T145" s="14"/>
      <c r="U145" s="14"/>
    </row>
    <row r="146" ht="30.0" hidden="1" customHeight="1">
      <c r="A146" s="17">
        <f>'Choix étudiants'!A167</f>
        <v>43360.42528</v>
      </c>
      <c r="B146" s="4" t="s">
        <v>62</v>
      </c>
      <c r="C146" s="5" t="str">
        <f>'Choix étudiants'!C167</f>
        <v>BIO</v>
      </c>
      <c r="D146" s="5" t="str">
        <f>'Choix étudiants'!D167</f>
        <v>QUENTIN</v>
      </c>
      <c r="E146" s="5" t="str">
        <f>'Choix étudiants'!E167</f>
        <v>Pierre</v>
      </c>
      <c r="F146" s="5" t="str">
        <f>'Choix étudiants'!F167</f>
        <v>pierre.quentin@edu.esiee.fr</v>
      </c>
      <c r="G146" s="53" t="str">
        <f>'Choix étudiants'!H167</f>
        <v>R2</v>
      </c>
      <c r="H146" s="5" t="str">
        <f>'Choix étudiants'!J167</f>
        <v>R24</v>
      </c>
      <c r="I146" s="5" t="str">
        <f>'Choix étudiants'!L167</f>
        <v>E1</v>
      </c>
      <c r="J146" s="5" t="str">
        <f>'Choix étudiants'!N167</f>
        <v>E15</v>
      </c>
      <c r="K146" s="5" t="str">
        <f>'Choix étudiants'!P167</f>
        <v>E17</v>
      </c>
      <c r="L146" s="5" t="str">
        <f>'Choix étudiants'!Q167</f>
        <v>Je ne pars pas</v>
      </c>
      <c r="M146" s="13" t="str">
        <f>'Choix étudiants'!R169</f>
        <v/>
      </c>
      <c r="N146" s="14"/>
      <c r="O146" s="14"/>
      <c r="P146" s="14"/>
      <c r="Q146" s="14"/>
      <c r="R146" s="14"/>
      <c r="S146" s="14"/>
      <c r="T146" s="14"/>
      <c r="U146" s="14"/>
    </row>
    <row r="147" ht="30.0" hidden="1" customHeight="1">
      <c r="A147" s="17">
        <f>'Choix étudiants'!A169</f>
        <v>43360.42453</v>
      </c>
      <c r="B147" s="4" t="s">
        <v>62</v>
      </c>
      <c r="C147" s="5" t="str">
        <f>'Choix étudiants'!C169</f>
        <v>BIO</v>
      </c>
      <c r="D147" s="43" t="str">
        <f>'Choix étudiants'!D169</f>
        <v>RABERGEAU</v>
      </c>
      <c r="E147" s="5" t="str">
        <f>'Choix étudiants'!E169</f>
        <v>Loélia</v>
      </c>
      <c r="F147" s="5" t="str">
        <f>'Choix étudiants'!F169</f>
        <v>loelia.rabergeau@edu.esiee.fr</v>
      </c>
      <c r="G147" s="5" t="str">
        <f>'Choix étudiants'!H169</f>
        <v>R24</v>
      </c>
      <c r="H147" s="53" t="str">
        <f>'Choix étudiants'!J169</f>
        <v>R2</v>
      </c>
      <c r="I147" s="5" t="str">
        <f>'Choix étudiants'!L169</f>
        <v>R3</v>
      </c>
      <c r="J147" s="5" t="str">
        <f>'Choix étudiants'!N169</f>
        <v>E1</v>
      </c>
      <c r="K147" s="5" t="str">
        <f>'Choix étudiants'!P169</f>
        <v>E19</v>
      </c>
      <c r="L147" s="5" t="str">
        <f>'Choix étudiants'!Q169</f>
        <v>Je ne pars pas</v>
      </c>
      <c r="M147" s="13" t="str">
        <f>'Choix étudiants'!R183</f>
        <v/>
      </c>
      <c r="N147" s="14"/>
      <c r="O147" s="14"/>
      <c r="P147" s="14"/>
      <c r="Q147" s="14"/>
      <c r="R147" s="14"/>
      <c r="S147" s="14"/>
      <c r="T147" s="14"/>
      <c r="U147" s="14"/>
    </row>
    <row r="148" ht="30.0" hidden="1" customHeight="1">
      <c r="A148" s="17">
        <f>'Choix étudiants'!A183</f>
        <v>43360.4245</v>
      </c>
      <c r="B148" s="4" t="s">
        <v>62</v>
      </c>
      <c r="C148" s="5" t="str">
        <f>'Choix étudiants'!C183</f>
        <v>BIO</v>
      </c>
      <c r="D148" s="5" t="str">
        <f>'Choix étudiants'!D183</f>
        <v>SAHADATTALY</v>
      </c>
      <c r="E148" s="5" t="str">
        <f>'Choix étudiants'!E183</f>
        <v>Fathima</v>
      </c>
      <c r="F148" s="5" t="str">
        <f>'Choix étudiants'!F183</f>
        <v>fathima.sahadattaly@edu.esiee.fr</v>
      </c>
      <c r="G148" s="14" t="str">
        <f>'Choix étudiants'!H183</f>
        <v>R24</v>
      </c>
      <c r="H148" s="53" t="str">
        <f>'Choix étudiants'!J183</f>
        <v>R2</v>
      </c>
      <c r="I148" s="5" t="str">
        <f>'Choix étudiants'!L183</f>
        <v>E20</v>
      </c>
      <c r="J148" s="5" t="str">
        <f>'Choix étudiants'!N183</f>
        <v>R3</v>
      </c>
      <c r="K148" s="5" t="str">
        <f>'Choix étudiants'!P183</f>
        <v>E15</v>
      </c>
      <c r="L148" s="5" t="str">
        <f>'Choix étudiants'!Q183</f>
        <v>Je ne pars pas</v>
      </c>
      <c r="M148" s="13" t="str">
        <f>'Choix étudiants'!R205</f>
        <v/>
      </c>
      <c r="N148" s="14"/>
      <c r="O148" s="14"/>
      <c r="P148" s="14"/>
      <c r="Q148" s="14"/>
      <c r="R148" s="14"/>
      <c r="S148" s="14"/>
      <c r="T148" s="14"/>
      <c r="U148" s="14"/>
    </row>
    <row r="149" ht="30.0" hidden="1" customHeight="1">
      <c r="A149" s="17">
        <f>'Choix étudiants'!A205</f>
        <v>43360.42008</v>
      </c>
      <c r="B149" s="4" t="s">
        <v>62</v>
      </c>
      <c r="C149" s="5" t="str">
        <f>'Choix étudiants'!C205</f>
        <v>BIO</v>
      </c>
      <c r="D149" s="5" t="str">
        <f>'Choix étudiants'!D205</f>
        <v>VITETTA</v>
      </c>
      <c r="E149" s="5" t="str">
        <f>'Choix étudiants'!E205</f>
        <v>Cynthia</v>
      </c>
      <c r="F149" s="5" t="str">
        <f>'Choix étudiants'!F205</f>
        <v>cynthia.vitetta@edu.esiee.fr</v>
      </c>
      <c r="G149" s="5" t="str">
        <f>'Choix étudiants'!H205</f>
        <v>E20</v>
      </c>
      <c r="H149" s="53" t="str">
        <f>'Choix étudiants'!J205</f>
        <v>R2</v>
      </c>
      <c r="I149" s="5" t="str">
        <f>'Choix étudiants'!L205</f>
        <v>E15</v>
      </c>
      <c r="J149" s="5" t="str">
        <f>'Choix étudiants'!N205</f>
        <v>E1</v>
      </c>
      <c r="K149" s="5" t="str">
        <f>'Choix étudiants'!P205</f>
        <v>R15</v>
      </c>
      <c r="L149" s="5" t="str">
        <f>'Choix étudiants'!Q205</f>
        <v>Je pars au semestre 2</v>
      </c>
      <c r="M149" s="13" t="str">
        <f>'Choix étudiants'!R90</f>
        <v/>
      </c>
      <c r="N149" s="14"/>
      <c r="O149" s="14"/>
      <c r="P149" s="14"/>
      <c r="Q149" s="14"/>
      <c r="R149" s="14"/>
      <c r="S149" s="14"/>
      <c r="T149" s="14"/>
      <c r="U149" s="14"/>
    </row>
    <row r="150" ht="30.0" hidden="1" customHeight="1">
      <c r="A150" s="17">
        <f>'Choix étudiants'!A90</f>
        <v>43361.45414</v>
      </c>
      <c r="B150" s="4" t="s">
        <v>63</v>
      </c>
      <c r="C150" s="5" t="str">
        <f>'Choix étudiants'!C90</f>
        <v>IME</v>
      </c>
      <c r="D150" s="5" t="str">
        <f>'Choix étudiants'!D90</f>
        <v>HABIB</v>
      </c>
      <c r="E150" s="5" t="str">
        <f>'Choix étudiants'!E90</f>
        <v>Jimmy</v>
      </c>
      <c r="F150" s="5" t="str">
        <f>'Choix étudiants'!F90</f>
        <v>jimmy.habib@edu.esiee.fr</v>
      </c>
      <c r="G150" s="40" t="str">
        <f>'Choix étudiants'!H90</f>
        <v>R22</v>
      </c>
      <c r="H150" s="5" t="str">
        <f>'Choix étudiants'!J90</f>
        <v>E26</v>
      </c>
      <c r="I150" s="5" t="str">
        <f>'Choix étudiants'!L90</f>
        <v>C3</v>
      </c>
      <c r="J150" s="5" t="str">
        <f>'Choix étudiants'!N90</f>
        <v>R18</v>
      </c>
      <c r="K150" s="5" t="str">
        <f>'Choix étudiants'!P90</f>
        <v>R5</v>
      </c>
      <c r="L150" s="5" t="str">
        <f>'Choix étudiants'!Q90</f>
        <v>Je pars au semestre 1</v>
      </c>
      <c r="M150" s="13" t="str">
        <f>'Choix étudiants'!R48</f>
        <v/>
      </c>
      <c r="N150" s="14"/>
      <c r="O150" s="14"/>
      <c r="P150" s="14"/>
      <c r="Q150" s="14"/>
      <c r="R150" s="14"/>
      <c r="S150" s="14"/>
      <c r="T150" s="14"/>
      <c r="U150" s="14"/>
    </row>
    <row r="151" ht="30.0" hidden="1" customHeight="1">
      <c r="A151" s="17">
        <f>'Choix étudiants'!A48</f>
        <v>43360.52675</v>
      </c>
      <c r="B151" s="4" t="s">
        <v>63</v>
      </c>
      <c r="C151" s="5" t="str">
        <f>'Choix étudiants'!C48</f>
        <v>IME</v>
      </c>
      <c r="D151" s="5" t="str">
        <f>'Choix étudiants'!D48</f>
        <v>DELBANI</v>
      </c>
      <c r="E151" s="5" t="str">
        <f>'Choix étudiants'!E48</f>
        <v>Ahmad</v>
      </c>
      <c r="F151" s="5" t="str">
        <f>'Choix étudiants'!F48</f>
        <v>ahmadali.delbani@edu.esiee.fr</v>
      </c>
      <c r="G151" s="40" t="str">
        <f>'Choix étudiants'!H48</f>
        <v>R22</v>
      </c>
      <c r="H151" s="5" t="str">
        <f>'Choix étudiants'!J48</f>
        <v>R28</v>
      </c>
      <c r="I151" s="5" t="str">
        <f>'Choix étudiants'!L48</f>
        <v>R29</v>
      </c>
      <c r="J151" s="5" t="str">
        <f>'Choix étudiants'!N48</f>
        <v>R30</v>
      </c>
      <c r="K151" s="5" t="str">
        <f>'Choix étudiants'!P48</f>
        <v>R23</v>
      </c>
      <c r="L151" s="5" t="str">
        <f>'Choix étudiants'!Q48</f>
        <v>Je ne pars pas</v>
      </c>
      <c r="M151" s="13" t="str">
        <f>'Choix étudiants'!R140</f>
        <v/>
      </c>
      <c r="N151" s="14"/>
      <c r="O151" s="14"/>
      <c r="P151" s="14"/>
      <c r="Q151" s="14"/>
      <c r="R151" s="14"/>
      <c r="S151" s="14"/>
      <c r="T151" s="14"/>
      <c r="U151" s="14"/>
    </row>
    <row r="152" ht="30.0" hidden="1" customHeight="1">
      <c r="A152" s="17">
        <f>'Choix étudiants'!A139</f>
        <v>43360.54095</v>
      </c>
      <c r="B152" s="4" t="s">
        <v>63</v>
      </c>
      <c r="C152" s="5" t="str">
        <f>'Choix étudiants'!C139</f>
        <v>IME</v>
      </c>
      <c r="D152" s="5" t="str">
        <f>'Choix étudiants'!D139</f>
        <v>NEGI</v>
      </c>
      <c r="E152" s="5" t="str">
        <f>'Choix étudiants'!E139</f>
        <v>Shriya</v>
      </c>
      <c r="F152" s="5" t="str">
        <f>'Choix étudiants'!F139</f>
        <v>shriya.negi@edu.esiee.fr</v>
      </c>
      <c r="G152" s="5" t="str">
        <f>'Choix étudiants'!H139</f>
        <v>E20</v>
      </c>
      <c r="H152" s="5" t="str">
        <f>'Choix étudiants'!J139</f>
        <v>E26</v>
      </c>
      <c r="I152" s="40" t="str">
        <f>'Choix étudiants'!L139</f>
        <v>R22</v>
      </c>
      <c r="J152" s="5" t="str">
        <f>'Choix étudiants'!N139</f>
        <v>R28</v>
      </c>
      <c r="K152" s="5" t="str">
        <f>'Choix étudiants'!P139</f>
        <v>R29</v>
      </c>
      <c r="L152" s="5" t="str">
        <f>'Choix étudiants'!Q139</f>
        <v>Je ne pars pas</v>
      </c>
      <c r="M152" s="13" t="str">
        <f>'Choix étudiants'!R80</f>
        <v/>
      </c>
      <c r="N152" s="14"/>
      <c r="O152" s="14"/>
      <c r="P152" s="14"/>
      <c r="Q152" s="14"/>
      <c r="R152" s="14"/>
      <c r="S152" s="14"/>
      <c r="T152" s="14"/>
      <c r="U152" s="14"/>
    </row>
    <row r="153" ht="30.0" hidden="1" customHeight="1">
      <c r="A153" s="17">
        <f>'Choix étudiants'!A80</f>
        <v>43362.00697</v>
      </c>
      <c r="B153" s="4" t="s">
        <v>63</v>
      </c>
      <c r="C153" s="5" t="str">
        <f>'Choix étudiants'!C80</f>
        <v>IME</v>
      </c>
      <c r="D153" s="5" t="str">
        <f>'Choix étudiants'!D80</f>
        <v>GNANAMANI</v>
      </c>
      <c r="E153" s="5" t="str">
        <f>'Choix étudiants'!E80</f>
        <v>Risab</v>
      </c>
      <c r="F153" s="5" t="str">
        <f>'Choix étudiants'!F80</f>
        <v>risab.gnanamani@edu.esiee.fr</v>
      </c>
      <c r="G153" s="14" t="str">
        <f>'Choix étudiants'!H80</f>
        <v>R16</v>
      </c>
      <c r="H153" s="14" t="str">
        <f>'Choix étudiants'!J80</f>
        <v>C3</v>
      </c>
      <c r="I153" s="14" t="str">
        <f>'Choix étudiants'!L80</f>
        <v>E20</v>
      </c>
      <c r="J153" s="40" t="str">
        <f>'Choix étudiants'!N80</f>
        <v>R22</v>
      </c>
      <c r="K153" s="5" t="str">
        <f>'Choix étudiants'!P80</f>
        <v>E4</v>
      </c>
      <c r="L153" s="5" t="str">
        <f>'Choix étudiants'!Q80</f>
        <v>Je ne pars pas</v>
      </c>
      <c r="M153" s="13" t="str">
        <f>'Choix étudiants'!R16</f>
        <v/>
      </c>
      <c r="N153" s="14"/>
      <c r="O153" s="14"/>
      <c r="P153" s="14"/>
      <c r="Q153" s="14"/>
      <c r="R153" s="14"/>
      <c r="S153" s="14"/>
      <c r="T153" s="14"/>
      <c r="U153" s="14"/>
    </row>
    <row r="154" ht="30.0" hidden="1" customHeight="1">
      <c r="A154" s="17">
        <f>'Choix étudiants'!A16</f>
        <v>43361.3111</v>
      </c>
      <c r="B154" s="4" t="s">
        <v>63</v>
      </c>
      <c r="C154" s="5" t="str">
        <f>'Choix étudiants'!C16</f>
        <v>IME</v>
      </c>
      <c r="D154" s="5" t="str">
        <f>'Choix étudiants'!D16</f>
        <v>BENSON</v>
      </c>
      <c r="E154" s="5" t="str">
        <f>'Choix étudiants'!E16</f>
        <v>Laurence</v>
      </c>
      <c r="F154" s="5" t="str">
        <f>'Choix étudiants'!F16</f>
        <v>laurence.benson@edu.esiee.fr</v>
      </c>
      <c r="G154" s="40" t="str">
        <f>'Choix étudiants'!H16</f>
        <v>R22</v>
      </c>
      <c r="H154" s="5" t="str">
        <f>'Choix étudiants'!J16</f>
        <v>R28</v>
      </c>
      <c r="I154" s="5" t="str">
        <f>'Choix étudiants'!L16</f>
        <v>R29</v>
      </c>
      <c r="J154" s="5" t="str">
        <f>'Choix étudiants'!N16</f>
        <v>R30</v>
      </c>
      <c r="K154" s="5" t="str">
        <f>'Choix étudiants'!P16</f>
        <v>R12</v>
      </c>
      <c r="L154" s="5" t="str">
        <f>'Choix étudiants'!Q16</f>
        <v>Je ne pars pas</v>
      </c>
      <c r="M154" s="13" t="str">
        <f>'Choix étudiants'!R79</f>
        <v/>
      </c>
      <c r="N154" s="14"/>
      <c r="O154" s="14"/>
      <c r="P154" s="14"/>
      <c r="Q154" s="14"/>
      <c r="R154" s="14"/>
      <c r="S154" s="14"/>
      <c r="T154" s="14"/>
      <c r="U154" s="14"/>
    </row>
    <row r="155" ht="30.0" hidden="1" customHeight="1">
      <c r="A155" s="17">
        <f>'Choix étudiants'!A79</f>
        <v>43360.45502</v>
      </c>
      <c r="B155" s="4" t="s">
        <v>64</v>
      </c>
      <c r="C155" s="5" t="str">
        <f>'Choix étudiants'!C79</f>
        <v>GI</v>
      </c>
      <c r="D155" s="5" t="str">
        <f>'Choix étudiants'!D79</f>
        <v>GIVAUDAN</v>
      </c>
      <c r="E155" s="5" t="str">
        <f>'Choix étudiants'!E79</f>
        <v>Mathilde</v>
      </c>
      <c r="F155" s="5" t="str">
        <f>'Choix étudiants'!F79</f>
        <v>mathilde.givaudan@edu.esiee.fr</v>
      </c>
      <c r="G155" s="55" t="str">
        <f>'Choix étudiants'!H79</f>
        <v>R24</v>
      </c>
      <c r="H155" s="5" t="str">
        <f>'Choix étudiants'!J79</f>
        <v>R24</v>
      </c>
      <c r="I155" s="5" t="str">
        <f>'Choix étudiants'!L79</f>
        <v>R32</v>
      </c>
      <c r="J155" s="5" t="str">
        <f>'Choix étudiants'!N79</f>
        <v>R32</v>
      </c>
      <c r="K155" s="5" t="str">
        <f>'Choix étudiants'!P79</f>
        <v>R31</v>
      </c>
      <c r="L155" s="5" t="str">
        <f>'Choix étudiants'!Q79</f>
        <v>Je pars au semestre 1</v>
      </c>
      <c r="M155" s="13" t="str">
        <f>'Choix étudiants'!R107</f>
        <v/>
      </c>
      <c r="N155" s="14"/>
      <c r="O155" s="14"/>
      <c r="P155" s="14"/>
      <c r="Q155" s="14"/>
      <c r="R155" s="14"/>
      <c r="S155" s="14"/>
      <c r="T155" s="14"/>
      <c r="U155" s="14"/>
    </row>
    <row r="156" ht="30.0" hidden="1" customHeight="1">
      <c r="A156" s="17">
        <f>'Choix étudiants'!A107</f>
        <v>43360.53673</v>
      </c>
      <c r="B156" s="4" t="s">
        <v>64</v>
      </c>
      <c r="C156" s="5" t="str">
        <f>'Choix étudiants'!C107</f>
        <v>GI</v>
      </c>
      <c r="D156" s="14" t="str">
        <f>'Choix étudiants'!D107</f>
        <v>LAM</v>
      </c>
      <c r="E156" s="5" t="str">
        <f>'Choix étudiants'!E107</f>
        <v>Minh-Thong</v>
      </c>
      <c r="F156" s="5" t="str">
        <f>'Choix étudiants'!F107</f>
        <v>minh-thong.lam@edu.esiee.fr</v>
      </c>
      <c r="G156" s="14" t="str">
        <f>'Choix étudiants'!H107</f>
        <v>R32</v>
      </c>
      <c r="H156" s="55" t="str">
        <f>'Choix étudiants'!J107</f>
        <v>R24</v>
      </c>
      <c r="I156" s="5" t="str">
        <f>'Choix étudiants'!L107</f>
        <v>R31</v>
      </c>
      <c r="J156" s="5" t="str">
        <f>'Choix étudiants'!N107</f>
        <v>R12</v>
      </c>
      <c r="K156" s="5" t="str">
        <f>'Choix étudiants'!P107</f>
        <v>E10</v>
      </c>
      <c r="L156" s="5" t="str">
        <f>'Choix étudiants'!Q107</f>
        <v>Je ne pars pas</v>
      </c>
      <c r="M156" s="13" t="str">
        <f>'Choix étudiants'!R109</f>
        <v/>
      </c>
      <c r="N156" s="14"/>
      <c r="O156" s="14"/>
      <c r="P156" s="14"/>
      <c r="Q156" s="14"/>
      <c r="R156" s="14"/>
      <c r="S156" s="14"/>
      <c r="T156" s="14"/>
      <c r="U156" s="14"/>
    </row>
    <row r="157" ht="30.0" hidden="1" customHeight="1">
      <c r="A157" s="17">
        <f>'Choix étudiants'!A109</f>
        <v>43361.42089</v>
      </c>
      <c r="B157" s="4" t="s">
        <v>64</v>
      </c>
      <c r="C157" s="5" t="str">
        <f>'Choix étudiants'!C109</f>
        <v>GI</v>
      </c>
      <c r="D157" s="14" t="str">
        <f>'Choix étudiants'!D109</f>
        <v>LE GALL</v>
      </c>
      <c r="E157" s="14" t="str">
        <f>'Choix étudiants'!E109</f>
        <v>Aymerig</v>
      </c>
      <c r="F157" s="5" t="str">
        <f>'Choix étudiants'!F109</f>
        <v>aymerig.legall@edu.esiee.fr</v>
      </c>
      <c r="G157" s="55" t="str">
        <f>'Choix étudiants'!H109</f>
        <v>R24</v>
      </c>
      <c r="H157" s="5" t="str">
        <f>'Choix étudiants'!J109</f>
        <v>E10</v>
      </c>
      <c r="I157" s="5" t="str">
        <f>'Choix étudiants'!L109</f>
        <v>R31</v>
      </c>
      <c r="J157" s="5" t="str">
        <f>'Choix étudiants'!N109</f>
        <v>R5</v>
      </c>
      <c r="K157" s="5" t="str">
        <f>'Choix étudiants'!P109</f>
        <v>E6</v>
      </c>
      <c r="L157" s="5" t="str">
        <f>'Choix étudiants'!Q109</f>
        <v>Je ne pars pas</v>
      </c>
      <c r="M157" s="13" t="str">
        <f>'Choix étudiants'!R168</f>
        <v/>
      </c>
      <c r="N157" s="14"/>
      <c r="O157" s="14"/>
      <c r="P157" s="14"/>
      <c r="Q157" s="14"/>
      <c r="R157" s="14"/>
      <c r="S157" s="14"/>
      <c r="T157" s="14"/>
      <c r="U157" s="14"/>
    </row>
    <row r="158" ht="30.0" hidden="1" customHeight="1">
      <c r="A158" s="17">
        <f>'Choix étudiants'!A168</f>
        <v>43362.32584</v>
      </c>
      <c r="B158" s="4" t="s">
        <v>64</v>
      </c>
      <c r="C158" s="5" t="str">
        <f>'Choix étudiants'!C168</f>
        <v>GI</v>
      </c>
      <c r="D158" s="5" t="str">
        <f>'Choix étudiants'!D168</f>
        <v>QUIGNA</v>
      </c>
      <c r="E158" s="5" t="str">
        <f>'Choix étudiants'!E168</f>
        <v>Marie</v>
      </c>
      <c r="F158" s="5" t="str">
        <f>'Choix étudiants'!F168</f>
        <v>marie.quigna@edu.esiee.fr</v>
      </c>
      <c r="G158" s="55" t="str">
        <f>'Choix étudiants'!H168</f>
        <v>R24</v>
      </c>
      <c r="H158" s="5" t="str">
        <f>'Choix étudiants'!J168</f>
        <v>R32</v>
      </c>
      <c r="I158" s="5" t="str">
        <f>'Choix étudiants'!L168</f>
        <v>R2 </v>
      </c>
      <c r="J158" s="5" t="str">
        <f>'Choix étudiants'!N168</f>
        <v>E15</v>
      </c>
      <c r="K158" s="5" t="str">
        <f>'Choix étudiants'!P168</f>
        <v>C1</v>
      </c>
      <c r="L158" s="5" t="str">
        <f>'Choix étudiants'!Q168</f>
        <v>Je pars au semestre 1</v>
      </c>
      <c r="M158" s="13" t="str">
        <f>'Choix étudiants'!R188</f>
        <v/>
      </c>
      <c r="N158" s="14"/>
      <c r="O158" s="14"/>
      <c r="P158" s="14"/>
      <c r="Q158" s="14"/>
      <c r="R158" s="14"/>
      <c r="S158" s="14"/>
      <c r="T158" s="14"/>
      <c r="U158" s="14"/>
    </row>
    <row r="159" ht="30.0" hidden="1" customHeight="1">
      <c r="A159" s="17">
        <f>'Choix étudiants'!A188</f>
        <v>43361.96925</v>
      </c>
      <c r="B159" s="4" t="s">
        <v>64</v>
      </c>
      <c r="C159" s="5" t="str">
        <f>'Choix étudiants'!C188</f>
        <v>GI</v>
      </c>
      <c r="D159" s="5" t="str">
        <f>'Choix étudiants'!D188</f>
        <v>SELLEM</v>
      </c>
      <c r="E159" s="5" t="str">
        <f>'Choix étudiants'!E188</f>
        <v>Rubben</v>
      </c>
      <c r="F159" s="5" t="str">
        <f>'Choix étudiants'!F188</f>
        <v>rubben.sellem@edu.esiee.fr</v>
      </c>
      <c r="G159" s="55" t="str">
        <f>'Choix étudiants'!H188</f>
        <v>R24</v>
      </c>
      <c r="H159" s="5" t="str">
        <f>'Choix étudiants'!J188</f>
        <v>R31</v>
      </c>
      <c r="I159" s="5" t="str">
        <f>'Choix étudiants'!L188</f>
        <v>R32</v>
      </c>
      <c r="J159" s="5" t="str">
        <f>'Choix étudiants'!N188</f>
        <v>R24</v>
      </c>
      <c r="K159" s="5" t="str">
        <f>'Choix étudiants'!P188</f>
        <v>R31</v>
      </c>
      <c r="L159" s="5" t="str">
        <f>'Choix étudiants'!Q188</f>
        <v>Je ne pars pas</v>
      </c>
      <c r="M159" s="13" t="str">
        <f>'Choix étudiants'!R207</f>
        <v/>
      </c>
      <c r="N159" s="14"/>
      <c r="O159" s="14"/>
      <c r="P159" s="14"/>
      <c r="Q159" s="14"/>
      <c r="R159" s="14"/>
      <c r="S159" s="14"/>
      <c r="T159" s="14"/>
      <c r="U159" s="14"/>
    </row>
    <row r="160" ht="30.0" hidden="1" customHeight="1">
      <c r="A160" s="17">
        <f>'Choix étudiants'!A207</f>
        <v>43361.12682</v>
      </c>
      <c r="B160" s="4" t="s">
        <v>64</v>
      </c>
      <c r="C160" s="5" t="str">
        <f>'Choix étudiants'!C207</f>
        <v>GI</v>
      </c>
      <c r="D160" s="5" t="str">
        <f>'Choix étudiants'!D207</f>
        <v>WEBER</v>
      </c>
      <c r="E160" s="5" t="str">
        <f>'Choix étudiants'!E207</f>
        <v>Victor</v>
      </c>
      <c r="F160" s="5" t="str">
        <f>'Choix étudiants'!F207</f>
        <v>victor.weber@edu.esiee.fr</v>
      </c>
      <c r="G160" s="55" t="str">
        <f>'Choix étudiants'!H207</f>
        <v>r24</v>
      </c>
      <c r="H160" s="5" t="str">
        <f>'Choix étudiants'!J207</f>
        <v>r32</v>
      </c>
      <c r="I160" s="5" t="str">
        <f>'Choix étudiants'!L207</f>
        <v>r31</v>
      </c>
      <c r="J160" s="5" t="str">
        <f>'Choix étudiants'!N207</f>
        <v>e10</v>
      </c>
      <c r="K160" s="5" t="str">
        <f>'Choix étudiants'!P207</f>
        <v>c1</v>
      </c>
      <c r="L160" s="5" t="str">
        <f>'Choix étudiants'!Q207</f>
        <v>Je pars au semestre 2</v>
      </c>
      <c r="M160" s="13" t="str">
        <f>'Choix étudiants'!R209</f>
        <v/>
      </c>
      <c r="N160" s="14"/>
      <c r="O160" s="14"/>
      <c r="P160" s="14"/>
      <c r="Q160" s="14"/>
      <c r="R160" s="14"/>
      <c r="S160" s="14"/>
      <c r="T160" s="14"/>
      <c r="U160" s="14"/>
    </row>
    <row r="161" ht="30.0" hidden="1" customHeight="1">
      <c r="A161" s="17">
        <f>'Choix étudiants'!A210</f>
        <v>43360.59192</v>
      </c>
      <c r="B161" s="4" t="s">
        <v>64</v>
      </c>
      <c r="C161" s="5" t="str">
        <f>'Choix étudiants'!C210</f>
        <v>GI</v>
      </c>
      <c r="D161" s="5" t="str">
        <f>'Choix étudiants'!D210</f>
        <v>YU</v>
      </c>
      <c r="E161" s="5" t="str">
        <f>'Choix étudiants'!E210</f>
        <v>Xinyu</v>
      </c>
      <c r="F161" s="5" t="str">
        <f>'Choix étudiants'!F210</f>
        <v>xinyu.yu@edu.esiee.fr</v>
      </c>
      <c r="G161" s="55" t="str">
        <f>'Choix étudiants'!H210</f>
        <v>R24</v>
      </c>
      <c r="H161" s="5" t="str">
        <f>'Choix étudiants'!J210</f>
        <v>R32</v>
      </c>
      <c r="I161" s="5" t="str">
        <f>'Choix étudiants'!L210</f>
        <v>E10</v>
      </c>
      <c r="J161" s="5" t="str">
        <f>'Choix étudiants'!N210</f>
        <v>R31</v>
      </c>
      <c r="K161" s="5" t="str">
        <f>'Choix étudiants'!P210</f>
        <v>R2</v>
      </c>
      <c r="L161" s="5" t="str">
        <f>'Choix étudiants'!Q210</f>
        <v>Je ne pars pas</v>
      </c>
      <c r="M161" s="13" t="str">
        <f>'Choix étudiants'!R33</f>
        <v/>
      </c>
      <c r="N161" s="14"/>
      <c r="O161" s="14"/>
      <c r="P161" s="14"/>
      <c r="Q161" s="14"/>
      <c r="R161" s="14"/>
      <c r="S161" s="14"/>
      <c r="T161" s="14"/>
      <c r="U161" s="14"/>
    </row>
    <row r="162" ht="30.0" hidden="1" customHeight="1">
      <c r="A162" s="17">
        <f>'Choix étudiants'!A33</f>
        <v>43360.42831</v>
      </c>
      <c r="B162" s="4" t="s">
        <v>65</v>
      </c>
      <c r="C162" s="5" t="str">
        <f>'Choix étudiants'!C33</f>
        <v>IMC</v>
      </c>
      <c r="D162" s="5" t="str">
        <f>'Choix étudiants'!D33</f>
        <v>CARNEIRO ESPINDOLA</v>
      </c>
      <c r="E162" s="5" t="str">
        <f>'Choix étudiants'!E33</f>
        <v>Stela</v>
      </c>
      <c r="F162" s="5" t="str">
        <f>'Choix étudiants'!F33</f>
        <v>stela.carneiroespindola@edu.esiee.fr</v>
      </c>
      <c r="G162" s="30" t="str">
        <f>'Choix étudiants'!H33</f>
        <v>R25</v>
      </c>
      <c r="H162" s="14" t="str">
        <f>'Choix étudiants'!J33</f>
        <v>R6</v>
      </c>
      <c r="I162" s="5" t="str">
        <f>'Choix étudiants'!L33</f>
        <v>R7</v>
      </c>
      <c r="J162" s="5" t="str">
        <f>'Choix étudiants'!N33</f>
        <v>R20</v>
      </c>
      <c r="K162" s="5" t="str">
        <f>'Choix étudiants'!P33</f>
        <v>R11</v>
      </c>
      <c r="L162" s="5" t="str">
        <f>'Choix étudiants'!Q33</f>
        <v>Je ne pars pas</v>
      </c>
      <c r="M162" s="13" t="str">
        <f>'Choix étudiants'!R62</f>
        <v/>
      </c>
      <c r="N162" s="14"/>
      <c r="O162" s="14"/>
      <c r="P162" s="14"/>
      <c r="Q162" s="14"/>
      <c r="R162" s="14"/>
      <c r="S162" s="14"/>
      <c r="T162" s="14"/>
      <c r="U162" s="14"/>
    </row>
    <row r="163" ht="30.0" hidden="1" customHeight="1">
      <c r="A163" s="17">
        <f>'Choix étudiants'!A61</f>
        <v>43362.23256</v>
      </c>
      <c r="B163" s="4" t="s">
        <v>65</v>
      </c>
      <c r="C163" s="5" t="str">
        <f>'Choix étudiants'!C61</f>
        <v>INF</v>
      </c>
      <c r="D163" s="5" t="str">
        <f>'Choix étudiants'!D61</f>
        <v>DURRMEYER</v>
      </c>
      <c r="E163" s="5" t="str">
        <f>'Choix étudiants'!E61</f>
        <v>Alexandre</v>
      </c>
      <c r="F163" s="5" t="str">
        <f>'Choix étudiants'!F61</f>
        <v>alexandre.durmeyer@edu.esiee.fr</v>
      </c>
      <c r="G163" s="5" t="str">
        <f>'Choix étudiants'!H61</f>
        <v>R15</v>
      </c>
      <c r="H163" s="30" t="str">
        <f>'Choix étudiants'!J61</f>
        <v>R25</v>
      </c>
      <c r="I163" s="5" t="str">
        <f>'Choix étudiants'!L61</f>
        <v>E16</v>
      </c>
      <c r="J163" s="5" t="str">
        <f>'Choix étudiants'!N61</f>
        <v>C1</v>
      </c>
      <c r="K163" s="5" t="str">
        <f>'Choix étudiants'!P61</f>
        <v>R5</v>
      </c>
      <c r="L163" s="5" t="str">
        <f>'Choix étudiants'!Q61</f>
        <v>Je pars au semestre 1</v>
      </c>
      <c r="M163" s="13" t="str">
        <f>'Choix étudiants'!R121</f>
        <v/>
      </c>
      <c r="N163" s="14"/>
      <c r="O163" s="14"/>
      <c r="P163" s="14"/>
      <c r="Q163" s="14"/>
      <c r="R163" s="14"/>
      <c r="S163" s="14"/>
      <c r="T163" s="14"/>
      <c r="U163" s="14"/>
    </row>
    <row r="164" ht="30.0" hidden="1" customHeight="1">
      <c r="A164" s="17">
        <f>'Choix étudiants'!A121</f>
        <v>43362.6638</v>
      </c>
      <c r="B164" s="4" t="s">
        <v>65</v>
      </c>
      <c r="C164" s="5" t="str">
        <f>'Choix étudiants'!C121</f>
        <v>INF</v>
      </c>
      <c r="D164" s="5" t="str">
        <f>'Choix étudiants'!D121</f>
        <v>MAILHARRO</v>
      </c>
      <c r="E164" s="5" t="str">
        <f>'Choix étudiants'!E121</f>
        <v>Erwan</v>
      </c>
      <c r="F164" s="5" t="str">
        <f>'Choix étudiants'!F121</f>
        <v>erwan.mailharro@edu.esiee.fr</v>
      </c>
      <c r="G164" s="30" t="str">
        <f>'Choix étudiants'!H121</f>
        <v>R25</v>
      </c>
      <c r="H164" s="5" t="str">
        <f>'Choix étudiants'!J121</f>
        <v>R21</v>
      </c>
      <c r="I164" s="5" t="str">
        <f>'Choix étudiants'!L121</f>
        <v>R11</v>
      </c>
      <c r="J164" s="5" t="str">
        <f>'Choix étudiants'!N121</f>
        <v>R27</v>
      </c>
      <c r="K164" s="5" t="str">
        <f>'Choix étudiants'!P121</f>
        <v>LL1</v>
      </c>
      <c r="L164" s="5" t="str">
        <f>'Choix étudiants'!Q121</f>
        <v>Je pars au semestre 1</v>
      </c>
      <c r="M164" s="13" t="str">
        <f>'Choix étudiants'!R138</f>
        <v/>
      </c>
      <c r="N164" s="14"/>
      <c r="O164" s="14"/>
      <c r="P164" s="14"/>
      <c r="Q164" s="14"/>
      <c r="R164" s="14"/>
      <c r="S164" s="14"/>
      <c r="T164" s="14"/>
      <c r="U164" s="14"/>
    </row>
    <row r="165" ht="30.0" hidden="1" customHeight="1">
      <c r="A165" s="17">
        <f>'Choix étudiants'!A138</f>
        <v>43360.42052</v>
      </c>
      <c r="B165" s="4" t="s">
        <v>65</v>
      </c>
      <c r="C165" s="5" t="str">
        <f>'Choix étudiants'!C138</f>
        <v>INF</v>
      </c>
      <c r="D165" s="5" t="str">
        <f>'Choix étudiants'!D138</f>
        <v>NEGHNAGH-CHENAVAS</v>
      </c>
      <c r="E165" s="5" t="str">
        <f>'Choix étudiants'!E138</f>
        <v>Jules</v>
      </c>
      <c r="F165" s="5" t="str">
        <f>'Choix étudiants'!F138</f>
        <v>jules.neghnagh-chenavas@edu.esiee.fr</v>
      </c>
      <c r="G165" s="30" t="str">
        <f>'Choix étudiants'!H138</f>
        <v>R25</v>
      </c>
      <c r="H165" s="14" t="str">
        <f>'Choix étudiants'!J138</f>
        <v>R20</v>
      </c>
      <c r="I165" s="5" t="str">
        <f>'Choix étudiants'!L138</f>
        <v>R21</v>
      </c>
      <c r="J165" s="5" t="str">
        <f>'Choix étudiants'!N138</f>
        <v>R25</v>
      </c>
      <c r="K165" s="5" t="str">
        <f>'Choix étudiants'!P138</f>
        <v>R21</v>
      </c>
      <c r="L165" s="5" t="str">
        <f>'Choix étudiants'!Q138</f>
        <v>Je ne pars pas</v>
      </c>
      <c r="M165" s="13" t="str">
        <f>'Choix étudiants'!R153</f>
        <v/>
      </c>
      <c r="N165" s="14"/>
      <c r="O165" s="14"/>
      <c r="P165" s="14"/>
      <c r="Q165" s="14"/>
      <c r="R165" s="14"/>
      <c r="S165" s="14"/>
      <c r="T165" s="14"/>
      <c r="U165" s="14"/>
    </row>
    <row r="166" ht="30.0" hidden="1" customHeight="1">
      <c r="A166" s="17">
        <f>'Choix étudiants'!A153</f>
        <v>43360.41806</v>
      </c>
      <c r="B166" s="4" t="s">
        <v>65</v>
      </c>
      <c r="C166" s="5" t="str">
        <f>'Choix étudiants'!C153</f>
        <v>INF</v>
      </c>
      <c r="D166" s="5" t="str">
        <f>'Choix étudiants'!D153</f>
        <v>PARIS</v>
      </c>
      <c r="E166" s="5" t="str">
        <f>'Choix étudiants'!E153</f>
        <v>Edouard</v>
      </c>
      <c r="F166" s="5" t="str">
        <f>'Choix étudiants'!F153</f>
        <v>edouard.paris@edu.esiee.fr</v>
      </c>
      <c r="G166" s="30" t="str">
        <f>'Choix étudiants'!H153</f>
        <v>R25</v>
      </c>
      <c r="H166" s="5" t="str">
        <f>'Choix étudiants'!J153</f>
        <v>E5</v>
      </c>
      <c r="I166" s="5" t="str">
        <f>'Choix étudiants'!L153</f>
        <v>R20</v>
      </c>
      <c r="J166" s="5" t="str">
        <f>'Choix étudiants'!N153</f>
        <v>E7</v>
      </c>
      <c r="K166" s="5" t="str">
        <f>'Choix étudiants'!P153</f>
        <v>R1</v>
      </c>
      <c r="L166" s="5" t="str">
        <f>'Choix étudiants'!Q153</f>
        <v>Je pars au semestre 2</v>
      </c>
      <c r="M166" s="13" t="str">
        <f>'Choix étudiants'!R155</f>
        <v/>
      </c>
      <c r="N166" s="14"/>
      <c r="O166" s="14"/>
      <c r="P166" s="14"/>
      <c r="Q166" s="14"/>
      <c r="R166" s="14"/>
      <c r="S166" s="14"/>
      <c r="T166" s="14"/>
      <c r="U166" s="14"/>
    </row>
    <row r="167" ht="30.0" hidden="1" customHeight="1">
      <c r="A167" s="17">
        <f>'Choix étudiants'!A155</f>
        <v>43362.36485</v>
      </c>
      <c r="B167" s="4" t="s">
        <v>65</v>
      </c>
      <c r="C167" s="5" t="str">
        <f>'Choix étudiants'!C155</f>
        <v>INF</v>
      </c>
      <c r="D167" s="5" t="str">
        <f>'Choix étudiants'!D155</f>
        <v>PAULIN</v>
      </c>
      <c r="E167" s="5" t="str">
        <f>'Choix étudiants'!E155</f>
        <v>Florian</v>
      </c>
      <c r="F167" s="5" t="str">
        <f>'Choix étudiants'!F155</f>
        <v>florian.paulin@edu.esiee.fr</v>
      </c>
      <c r="G167" s="30" t="str">
        <f>'Choix étudiants'!H155</f>
        <v>R25</v>
      </c>
      <c r="H167" s="5" t="str">
        <f>'Choix étudiants'!J155</f>
        <v>E20</v>
      </c>
      <c r="I167" s="5" t="str">
        <f>'Choix étudiants'!L155</f>
        <v>E17</v>
      </c>
      <c r="J167" s="5" t="str">
        <f>'Choix étudiants'!N155</f>
        <v>R28</v>
      </c>
      <c r="K167" s="5" t="str">
        <f>'Choix étudiants'!P155</f>
        <v>R29</v>
      </c>
      <c r="L167" s="5" t="str">
        <f>'Choix étudiants'!Q155</f>
        <v>Je pars au semestre 1</v>
      </c>
      <c r="M167" s="13" t="str">
        <f>'Choix étudiants'!R163</f>
        <v/>
      </c>
      <c r="N167" s="14"/>
      <c r="O167" s="14"/>
      <c r="P167" s="14"/>
      <c r="Q167" s="14"/>
      <c r="R167" s="14"/>
      <c r="S167" s="14"/>
      <c r="T167" s="14"/>
      <c r="U167" s="14"/>
    </row>
    <row r="168" ht="30.0" hidden="1" customHeight="1">
      <c r="A168" s="17">
        <f>'Choix étudiants'!A163</f>
        <v>43361.37821</v>
      </c>
      <c r="B168" s="4" t="s">
        <v>65</v>
      </c>
      <c r="C168" s="5" t="str">
        <f>'Choix étudiants'!C163</f>
        <v>INF</v>
      </c>
      <c r="D168" s="5" t="str">
        <f>'Choix étudiants'!D163</f>
        <v>POV</v>
      </c>
      <c r="E168" s="5" t="str">
        <f>'Choix étudiants'!E163</f>
        <v>Cécile</v>
      </c>
      <c r="F168" s="5" t="str">
        <f>'Choix étudiants'!F163</f>
        <v>cecile.pov@edu.esiee.fr</v>
      </c>
      <c r="G168" s="30" t="s">
        <v>65</v>
      </c>
      <c r="H168" s="5" t="str">
        <f>'Choix étudiants'!J163</f>
        <v/>
      </c>
      <c r="I168" s="5" t="str">
        <f>'Choix étudiants'!L163</f>
        <v/>
      </c>
      <c r="J168" s="5" t="str">
        <f>'Choix étudiants'!N163</f>
        <v/>
      </c>
      <c r="K168" s="5" t="str">
        <f>'Choix étudiants'!P163</f>
        <v/>
      </c>
      <c r="L168" s="5" t="str">
        <f>'Choix étudiants'!Q163</f>
        <v>Je ne pars pas</v>
      </c>
      <c r="M168" s="13" t="str">
        <f>'Choix étudiants'!R74</f>
        <v/>
      </c>
      <c r="N168" s="14"/>
      <c r="O168" s="14"/>
      <c r="P168" s="14"/>
      <c r="Q168" s="14"/>
      <c r="R168" s="14"/>
      <c r="S168" s="14"/>
      <c r="T168" s="14"/>
      <c r="U168" s="14"/>
    </row>
    <row r="169" ht="30.0" hidden="1" customHeight="1">
      <c r="A169" s="2">
        <f>'Choix étudiants'!A74</f>
        <v>43362.50752</v>
      </c>
      <c r="B169" s="4" t="s">
        <v>66</v>
      </c>
      <c r="C169" s="5" t="str">
        <f>'Choix étudiants'!C74</f>
        <v>INF</v>
      </c>
      <c r="D169" s="5" t="str">
        <f>'Choix étudiants'!D74</f>
        <v>GALLANCHER</v>
      </c>
      <c r="E169" s="5" t="str">
        <f>'Choix étudiants'!E74</f>
        <v>Maxence</v>
      </c>
      <c r="F169" s="5" t="str">
        <f>'Choix étudiants'!F74</f>
        <v>maxence.gallancher@edu.esiee.fr</v>
      </c>
      <c r="G169" s="14" t="str">
        <f>'Choix étudiants'!H74</f>
        <v>R21</v>
      </c>
      <c r="H169" s="40" t="str">
        <f>'Choix étudiants'!J74</f>
        <v>R27</v>
      </c>
      <c r="I169" s="5" t="str">
        <f>'Choix étudiants'!L74</f>
        <v>E23</v>
      </c>
      <c r="J169" s="14" t="str">
        <f>'Choix étudiants'!N74</f>
        <v>R11</v>
      </c>
      <c r="K169" s="5" t="str">
        <f>'Choix étudiants'!P74</f>
        <v>R25</v>
      </c>
      <c r="L169" s="5" t="str">
        <f>'Choix étudiants'!Q74</f>
        <v>Je pars au semestre 1</v>
      </c>
      <c r="M169" s="13" t="str">
        <f>'Choix étudiants'!R158</f>
        <v/>
      </c>
      <c r="N169" s="14"/>
      <c r="O169" s="14"/>
      <c r="P169" s="14"/>
      <c r="Q169" s="14"/>
      <c r="R169" s="14"/>
      <c r="S169" s="14"/>
      <c r="T169" s="14"/>
      <c r="U169" s="14"/>
    </row>
    <row r="170" ht="30.0" hidden="1" customHeight="1">
      <c r="A170" s="17">
        <f>'Choix étudiants'!A158</f>
        <v>43361.76161</v>
      </c>
      <c r="B170" s="4" t="s">
        <v>66</v>
      </c>
      <c r="C170" s="5" t="str">
        <f>'Choix étudiants'!C158</f>
        <v>IMC</v>
      </c>
      <c r="D170" s="5" t="str">
        <f>'Choix étudiants'!D158</f>
        <v>PHAM</v>
      </c>
      <c r="E170" s="5" t="str">
        <f>'Choix étudiants'!E158</f>
        <v>Quôc Trung</v>
      </c>
      <c r="F170" s="5" t="str">
        <f>'Choix étudiants'!F158</f>
        <v>quoctrung.pham@edu.esiee.fr</v>
      </c>
      <c r="G170" s="40" t="str">
        <f>'Choix étudiants'!H158</f>
        <v>R27</v>
      </c>
      <c r="H170" s="14" t="str">
        <f>'Choix étudiants'!J158</f>
        <v>LL1</v>
      </c>
      <c r="I170" s="5" t="str">
        <f>'Choix étudiants'!L158</f>
        <v>R32</v>
      </c>
      <c r="J170" s="5" t="str">
        <f>'Choix étudiants'!N158</f>
        <v>R25</v>
      </c>
      <c r="K170" s="5" t="str">
        <f>'Choix étudiants'!P158</f>
        <v>E27</v>
      </c>
      <c r="L170" s="5" t="str">
        <f>'Choix étudiants'!Q158</f>
        <v>Je ne pars pas</v>
      </c>
      <c r="M170" s="13" t="str">
        <f>'Choix étudiants'!R171</f>
        <v/>
      </c>
      <c r="N170" s="14"/>
      <c r="O170" s="14"/>
      <c r="P170" s="14"/>
      <c r="Q170" s="14"/>
      <c r="R170" s="14"/>
      <c r="S170" s="14"/>
      <c r="T170" s="14"/>
      <c r="U170" s="14"/>
    </row>
    <row r="171" ht="30.0" hidden="1" customHeight="1">
      <c r="A171" s="17">
        <f>'Choix étudiants'!A171</f>
        <v>43361.51494</v>
      </c>
      <c r="B171" s="4" t="s">
        <v>66</v>
      </c>
      <c r="C171" s="5" t="str">
        <f>'Choix étudiants'!C171</f>
        <v>IMC</v>
      </c>
      <c r="D171" s="5" t="str">
        <f>'Choix étudiants'!D171</f>
        <v>RAJPUT</v>
      </c>
      <c r="E171" s="5" t="str">
        <f>'Choix étudiants'!E171</f>
        <v>Dhanashri</v>
      </c>
      <c r="F171" s="5" t="str">
        <f>'Choix étudiants'!F171</f>
        <v>dhanashri.rajput@edu.esiee.fr</v>
      </c>
      <c r="G171" s="40" t="str">
        <f>'Choix étudiants'!H171</f>
        <v>R27</v>
      </c>
      <c r="H171" s="5" t="str">
        <f>'Choix étudiants'!J171</f>
        <v>LL1</v>
      </c>
      <c r="I171" s="5" t="str">
        <f>'Choix étudiants'!L171</f>
        <v>R4</v>
      </c>
      <c r="J171" s="5" t="str">
        <f>'Choix étudiants'!N171</f>
        <v>R3</v>
      </c>
      <c r="K171" s="5" t="str">
        <f>'Choix étudiants'!P171</f>
        <v>R5</v>
      </c>
      <c r="L171" s="5" t="str">
        <f>'Choix étudiants'!Q171</f>
        <v>Je ne pars pas</v>
      </c>
      <c r="M171" s="13" t="str">
        <f>'Choix étudiants'!R24</f>
        <v/>
      </c>
      <c r="N171" s="14"/>
      <c r="O171" s="14"/>
      <c r="P171" s="14"/>
      <c r="Q171" s="14"/>
      <c r="R171" s="14"/>
      <c r="S171" s="14"/>
      <c r="T171" s="14"/>
      <c r="U171" s="14"/>
    </row>
    <row r="172" ht="30.0" hidden="1" customHeight="1">
      <c r="A172" s="17">
        <f>'Choix étudiants'!A24</f>
        <v>43362.51808</v>
      </c>
      <c r="B172" s="4" t="s">
        <v>66</v>
      </c>
      <c r="C172" s="5" t="str">
        <f>'Choix étudiants'!C24</f>
        <v>INF</v>
      </c>
      <c r="D172" s="5" t="str">
        <f>'Choix étudiants'!D24</f>
        <v>BOITTIAUX</v>
      </c>
      <c r="E172" s="5" t="str">
        <f>'Choix étudiants'!E24</f>
        <v>Clementin</v>
      </c>
      <c r="F172" s="5" t="str">
        <f>'Choix étudiants'!F24</f>
        <v>clementin.boittiaux@edu.esiee.fr</v>
      </c>
      <c r="G172" s="14" t="str">
        <f>'Choix étudiants'!H24</f>
        <v>R21</v>
      </c>
      <c r="H172" s="40" t="str">
        <f>'Choix étudiants'!J24</f>
        <v>R27</v>
      </c>
      <c r="I172" s="5" t="str">
        <f>'Choix étudiants'!L24</f>
        <v>R25</v>
      </c>
      <c r="J172" s="5" t="str">
        <f>'Choix étudiants'!N24</f>
        <v>E15</v>
      </c>
      <c r="K172" s="5" t="str">
        <f>'Choix étudiants'!P24</f>
        <v>E19</v>
      </c>
      <c r="L172" s="5" t="str">
        <f>'Choix étudiants'!Q24</f>
        <v>Je pars au semestre 1</v>
      </c>
      <c r="M172" s="13" t="str">
        <f>'Choix étudiants'!R118</f>
        <v/>
      </c>
      <c r="N172" s="14"/>
      <c r="O172" s="14"/>
      <c r="P172" s="14"/>
      <c r="Q172" s="14"/>
      <c r="R172" s="14"/>
      <c r="S172" s="14"/>
      <c r="T172" s="14"/>
      <c r="U172" s="14"/>
    </row>
    <row r="173" ht="30.0" hidden="1" customHeight="1">
      <c r="A173" s="17" t="str">
        <f>'Choix étudiants'!A118</f>
        <v/>
      </c>
      <c r="B173" s="4" t="s">
        <v>66</v>
      </c>
      <c r="C173" s="32" t="s">
        <v>67</v>
      </c>
      <c r="D173" s="5" t="str">
        <f>'Choix étudiants'!D118</f>
        <v>LONG</v>
      </c>
      <c r="E173" s="5" t="str">
        <f>'Choix étudiants'!E118</f>
        <v>Quan</v>
      </c>
      <c r="F173" s="5" t="str">
        <f>'Choix étudiants'!F118</f>
        <v>quan.long@edu.esiee.fr</v>
      </c>
      <c r="G173" s="14" t="str">
        <f>'Choix étudiants'!H118</f>
        <v/>
      </c>
      <c r="H173" s="5" t="str">
        <f>'Choix étudiants'!J118</f>
        <v/>
      </c>
      <c r="I173" s="5" t="str">
        <f>'Choix étudiants'!L118</f>
        <v/>
      </c>
      <c r="J173" s="5" t="str">
        <f>'Choix étudiants'!N118</f>
        <v/>
      </c>
      <c r="K173" s="5" t="str">
        <f>'Choix étudiants'!P118</f>
        <v/>
      </c>
      <c r="L173" s="5" t="str">
        <f>'Choix étudiants'!Q118</f>
        <v/>
      </c>
      <c r="M173" s="13" t="str">
        <f>'Choix étudiants'!R173</f>
        <v/>
      </c>
      <c r="N173" s="14"/>
      <c r="O173" s="14"/>
      <c r="P173" s="14"/>
      <c r="Q173" s="14"/>
      <c r="R173" s="14"/>
      <c r="S173" s="14"/>
      <c r="T173" s="14"/>
      <c r="U173" s="14"/>
    </row>
    <row r="174" ht="30.0" hidden="1" customHeight="1">
      <c r="A174" s="17">
        <f>'Choix étudiants'!A173</f>
        <v>43361.30565</v>
      </c>
      <c r="B174" s="4" t="s">
        <v>68</v>
      </c>
      <c r="C174" s="5" t="str">
        <f>'Choix étudiants'!C173</f>
        <v>IME</v>
      </c>
      <c r="D174" s="14" t="str">
        <f>'Choix étudiants'!D173</f>
        <v>RANA</v>
      </c>
      <c r="E174" s="14" t="str">
        <f>'Choix étudiants'!E173</f>
        <v>Muhammad Saad</v>
      </c>
      <c r="F174" s="5" t="str">
        <f>'Choix étudiants'!F173</f>
        <v>muhammadsaad.rana@edu.esiee.fr</v>
      </c>
      <c r="G174" s="5" t="str">
        <f>'Choix étudiants'!H173</f>
        <v>R28</v>
      </c>
      <c r="H174" s="46" t="str">
        <f>'Choix étudiants'!J173</f>
        <v>R29</v>
      </c>
      <c r="I174" s="14" t="str">
        <f>'Choix étudiants'!L173</f>
        <v>R22</v>
      </c>
      <c r="J174" s="5" t="str">
        <f>'Choix étudiants'!N173</f>
        <v>R30</v>
      </c>
      <c r="K174" s="5" t="str">
        <f>'Choix étudiants'!P173</f>
        <v>R17</v>
      </c>
      <c r="L174" s="5" t="str">
        <f>'Choix étudiants'!Q173</f>
        <v>Je ne pars pas</v>
      </c>
      <c r="M174" s="13" t="str">
        <f>'Choix étudiants'!R189</f>
        <v/>
      </c>
      <c r="N174" s="14"/>
      <c r="O174" s="14"/>
      <c r="P174" s="14"/>
      <c r="Q174" s="14"/>
      <c r="R174" s="14"/>
      <c r="S174" s="14"/>
      <c r="T174" s="14"/>
      <c r="U174" s="14"/>
    </row>
    <row r="175" ht="30.0" hidden="1" customHeight="1">
      <c r="A175" s="17">
        <f>'Choix étudiants'!A189</f>
        <v>43362.30806</v>
      </c>
      <c r="B175" s="4" t="s">
        <v>68</v>
      </c>
      <c r="C175" s="5" t="str">
        <f>'Choix étudiants'!C189</f>
        <v>IME</v>
      </c>
      <c r="D175" s="5" t="str">
        <f>'Choix étudiants'!D189</f>
        <v>SHAH</v>
      </c>
      <c r="E175" s="5" t="str">
        <f>'Choix étudiants'!E189</f>
        <v>Dhrumil</v>
      </c>
      <c r="F175" s="5" t="str">
        <f>'Choix étudiants'!F189</f>
        <v>dhrumil.shah@edu.esiee.fr</v>
      </c>
      <c r="G175" s="5" t="str">
        <f>'Choix étudiants'!H189</f>
        <v>R30</v>
      </c>
      <c r="H175" s="46" t="str">
        <f>'Choix étudiants'!J189</f>
        <v>R29</v>
      </c>
      <c r="I175" s="14" t="str">
        <f>'Choix étudiants'!L189</f>
        <v>R22</v>
      </c>
      <c r="J175" s="5" t="str">
        <f>'Choix étudiants'!N189</f>
        <v>R22</v>
      </c>
      <c r="K175" s="5" t="str">
        <f>'Choix étudiants'!P189</f>
        <v>E16</v>
      </c>
      <c r="L175" s="5" t="str">
        <f>'Choix étudiants'!Q189</f>
        <v>Je ne pars pas</v>
      </c>
      <c r="M175" s="13" t="str">
        <f>'Choix étudiants'!R2</f>
        <v/>
      </c>
      <c r="N175" s="14"/>
      <c r="O175" s="14"/>
      <c r="P175" s="14"/>
      <c r="Q175" s="14"/>
      <c r="R175" s="14"/>
      <c r="S175" s="14"/>
      <c r="T175" s="14"/>
      <c r="U175" s="14"/>
    </row>
    <row r="176" ht="30.0" hidden="1" customHeight="1">
      <c r="A176" s="17" t="str">
        <f>'Choix étudiants'!A2</f>
        <v/>
      </c>
      <c r="B176" s="57"/>
      <c r="C176" s="58" t="str">
        <f>'Choix étudiants'!C2</f>
        <v>IME</v>
      </c>
      <c r="D176" s="58" t="str">
        <f>'Choix étudiants'!D2</f>
        <v>AHMED</v>
      </c>
      <c r="E176" s="58" t="str">
        <f>'Choix étudiants'!E2</f>
        <v>MD Foyez</v>
      </c>
      <c r="F176" s="58" t="str">
        <f>'Choix étudiants'!F2</f>
        <v>mdfoyez.ahmed@edu.esiee.fr</v>
      </c>
      <c r="G176" s="32"/>
      <c r="H176" s="5" t="str">
        <f>'Choix étudiants'!J2</f>
        <v/>
      </c>
      <c r="I176" s="5" t="str">
        <f>'Choix étudiants'!L2</f>
        <v/>
      </c>
      <c r="J176" s="5" t="str">
        <f>'Choix étudiants'!N2</f>
        <v/>
      </c>
      <c r="K176" s="5" t="str">
        <f>'Choix étudiants'!P2</f>
        <v/>
      </c>
      <c r="L176" s="5" t="str">
        <f>'Choix étudiants'!Q2</f>
        <v/>
      </c>
      <c r="M176" s="13" t="str">
        <f>'Choix étudiants'!R117</f>
        <v/>
      </c>
      <c r="N176" s="14"/>
      <c r="O176" s="14"/>
      <c r="P176" s="14"/>
      <c r="Q176" s="14"/>
      <c r="R176" s="14"/>
      <c r="S176" s="14"/>
      <c r="T176" s="14"/>
      <c r="U176" s="14"/>
    </row>
    <row r="177" ht="30.0" hidden="1" customHeight="1">
      <c r="A177" s="2">
        <f>'Choix étudiants'!A117</f>
        <v>43362.93214</v>
      </c>
      <c r="B177" s="4" t="s">
        <v>68</v>
      </c>
      <c r="C177" s="5" t="str">
        <f>'Choix étudiants'!C117</f>
        <v>ELE</v>
      </c>
      <c r="D177" s="5" t="str">
        <f>'Choix étudiants'!D117</f>
        <v>LIU</v>
      </c>
      <c r="E177" s="5" t="str">
        <f>'Choix étudiants'!E117</f>
        <v>Wei</v>
      </c>
      <c r="F177" s="5" t="str">
        <f>'Choix étudiants'!F117</f>
        <v>wei.liu@edu.esiee.fr</v>
      </c>
      <c r="G177" s="46" t="str">
        <f>'Choix étudiants'!H117</f>
        <v>R29</v>
      </c>
      <c r="H177" s="5" t="str">
        <f>'Choix étudiants'!J117</f>
        <v>R28</v>
      </c>
      <c r="I177" s="5" t="str">
        <f>'Choix étudiants'!L117</f>
        <v>R30</v>
      </c>
      <c r="J177" s="5" t="str">
        <f>'Choix étudiants'!N117</f>
        <v>R27</v>
      </c>
      <c r="K177" s="14" t="str">
        <f>'Choix étudiants'!P117</f>
        <v>R22</v>
      </c>
      <c r="L177" s="5" t="str">
        <f>'Choix étudiants'!Q117</f>
        <v>Je ne pars pas</v>
      </c>
      <c r="M177" s="13" t="str">
        <f>'Choix étudiants'!R185</f>
        <v/>
      </c>
      <c r="N177" s="14"/>
      <c r="O177" s="14"/>
      <c r="P177" s="14"/>
      <c r="Q177" s="14"/>
      <c r="R177" s="14"/>
      <c r="S177" s="14"/>
      <c r="T177" s="14"/>
      <c r="U177" s="14"/>
    </row>
    <row r="178" ht="30.0" hidden="1" customHeight="1">
      <c r="A178" s="17">
        <f>'Choix étudiants'!A185</f>
        <v>43362.41822</v>
      </c>
      <c r="B178" s="4" t="s">
        <v>68</v>
      </c>
      <c r="C178" s="5" t="str">
        <f>'Choix étudiants'!C185</f>
        <v>IME</v>
      </c>
      <c r="D178" s="14" t="str">
        <f>'Choix étudiants'!D185</f>
        <v>SCHMITT</v>
      </c>
      <c r="E178" s="14" t="str">
        <f>'Choix étudiants'!E185</f>
        <v>Lucas</v>
      </c>
      <c r="F178" s="5" t="str">
        <f>'Choix étudiants'!F185</f>
        <v>lucas.schmitt@edu.esiee.fr</v>
      </c>
      <c r="G178" s="5" t="str">
        <f>'Choix étudiants'!H185</f>
        <v/>
      </c>
      <c r="H178" s="5" t="str">
        <f>'Choix étudiants'!J185</f>
        <v/>
      </c>
      <c r="I178" s="5" t="str">
        <f>'Choix étudiants'!L185</f>
        <v/>
      </c>
      <c r="J178" s="5" t="str">
        <f>'Choix étudiants'!N185</f>
        <v/>
      </c>
      <c r="K178" s="5" t="str">
        <f>'Choix étudiants'!P185</f>
        <v/>
      </c>
      <c r="L178" s="5" t="str">
        <f>'Choix étudiants'!Q185</f>
        <v>Je pars au semestre 1</v>
      </c>
      <c r="M178" s="13" t="str">
        <f>'Choix étudiants'!R84</f>
        <v/>
      </c>
      <c r="N178" s="14"/>
      <c r="O178" s="14"/>
      <c r="P178" s="14"/>
      <c r="Q178" s="14"/>
      <c r="R178" s="14"/>
      <c r="S178" s="14"/>
      <c r="T178" s="14"/>
      <c r="U178" s="14"/>
    </row>
    <row r="179" ht="30.0" hidden="1" customHeight="1">
      <c r="A179" s="17">
        <f>'Choix étudiants'!A84</f>
        <v>43360.4212</v>
      </c>
      <c r="B179" s="4" t="s">
        <v>34</v>
      </c>
      <c r="C179" s="5" t="str">
        <f>'Choix étudiants'!C84</f>
        <v>SE</v>
      </c>
      <c r="D179" s="5" t="str">
        <f>'Choix étudiants'!D84</f>
        <v>GOUEL</v>
      </c>
      <c r="E179" s="5" t="str">
        <f>'Choix étudiants'!E84</f>
        <v>Pierre-Vincent</v>
      </c>
      <c r="F179" s="5" t="str">
        <f>'Choix étudiants'!F84</f>
        <v>pierre-vincent.gouel@edu.esiee.fr</v>
      </c>
      <c r="G179" s="5" t="str">
        <f>'Choix étudiants'!H84</f>
        <v>R7</v>
      </c>
      <c r="H179" s="43" t="str">
        <f>'Choix étudiants'!J84</f>
        <v>R3</v>
      </c>
      <c r="I179" s="5" t="str">
        <f>'Choix étudiants'!L84</f>
        <v>E16</v>
      </c>
      <c r="J179" s="5" t="str">
        <f>'Choix étudiants'!N84</f>
        <v>E21</v>
      </c>
      <c r="K179" s="5" t="str">
        <f>'Choix étudiants'!P84</f>
        <v>E26</v>
      </c>
      <c r="L179" s="5" t="str">
        <f>'Choix étudiants'!Q84</f>
        <v>Je ne pars pas</v>
      </c>
      <c r="M179" s="13" t="str">
        <f>'Choix étudiants'!R114</f>
        <v/>
      </c>
      <c r="N179" s="14"/>
      <c r="O179" s="14"/>
      <c r="P179" s="14"/>
      <c r="Q179" s="14"/>
      <c r="R179" s="14"/>
      <c r="S179" s="14"/>
      <c r="T179" s="14"/>
      <c r="U179" s="14"/>
    </row>
    <row r="180" ht="30.0" hidden="1" customHeight="1">
      <c r="A180" s="17">
        <f>'Choix étudiants'!A114</f>
        <v>43360.4244</v>
      </c>
      <c r="B180" s="4" t="s">
        <v>34</v>
      </c>
      <c r="C180" s="5" t="str">
        <f>'Choix étudiants'!C114</f>
        <v>IME</v>
      </c>
      <c r="D180" s="14" t="str">
        <f>'Choix étudiants'!D114</f>
        <v>LETAILLEUR</v>
      </c>
      <c r="E180" s="14" t="str">
        <f>'Choix étudiants'!E114</f>
        <v>Lucas</v>
      </c>
      <c r="F180" s="5" t="str">
        <f>'Choix étudiants'!F114</f>
        <v>lucas.letailleur@edu.esiee.fr</v>
      </c>
      <c r="G180" s="43" t="str">
        <f>'Choix étudiants'!H114</f>
        <v>R3</v>
      </c>
      <c r="H180" s="14" t="str">
        <f>'Choix étudiants'!J114</f>
        <v>R11</v>
      </c>
      <c r="I180" s="5" t="str">
        <f>'Choix étudiants'!L114</f>
        <v>E26</v>
      </c>
      <c r="J180" s="5" t="str">
        <f>'Choix étudiants'!N114</f>
        <v>R21</v>
      </c>
      <c r="K180" s="5" t="str">
        <f>'Choix étudiants'!P114</f>
        <v>E3</v>
      </c>
      <c r="L180" s="5" t="str">
        <f>'Choix étudiants'!Q114</f>
        <v>Je ne pars pas</v>
      </c>
      <c r="M180" s="13" t="str">
        <f>'Choix étudiants'!R116</f>
        <v/>
      </c>
      <c r="N180" s="14"/>
      <c r="O180" s="14"/>
      <c r="P180" s="14"/>
      <c r="Q180" s="14"/>
      <c r="R180" s="14"/>
      <c r="S180" s="14"/>
      <c r="T180" s="14"/>
      <c r="U180" s="14"/>
    </row>
    <row r="181" ht="30.0" hidden="1" customHeight="1">
      <c r="A181" s="17">
        <f>'Choix étudiants'!A116</f>
        <v>43361.71955</v>
      </c>
      <c r="B181" s="4" t="s">
        <v>34</v>
      </c>
      <c r="C181" s="5" t="str">
        <f>'Choix étudiants'!C116</f>
        <v>SE</v>
      </c>
      <c r="D181" s="5" t="str">
        <f>'Choix étudiants'!D116</f>
        <v>LIBERT</v>
      </c>
      <c r="E181" s="5" t="str">
        <f>'Choix étudiants'!E116</f>
        <v>Thomas</v>
      </c>
      <c r="F181" s="5" t="str">
        <f>'Choix étudiants'!F116</f>
        <v>thomas.libert@edu.esiee.fr</v>
      </c>
      <c r="G181" s="5" t="str">
        <f>'Choix étudiants'!H116</f>
        <v>R18</v>
      </c>
      <c r="H181" s="43" t="str">
        <f>'Choix étudiants'!J116</f>
        <v>R3</v>
      </c>
      <c r="I181" s="5" t="str">
        <f>'Choix étudiants'!L116</f>
        <v>R6</v>
      </c>
      <c r="J181" s="5" t="str">
        <f>'Choix étudiants'!N116</f>
        <v>R13</v>
      </c>
      <c r="K181" s="5" t="str">
        <f>'Choix étudiants'!P116</f>
        <v>E16</v>
      </c>
      <c r="L181" s="5" t="str">
        <f>'Choix étudiants'!Q116</f>
        <v>Je pars au semestre 1</v>
      </c>
      <c r="M181" s="13" t="str">
        <f>'Choix étudiants'!R124</f>
        <v/>
      </c>
      <c r="N181" s="14"/>
      <c r="O181" s="14"/>
      <c r="P181" s="14"/>
      <c r="Q181" s="14"/>
      <c r="R181" s="14"/>
      <c r="S181" s="14"/>
      <c r="T181" s="14"/>
      <c r="U181" s="14"/>
    </row>
    <row r="182" ht="30.0" hidden="1" customHeight="1">
      <c r="A182" s="17">
        <f>'Choix étudiants'!A124</f>
        <v>43360.43366</v>
      </c>
      <c r="B182" s="4" t="s">
        <v>34</v>
      </c>
      <c r="C182" s="5" t="str">
        <f>'Choix étudiants'!C124</f>
        <v>BIO</v>
      </c>
      <c r="D182" s="5" t="str">
        <f>'Choix étudiants'!D124</f>
        <v>MASCREZ</v>
      </c>
      <c r="E182" s="5" t="str">
        <f>'Choix étudiants'!E124</f>
        <v>Marjorie</v>
      </c>
      <c r="F182" s="5" t="str">
        <f>'Choix étudiants'!F124</f>
        <v>marjorie.mascrez@edu.esiee.fr</v>
      </c>
      <c r="G182" s="43" t="str">
        <f>'Choix étudiants'!H124</f>
        <v>R3</v>
      </c>
      <c r="H182" s="5" t="str">
        <f>'Choix étudiants'!J124</f>
        <v>R24</v>
      </c>
      <c r="I182" s="5" t="str">
        <f>'Choix étudiants'!L124</f>
        <v>E1</v>
      </c>
      <c r="J182" s="5" t="str">
        <f>'Choix étudiants'!N124</f>
        <v>E20</v>
      </c>
      <c r="K182" s="5" t="str">
        <f>'Choix étudiants'!P124</f>
        <v>R2</v>
      </c>
      <c r="L182" s="5" t="str">
        <f>'Choix étudiants'!Q124</f>
        <v>Je ne pars pas</v>
      </c>
      <c r="M182" s="13" t="str">
        <f>'Choix étudiants'!R170</f>
        <v/>
      </c>
      <c r="N182" s="14"/>
      <c r="O182" s="14"/>
      <c r="P182" s="14"/>
      <c r="Q182" s="14"/>
      <c r="R182" s="14"/>
      <c r="S182" s="14"/>
      <c r="T182" s="14"/>
      <c r="U182" s="14"/>
    </row>
    <row r="183" ht="30.0" hidden="1" customHeight="1">
      <c r="A183" s="17">
        <f>'Choix étudiants'!A170</f>
        <v>43360.42436</v>
      </c>
      <c r="B183" s="4" t="s">
        <v>34</v>
      </c>
      <c r="C183" s="5" t="str">
        <f>'Choix étudiants'!C170</f>
        <v>BIO</v>
      </c>
      <c r="D183" s="5" t="str">
        <f>'Choix étudiants'!D170</f>
        <v>RAHILE</v>
      </c>
      <c r="E183" s="5" t="str">
        <f>'Choix étudiants'!E170</f>
        <v>Chehrazad</v>
      </c>
      <c r="F183" s="5" t="str">
        <f>'Choix étudiants'!F170</f>
        <v>chehrazad.rahile@edu.esiee.fr</v>
      </c>
      <c r="G183" s="43" t="str">
        <f>'Choix étudiants'!H170</f>
        <v>R3</v>
      </c>
      <c r="H183" s="5" t="str">
        <f>'Choix étudiants'!J170</f>
        <v>R2</v>
      </c>
      <c r="I183" s="5" t="str">
        <f>'Choix étudiants'!L170</f>
        <v>E1</v>
      </c>
      <c r="J183" s="5" t="str">
        <f>'Choix étudiants'!N170</f>
        <v>E15</v>
      </c>
      <c r="K183" s="5" t="str">
        <f>'Choix étudiants'!P170</f>
        <v>R24</v>
      </c>
      <c r="L183" s="5" t="str">
        <f>'Choix étudiants'!Q170</f>
        <v>Je ne pars pas</v>
      </c>
      <c r="M183" s="13" t="str">
        <f>'Choix étudiants'!R60</f>
        <v/>
      </c>
      <c r="N183" s="14"/>
      <c r="O183" s="14"/>
      <c r="P183" s="14"/>
      <c r="Q183" s="14"/>
      <c r="R183" s="14"/>
      <c r="S183" s="14"/>
      <c r="T183" s="14"/>
      <c r="U183" s="14"/>
    </row>
    <row r="184" ht="30.0" hidden="1" customHeight="1">
      <c r="A184" s="17">
        <f>'Choix étudiants'!A60</f>
        <v>43360.48821</v>
      </c>
      <c r="B184" s="4" t="s">
        <v>69</v>
      </c>
      <c r="C184" s="5" t="str">
        <f>'Choix étudiants'!C60</f>
        <v>GI</v>
      </c>
      <c r="D184" s="52" t="str">
        <f>'Choix étudiants'!D60</f>
        <v>DURAND</v>
      </c>
      <c r="E184" s="5" t="str">
        <f>'Choix étudiants'!E60</f>
        <v>Romain</v>
      </c>
      <c r="F184" s="5" t="str">
        <f>'Choix étudiants'!F60</f>
        <v>romain.durand@edu.esiee.fr</v>
      </c>
      <c r="G184" s="52" t="str">
        <f>'Choix étudiants'!H60</f>
        <v>R32</v>
      </c>
      <c r="H184" s="5" t="str">
        <f>'Choix étudiants'!J60</f>
        <v>R24</v>
      </c>
      <c r="I184" s="5" t="str">
        <f>'Choix étudiants'!L60</f>
        <v>R31</v>
      </c>
      <c r="J184" s="5" t="str">
        <f>'Choix étudiants'!N60</f>
        <v>R12</v>
      </c>
      <c r="K184" s="5" t="str">
        <f>'Choix étudiants'!P60</f>
        <v>E10</v>
      </c>
      <c r="L184" s="5" t="str">
        <f>'Choix étudiants'!Q60</f>
        <v>Je ne pars pas</v>
      </c>
      <c r="M184" s="13" t="str">
        <f>'Choix étudiants'!R94</f>
        <v/>
      </c>
      <c r="N184" s="14"/>
      <c r="O184" s="14"/>
      <c r="P184" s="14"/>
      <c r="Q184" s="14"/>
      <c r="R184" s="14"/>
      <c r="S184" s="14"/>
      <c r="T184" s="14"/>
      <c r="U184" s="14"/>
    </row>
    <row r="185" ht="30.0" hidden="1" customHeight="1">
      <c r="A185" s="17">
        <f>'Choix étudiants'!A94</f>
        <v>43360.52317</v>
      </c>
      <c r="B185" s="4" t="s">
        <v>69</v>
      </c>
      <c r="C185" s="5" t="str">
        <f>'Choix étudiants'!C94</f>
        <v>GI</v>
      </c>
      <c r="D185" s="52" t="str">
        <f>'Choix étudiants'!D94</f>
        <v>HAMOURI</v>
      </c>
      <c r="E185" s="5" t="str">
        <f>'Choix étudiants'!E94</f>
        <v>Morad</v>
      </c>
      <c r="F185" s="5" t="str">
        <f>'Choix étudiants'!F94</f>
        <v>morad.hamouri@edu.esiee.fr</v>
      </c>
      <c r="G185" s="52" t="str">
        <f>'Choix étudiants'!H94</f>
        <v>R32</v>
      </c>
      <c r="H185" s="5" t="str">
        <f>'Choix étudiants'!J94</f>
        <v>E10</v>
      </c>
      <c r="I185" s="14" t="str">
        <f>'Choix étudiants'!L94</f>
        <v>R24</v>
      </c>
      <c r="J185" s="5" t="str">
        <f>'Choix étudiants'!N94</f>
        <v>R31</v>
      </c>
      <c r="K185" s="5" t="str">
        <f>'Choix étudiants'!P94</f>
        <v>C1</v>
      </c>
      <c r="L185" s="5" t="str">
        <f>'Choix étudiants'!Q94</f>
        <v>Je ne pars pas</v>
      </c>
      <c r="M185" s="13" t="str">
        <f>'Choix étudiants'!R115</f>
        <v/>
      </c>
      <c r="N185" s="14"/>
      <c r="O185" s="14"/>
      <c r="P185" s="14"/>
      <c r="Q185" s="14"/>
      <c r="R185" s="14"/>
      <c r="S185" s="14"/>
      <c r="T185" s="14"/>
      <c r="U185" s="14"/>
    </row>
    <row r="186" ht="30.0" hidden="1" customHeight="1">
      <c r="A186" s="17">
        <f>'Choix étudiants'!A115</f>
        <v>43360.45522</v>
      </c>
      <c r="B186" s="4" t="s">
        <v>69</v>
      </c>
      <c r="C186" s="5" t="str">
        <f>'Choix étudiants'!C115</f>
        <v>GI</v>
      </c>
      <c r="D186" s="5" t="str">
        <f>'Choix étudiants'!D115</f>
        <v>LEVY</v>
      </c>
      <c r="E186" s="5" t="str">
        <f>'Choix étudiants'!E115</f>
        <v>Coralie</v>
      </c>
      <c r="F186" s="5" t="str">
        <f>'Choix étudiants'!F115</f>
        <v>coralie.levy@edu.esiee.fr</v>
      </c>
      <c r="G186" s="52" t="str">
        <f>'Choix étudiants'!H115</f>
        <v>R32</v>
      </c>
      <c r="H186" s="14" t="str">
        <f>'Choix étudiants'!J115</f>
        <v>R32</v>
      </c>
      <c r="I186" s="5" t="str">
        <f>'Choix étudiants'!L115</f>
        <v>R24</v>
      </c>
      <c r="J186" s="5" t="str">
        <f>'Choix étudiants'!N115</f>
        <v>R24</v>
      </c>
      <c r="K186" s="5" t="str">
        <f>'Choix étudiants'!P115</f>
        <v>R31</v>
      </c>
      <c r="L186" s="5" t="str">
        <f>'Choix étudiants'!Q115</f>
        <v>Je pars au semestre 1</v>
      </c>
      <c r="M186" s="13" t="str">
        <f>'Choix étudiants'!R128</f>
        <v/>
      </c>
      <c r="N186" s="14"/>
      <c r="O186" s="14"/>
      <c r="P186" s="14"/>
      <c r="Q186" s="14"/>
      <c r="R186" s="14"/>
      <c r="S186" s="14"/>
      <c r="T186" s="14"/>
      <c r="U186" s="14"/>
    </row>
    <row r="187" ht="30.0" hidden="1" customHeight="1">
      <c r="A187" s="17">
        <f>'Choix étudiants'!A128</f>
        <v>43360.44677</v>
      </c>
      <c r="B187" s="4" t="s">
        <v>69</v>
      </c>
      <c r="C187" s="5" t="str">
        <f>'Choix étudiants'!C128</f>
        <v>GI</v>
      </c>
      <c r="D187" s="5" t="str">
        <f>'Choix étudiants'!D128</f>
        <v>MENERET</v>
      </c>
      <c r="E187" s="5" t="str">
        <f>'Choix étudiants'!E128</f>
        <v>Léa</v>
      </c>
      <c r="F187" s="5" t="str">
        <f>'Choix étudiants'!F128</f>
        <v>lea.meneret@edu.esiee.fr</v>
      </c>
      <c r="G187" s="52" t="str">
        <f>'Choix étudiants'!H128</f>
        <v>R32</v>
      </c>
      <c r="H187" s="5" t="str">
        <f>'Choix étudiants'!J128</f>
        <v>R24</v>
      </c>
      <c r="I187" s="5" t="str">
        <f>'Choix étudiants'!L128</f>
        <v>E20</v>
      </c>
      <c r="J187" s="5" t="str">
        <f>'Choix étudiants'!N128</f>
        <v>E10</v>
      </c>
      <c r="K187" s="5" t="str">
        <f>'Choix étudiants'!P128</f>
        <v>R23</v>
      </c>
      <c r="L187" s="5" t="str">
        <f>'Choix étudiants'!Q128</f>
        <v>Je ne pars pas</v>
      </c>
      <c r="M187" s="13" t="str">
        <f>'Choix étudiants'!R130</f>
        <v/>
      </c>
      <c r="N187" s="14"/>
      <c r="O187" s="14"/>
      <c r="P187" s="14"/>
      <c r="Q187" s="14"/>
      <c r="R187" s="14"/>
      <c r="S187" s="14"/>
      <c r="T187" s="14"/>
      <c r="U187" s="14"/>
    </row>
    <row r="188" ht="30.0" hidden="1" customHeight="1">
      <c r="A188" s="17">
        <f>'Choix étudiants'!A130</f>
        <v>43360.44044</v>
      </c>
      <c r="B188" s="4" t="s">
        <v>69</v>
      </c>
      <c r="C188" s="5" t="str">
        <f>'Choix étudiants'!C130</f>
        <v>GI</v>
      </c>
      <c r="D188" s="5" t="str">
        <f>'Choix étudiants'!D130</f>
        <v>MESLAY</v>
      </c>
      <c r="E188" s="5" t="str">
        <f>'Choix étudiants'!E130</f>
        <v>Dorian</v>
      </c>
      <c r="F188" s="5" t="str">
        <f>'Choix étudiants'!F130</f>
        <v>dorian.meslay@edu.esiee.fr</v>
      </c>
      <c r="G188" s="52" t="str">
        <f>'Choix étudiants'!H130</f>
        <v>R32</v>
      </c>
      <c r="H188" s="5" t="str">
        <f>'Choix étudiants'!J130</f>
        <v>R31</v>
      </c>
      <c r="I188" s="5" t="str">
        <f>'Choix étudiants'!L130</f>
        <v>R24</v>
      </c>
      <c r="J188" s="5" t="str">
        <f>'Choix étudiants'!N130</f>
        <v>E10</v>
      </c>
      <c r="K188" s="5" t="str">
        <f>'Choix étudiants'!P130</f>
        <v>C1</v>
      </c>
      <c r="L188" s="5" t="str">
        <f>'Choix étudiants'!Q130</f>
        <v>Je pars au semestre 1</v>
      </c>
      <c r="M188" s="13" t="str">
        <f>'Choix étudiants'!R177</f>
        <v/>
      </c>
      <c r="N188" s="14"/>
      <c r="O188" s="14"/>
      <c r="P188" s="14"/>
      <c r="Q188" s="14"/>
      <c r="R188" s="14"/>
      <c r="S188" s="14"/>
      <c r="T188" s="14"/>
      <c r="U188" s="14"/>
    </row>
    <row r="189" ht="30.0" hidden="1" customHeight="1">
      <c r="A189" s="17">
        <f>'Choix étudiants'!A177</f>
        <v>43361.27517</v>
      </c>
      <c r="B189" s="4" t="s">
        <v>69</v>
      </c>
      <c r="C189" s="5" t="str">
        <f>'Choix étudiants'!C177</f>
        <v>GI</v>
      </c>
      <c r="D189" s="5" t="str">
        <f>'Choix étudiants'!D177</f>
        <v>ROGER-GORLIN</v>
      </c>
      <c r="E189" s="5" t="str">
        <f>'Choix étudiants'!E177</f>
        <v>Eliott</v>
      </c>
      <c r="F189" s="5" t="str">
        <f>'Choix étudiants'!F177</f>
        <v>eliott.roger-gorlin@edu.esiee.fr</v>
      </c>
      <c r="G189" s="52" t="str">
        <f>'Choix étudiants'!H177</f>
        <v>R32</v>
      </c>
      <c r="H189" s="5" t="str">
        <f>'Choix étudiants'!J177</f>
        <v>E10</v>
      </c>
      <c r="I189" s="5" t="str">
        <f>'Choix étudiants'!L177</f>
        <v>R24</v>
      </c>
      <c r="J189" s="5" t="str">
        <f>'Choix étudiants'!N177</f>
        <v>R31</v>
      </c>
      <c r="K189" s="5" t="str">
        <f>'Choix étudiants'!P177</f>
        <v>C1</v>
      </c>
      <c r="L189" s="5" t="str">
        <f>'Choix étudiants'!Q177</f>
        <v>Je ne pars pas</v>
      </c>
      <c r="M189" s="13" t="str">
        <f>'Choix étudiants'!R67</f>
        <v/>
      </c>
      <c r="N189" s="14"/>
      <c r="O189" s="14"/>
      <c r="P189" s="14"/>
      <c r="Q189" s="14"/>
      <c r="R189" s="14"/>
      <c r="S189" s="14"/>
      <c r="T189" s="14"/>
      <c r="U189" s="14"/>
    </row>
    <row r="190" ht="30.0" hidden="1" customHeight="1">
      <c r="A190" s="17">
        <f>'Choix étudiants'!A67</f>
        <v>43361.65153</v>
      </c>
      <c r="B190" s="4" t="s">
        <v>35</v>
      </c>
      <c r="C190" s="5" t="str">
        <f>'Choix étudiants'!C67</f>
        <v>ELE</v>
      </c>
      <c r="D190" s="5" t="str">
        <f>'Choix étudiants'!D67</f>
        <v>FELIX</v>
      </c>
      <c r="E190" s="5" t="str">
        <f>'Choix étudiants'!E67</f>
        <v>Andy</v>
      </c>
      <c r="F190" s="5" t="str">
        <f>'Choix étudiants'!F67</f>
        <v>andy.felix@edu.esiee.fr</v>
      </c>
      <c r="G190" s="5" t="str">
        <f>'Choix étudiants'!H67</f>
        <v>E21</v>
      </c>
      <c r="H190" s="5" t="str">
        <f>'Choix étudiants'!J67</f>
        <v>E18</v>
      </c>
      <c r="I190" s="5" t="str">
        <f>'Choix étudiants'!L67</f>
        <v>E20</v>
      </c>
      <c r="J190" s="5" t="str">
        <f>'Choix étudiants'!N67</f>
        <v>E12</v>
      </c>
      <c r="K190" s="5" t="str">
        <f>'Choix étudiants'!P67</f>
        <v>R2</v>
      </c>
      <c r="L190" s="5" t="str">
        <f>'Choix étudiants'!Q67</f>
        <v>Je ne pars pas</v>
      </c>
      <c r="M190" s="13" t="str">
        <f>'Choix étudiants'!R18</f>
        <v/>
      </c>
      <c r="N190" s="14"/>
      <c r="O190" s="14"/>
      <c r="P190" s="14"/>
      <c r="Q190" s="14"/>
      <c r="R190" s="14"/>
      <c r="S190" s="14"/>
      <c r="T190" s="14"/>
      <c r="U190" s="14"/>
    </row>
    <row r="191" ht="30.0" hidden="1" customHeight="1">
      <c r="A191" s="17">
        <f>'Choix étudiants'!A18</f>
        <v>43360.53705</v>
      </c>
      <c r="B191" s="4" t="s">
        <v>35</v>
      </c>
      <c r="C191" s="5" t="str">
        <f>'Choix étudiants'!C18</f>
        <v>ENE</v>
      </c>
      <c r="D191" s="5" t="str">
        <f>'Choix étudiants'!D18</f>
        <v>BERTOLIM VIEIRA SILVA</v>
      </c>
      <c r="E191" s="5" t="str">
        <f>'Choix étudiants'!E18</f>
        <v>Gabriel</v>
      </c>
      <c r="F191" s="5" t="str">
        <f>'Choix étudiants'!F18</f>
        <v>gabriel.bertolimvieirasilva@edu.esiee.fr</v>
      </c>
      <c r="G191" s="14" t="str">
        <f>'Choix étudiants'!H18</f>
        <v>E13</v>
      </c>
      <c r="H191" s="5" t="str">
        <f>'Choix étudiants'!J18</f>
        <v>R12</v>
      </c>
      <c r="I191" s="36" t="str">
        <f>'Choix étudiants'!L18</f>
        <v>R5</v>
      </c>
      <c r="J191" s="5" t="str">
        <f>'Choix étudiants'!N18</f>
        <v>R16</v>
      </c>
      <c r="K191" s="5" t="str">
        <f>'Choix étudiants'!P18</f>
        <v>R23</v>
      </c>
      <c r="L191" s="5" t="str">
        <f>'Choix étudiants'!Q18</f>
        <v>Je ne pars pas</v>
      </c>
      <c r="M191" s="13" t="str">
        <f>'Choix étudiants'!R51</f>
        <v/>
      </c>
      <c r="N191" s="14"/>
      <c r="O191" s="14"/>
      <c r="P191" s="14"/>
      <c r="Q191" s="14"/>
      <c r="R191" s="14"/>
      <c r="S191" s="14"/>
      <c r="T191" s="14"/>
      <c r="U191" s="14"/>
    </row>
    <row r="192" ht="30.0" hidden="1" customHeight="1">
      <c r="A192" s="17">
        <f>'Choix étudiants'!A51</f>
        <v>43361.97887</v>
      </c>
      <c r="B192" s="4" t="s">
        <v>35</v>
      </c>
      <c r="C192" s="5" t="str">
        <f>'Choix étudiants'!C51</f>
        <v>SE</v>
      </c>
      <c r="D192" s="5" t="str">
        <f>'Choix étudiants'!D51</f>
        <v>DEPIT</v>
      </c>
      <c r="E192" s="5" t="str">
        <f>'Choix étudiants'!E51</f>
        <v>Antoine</v>
      </c>
      <c r="F192" s="5" t="str">
        <f>'Choix étudiants'!F51</f>
        <v>antoine.depit@edu.esiee.fr</v>
      </c>
      <c r="G192" s="36" t="str">
        <f>'Choix étudiants'!H51</f>
        <v>R5</v>
      </c>
      <c r="H192" s="14" t="str">
        <f>'Choix étudiants'!J51</f>
        <v>R6</v>
      </c>
      <c r="I192" s="5" t="str">
        <f>'Choix étudiants'!L51</f>
        <v>R7</v>
      </c>
      <c r="J192" s="5" t="str">
        <f>'Choix étudiants'!N51</f>
        <v>R31</v>
      </c>
      <c r="K192" s="5" t="str">
        <f>'Choix étudiants'!P51</f>
        <v>R29</v>
      </c>
      <c r="L192" s="5" t="str">
        <f>'Choix étudiants'!Q51</f>
        <v>Je pars au semestre 1</v>
      </c>
      <c r="M192" s="13" t="str">
        <f>'Choix étudiants'!R75</f>
        <v/>
      </c>
      <c r="N192" s="14"/>
      <c r="O192" s="14"/>
      <c r="P192" s="14"/>
      <c r="Q192" s="14"/>
      <c r="R192" s="14"/>
      <c r="S192" s="14"/>
      <c r="T192" s="14"/>
      <c r="U192" s="14"/>
    </row>
    <row r="193" ht="30.0" hidden="1" customHeight="1">
      <c r="A193" s="17">
        <f>'Choix étudiants'!A75</f>
        <v>43363.60519</v>
      </c>
      <c r="B193" s="4" t="s">
        <v>35</v>
      </c>
      <c r="C193" s="32" t="s">
        <v>70</v>
      </c>
      <c r="D193" s="14" t="str">
        <f>'Choix étudiants'!D75</f>
        <v>GENESTIER</v>
      </c>
      <c r="E193" s="14" t="str">
        <f>'Choix étudiants'!E75</f>
        <v>Geoffroy</v>
      </c>
      <c r="F193" s="5" t="str">
        <f>'Choix étudiants'!F75</f>
        <v>geoffroy.genestier@edu.esiee.fr</v>
      </c>
      <c r="G193" s="36" t="s">
        <v>35</v>
      </c>
      <c r="H193" s="5" t="str">
        <f>'Choix étudiants'!J75</f>
        <v>C3</v>
      </c>
      <c r="I193" s="5" t="str">
        <f>'Choix étudiants'!L75</f>
        <v>E18</v>
      </c>
      <c r="J193" s="5" t="str">
        <f>'Choix étudiants'!N75</f>
        <v>E21</v>
      </c>
      <c r="K193" s="5" t="str">
        <f>'Choix étudiants'!P75</f>
        <v>E12</v>
      </c>
      <c r="L193" s="32" t="s">
        <v>71</v>
      </c>
      <c r="M193" s="13" t="str">
        <f>'Choix étudiants'!R113</f>
        <v/>
      </c>
      <c r="N193" s="14"/>
      <c r="O193" s="14"/>
      <c r="P193" s="14"/>
      <c r="Q193" s="14"/>
      <c r="R193" s="14"/>
      <c r="S193" s="14"/>
      <c r="T193" s="14"/>
      <c r="U193" s="14"/>
    </row>
    <row r="194" ht="30.0" hidden="1" customHeight="1">
      <c r="A194" s="17">
        <f>'Choix étudiants'!A113</f>
        <v>43360.52827</v>
      </c>
      <c r="B194" s="4" t="s">
        <v>35</v>
      </c>
      <c r="C194" s="5" t="str">
        <f>'Choix étudiants'!C113</f>
        <v>SE</v>
      </c>
      <c r="D194" s="14" t="str">
        <f>'Choix étudiants'!D113</f>
        <v>LEITE RIBEIRO</v>
      </c>
      <c r="E194" s="14" t="str">
        <f>'Choix étudiants'!E113</f>
        <v>Daniel</v>
      </c>
      <c r="F194" s="5" t="str">
        <f>'Choix étudiants'!F113</f>
        <v>daniel.leiteribeiro@edu.esiee.fr</v>
      </c>
      <c r="G194" s="36" t="str">
        <f>'Choix étudiants'!H113</f>
        <v>R5</v>
      </c>
      <c r="H194" s="5" t="str">
        <f>'Choix étudiants'!J113</f>
        <v>E26</v>
      </c>
      <c r="I194" s="5" t="str">
        <f>'Choix étudiants'!L113</f>
        <v>R7</v>
      </c>
      <c r="J194" s="5" t="str">
        <f>'Choix étudiants'!N113</f>
        <v>R11</v>
      </c>
      <c r="K194" s="5" t="str">
        <f>'Choix étudiants'!P113</f>
        <v>R6</v>
      </c>
      <c r="L194" s="5" t="str">
        <f>'Choix étudiants'!Q113</f>
        <v>Je ne pars pas</v>
      </c>
      <c r="M194" s="13" t="str">
        <f>'Choix étudiants'!R157</f>
        <v/>
      </c>
      <c r="N194" s="14"/>
      <c r="O194" s="14"/>
      <c r="P194" s="14"/>
      <c r="Q194" s="14"/>
      <c r="R194" s="14"/>
      <c r="S194" s="14"/>
      <c r="T194" s="14"/>
      <c r="U194" s="14"/>
    </row>
    <row r="195" ht="30.0" hidden="1" customHeight="1">
      <c r="A195" s="17">
        <f>'Choix étudiants'!A157</f>
        <v>43361.97292</v>
      </c>
      <c r="B195" s="4" t="s">
        <v>35</v>
      </c>
      <c r="C195" s="5" t="str">
        <f>'Choix étudiants'!C157</f>
        <v>SE</v>
      </c>
      <c r="D195" s="5" t="str">
        <f>'Choix étudiants'!D157</f>
        <v>PETRAROLI</v>
      </c>
      <c r="E195" s="5" t="str">
        <f>'Choix étudiants'!E157</f>
        <v>Romano</v>
      </c>
      <c r="F195" s="5" t="str">
        <f>'Choix étudiants'!F157</f>
        <v>romano.petraroli@edu.esiee.fr</v>
      </c>
      <c r="G195" s="36" t="str">
        <f>'Choix étudiants'!H157</f>
        <v>R5</v>
      </c>
      <c r="H195" s="5" t="str">
        <f>'Choix étudiants'!J157</f>
        <v>E16</v>
      </c>
      <c r="I195" s="5" t="str">
        <f>'Choix étudiants'!L157</f>
        <v>R17</v>
      </c>
      <c r="J195" s="5" t="str">
        <f>'Choix étudiants'!N157</f>
        <v>R29</v>
      </c>
      <c r="K195" s="5" t="str">
        <f>'Choix étudiants'!P157</f>
        <v>R28</v>
      </c>
      <c r="L195" s="5" t="str">
        <f>'Choix étudiants'!Q157</f>
        <v>Je pars au semestre 1</v>
      </c>
      <c r="M195" s="13" t="str">
        <f>'Choix étudiants'!R72</f>
        <v/>
      </c>
      <c r="N195" s="14"/>
      <c r="O195" s="30"/>
      <c r="P195" s="14"/>
      <c r="Q195" s="14"/>
      <c r="R195" s="14"/>
      <c r="S195" s="14"/>
      <c r="T195" s="14"/>
      <c r="U195" s="14"/>
    </row>
    <row r="196" ht="30.0" hidden="1" customHeight="1">
      <c r="A196" s="17">
        <f>'Choix étudiants'!A72</f>
        <v>43360.69499</v>
      </c>
      <c r="B196" s="4" t="s">
        <v>72</v>
      </c>
      <c r="C196" s="5" t="str">
        <f>'Choix étudiants'!C72</f>
        <v>INF</v>
      </c>
      <c r="D196" s="5" t="str">
        <f>'Choix étudiants'!D72</f>
        <v>FONSECA LOURES</v>
      </c>
      <c r="E196" s="5" t="str">
        <f>'Choix étudiants'!E72</f>
        <v>Vitor</v>
      </c>
      <c r="F196" s="5" t="str">
        <f>'Choix étudiants'!F72</f>
        <v>vitor.fonsecaloures@edu.esiee.fr</v>
      </c>
      <c r="G196" s="14" t="str">
        <f>'Choix étudiants'!H72</f>
        <v>E14</v>
      </c>
      <c r="H196" s="5" t="str">
        <f>'Choix étudiants'!J72</f>
        <v>E9</v>
      </c>
      <c r="I196" s="5" t="str">
        <f>'Choix étudiants'!L72</f>
        <v>R9</v>
      </c>
      <c r="J196" s="5" t="str">
        <f>'Choix étudiants'!N72</f>
        <v>E10</v>
      </c>
      <c r="K196" s="59" t="s">
        <v>72</v>
      </c>
      <c r="L196" s="5" t="str">
        <f>'Choix étudiants'!Q72</f>
        <v>Je ne pars pas</v>
      </c>
      <c r="M196" s="13" t="str">
        <f>'Choix étudiants'!R39</f>
        <v/>
      </c>
      <c r="N196" s="14"/>
      <c r="O196" s="14"/>
      <c r="P196" s="14"/>
      <c r="Q196" s="14"/>
      <c r="R196" s="14"/>
      <c r="S196" s="14"/>
      <c r="T196" s="14"/>
      <c r="U196" s="14"/>
    </row>
    <row r="197" ht="30.0" hidden="1" customHeight="1">
      <c r="A197" s="17">
        <f>'Choix étudiants'!A39</f>
        <v>43360.42983</v>
      </c>
      <c r="B197" s="4" t="s">
        <v>72</v>
      </c>
      <c r="C197" s="5" t="str">
        <f>'Choix étudiants'!C39</f>
        <v>SE</v>
      </c>
      <c r="D197" s="5" t="str">
        <f>'Choix étudiants'!D39</f>
        <v>CLASSE</v>
      </c>
      <c r="E197" s="5" t="str">
        <f>'Choix étudiants'!E39</f>
        <v>Tom</v>
      </c>
      <c r="F197" s="5" t="str">
        <f>'Choix étudiants'!F39</f>
        <v>tom.classe@edu.esiee.fr</v>
      </c>
      <c r="G197" s="59" t="str">
        <f>'Choix étudiants'!H39</f>
        <v>R7</v>
      </c>
      <c r="H197" s="14" t="str">
        <f>'Choix étudiants'!J39</f>
        <v>R11</v>
      </c>
      <c r="I197" s="5" t="str">
        <f>'Choix étudiants'!L39</f>
        <v>R17</v>
      </c>
      <c r="J197" s="5" t="str">
        <f>'Choix étudiants'!N39</f>
        <v>R6</v>
      </c>
      <c r="K197" s="5" t="str">
        <f>'Choix étudiants'!P39</f>
        <v>E16</v>
      </c>
      <c r="L197" s="5" t="str">
        <f>'Choix étudiants'!Q39</f>
        <v>Je ne pars pas</v>
      </c>
      <c r="M197" s="13" t="str">
        <f>'Choix étudiants'!R88</f>
        <v/>
      </c>
      <c r="N197" s="14"/>
      <c r="O197" s="14"/>
      <c r="P197" s="14"/>
      <c r="Q197" s="14"/>
      <c r="R197" s="14"/>
      <c r="S197" s="14"/>
      <c r="T197" s="14"/>
      <c r="U197" s="14"/>
    </row>
    <row r="198" ht="30.0" hidden="1" customHeight="1">
      <c r="A198" s="17">
        <f>'Choix étudiants'!A88</f>
        <v>43360.42208</v>
      </c>
      <c r="B198" s="4" t="s">
        <v>72</v>
      </c>
      <c r="C198" s="5" t="str">
        <f>'Choix étudiants'!C88</f>
        <v>SE</v>
      </c>
      <c r="D198" s="14" t="str">
        <f>'Choix étudiants'!D88</f>
        <v>GUINET</v>
      </c>
      <c r="E198" s="14" t="str">
        <f>'Choix étudiants'!E88</f>
        <v>Charles</v>
      </c>
      <c r="F198" s="5" t="str">
        <f>'Choix étudiants'!F88</f>
        <v>charles.guinet@edu.esiee.fr</v>
      </c>
      <c r="G198" s="14" t="str">
        <f>'Choix étudiants'!H88</f>
        <v>R6</v>
      </c>
      <c r="H198" s="59" t="str">
        <f>'Choix étudiants'!J88</f>
        <v>R7</v>
      </c>
      <c r="I198" s="5" t="str">
        <f>'Choix étudiants'!L88</f>
        <v>C2</v>
      </c>
      <c r="J198" s="5" t="str">
        <f>'Choix étudiants'!N88</f>
        <v>R11</v>
      </c>
      <c r="K198" s="5" t="str">
        <f>'Choix étudiants'!P88</f>
        <v>C1</v>
      </c>
      <c r="L198" s="5" t="str">
        <f>'Choix étudiants'!Q88</f>
        <v>Je ne pars pas</v>
      </c>
      <c r="M198" s="13" t="str">
        <f>'Choix étudiants'!R166</f>
        <v/>
      </c>
      <c r="N198" s="14"/>
      <c r="O198" s="14"/>
      <c r="P198" s="14"/>
      <c r="Q198" s="14"/>
      <c r="R198" s="14"/>
      <c r="S198" s="14"/>
      <c r="T198" s="14"/>
      <c r="U198" s="14"/>
    </row>
    <row r="199" ht="30.0" hidden="1" customHeight="1">
      <c r="A199" s="17">
        <f>'Choix étudiants'!A166</f>
        <v>43360.4229</v>
      </c>
      <c r="B199" s="4" t="s">
        <v>72</v>
      </c>
      <c r="C199" s="5" t="str">
        <f>'Choix étudiants'!C166</f>
        <v>SE</v>
      </c>
      <c r="D199" s="5" t="str">
        <f>'Choix étudiants'!D166</f>
        <v>PROUX</v>
      </c>
      <c r="E199" s="5" t="str">
        <f>'Choix étudiants'!E166</f>
        <v>Florian</v>
      </c>
      <c r="F199" s="5" t="str">
        <f>'Choix étudiants'!F166</f>
        <v>florian.proux@edu.esiee.fr</v>
      </c>
      <c r="G199" s="14" t="str">
        <f>'Choix étudiants'!H166</f>
        <v>R6</v>
      </c>
      <c r="H199" s="59" t="str">
        <f>'Choix étudiants'!J166</f>
        <v>R7</v>
      </c>
      <c r="I199" s="5" t="str">
        <f>'Choix étudiants'!L166</f>
        <v>C2</v>
      </c>
      <c r="J199" s="5" t="str">
        <f>'Choix étudiants'!N166</f>
        <v>R11</v>
      </c>
      <c r="K199" s="5" t="str">
        <f>'Choix étudiants'!P166</f>
        <v>R6</v>
      </c>
      <c r="L199" s="5" t="str">
        <f>'Choix étudiants'!Q166</f>
        <v>Je ne pars pas</v>
      </c>
      <c r="M199" s="13" t="str">
        <f>'Choix étudiants'!R200</f>
        <v/>
      </c>
      <c r="N199" s="14"/>
      <c r="O199" s="14"/>
      <c r="P199" s="14"/>
      <c r="Q199" s="14"/>
      <c r="R199" s="14"/>
      <c r="S199" s="14"/>
      <c r="T199" s="14"/>
      <c r="U199" s="14"/>
    </row>
    <row r="200" ht="30.0" hidden="1" customHeight="1">
      <c r="A200" s="17">
        <f>'Choix étudiants'!A200</f>
        <v>43360.65652</v>
      </c>
      <c r="B200" s="4" t="s">
        <v>72</v>
      </c>
      <c r="C200" s="5" t="str">
        <f>'Choix étudiants'!C200</f>
        <v>SE</v>
      </c>
      <c r="D200" s="5" t="str">
        <f>'Choix étudiants'!D200</f>
        <v>VANHAESEBROCKE</v>
      </c>
      <c r="E200" s="5" t="str">
        <f>'Choix étudiants'!E200</f>
        <v>Lucas</v>
      </c>
      <c r="F200" s="5" t="str">
        <f>'Choix étudiants'!F200</f>
        <v>lucas.vanhaesebrocke@edu.esiee.fr</v>
      </c>
      <c r="G200" s="59" t="str">
        <f>'Choix étudiants'!H200</f>
        <v>R7</v>
      </c>
      <c r="H200" s="5" t="str">
        <f>'Choix étudiants'!J200</f>
        <v>R28</v>
      </c>
      <c r="I200" s="5" t="str">
        <f>'Choix étudiants'!L200</f>
        <v>R22</v>
      </c>
      <c r="J200" s="5" t="str">
        <f>'Choix étudiants'!N200</f>
        <v>E20</v>
      </c>
      <c r="K200" s="5" t="str">
        <f>'Choix étudiants'!P200</f>
        <v>E26</v>
      </c>
      <c r="L200" s="5" t="str">
        <f>'Choix étudiants'!Q200</f>
        <v>Je ne pars pas</v>
      </c>
      <c r="M200" s="13" t="str">
        <f>'Choix étudiants'!R201</f>
        <v/>
      </c>
      <c r="N200" s="14"/>
      <c r="O200" s="14"/>
      <c r="P200" s="14"/>
      <c r="Q200" s="14"/>
      <c r="R200" s="14"/>
      <c r="S200" s="14"/>
      <c r="T200" s="14"/>
      <c r="U200" s="14"/>
    </row>
    <row r="201" ht="30.0" hidden="1" customHeight="1">
      <c r="A201" s="17">
        <f>'Choix étudiants'!A201</f>
        <v>43360.66089</v>
      </c>
      <c r="B201" s="4" t="s">
        <v>72</v>
      </c>
      <c r="C201" s="5" t="str">
        <f>'Choix étudiants'!C201</f>
        <v>INF</v>
      </c>
      <c r="D201" s="5" t="str">
        <f>'Choix étudiants'!D201</f>
        <v>VEOPASEUTH</v>
      </c>
      <c r="E201" s="5" t="str">
        <f>'Choix étudiants'!E201</f>
        <v>Emilie</v>
      </c>
      <c r="F201" s="5" t="str">
        <f>'Choix étudiants'!F201</f>
        <v>emilie.veopaseuth@edu.esiee.fr</v>
      </c>
      <c r="G201" s="5" t="str">
        <f>'Choix étudiants'!H201</f>
        <v>E23</v>
      </c>
      <c r="H201" s="5" t="str">
        <f>'Choix étudiants'!J201</f>
        <v>E22</v>
      </c>
      <c r="I201" s="5" t="str">
        <f>'Choix étudiants'!L201</f>
        <v>E2</v>
      </c>
      <c r="J201" s="5" t="str">
        <f>'Choix étudiants'!N201</f>
        <v>R6</v>
      </c>
      <c r="K201" s="59" t="str">
        <f>'Choix étudiants'!P201</f>
        <v>R7</v>
      </c>
      <c r="L201" s="5" t="str">
        <f>'Choix étudiants'!Q201</f>
        <v>Je pars au semestre 1</v>
      </c>
      <c r="M201" s="13" t="str">
        <f>'Choix étudiants'!R6</f>
        <v/>
      </c>
      <c r="N201" s="14"/>
      <c r="O201" s="14"/>
      <c r="P201" s="14"/>
      <c r="Q201" s="14"/>
      <c r="R201" s="14"/>
      <c r="S201" s="14"/>
      <c r="T201" s="14"/>
      <c r="U201" s="14"/>
    </row>
    <row r="202" ht="30.0" customHeight="1">
      <c r="A202" s="17">
        <f>'Choix étudiants'!A6</f>
        <v>43360.43393</v>
      </c>
      <c r="B202" s="4" t="s">
        <v>73</v>
      </c>
      <c r="C202" s="5" t="str">
        <f>'Choix étudiants'!C6</f>
        <v>DSIA</v>
      </c>
      <c r="D202" s="5" t="str">
        <f>'Choix étudiants'!D6</f>
        <v>ARIANFAR</v>
      </c>
      <c r="E202" s="5" t="str">
        <f>'Choix étudiants'!E6</f>
        <v>Siawash</v>
      </c>
      <c r="F202" s="5" t="str">
        <f>'Choix étudiants'!F6</f>
        <v>siawash.arianfar@edu.esiee.fr</v>
      </c>
      <c r="G202" s="14" t="str">
        <f>'Choix étudiants'!H6</f>
        <v>R4</v>
      </c>
      <c r="H202" s="39" t="str">
        <f>'Choix étudiants'!J6</f>
        <v>R8</v>
      </c>
      <c r="I202" s="5" t="str">
        <f>'Choix étudiants'!L6</f>
        <v>R19</v>
      </c>
      <c r="J202" s="5" t="str">
        <f>'Choix étudiants'!N6</f>
        <v>R9</v>
      </c>
      <c r="K202" s="5" t="str">
        <f>'Choix étudiants'!P6</f>
        <v> </v>
      </c>
      <c r="L202" s="5" t="str">
        <f>'Choix étudiants'!Q6</f>
        <v>Je ne pars pas</v>
      </c>
      <c r="M202" s="13" t="str">
        <f>'Choix étudiants'!R56</f>
        <v/>
      </c>
      <c r="N202" s="14"/>
      <c r="O202" s="14"/>
      <c r="P202" s="14"/>
      <c r="Q202" s="14"/>
      <c r="R202" s="14"/>
      <c r="S202" s="14"/>
      <c r="T202" s="14"/>
      <c r="U202" s="14"/>
    </row>
    <row r="203" ht="30.0" hidden="1" customHeight="1">
      <c r="A203" s="17">
        <f>'Choix étudiants'!A56</f>
        <v>43360.46956</v>
      </c>
      <c r="B203" s="4" t="s">
        <v>73</v>
      </c>
      <c r="C203" s="5" t="str">
        <f>'Choix étudiants'!C56</f>
        <v>CYBER</v>
      </c>
      <c r="D203" s="5" t="str">
        <f>'Choix étudiants'!D56</f>
        <v>DRAGHI</v>
      </c>
      <c r="E203" s="5" t="str">
        <f>'Choix étudiants'!E56</f>
        <v>Léo</v>
      </c>
      <c r="F203" s="5" t="str">
        <f>'Choix étudiants'!F56</f>
        <v>leo.draghi@edu.esiee.fr</v>
      </c>
      <c r="G203" s="34" t="str">
        <f>'Choix étudiants'!H56</f>
        <v>R8</v>
      </c>
      <c r="H203" s="5" t="str">
        <f>'Choix étudiants'!J56</f>
        <v>R9</v>
      </c>
      <c r="I203" s="5" t="str">
        <f>'Choix étudiants'!L56</f>
        <v>R4</v>
      </c>
      <c r="J203" s="5" t="str">
        <f>'Choix étudiants'!N56</f>
        <v>E10</v>
      </c>
      <c r="K203" s="5" t="str">
        <f>'Choix étudiants'!P56</f>
        <v>R31</v>
      </c>
      <c r="L203" s="5" t="str">
        <f>'Choix étudiants'!Q56</f>
        <v>Je ne pars pas</v>
      </c>
      <c r="M203" s="13" t="str">
        <f>'Choix étudiants'!R104</f>
        <v/>
      </c>
      <c r="N203" s="14"/>
      <c r="O203" s="14"/>
      <c r="P203" s="14"/>
      <c r="Q203" s="14"/>
      <c r="R203" s="14"/>
      <c r="S203" s="14"/>
      <c r="T203" s="14"/>
      <c r="U203" s="14"/>
    </row>
    <row r="204" ht="30.0" hidden="1" customHeight="1">
      <c r="A204" s="17">
        <f>'Choix étudiants'!A104</f>
        <v>43360.47087</v>
      </c>
      <c r="B204" s="4" t="s">
        <v>73</v>
      </c>
      <c r="C204" s="5" t="str">
        <f>'Choix étudiants'!C104</f>
        <v>CYBER</v>
      </c>
      <c r="D204" s="14" t="str">
        <f>'Choix étudiants'!D104</f>
        <v>KHIN</v>
      </c>
      <c r="E204" s="14" t="str">
        <f>'Choix étudiants'!E104</f>
        <v>Rithy</v>
      </c>
      <c r="F204" s="5" t="str">
        <f>'Choix étudiants'!F104</f>
        <v>rithy.khin@edu.esiee.fr</v>
      </c>
      <c r="G204" s="34" t="str">
        <f>'Choix étudiants'!H104</f>
        <v>R8</v>
      </c>
      <c r="H204" s="14" t="str">
        <f>'Choix étudiants'!J104</f>
        <v>R9</v>
      </c>
      <c r="I204" s="5" t="str">
        <f>'Choix étudiants'!L104</f>
        <v>R4</v>
      </c>
      <c r="J204" s="5" t="str">
        <f>'Choix étudiants'!N104</f>
        <v>E10</v>
      </c>
      <c r="K204" s="5" t="str">
        <f>'Choix étudiants'!P104</f>
        <v>R31</v>
      </c>
      <c r="L204" s="5" t="str">
        <f>'Choix étudiants'!Q104</f>
        <v>Je ne pars pas</v>
      </c>
      <c r="M204" s="13" t="str">
        <f>'Choix étudiants'!R132</f>
        <v/>
      </c>
      <c r="N204" s="14"/>
      <c r="O204" s="14"/>
      <c r="P204" s="14"/>
      <c r="Q204" s="14"/>
      <c r="R204" s="14"/>
      <c r="S204" s="14"/>
      <c r="T204" s="14"/>
      <c r="U204" s="14"/>
    </row>
    <row r="205" ht="30.0" hidden="1" customHeight="1">
      <c r="A205" s="17">
        <f>'Choix étudiants'!A132</f>
        <v>43362.56729</v>
      </c>
      <c r="B205" s="4" t="s">
        <v>73</v>
      </c>
      <c r="C205" s="5" t="str">
        <f>'Choix étudiants'!C132</f>
        <v>CYBER</v>
      </c>
      <c r="D205" s="14" t="str">
        <f>'Choix étudiants'!D132</f>
        <v>MICHAUD</v>
      </c>
      <c r="E205" s="14" t="str">
        <f>'Choix étudiants'!E132</f>
        <v>Alexandre</v>
      </c>
      <c r="F205" s="5" t="str">
        <f>'Choix étudiants'!F132</f>
        <v>alexandre.michaud@edu.esiee.fr</v>
      </c>
      <c r="G205" s="5" t="str">
        <f>'Choix étudiants'!H132</f>
        <v>R9</v>
      </c>
      <c r="H205" s="39" t="str">
        <f>'Choix étudiants'!J132</f>
        <v>R8</v>
      </c>
      <c r="I205" s="5" t="str">
        <f>'Choix étudiants'!L132</f>
        <v>r19</v>
      </c>
      <c r="J205" s="5" t="str">
        <f>'Choix étudiants'!N132</f>
        <v>E7</v>
      </c>
      <c r="K205" s="5" t="str">
        <f>'Choix étudiants'!P132</f>
        <v>r18</v>
      </c>
      <c r="L205" s="5" t="str">
        <f>'Choix étudiants'!Q132</f>
        <v>Je pars au semestre 1</v>
      </c>
      <c r="M205" s="13" t="str">
        <f>'Choix étudiants'!R148</f>
        <v/>
      </c>
      <c r="N205" s="14"/>
      <c r="O205" s="14"/>
      <c r="P205" s="14"/>
      <c r="Q205" s="14"/>
      <c r="R205" s="14"/>
      <c r="S205" s="14"/>
      <c r="T205" s="14"/>
      <c r="U205" s="14"/>
    </row>
    <row r="206" ht="30.0" hidden="1" customHeight="1">
      <c r="A206" s="2">
        <f>'Choix étudiants'!A148</f>
        <v>43361.02053</v>
      </c>
      <c r="B206" s="4" t="s">
        <v>73</v>
      </c>
      <c r="C206" s="5" t="str">
        <f>'Choix étudiants'!C148</f>
        <v>CYBER</v>
      </c>
      <c r="D206" s="5" t="str">
        <f>'Choix étudiants'!D148</f>
        <v>OUCH</v>
      </c>
      <c r="E206" s="5" t="str">
        <f>'Choix étudiants'!E148</f>
        <v>Chan-Prettivy</v>
      </c>
      <c r="F206" s="5" t="str">
        <f>'Choix étudiants'!F148</f>
        <v>chan-prettivy.ouch@edu.esiee.fr</v>
      </c>
      <c r="G206" s="14" t="str">
        <f>'Choix étudiants'!H148</f>
        <v>R9</v>
      </c>
      <c r="H206" s="39" t="str">
        <f>'Choix étudiants'!J148</f>
        <v>R8</v>
      </c>
      <c r="I206" s="5" t="str">
        <f>'Choix étudiants'!L148</f>
        <v>E16</v>
      </c>
      <c r="J206" s="5" t="str">
        <f>'Choix étudiants'!N148</f>
        <v>R19</v>
      </c>
      <c r="K206" s="5" t="str">
        <f>'Choix étudiants'!P148</f>
        <v>C1</v>
      </c>
      <c r="L206" s="5" t="str">
        <f>'Choix étudiants'!Q148</f>
        <v>Je ne pars pas</v>
      </c>
      <c r="M206" s="13" t="str">
        <f>'Choix étudiants'!R149</f>
        <v/>
      </c>
      <c r="N206" s="14"/>
      <c r="O206" s="14"/>
      <c r="P206" s="14"/>
      <c r="Q206" s="14"/>
      <c r="R206" s="14"/>
      <c r="S206" s="14"/>
      <c r="T206" s="14"/>
      <c r="U206" s="14"/>
    </row>
    <row r="207" ht="30.0" hidden="1" customHeight="1">
      <c r="A207" s="17" t="str">
        <f>'Choix étudiants'!A149</f>
        <v/>
      </c>
      <c r="B207" s="4" t="s">
        <v>73</v>
      </c>
      <c r="C207" s="5" t="str">
        <f>'Choix étudiants'!C149</f>
        <v/>
      </c>
      <c r="D207" s="5" t="str">
        <f>'Choix étudiants'!D149</f>
        <v>OUKACI</v>
      </c>
      <c r="E207" s="5" t="str">
        <f>'Choix étudiants'!E149</f>
        <v>Nawfel</v>
      </c>
      <c r="F207" s="5" t="str">
        <f>'Choix étudiants'!F149</f>
        <v>nawfel.oukaci@edu.esiee.fr</v>
      </c>
      <c r="G207" s="39" t="str">
        <f>'Choix étudiants'!H149</f>
        <v>R8</v>
      </c>
      <c r="H207" s="14" t="str">
        <f>'Choix étudiants'!J149</f>
        <v>R9</v>
      </c>
      <c r="I207" s="5" t="str">
        <f>'Choix étudiants'!L149</f>
        <v>R4</v>
      </c>
      <c r="J207" s="5" t="str">
        <f>'Choix étudiants'!N149</f>
        <v/>
      </c>
      <c r="K207" s="5" t="str">
        <f>'Choix étudiants'!P149</f>
        <v/>
      </c>
      <c r="L207" s="5" t="str">
        <f>'Choix étudiants'!Q149</f>
        <v>Je pars au semestre 1</v>
      </c>
      <c r="M207" s="13" t="str">
        <f>'Choix étudiants'!R22</f>
        <v/>
      </c>
      <c r="N207" s="14"/>
      <c r="O207" s="14"/>
      <c r="P207" s="14"/>
      <c r="Q207" s="14"/>
      <c r="R207" s="14"/>
      <c r="S207" s="14"/>
      <c r="T207" s="14"/>
      <c r="U207" s="14"/>
    </row>
    <row r="208" ht="30.0" hidden="1" customHeight="1">
      <c r="A208" s="17">
        <f>'Choix étudiants'!A22</f>
        <v>43360.41984</v>
      </c>
      <c r="B208" s="4" t="s">
        <v>54</v>
      </c>
      <c r="C208" s="5" t="str">
        <f>'Choix étudiants'!C22</f>
        <v>CYBER</v>
      </c>
      <c r="D208" s="39" t="str">
        <f>'Choix étudiants'!D22</f>
        <v>BLONDIN</v>
      </c>
      <c r="E208" s="5" t="str">
        <f>'Choix étudiants'!E22</f>
        <v>Eliott</v>
      </c>
      <c r="F208" s="5" t="str">
        <f>'Choix étudiants'!F22</f>
        <v>eliott.blondin@edu.esiee.fr</v>
      </c>
      <c r="G208" s="42" t="str">
        <f>'Choix étudiants'!H22</f>
        <v>R9</v>
      </c>
      <c r="H208" s="5" t="str">
        <f>'Choix étudiants'!J22</f>
        <v>R8</v>
      </c>
      <c r="I208" s="5" t="str">
        <f>'Choix étudiants'!L22</f>
        <v>R19</v>
      </c>
      <c r="J208" s="5" t="str">
        <f>'Choix étudiants'!N22</f>
        <v>R13</v>
      </c>
      <c r="K208" s="5" t="str">
        <f>'Choix étudiants'!P22</f>
        <v>R18</v>
      </c>
      <c r="L208" s="5" t="str">
        <f>'Choix étudiants'!Q22</f>
        <v>Je ne pars pas</v>
      </c>
      <c r="M208" s="13" t="str">
        <f>'Choix étudiants'!R73</f>
        <v/>
      </c>
      <c r="N208" s="14"/>
      <c r="O208" s="14"/>
      <c r="P208" s="14"/>
      <c r="Q208" s="14"/>
      <c r="R208" s="14"/>
      <c r="S208" s="14"/>
      <c r="T208" s="14"/>
      <c r="U208" s="14"/>
    </row>
    <row r="209" ht="30.0" hidden="1" customHeight="1">
      <c r="A209" s="17">
        <f>'Choix étudiants'!A73</f>
        <v>43360.42206</v>
      </c>
      <c r="B209" s="4" t="s">
        <v>54</v>
      </c>
      <c r="C209" s="5" t="str">
        <f>'Choix étudiants'!C73</f>
        <v>CYBER</v>
      </c>
      <c r="D209" s="39" t="str">
        <f>'Choix étudiants'!D73</f>
        <v>FRABONI</v>
      </c>
      <c r="E209" s="5" t="str">
        <f>'Choix étudiants'!E73</f>
        <v>Tanguy</v>
      </c>
      <c r="F209" s="5" t="str">
        <f>'Choix étudiants'!F73</f>
        <v>tanguy.fraboni@edu.esiee.fr</v>
      </c>
      <c r="G209" s="42" t="str">
        <f>'Choix étudiants'!H73</f>
        <v>R9</v>
      </c>
      <c r="H209" s="5" t="str">
        <f>'Choix étudiants'!J73</f>
        <v>R8</v>
      </c>
      <c r="I209" s="5" t="str">
        <f>'Choix étudiants'!L73</f>
        <v>R4</v>
      </c>
      <c r="J209" s="5" t="str">
        <f>'Choix étudiants'!N73</f>
        <v>no</v>
      </c>
      <c r="K209" s="5" t="str">
        <f>'Choix étudiants'!P73</f>
        <v>no</v>
      </c>
      <c r="L209" s="5" t="str">
        <f>'Choix étudiants'!Q73</f>
        <v>Je ne pars pas</v>
      </c>
      <c r="M209" s="13" t="str">
        <f>'Choix étudiants'!R110</f>
        <v/>
      </c>
      <c r="N209" s="14"/>
      <c r="O209" s="14"/>
      <c r="P209" s="14"/>
      <c r="Q209" s="14"/>
      <c r="R209" s="14"/>
      <c r="S209" s="14"/>
      <c r="T209" s="14"/>
      <c r="U209" s="14"/>
    </row>
    <row r="210" ht="30.0" hidden="1" customHeight="1">
      <c r="A210" s="17">
        <f>'Choix étudiants'!A110</f>
        <v>43362.1747</v>
      </c>
      <c r="B210" s="4" t="s">
        <v>54</v>
      </c>
      <c r="C210" s="5" t="str">
        <f>'Choix étudiants'!C110</f>
        <v>CYBER</v>
      </c>
      <c r="D210" s="39" t="str">
        <f>'Choix étudiants'!D110</f>
        <v>LE VEN</v>
      </c>
      <c r="E210" s="14" t="str">
        <f>'Choix étudiants'!E110</f>
        <v>Simon</v>
      </c>
      <c r="F210" s="5" t="str">
        <f>'Choix étudiants'!F110</f>
        <v>simon.leven@edu.esiee.fr</v>
      </c>
      <c r="G210" s="42" t="str">
        <f>'Choix étudiants'!H110</f>
        <v>R9</v>
      </c>
      <c r="H210" s="5" t="str">
        <f>'Choix étudiants'!J110</f>
        <v>R8</v>
      </c>
      <c r="I210" s="5" t="str">
        <f>'Choix étudiants'!L110</f>
        <v>E24</v>
      </c>
      <c r="J210" s="5" t="str">
        <f>'Choix étudiants'!N110</f>
        <v>R9</v>
      </c>
      <c r="K210" s="5" t="str">
        <f>'Choix étudiants'!P110</f>
        <v>R8</v>
      </c>
      <c r="L210" s="5" t="str">
        <f>'Choix étudiants'!Q110</f>
        <v>Je ne pars pas</v>
      </c>
      <c r="M210" s="13" t="str">
        <f>'Choix étudiants'!R160</f>
        <v/>
      </c>
      <c r="N210" s="14"/>
      <c r="O210" s="14"/>
      <c r="P210" s="14"/>
      <c r="Q210" s="14"/>
      <c r="R210" s="14"/>
      <c r="S210" s="14"/>
      <c r="T210" s="14"/>
      <c r="U210" s="14"/>
    </row>
    <row r="211" ht="30.0" hidden="1" customHeight="1">
      <c r="A211" s="17">
        <f>'Choix étudiants'!A160</f>
        <v>43362.30772</v>
      </c>
      <c r="B211" s="4" t="s">
        <v>54</v>
      </c>
      <c r="C211" s="5" t="str">
        <f>'Choix étudiants'!C160</f>
        <v>CYBER</v>
      </c>
      <c r="D211" s="39" t="str">
        <f>'Choix étudiants'!D160</f>
        <v>PIQUEE-AUDRAIN</v>
      </c>
      <c r="E211" s="5" t="str">
        <f>'Choix étudiants'!E160</f>
        <v>Arthur</v>
      </c>
      <c r="F211" s="5" t="str">
        <f>'Choix étudiants'!F160</f>
        <v>arthur.piquee-audrain@edu.esiee.fr</v>
      </c>
      <c r="G211" s="42" t="str">
        <f>'Choix étudiants'!H160</f>
        <v>R9</v>
      </c>
      <c r="H211" s="5" t="str">
        <f>'Choix étudiants'!J160</f>
        <v>R8</v>
      </c>
      <c r="I211" s="5" t="str">
        <f>'Choix étudiants'!L160</f>
        <v>R19</v>
      </c>
      <c r="J211" s="5" t="str">
        <f>'Choix étudiants'!N160</f>
        <v>E6</v>
      </c>
      <c r="K211" s="5" t="str">
        <f>'Choix étudiants'!P160</f>
        <v>E25</v>
      </c>
      <c r="L211" s="5" t="str">
        <f>'Choix étudiants'!Q160</f>
        <v>Je ne pars pas</v>
      </c>
      <c r="M211" s="13" t="str">
        <f>'Choix étudiants'!R194</f>
        <v/>
      </c>
      <c r="N211" s="14"/>
      <c r="O211" s="14"/>
      <c r="P211" s="14"/>
      <c r="Q211" s="14"/>
      <c r="R211" s="14"/>
      <c r="S211" s="14"/>
      <c r="T211" s="14"/>
      <c r="U211" s="14"/>
    </row>
    <row r="212" ht="30.0" hidden="1" customHeight="1">
      <c r="A212" s="17">
        <f>'Choix étudiants'!A194</f>
        <v>43362.09773</v>
      </c>
      <c r="B212" s="4" t="s">
        <v>54</v>
      </c>
      <c r="C212" s="5" t="str">
        <f>'Choix étudiants'!C194</f>
        <v>CYBER</v>
      </c>
      <c r="D212" s="39" t="str">
        <f>'Choix étudiants'!D194</f>
        <v>TORCHET-BIANCHI</v>
      </c>
      <c r="E212" s="5" t="str">
        <f>'Choix étudiants'!E194</f>
        <v>Grégoire</v>
      </c>
      <c r="F212" s="5" t="str">
        <f>'Choix étudiants'!F194</f>
        <v>gregoire.torchet-bianchi@edu.esiee.fr</v>
      </c>
      <c r="G212" s="42" t="str">
        <f>'Choix étudiants'!H194</f>
        <v>R9</v>
      </c>
      <c r="H212" s="14" t="str">
        <f>'Choix étudiants'!J194</f>
        <v>R8</v>
      </c>
      <c r="I212" s="5" t="str">
        <f>'Choix étudiants'!L194</f>
        <v>R4</v>
      </c>
      <c r="J212" s="5" t="str">
        <f>'Choix étudiants'!N194</f>
        <v>R9</v>
      </c>
      <c r="K212" s="5" t="str">
        <f>'Choix étudiants'!P194</f>
        <v>R8</v>
      </c>
      <c r="L212" s="5" t="str">
        <f>'Choix étudiants'!Q194</f>
        <v>Je ne pars pas</v>
      </c>
      <c r="M212" s="13" t="str">
        <f>'Choix étudiants'!R197</f>
        <v/>
      </c>
      <c r="N212" s="14"/>
      <c r="O212" s="14"/>
      <c r="P212" s="14"/>
      <c r="Q212" s="14"/>
      <c r="R212" s="14"/>
      <c r="S212" s="14"/>
      <c r="T212" s="14"/>
      <c r="U212" s="14"/>
    </row>
    <row r="213" ht="30.0" hidden="1" customHeight="1">
      <c r="A213" s="17">
        <f>'Choix étudiants'!A197</f>
        <v>43362.31131</v>
      </c>
      <c r="B213" s="4" t="s">
        <v>54</v>
      </c>
      <c r="C213" s="5" t="str">
        <f>'Choix étudiants'!C197</f>
        <v>CYBER</v>
      </c>
      <c r="D213" s="5" t="str">
        <f>'Choix étudiants'!D197</f>
        <v>TRAORE</v>
      </c>
      <c r="E213" s="5" t="str">
        <f>'Choix étudiants'!E197</f>
        <v>Mariam</v>
      </c>
      <c r="F213" s="5" t="str">
        <f>'Choix étudiants'!F197</f>
        <v>mariam.traore@edu.esiee.fr</v>
      </c>
      <c r="G213" s="42" t="str">
        <f>'Choix étudiants'!H197</f>
        <v>R9</v>
      </c>
      <c r="H213" s="5" t="str">
        <f>'Choix étudiants'!J197</f>
        <v>R8</v>
      </c>
      <c r="I213" s="5" t="str">
        <f>'Choix étudiants'!L197</f>
        <v>E11</v>
      </c>
      <c r="J213" s="5" t="str">
        <f>'Choix étudiants'!N197</f>
        <v>R4</v>
      </c>
      <c r="K213" s="5" t="str">
        <f>'Choix étudiants'!P197</f>
        <v>R9</v>
      </c>
      <c r="L213" s="5" t="str">
        <f>'Choix étudiants'!Q197</f>
        <v>Je ne pars pas</v>
      </c>
      <c r="M213" s="13" t="str">
        <f>'Choix étudiants'!R134</f>
        <v/>
      </c>
      <c r="N213" s="14"/>
      <c r="O213" s="14"/>
      <c r="P213" s="14"/>
      <c r="Q213" s="14"/>
      <c r="R213" s="14"/>
      <c r="S213" s="14"/>
      <c r="T213" s="14"/>
      <c r="U213" s="14"/>
    </row>
    <row r="214" ht="30.0" hidden="1" customHeight="1">
      <c r="A214" s="17" t="str">
        <f>'Choix étudiants'!A187</f>
        <v/>
      </c>
      <c r="B214" s="4"/>
      <c r="C214" s="5" t="str">
        <f>'Choix étudiants'!C187</f>
        <v/>
      </c>
      <c r="D214" s="58" t="str">
        <f>'Choix étudiants'!D187</f>
        <v>SEIFFEDDINE</v>
      </c>
      <c r="E214" s="58" t="str">
        <f>'Choix étudiants'!E187</f>
        <v>Wassim</v>
      </c>
      <c r="F214" s="58" t="str">
        <f>'Choix étudiants'!F187</f>
        <v>wassim.seifeddine@edu.esiee.fr</v>
      </c>
      <c r="G214" s="5" t="str">
        <f>'Choix étudiants'!H187</f>
        <v/>
      </c>
      <c r="H214" s="14" t="str">
        <f>'Choix étudiants'!J187</f>
        <v/>
      </c>
      <c r="I214" s="5" t="str">
        <f>'Choix étudiants'!L187</f>
        <v/>
      </c>
      <c r="J214" s="5" t="str">
        <f>'Choix étudiants'!N187</f>
        <v/>
      </c>
      <c r="K214" s="5" t="str">
        <f>'Choix étudiants'!P187</f>
        <v/>
      </c>
      <c r="L214" s="5" t="str">
        <f>'Choix étudiants'!Q187</f>
        <v/>
      </c>
      <c r="M214" s="13" t="str">
        <f>'Choix étudiants'!R187</f>
        <v/>
      </c>
      <c r="N214" s="14"/>
      <c r="O214" s="14"/>
      <c r="P214" s="14"/>
      <c r="Q214" s="14"/>
      <c r="R214" s="14"/>
      <c r="S214" s="14"/>
      <c r="T214" s="14"/>
      <c r="U214" s="14"/>
    </row>
    <row r="215" ht="30.0" hidden="1" customHeight="1">
      <c r="A215" s="2" t="str">
        <f>'Choix étudiants'!A214</f>
        <v/>
      </c>
      <c r="B215" s="4"/>
      <c r="C215" s="5" t="str">
        <f>'Choix étudiants'!C214</f>
        <v/>
      </c>
      <c r="D215" s="14" t="str">
        <f>'Choix étudiants'!D214</f>
        <v/>
      </c>
      <c r="E215" s="5" t="str">
        <f>'Choix étudiants'!E214</f>
        <v/>
      </c>
      <c r="F215" s="5" t="str">
        <f>'Choix étudiants'!F214</f>
        <v/>
      </c>
      <c r="G215" s="14" t="str">
        <f>'Choix étudiants'!H214</f>
        <v/>
      </c>
      <c r="H215" s="14" t="str">
        <f>'Choix étudiants'!J214</f>
        <v/>
      </c>
      <c r="I215" s="5" t="str">
        <f>'Choix étudiants'!L214</f>
        <v/>
      </c>
      <c r="J215" s="5" t="str">
        <f>'Choix étudiants'!N214</f>
        <v/>
      </c>
      <c r="K215" s="5" t="str">
        <f>'Choix étudiants'!P214</f>
        <v/>
      </c>
      <c r="L215" s="5" t="str">
        <f>'Choix étudiants'!Q214</f>
        <v/>
      </c>
      <c r="M215" s="5"/>
      <c r="N215" s="14"/>
      <c r="O215" s="14"/>
      <c r="P215" s="14"/>
      <c r="Q215" s="14"/>
      <c r="R215" s="14"/>
      <c r="S215" s="14"/>
      <c r="T215" s="14"/>
      <c r="U215" s="14"/>
    </row>
    <row r="216" ht="30.0" hidden="1" customHeight="1">
      <c r="A216" s="2" t="str">
        <f>'Choix étudiants'!A215</f>
        <v/>
      </c>
      <c r="B216" s="18"/>
      <c r="C216" s="5" t="str">
        <f>'Choix étudiants'!C215</f>
        <v/>
      </c>
      <c r="D216" s="5" t="str">
        <f>'Choix étudiants'!D215</f>
        <v/>
      </c>
      <c r="E216" s="5" t="str">
        <f>'Choix étudiants'!E215</f>
        <v/>
      </c>
      <c r="F216" s="60" t="str">
        <f>'Choix étudiants'!F215</f>
        <v/>
      </c>
      <c r="G216" s="5" t="str">
        <f>'Choix étudiants'!H215</f>
        <v/>
      </c>
      <c r="H216" s="5" t="str">
        <f>'Choix étudiants'!J215</f>
        <v/>
      </c>
      <c r="I216" s="5" t="str">
        <f>'Choix étudiants'!L215</f>
        <v/>
      </c>
      <c r="J216" s="5" t="str">
        <f>'Choix étudiants'!N215</f>
        <v/>
      </c>
      <c r="K216" s="5" t="str">
        <f>'Choix étudiants'!P215</f>
        <v/>
      </c>
      <c r="L216" s="5" t="str">
        <f>'Choix étudiants'!Q215</f>
        <v/>
      </c>
      <c r="M216" s="5"/>
      <c r="N216" s="14"/>
      <c r="O216" s="14"/>
      <c r="P216" s="14"/>
      <c r="Q216" s="14"/>
      <c r="R216" s="14"/>
      <c r="S216" s="14"/>
      <c r="T216" s="14"/>
      <c r="U216" s="14"/>
    </row>
    <row r="217" ht="30.0" hidden="1" customHeight="1">
      <c r="A217" s="2" t="str">
        <f>'Choix étudiants'!A216</f>
        <v/>
      </c>
      <c r="B217" s="18"/>
      <c r="C217" s="5" t="str">
        <f>'Choix étudiants'!C216</f>
        <v/>
      </c>
      <c r="D217" s="5" t="str">
        <f>'Choix étudiants'!D216</f>
        <v/>
      </c>
      <c r="E217" s="5" t="str">
        <f>'Choix étudiants'!E216</f>
        <v/>
      </c>
      <c r="F217" s="5" t="str">
        <f>'Choix étudiants'!F216</f>
        <v/>
      </c>
      <c r="G217" s="5" t="str">
        <f>'Choix étudiants'!H216</f>
        <v/>
      </c>
      <c r="H217" s="5" t="str">
        <f>'Choix étudiants'!J216</f>
        <v/>
      </c>
      <c r="I217" s="5" t="str">
        <f>'Choix étudiants'!L216</f>
        <v/>
      </c>
      <c r="J217" s="5" t="str">
        <f>'Choix étudiants'!N216</f>
        <v/>
      </c>
      <c r="K217" s="5" t="str">
        <f>'Choix étudiants'!P216</f>
        <v/>
      </c>
      <c r="L217" s="5" t="str">
        <f>'Choix étudiants'!Q216</f>
        <v/>
      </c>
      <c r="M217" s="5"/>
      <c r="N217" s="14"/>
      <c r="O217" s="14"/>
      <c r="P217" s="14"/>
      <c r="Q217" s="14"/>
      <c r="R217" s="14"/>
      <c r="S217" s="14"/>
      <c r="T217" s="14"/>
      <c r="U217" s="14"/>
    </row>
    <row r="218" ht="30.0" hidden="1" customHeight="1">
      <c r="A218" s="2" t="str">
        <f>'Choix étudiants'!A217</f>
        <v/>
      </c>
      <c r="B218" s="18"/>
      <c r="C218" s="5" t="str">
        <f>'Choix étudiants'!C217</f>
        <v/>
      </c>
      <c r="D218" s="14" t="str">
        <f>'Choix étudiants'!D217</f>
        <v/>
      </c>
      <c r="E218" s="14" t="str">
        <f>'Choix étudiants'!E217</f>
        <v/>
      </c>
      <c r="F218" s="5" t="str">
        <f>'Choix étudiants'!F217</f>
        <v/>
      </c>
      <c r="G218" s="5" t="str">
        <f>'Choix étudiants'!H217</f>
        <v/>
      </c>
      <c r="H218" s="5" t="str">
        <f>'Choix étudiants'!J217</f>
        <v/>
      </c>
      <c r="I218" s="5" t="str">
        <f>'Choix étudiants'!L217</f>
        <v/>
      </c>
      <c r="J218" s="5" t="str">
        <f>'Choix étudiants'!N217</f>
        <v/>
      </c>
      <c r="K218" s="5" t="str">
        <f>'Choix étudiants'!P217</f>
        <v/>
      </c>
      <c r="L218" s="5" t="str">
        <f>'Choix étudiants'!Q217</f>
        <v/>
      </c>
      <c r="M218" s="5"/>
      <c r="N218" s="14"/>
      <c r="O218" s="14"/>
      <c r="P218" s="14"/>
      <c r="Q218" s="14"/>
      <c r="R218" s="14"/>
      <c r="S218" s="14"/>
      <c r="T218" s="14"/>
      <c r="U218" s="14"/>
    </row>
    <row r="219" ht="30.0" hidden="1" customHeight="1">
      <c r="A219" s="2" t="str">
        <f>'Choix étudiants'!A218</f>
        <v/>
      </c>
      <c r="B219" s="18"/>
      <c r="C219" s="5" t="str">
        <f>'Choix étudiants'!C218</f>
        <v/>
      </c>
      <c r="D219" s="5" t="str">
        <f>'Choix étudiants'!D218</f>
        <v/>
      </c>
      <c r="E219" s="5" t="str">
        <f>'Choix étudiants'!E218</f>
        <v/>
      </c>
      <c r="F219" s="5" t="str">
        <f>'Choix étudiants'!F218</f>
        <v/>
      </c>
      <c r="G219" s="5" t="str">
        <f>'Choix étudiants'!H218</f>
        <v/>
      </c>
      <c r="H219" s="5" t="str">
        <f>'Choix étudiants'!J218</f>
        <v/>
      </c>
      <c r="I219" s="5" t="str">
        <f>'Choix étudiants'!L218</f>
        <v/>
      </c>
      <c r="J219" s="5" t="str">
        <f>'Choix étudiants'!N218</f>
        <v/>
      </c>
      <c r="K219" s="5" t="str">
        <f>'Choix étudiants'!P218</f>
        <v/>
      </c>
      <c r="L219" s="5" t="str">
        <f>'Choix étudiants'!Q218</f>
        <v/>
      </c>
      <c r="M219" s="5"/>
      <c r="N219" s="14"/>
      <c r="O219" s="14"/>
      <c r="P219" s="14"/>
      <c r="Q219" s="14"/>
      <c r="R219" s="14"/>
      <c r="S219" s="14"/>
      <c r="T219" s="14"/>
      <c r="U219" s="14"/>
    </row>
    <row r="220" ht="30.0" hidden="1" customHeight="1">
      <c r="A220" s="2" t="str">
        <f>'Choix étudiants'!A219</f>
        <v/>
      </c>
      <c r="B220" s="4"/>
      <c r="C220" s="5" t="str">
        <f>'Choix étudiants'!C219</f>
        <v/>
      </c>
      <c r="D220" s="14" t="str">
        <f>'Choix étudiants'!D219</f>
        <v/>
      </c>
      <c r="E220" s="14" t="str">
        <f>'Choix étudiants'!E219</f>
        <v/>
      </c>
      <c r="F220" s="5" t="str">
        <f>'Choix étudiants'!F219</f>
        <v/>
      </c>
      <c r="G220" s="14" t="str">
        <f>'Choix étudiants'!H219</f>
        <v/>
      </c>
      <c r="H220" s="14" t="str">
        <f>'Choix étudiants'!J219</f>
        <v/>
      </c>
      <c r="I220" s="5" t="str">
        <f>'Choix étudiants'!L219</f>
        <v/>
      </c>
      <c r="J220" s="5" t="str">
        <f>'Choix étudiants'!N219</f>
        <v/>
      </c>
      <c r="K220" s="5" t="str">
        <f>'Choix étudiants'!P219</f>
        <v/>
      </c>
      <c r="L220" s="5" t="str">
        <f>'Choix étudiants'!Q219</f>
        <v/>
      </c>
      <c r="M220" s="5"/>
      <c r="N220" s="14"/>
      <c r="O220" s="14"/>
      <c r="P220" s="14"/>
      <c r="Q220" s="14"/>
      <c r="R220" s="14"/>
      <c r="S220" s="14"/>
      <c r="T220" s="14"/>
      <c r="U220" s="14"/>
    </row>
    <row r="221" hidden="1">
      <c r="A221" s="61" t="str">
        <f>'Choix étudiants'!A220</f>
        <v/>
      </c>
      <c r="B221" s="62" t="str">
        <f>'Choix étudiants'!B220</f>
        <v/>
      </c>
      <c r="C221" s="14" t="str">
        <f>'Choix étudiants'!C220</f>
        <v/>
      </c>
      <c r="D221" s="14" t="str">
        <f>'Choix étudiants'!D220</f>
        <v/>
      </c>
      <c r="E221" s="14" t="str">
        <f>'Choix étudiants'!E220</f>
        <v/>
      </c>
      <c r="F221" s="14" t="str">
        <f>'Choix étudiants'!F220</f>
        <v/>
      </c>
      <c r="G221" s="14" t="str">
        <f>'Choix étudiants'!H220</f>
        <v/>
      </c>
      <c r="H221" s="14" t="str">
        <f>'Choix étudiants'!J220</f>
        <v/>
      </c>
      <c r="I221" s="14" t="str">
        <f>'Choix étudiants'!L220</f>
        <v/>
      </c>
      <c r="J221" s="14" t="str">
        <f>'Choix étudiants'!N220</f>
        <v/>
      </c>
      <c r="K221" s="14" t="str">
        <f>'Choix étudiants'!P220</f>
        <v/>
      </c>
      <c r="L221" s="14" t="str">
        <f>'Choix étudiants'!Q220</f>
        <v/>
      </c>
      <c r="M221" s="14"/>
      <c r="N221" s="14"/>
      <c r="O221" s="14"/>
      <c r="P221" s="14"/>
      <c r="Q221" s="14"/>
      <c r="R221" s="14"/>
      <c r="S221" s="14"/>
      <c r="T221" s="14"/>
      <c r="U221" s="14"/>
    </row>
    <row r="222" hidden="1">
      <c r="A222" s="61" t="str">
        <f>'Choix étudiants'!A221</f>
        <v/>
      </c>
      <c r="B222" s="62" t="str">
        <f>'Choix étudiants'!B221</f>
        <v/>
      </c>
      <c r="C222" s="14" t="str">
        <f>'Choix étudiants'!C221</f>
        <v/>
      </c>
      <c r="D222" s="14" t="str">
        <f>'Choix étudiants'!D221</f>
        <v/>
      </c>
      <c r="E222" s="14" t="str">
        <f>'Choix étudiants'!E221</f>
        <v/>
      </c>
      <c r="F222" s="14" t="str">
        <f>'Choix étudiants'!F221</f>
        <v/>
      </c>
      <c r="G222" s="14" t="str">
        <f>'Choix étudiants'!H221</f>
        <v/>
      </c>
      <c r="H222" s="14" t="str">
        <f>'Choix étudiants'!J221</f>
        <v/>
      </c>
      <c r="I222" s="14" t="str">
        <f>'Choix étudiants'!L221</f>
        <v/>
      </c>
      <c r="J222" s="14" t="str">
        <f>'Choix étudiants'!N221</f>
        <v/>
      </c>
      <c r="K222" s="14" t="str">
        <f>'Choix étudiants'!P221</f>
        <v/>
      </c>
      <c r="L222" s="14" t="str">
        <f>'Choix étudiants'!Q221</f>
        <v/>
      </c>
      <c r="M222" s="14"/>
      <c r="N222" s="14"/>
      <c r="O222" s="14"/>
      <c r="P222" s="14"/>
      <c r="Q222" s="14"/>
      <c r="R222" s="14"/>
      <c r="S222" s="14"/>
      <c r="T222" s="14"/>
      <c r="U222" s="14"/>
    </row>
    <row r="223" hidden="1">
      <c r="A223" s="61" t="str">
        <f>'Choix étudiants'!A222</f>
        <v/>
      </c>
      <c r="B223" s="62" t="str">
        <f>'Choix étudiants'!B222</f>
        <v/>
      </c>
      <c r="C223" s="14" t="str">
        <f>'Choix étudiants'!C222</f>
        <v/>
      </c>
      <c r="D223" s="14" t="str">
        <f>'Choix étudiants'!D222</f>
        <v/>
      </c>
      <c r="E223" s="14" t="str">
        <f>'Choix étudiants'!E222</f>
        <v/>
      </c>
      <c r="F223" s="14" t="str">
        <f>'Choix étudiants'!F222</f>
        <v/>
      </c>
      <c r="G223" s="14" t="str">
        <f>'Choix étudiants'!H222</f>
        <v/>
      </c>
      <c r="H223" s="14" t="str">
        <f>'Choix étudiants'!J222</f>
        <v/>
      </c>
      <c r="I223" s="14" t="str">
        <f>'Choix étudiants'!L222</f>
        <v/>
      </c>
      <c r="J223" s="14" t="str">
        <f>'Choix étudiants'!N222</f>
        <v/>
      </c>
      <c r="K223" s="14" t="str">
        <f>'Choix étudiants'!P222</f>
        <v/>
      </c>
      <c r="L223" s="14" t="str">
        <f>'Choix étudiants'!Q222</f>
        <v/>
      </c>
      <c r="M223" s="14"/>
      <c r="N223" s="14"/>
      <c r="O223" s="14"/>
      <c r="P223" s="14"/>
      <c r="Q223" s="14"/>
      <c r="R223" s="14"/>
      <c r="S223" s="14"/>
      <c r="T223" s="14"/>
      <c r="U223" s="14"/>
    </row>
    <row r="224" hidden="1">
      <c r="A224" s="61" t="str">
        <f>'Choix étudiants'!A223</f>
        <v/>
      </c>
      <c r="B224" s="62" t="str">
        <f>'Choix étudiants'!B223</f>
        <v/>
      </c>
      <c r="C224" s="14" t="str">
        <f>'Choix étudiants'!C223</f>
        <v/>
      </c>
      <c r="D224" s="14" t="str">
        <f>'Choix étudiants'!D223</f>
        <v/>
      </c>
      <c r="E224" s="14" t="str">
        <f>'Choix étudiants'!E223</f>
        <v/>
      </c>
      <c r="F224" s="14" t="str">
        <f>'Choix étudiants'!F223</f>
        <v/>
      </c>
      <c r="G224" s="14" t="str">
        <f>'Choix étudiants'!H223</f>
        <v/>
      </c>
      <c r="H224" s="14" t="str">
        <f>'Choix étudiants'!J223</f>
        <v/>
      </c>
      <c r="I224" s="14" t="str">
        <f>'Choix étudiants'!L223</f>
        <v/>
      </c>
      <c r="J224" s="14" t="str">
        <f>'Choix étudiants'!N223</f>
        <v/>
      </c>
      <c r="K224" s="14" t="str">
        <f>'Choix étudiants'!P223</f>
        <v/>
      </c>
      <c r="L224" s="14" t="str">
        <f>'Choix étudiants'!Q223</f>
        <v/>
      </c>
      <c r="M224" s="14"/>
      <c r="N224" s="14"/>
      <c r="O224" s="14"/>
      <c r="P224" s="14"/>
      <c r="Q224" s="14"/>
      <c r="R224" s="14"/>
      <c r="S224" s="14"/>
      <c r="T224" s="14"/>
      <c r="U224" s="14"/>
    </row>
    <row r="225" hidden="1">
      <c r="A225" s="61" t="str">
        <f>'Choix étudiants'!A224</f>
        <v/>
      </c>
      <c r="B225" s="62" t="str">
        <f>'Choix étudiants'!B224</f>
        <v/>
      </c>
      <c r="C225" s="14" t="str">
        <f>'Choix étudiants'!C224</f>
        <v/>
      </c>
      <c r="D225" s="14" t="str">
        <f>'Choix étudiants'!D224</f>
        <v/>
      </c>
      <c r="E225" s="14" t="str">
        <f>'Choix étudiants'!E224</f>
        <v/>
      </c>
      <c r="F225" s="14" t="str">
        <f>'Choix étudiants'!F224</f>
        <v/>
      </c>
      <c r="G225" s="14" t="str">
        <f>'Choix étudiants'!H224</f>
        <v/>
      </c>
      <c r="H225" s="14" t="str">
        <f>'Choix étudiants'!J224</f>
        <v/>
      </c>
      <c r="I225" s="14" t="str">
        <f>'Choix étudiants'!L224</f>
        <v/>
      </c>
      <c r="J225" s="14" t="str">
        <f>'Choix étudiants'!N224</f>
        <v/>
      </c>
      <c r="K225" s="14" t="str">
        <f>'Choix étudiants'!P224</f>
        <v/>
      </c>
      <c r="L225" s="14" t="str">
        <f>'Choix étudiants'!Q224</f>
        <v/>
      </c>
      <c r="M225" s="14"/>
      <c r="N225" s="14"/>
      <c r="O225" s="14"/>
      <c r="P225" s="14"/>
      <c r="Q225" s="14"/>
      <c r="R225" s="14"/>
      <c r="S225" s="14"/>
      <c r="T225" s="14"/>
      <c r="U225" s="14"/>
    </row>
    <row r="226" hidden="1">
      <c r="A226" s="61" t="str">
        <f>'Choix étudiants'!A225</f>
        <v/>
      </c>
      <c r="B226" s="62" t="str">
        <f>'Choix étudiants'!B225</f>
        <v/>
      </c>
      <c r="C226" s="14" t="str">
        <f>'Choix étudiants'!C225</f>
        <v/>
      </c>
      <c r="D226" s="14" t="str">
        <f>'Choix étudiants'!D225</f>
        <v/>
      </c>
      <c r="E226" s="14" t="str">
        <f>'Choix étudiants'!E225</f>
        <v/>
      </c>
      <c r="F226" s="14" t="str">
        <f>'Choix étudiants'!F225</f>
        <v/>
      </c>
      <c r="G226" s="14" t="str">
        <f>'Choix étudiants'!H225</f>
        <v/>
      </c>
      <c r="H226" s="14" t="str">
        <f>'Choix étudiants'!J225</f>
        <v/>
      </c>
      <c r="I226" s="14" t="str">
        <f>'Choix étudiants'!L225</f>
        <v/>
      </c>
      <c r="J226" s="14" t="str">
        <f>'Choix étudiants'!N225</f>
        <v/>
      </c>
      <c r="K226" s="14" t="str">
        <f>'Choix étudiants'!P225</f>
        <v/>
      </c>
      <c r="L226" s="14" t="str">
        <f>'Choix étudiants'!Q225</f>
        <v/>
      </c>
      <c r="M226" s="14"/>
      <c r="N226" s="14"/>
      <c r="O226" s="14"/>
      <c r="P226" s="14"/>
      <c r="Q226" s="14"/>
      <c r="R226" s="14"/>
      <c r="S226" s="14"/>
      <c r="T226" s="14"/>
      <c r="U226" s="14"/>
    </row>
    <row r="227" hidden="1">
      <c r="A227" s="61" t="str">
        <f>'Choix étudiants'!A226</f>
        <v/>
      </c>
      <c r="B227" s="62" t="str">
        <f>'Choix étudiants'!B226</f>
        <v/>
      </c>
      <c r="C227" s="14" t="str">
        <f>'Choix étudiants'!C226</f>
        <v/>
      </c>
      <c r="D227" s="14" t="str">
        <f>'Choix étudiants'!D226</f>
        <v/>
      </c>
      <c r="E227" s="14" t="str">
        <f>'Choix étudiants'!E226</f>
        <v/>
      </c>
      <c r="F227" s="14" t="str">
        <f>'Choix étudiants'!F226</f>
        <v/>
      </c>
      <c r="G227" s="30" t="str">
        <f>'Choix étudiants'!H226</f>
        <v/>
      </c>
      <c r="H227" s="14" t="str">
        <f>'Choix étudiants'!J226</f>
        <v/>
      </c>
      <c r="I227" s="14" t="str">
        <f>'Choix étudiants'!L226</f>
        <v/>
      </c>
      <c r="J227" s="14" t="str">
        <f>'Choix étudiants'!N226</f>
        <v/>
      </c>
      <c r="K227" s="14" t="str">
        <f>'Choix étudiants'!P226</f>
        <v/>
      </c>
      <c r="L227" s="14" t="str">
        <f>'Choix étudiants'!Q226</f>
        <v/>
      </c>
      <c r="M227" s="14"/>
      <c r="N227" s="14"/>
      <c r="O227" s="14"/>
      <c r="P227" s="14"/>
      <c r="Q227" s="14"/>
      <c r="R227" s="14"/>
      <c r="S227" s="14"/>
      <c r="T227" s="14"/>
      <c r="U227" s="14"/>
    </row>
    <row r="228" hidden="1">
      <c r="A228" s="61" t="str">
        <f>'Choix étudiants'!A227</f>
        <v/>
      </c>
      <c r="B228" s="62" t="str">
        <f>'Choix étudiants'!B227</f>
        <v/>
      </c>
      <c r="C228" s="14" t="str">
        <f>'Choix étudiants'!C227</f>
        <v/>
      </c>
      <c r="D228" s="14" t="str">
        <f>'Choix étudiants'!D227</f>
        <v/>
      </c>
      <c r="E228" s="14" t="str">
        <f>'Choix étudiants'!E227</f>
        <v/>
      </c>
      <c r="F228" s="14" t="str">
        <f>'Choix étudiants'!F227</f>
        <v/>
      </c>
      <c r="G228" s="30" t="str">
        <f>'Choix étudiants'!H227</f>
        <v/>
      </c>
      <c r="H228" s="14" t="str">
        <f>'Choix étudiants'!J227</f>
        <v/>
      </c>
      <c r="I228" s="14" t="str">
        <f>'Choix étudiants'!L227</f>
        <v/>
      </c>
      <c r="J228" s="14" t="str">
        <f>'Choix étudiants'!N227</f>
        <v/>
      </c>
      <c r="K228" s="14" t="str">
        <f>'Choix étudiants'!P227</f>
        <v/>
      </c>
      <c r="L228" s="14" t="str">
        <f>'Choix étudiants'!Q227</f>
        <v/>
      </c>
      <c r="M228" s="14"/>
      <c r="N228" s="14"/>
      <c r="O228" s="14"/>
      <c r="P228" s="14"/>
      <c r="Q228" s="14"/>
      <c r="R228" s="14"/>
      <c r="S228" s="14"/>
      <c r="T228" s="14"/>
      <c r="U228" s="14"/>
    </row>
    <row r="229" hidden="1">
      <c r="A229" s="61" t="str">
        <f>'Choix étudiants'!A228</f>
        <v/>
      </c>
      <c r="B229" s="62" t="str">
        <f>'Choix étudiants'!B228</f>
        <v/>
      </c>
      <c r="C229" s="14" t="str">
        <f>'Choix étudiants'!C228</f>
        <v/>
      </c>
      <c r="D229" s="14" t="str">
        <f>'Choix étudiants'!D228</f>
        <v/>
      </c>
      <c r="E229" s="14" t="str">
        <f>'Choix étudiants'!E228</f>
        <v/>
      </c>
      <c r="F229" s="14" t="str">
        <f>'Choix étudiants'!F228</f>
        <v/>
      </c>
      <c r="G229" s="14" t="str">
        <f>'Choix étudiants'!H228</f>
        <v/>
      </c>
      <c r="H229" s="14" t="str">
        <f>'Choix étudiants'!J228</f>
        <v/>
      </c>
      <c r="I229" s="14" t="str">
        <f>'Choix étudiants'!L228</f>
        <v/>
      </c>
      <c r="J229" s="14" t="str">
        <f>'Choix étudiants'!N228</f>
        <v/>
      </c>
      <c r="K229" s="14" t="str">
        <f>'Choix étudiants'!P228</f>
        <v/>
      </c>
      <c r="L229" s="14" t="str">
        <f>'Choix étudiants'!Q228</f>
        <v/>
      </c>
      <c r="M229" s="14"/>
      <c r="N229" s="14"/>
      <c r="O229" s="14"/>
      <c r="P229" s="14"/>
      <c r="Q229" s="14"/>
      <c r="R229" s="14"/>
      <c r="S229" s="14"/>
      <c r="T229" s="14"/>
      <c r="U229" s="14"/>
    </row>
    <row r="230" hidden="1">
      <c r="A230" s="61" t="str">
        <f>'Choix étudiants'!A229</f>
        <v/>
      </c>
      <c r="B230" s="62" t="str">
        <f>'Choix étudiants'!B229</f>
        <v/>
      </c>
      <c r="C230" s="14" t="str">
        <f>'Choix étudiants'!C229</f>
        <v/>
      </c>
      <c r="D230" s="14" t="str">
        <f>'Choix étudiants'!D229</f>
        <v/>
      </c>
      <c r="E230" s="14" t="str">
        <f>'Choix étudiants'!E229</f>
        <v/>
      </c>
      <c r="F230" s="14" t="str">
        <f>'Choix étudiants'!F229</f>
        <v/>
      </c>
      <c r="G230" s="14" t="str">
        <f>'Choix étudiants'!H229</f>
        <v/>
      </c>
      <c r="H230" s="14" t="str">
        <f>'Choix étudiants'!J229</f>
        <v/>
      </c>
      <c r="I230" s="14" t="str">
        <f>'Choix étudiants'!L229</f>
        <v/>
      </c>
      <c r="J230" s="14" t="str">
        <f>'Choix étudiants'!N229</f>
        <v/>
      </c>
      <c r="K230" s="14" t="str">
        <f>'Choix étudiants'!P229</f>
        <v/>
      </c>
      <c r="L230" s="14" t="str">
        <f>'Choix étudiants'!Q229</f>
        <v/>
      </c>
      <c r="M230" s="14"/>
      <c r="N230" s="14"/>
      <c r="O230" s="14"/>
      <c r="P230" s="14"/>
      <c r="Q230" s="14"/>
      <c r="R230" s="14"/>
      <c r="S230" s="14"/>
      <c r="T230" s="14"/>
      <c r="U230" s="14"/>
    </row>
    <row r="231" hidden="1">
      <c r="A231" s="61" t="str">
        <f>'Choix étudiants'!A230</f>
        <v/>
      </c>
      <c r="B231" s="62" t="str">
        <f>'Choix étudiants'!B230</f>
        <v/>
      </c>
      <c r="C231" s="14" t="str">
        <f>'Choix étudiants'!C230</f>
        <v/>
      </c>
      <c r="D231" s="14" t="str">
        <f>'Choix étudiants'!D230</f>
        <v/>
      </c>
      <c r="E231" s="14" t="str">
        <f>'Choix étudiants'!E230</f>
        <v/>
      </c>
      <c r="F231" s="14" t="str">
        <f>'Choix étudiants'!F230</f>
        <v/>
      </c>
      <c r="G231" s="14" t="str">
        <f>'Choix étudiants'!H230</f>
        <v/>
      </c>
      <c r="H231" s="14" t="str">
        <f>'Choix étudiants'!J230</f>
        <v/>
      </c>
      <c r="I231" s="14" t="str">
        <f>'Choix étudiants'!L230</f>
        <v/>
      </c>
      <c r="J231" s="14" t="str">
        <f>'Choix étudiants'!N230</f>
        <v/>
      </c>
      <c r="K231" s="14" t="str">
        <f>'Choix étudiants'!P230</f>
        <v/>
      </c>
      <c r="L231" s="14" t="str">
        <f>'Choix étudiants'!Q230</f>
        <v/>
      </c>
      <c r="M231" s="14"/>
      <c r="N231" s="14"/>
      <c r="O231" s="14"/>
      <c r="P231" s="14"/>
      <c r="Q231" s="14"/>
      <c r="R231" s="14"/>
      <c r="S231" s="14"/>
      <c r="T231" s="14"/>
      <c r="U231" s="14"/>
    </row>
    <row r="232" hidden="1">
      <c r="A232" s="61" t="str">
        <f>'Choix étudiants'!A231</f>
        <v/>
      </c>
      <c r="B232" s="62" t="str">
        <f>'Choix étudiants'!B231</f>
        <v/>
      </c>
      <c r="C232" s="14" t="str">
        <f>'Choix étudiants'!C231</f>
        <v/>
      </c>
      <c r="D232" s="14" t="str">
        <f>'Choix étudiants'!D231</f>
        <v/>
      </c>
      <c r="E232" s="14" t="str">
        <f>'Choix étudiants'!E231</f>
        <v/>
      </c>
      <c r="F232" s="14" t="str">
        <f>'Choix étudiants'!F231</f>
        <v/>
      </c>
      <c r="G232" s="14" t="str">
        <f>'Choix étudiants'!H231</f>
        <v/>
      </c>
      <c r="H232" s="14" t="str">
        <f>'Choix étudiants'!J231</f>
        <v/>
      </c>
      <c r="I232" s="14" t="str">
        <f>'Choix étudiants'!L231</f>
        <v/>
      </c>
      <c r="J232" s="14" t="str">
        <f>'Choix étudiants'!N231</f>
        <v/>
      </c>
      <c r="K232" s="14" t="str">
        <f>'Choix étudiants'!P231</f>
        <v/>
      </c>
      <c r="L232" s="14" t="str">
        <f>'Choix étudiants'!Q231</f>
        <v/>
      </c>
      <c r="M232" s="14"/>
      <c r="N232" s="14"/>
      <c r="O232" s="14"/>
      <c r="P232" s="14"/>
      <c r="Q232" s="14"/>
      <c r="R232" s="14"/>
      <c r="S232" s="14"/>
      <c r="T232" s="14"/>
      <c r="U232" s="14"/>
    </row>
    <row r="233" hidden="1">
      <c r="A233" s="61" t="str">
        <f>'Choix étudiants'!A232</f>
        <v/>
      </c>
      <c r="B233" s="62" t="str">
        <f>'Choix étudiants'!B232</f>
        <v/>
      </c>
      <c r="C233" s="14" t="str">
        <f>'Choix étudiants'!C232</f>
        <v/>
      </c>
      <c r="D233" s="14" t="str">
        <f>'Choix étudiants'!D232</f>
        <v/>
      </c>
      <c r="E233" s="14" t="str">
        <f>'Choix étudiants'!E232</f>
        <v/>
      </c>
      <c r="F233" s="14" t="str">
        <f>'Choix étudiants'!F232</f>
        <v/>
      </c>
      <c r="G233" s="14" t="str">
        <f>'Choix étudiants'!H232</f>
        <v/>
      </c>
      <c r="H233" s="14" t="str">
        <f>'Choix étudiants'!J232</f>
        <v/>
      </c>
      <c r="I233" s="14" t="str">
        <f>'Choix étudiants'!L232</f>
        <v/>
      </c>
      <c r="J233" s="14" t="str">
        <f>'Choix étudiants'!N232</f>
        <v/>
      </c>
      <c r="K233" s="14" t="str">
        <f>'Choix étudiants'!P232</f>
        <v/>
      </c>
      <c r="L233" s="14" t="str">
        <f>'Choix étudiants'!Q232</f>
        <v/>
      </c>
      <c r="M233" s="14"/>
      <c r="N233" s="14"/>
      <c r="O233" s="14"/>
      <c r="P233" s="14"/>
      <c r="Q233" s="14"/>
      <c r="R233" s="14"/>
      <c r="S233" s="14"/>
      <c r="T233" s="14"/>
      <c r="U233" s="14"/>
    </row>
    <row r="234" hidden="1">
      <c r="A234" s="61" t="str">
        <f>'Choix étudiants'!A233</f>
        <v/>
      </c>
      <c r="B234" s="62" t="str">
        <f>'Choix étudiants'!B233</f>
        <v/>
      </c>
      <c r="C234" s="14" t="str">
        <f>'Choix étudiants'!C233</f>
        <v/>
      </c>
      <c r="D234" s="14" t="str">
        <f>'Choix étudiants'!D233</f>
        <v/>
      </c>
      <c r="E234" s="14" t="str">
        <f>'Choix étudiants'!E233</f>
        <v/>
      </c>
      <c r="F234" s="14" t="str">
        <f>'Choix étudiants'!F233</f>
        <v/>
      </c>
      <c r="G234" s="14" t="str">
        <f>'Choix étudiants'!H233</f>
        <v/>
      </c>
      <c r="H234" s="14" t="str">
        <f>'Choix étudiants'!J233</f>
        <v/>
      </c>
      <c r="I234" s="14" t="str">
        <f>'Choix étudiants'!L233</f>
        <v/>
      </c>
      <c r="J234" s="14" t="str">
        <f>'Choix étudiants'!N233</f>
        <v/>
      </c>
      <c r="K234" s="14" t="str">
        <f>'Choix étudiants'!P233</f>
        <v/>
      </c>
      <c r="L234" s="14" t="str">
        <f>'Choix étudiants'!Q233</f>
        <v/>
      </c>
      <c r="M234" s="14"/>
      <c r="N234" s="14"/>
      <c r="O234" s="14"/>
      <c r="P234" s="14"/>
      <c r="Q234" s="14"/>
      <c r="R234" s="14"/>
      <c r="S234" s="14"/>
      <c r="T234" s="14"/>
      <c r="U234" s="14"/>
    </row>
    <row r="235" hidden="1">
      <c r="A235" s="61" t="str">
        <f>'Choix étudiants'!A234</f>
        <v/>
      </c>
      <c r="B235" s="62" t="str">
        <f>'Choix étudiants'!B234</f>
        <v/>
      </c>
      <c r="C235" s="14" t="str">
        <f>'Choix étudiants'!C234</f>
        <v/>
      </c>
      <c r="D235" s="14" t="str">
        <f>'Choix étudiants'!D234</f>
        <v/>
      </c>
      <c r="E235" s="14" t="str">
        <f>'Choix étudiants'!E234</f>
        <v/>
      </c>
      <c r="F235" s="14" t="str">
        <f>'Choix étudiants'!F234</f>
        <v/>
      </c>
      <c r="G235" s="14" t="str">
        <f>'Choix étudiants'!H234</f>
        <v/>
      </c>
      <c r="H235" s="14" t="str">
        <f>'Choix étudiants'!J234</f>
        <v/>
      </c>
      <c r="I235" s="14" t="str">
        <f>'Choix étudiants'!L234</f>
        <v/>
      </c>
      <c r="J235" s="14" t="str">
        <f>'Choix étudiants'!N234</f>
        <v/>
      </c>
      <c r="K235" s="14" t="str">
        <f>'Choix étudiants'!P234</f>
        <v/>
      </c>
      <c r="L235" s="14" t="str">
        <f>'Choix étudiants'!Q234</f>
        <v/>
      </c>
      <c r="M235" s="14"/>
      <c r="N235" s="14"/>
      <c r="O235" s="14"/>
      <c r="P235" s="14"/>
      <c r="Q235" s="14"/>
      <c r="R235" s="14"/>
      <c r="S235" s="14"/>
      <c r="T235" s="14"/>
      <c r="U235" s="14"/>
    </row>
    <row r="236" hidden="1">
      <c r="A236" s="61" t="str">
        <f>'Choix étudiants'!A235</f>
        <v/>
      </c>
      <c r="B236" s="62" t="str">
        <f>'Choix étudiants'!B235</f>
        <v/>
      </c>
      <c r="C236" s="14" t="str">
        <f>'Choix étudiants'!C235</f>
        <v/>
      </c>
      <c r="D236" s="14" t="str">
        <f>'Choix étudiants'!D235</f>
        <v/>
      </c>
      <c r="E236" s="14" t="str">
        <f>'Choix étudiants'!E235</f>
        <v/>
      </c>
      <c r="F236" s="14" t="str">
        <f>'Choix étudiants'!F235</f>
        <v/>
      </c>
      <c r="G236" s="14" t="str">
        <f>'Choix étudiants'!H235</f>
        <v/>
      </c>
      <c r="H236" s="14" t="str">
        <f>'Choix étudiants'!J235</f>
        <v/>
      </c>
      <c r="I236" s="14" t="str">
        <f>'Choix étudiants'!L235</f>
        <v/>
      </c>
      <c r="J236" s="14" t="str">
        <f>'Choix étudiants'!N235</f>
        <v/>
      </c>
      <c r="K236" s="14" t="str">
        <f>'Choix étudiants'!P235</f>
        <v/>
      </c>
      <c r="L236" s="14" t="str">
        <f>'Choix étudiants'!Q235</f>
        <v/>
      </c>
      <c r="M236" s="14"/>
      <c r="N236" s="14"/>
      <c r="O236" s="14"/>
      <c r="P236" s="14"/>
      <c r="Q236" s="14"/>
      <c r="R236" s="14"/>
      <c r="S236" s="14"/>
      <c r="T236" s="14"/>
      <c r="U236" s="14"/>
    </row>
    <row r="237" hidden="1">
      <c r="A237" s="61" t="str">
        <f>'Choix étudiants'!A236</f>
        <v/>
      </c>
      <c r="B237" s="62" t="str">
        <f>'Choix étudiants'!B236</f>
        <v/>
      </c>
      <c r="C237" s="14" t="str">
        <f>'Choix étudiants'!C236</f>
        <v/>
      </c>
      <c r="D237" s="14" t="str">
        <f>'Choix étudiants'!D236</f>
        <v/>
      </c>
      <c r="E237" s="14" t="str">
        <f>'Choix étudiants'!E236</f>
        <v/>
      </c>
      <c r="F237" s="14" t="str">
        <f>'Choix étudiants'!F236</f>
        <v/>
      </c>
      <c r="G237" s="14" t="str">
        <f>'Choix étudiants'!H236</f>
        <v/>
      </c>
      <c r="H237" s="14" t="str">
        <f>'Choix étudiants'!J236</f>
        <v/>
      </c>
      <c r="I237" s="14" t="str">
        <f>'Choix étudiants'!L236</f>
        <v/>
      </c>
      <c r="J237" s="14" t="str">
        <f>'Choix étudiants'!N236</f>
        <v/>
      </c>
      <c r="K237" s="14" t="str">
        <f>'Choix étudiants'!P236</f>
        <v/>
      </c>
      <c r="L237" s="14" t="str">
        <f>'Choix étudiants'!Q236</f>
        <v/>
      </c>
      <c r="M237" s="14"/>
      <c r="N237" s="14"/>
      <c r="O237" s="14"/>
      <c r="P237" s="14"/>
      <c r="Q237" s="14"/>
      <c r="R237" s="14"/>
      <c r="S237" s="14"/>
      <c r="T237" s="14"/>
      <c r="U237" s="14"/>
    </row>
    <row r="238" hidden="1">
      <c r="A238" s="61" t="str">
        <f>'Choix étudiants'!A237</f>
        <v/>
      </c>
      <c r="B238" s="62" t="str">
        <f>'Choix étudiants'!B237</f>
        <v/>
      </c>
      <c r="C238" s="14" t="str">
        <f>'Choix étudiants'!C237</f>
        <v/>
      </c>
      <c r="D238" s="14" t="str">
        <f>'Choix étudiants'!D237</f>
        <v/>
      </c>
      <c r="E238" s="14" t="str">
        <f>'Choix étudiants'!E237</f>
        <v/>
      </c>
      <c r="F238" s="14" t="str">
        <f>'Choix étudiants'!F237</f>
        <v/>
      </c>
      <c r="G238" s="14" t="str">
        <f>'Choix étudiants'!H237</f>
        <v/>
      </c>
      <c r="H238" s="14" t="str">
        <f>'Choix étudiants'!J237</f>
        <v/>
      </c>
      <c r="I238" s="14" t="str">
        <f>'Choix étudiants'!L237</f>
        <v/>
      </c>
      <c r="J238" s="14" t="str">
        <f>'Choix étudiants'!N237</f>
        <v/>
      </c>
      <c r="K238" s="14" t="str">
        <f>'Choix étudiants'!P237</f>
        <v/>
      </c>
      <c r="L238" s="14" t="str">
        <f>'Choix étudiants'!Q237</f>
        <v/>
      </c>
      <c r="M238" s="14"/>
      <c r="N238" s="14"/>
      <c r="O238" s="14"/>
      <c r="P238" s="14"/>
      <c r="Q238" s="14"/>
      <c r="R238" s="14"/>
      <c r="S238" s="14"/>
      <c r="T238" s="14"/>
      <c r="U238" s="14"/>
    </row>
    <row r="239" hidden="1">
      <c r="A239" s="61" t="str">
        <f>'Choix étudiants'!A238</f>
        <v/>
      </c>
      <c r="B239" s="62" t="str">
        <f>'Choix étudiants'!B238</f>
        <v/>
      </c>
      <c r="C239" s="14" t="str">
        <f>'Choix étudiants'!C238</f>
        <v/>
      </c>
      <c r="D239" s="14" t="str">
        <f>'Choix étudiants'!D238</f>
        <v/>
      </c>
      <c r="E239" s="14" t="str">
        <f>'Choix étudiants'!E238</f>
        <v/>
      </c>
      <c r="F239" s="14" t="str">
        <f>'Choix étudiants'!F238</f>
        <v/>
      </c>
      <c r="G239" s="14" t="str">
        <f>'Choix étudiants'!H238</f>
        <v/>
      </c>
      <c r="H239" s="14" t="str">
        <f>'Choix étudiants'!J238</f>
        <v/>
      </c>
      <c r="I239" s="14" t="str">
        <f>'Choix étudiants'!L238</f>
        <v/>
      </c>
      <c r="J239" s="14" t="str">
        <f>'Choix étudiants'!N238</f>
        <v/>
      </c>
      <c r="K239" s="14" t="str">
        <f>'Choix étudiants'!P238</f>
        <v/>
      </c>
      <c r="L239" s="14" t="str">
        <f>'Choix étudiants'!Q238</f>
        <v/>
      </c>
      <c r="M239" s="14"/>
      <c r="N239" s="14"/>
      <c r="O239" s="14"/>
      <c r="P239" s="14"/>
      <c r="Q239" s="14"/>
      <c r="R239" s="14"/>
      <c r="S239" s="14"/>
      <c r="T239" s="14"/>
      <c r="U239" s="14"/>
    </row>
    <row r="240" hidden="1">
      <c r="A240" s="61" t="str">
        <f>'Choix étudiants'!A239</f>
        <v/>
      </c>
      <c r="B240" s="62" t="str">
        <f>'Choix étudiants'!B239</f>
        <v/>
      </c>
      <c r="C240" s="14" t="str">
        <f>'Choix étudiants'!C239</f>
        <v/>
      </c>
      <c r="D240" s="14" t="str">
        <f>'Choix étudiants'!D239</f>
        <v/>
      </c>
      <c r="E240" s="14" t="str">
        <f>'Choix étudiants'!E239</f>
        <v/>
      </c>
      <c r="F240" s="14" t="str">
        <f>'Choix étudiants'!F239</f>
        <v/>
      </c>
      <c r="G240" s="14" t="str">
        <f>'Choix étudiants'!H239</f>
        <v/>
      </c>
      <c r="H240" s="14" t="str">
        <f>'Choix étudiants'!J239</f>
        <v/>
      </c>
      <c r="I240" s="14" t="str">
        <f>'Choix étudiants'!L239</f>
        <v/>
      </c>
      <c r="J240" s="14" t="str">
        <f>'Choix étudiants'!N239</f>
        <v/>
      </c>
      <c r="K240" s="14" t="str">
        <f>'Choix étudiants'!P239</f>
        <v/>
      </c>
      <c r="L240" s="14" t="str">
        <f>'Choix étudiants'!Q239</f>
        <v/>
      </c>
      <c r="M240" s="14"/>
      <c r="N240" s="14"/>
      <c r="O240" s="14"/>
      <c r="P240" s="14"/>
      <c r="Q240" s="14"/>
      <c r="R240" s="14"/>
      <c r="S240" s="14"/>
      <c r="T240" s="14"/>
      <c r="U240" s="14"/>
    </row>
    <row r="241" hidden="1">
      <c r="A241" s="14"/>
      <c r="B241" s="62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</row>
    <row r="242" hidden="1">
      <c r="A242" s="14"/>
      <c r="B242" s="62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</row>
    <row r="243" hidden="1">
      <c r="A243" s="14"/>
      <c r="B243" s="62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</row>
    <row r="244" hidden="1">
      <c r="A244" s="14"/>
      <c r="B244" s="62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 hidden="1">
      <c r="A245" s="14"/>
      <c r="B245" s="62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</row>
    <row r="246" hidden="1">
      <c r="A246" s="14"/>
      <c r="B246" s="62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</row>
    <row r="247" hidden="1">
      <c r="A247" s="14"/>
      <c r="B247" s="62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</row>
    <row r="248" hidden="1">
      <c r="A248" s="14"/>
      <c r="B248" s="62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</row>
    <row r="249" hidden="1">
      <c r="A249" s="14"/>
      <c r="B249" s="62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</row>
    <row r="250" hidden="1">
      <c r="A250" s="14"/>
      <c r="B250" s="62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 hidden="1">
      <c r="A251" s="14"/>
      <c r="B251" s="62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 hidden="1">
      <c r="A252" s="14"/>
      <c r="B252" s="62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 hidden="1">
      <c r="A253" s="14"/>
      <c r="B253" s="62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 hidden="1">
      <c r="A254" s="14"/>
      <c r="B254" s="62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 hidden="1">
      <c r="A255" s="14"/>
      <c r="B255" s="62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 hidden="1">
      <c r="A256" s="14"/>
      <c r="B256" s="62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 hidden="1">
      <c r="A257" s="14"/>
      <c r="B257" s="62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 hidden="1">
      <c r="A258" s="14"/>
      <c r="B258" s="62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 hidden="1">
      <c r="A259" s="14"/>
      <c r="B259" s="62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 hidden="1">
      <c r="A260" s="14"/>
      <c r="B260" s="62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 hidden="1">
      <c r="A261" s="14"/>
      <c r="B261" s="62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 hidden="1">
      <c r="A262" s="14"/>
      <c r="B262" s="62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</row>
    <row r="263" hidden="1">
      <c r="A263" s="14"/>
      <c r="B263" s="62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</row>
    <row r="264" hidden="1">
      <c r="A264" s="14"/>
      <c r="B264" s="62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 hidden="1">
      <c r="A265" s="14"/>
      <c r="B265" s="62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 hidden="1">
      <c r="A266" s="14"/>
      <c r="B266" s="62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</row>
    <row r="267" hidden="1">
      <c r="A267" s="14"/>
      <c r="B267" s="62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</row>
    <row r="268" hidden="1">
      <c r="A268" s="14"/>
      <c r="B268" s="62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 hidden="1">
      <c r="A269" s="14"/>
      <c r="B269" s="62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</row>
    <row r="270" hidden="1">
      <c r="A270" s="14"/>
      <c r="B270" s="62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 hidden="1">
      <c r="A271" s="14"/>
      <c r="B271" s="62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</row>
    <row r="272" hidden="1">
      <c r="A272" s="14"/>
      <c r="B272" s="62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</row>
    <row r="273" hidden="1">
      <c r="A273" s="14"/>
      <c r="B273" s="62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 hidden="1">
      <c r="A274" s="14"/>
      <c r="B274" s="62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 hidden="1">
      <c r="A275" s="14"/>
      <c r="B275" s="62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</row>
    <row r="276" hidden="1">
      <c r="A276" s="14"/>
      <c r="B276" s="62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 hidden="1">
      <c r="A277" s="14"/>
      <c r="B277" s="62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 hidden="1">
      <c r="A278" s="14"/>
      <c r="B278" s="62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 hidden="1">
      <c r="A279" s="14"/>
      <c r="B279" s="62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 hidden="1">
      <c r="A280" s="14"/>
      <c r="B280" s="62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 hidden="1">
      <c r="A281" s="14"/>
      <c r="B281" s="62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 hidden="1">
      <c r="A282" s="14"/>
      <c r="B282" s="62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 hidden="1">
      <c r="A283" s="14"/>
      <c r="B283" s="62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 hidden="1">
      <c r="A284" s="14"/>
      <c r="B284" s="62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 hidden="1">
      <c r="A285" s="14"/>
      <c r="B285" s="62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 hidden="1">
      <c r="A286" s="14"/>
      <c r="B286" s="62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 hidden="1">
      <c r="A287" s="14"/>
      <c r="B287" s="62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 hidden="1">
      <c r="A288" s="14"/>
      <c r="B288" s="62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 hidden="1">
      <c r="A289" s="14"/>
      <c r="B289" s="62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 hidden="1">
      <c r="A290" s="14"/>
      <c r="B290" s="62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 hidden="1">
      <c r="A291" s="14"/>
      <c r="B291" s="62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 hidden="1">
      <c r="A292" s="14"/>
      <c r="B292" s="62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 hidden="1">
      <c r="A293" s="14"/>
      <c r="B293" s="62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 hidden="1">
      <c r="A294" s="14"/>
      <c r="B294" s="62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 hidden="1">
      <c r="A295" s="14"/>
      <c r="B295" s="62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 hidden="1">
      <c r="A296" s="14"/>
      <c r="B296" s="62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 hidden="1">
      <c r="A297" s="14"/>
      <c r="B297" s="62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 hidden="1">
      <c r="A298" s="14"/>
      <c r="B298" s="62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 hidden="1">
      <c r="A299" s="14"/>
      <c r="B299" s="62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 hidden="1">
      <c r="A300" s="14"/>
      <c r="B300" s="62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 hidden="1">
      <c r="A301" s="14"/>
      <c r="B301" s="62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 hidden="1">
      <c r="A302" s="14"/>
      <c r="B302" s="62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hidden="1">
      <c r="A303" s="14"/>
      <c r="B303" s="62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 hidden="1">
      <c r="A304" s="14"/>
      <c r="B304" s="62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 hidden="1">
      <c r="A305" s="14"/>
      <c r="B305" s="62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 hidden="1">
      <c r="A306" s="14"/>
      <c r="B306" s="62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 hidden="1">
      <c r="A307" s="14"/>
      <c r="B307" s="62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</row>
    <row r="308" hidden="1">
      <c r="A308" s="14"/>
      <c r="B308" s="62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 hidden="1">
      <c r="A309" s="14"/>
      <c r="B309" s="62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 hidden="1">
      <c r="A310" s="14"/>
      <c r="B310" s="62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 hidden="1">
      <c r="A311" s="14"/>
      <c r="B311" s="62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 hidden="1">
      <c r="A312" s="14"/>
      <c r="B312" s="62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</row>
    <row r="313" hidden="1">
      <c r="A313" s="14"/>
      <c r="B313" s="62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</row>
    <row r="314" hidden="1">
      <c r="A314" s="14"/>
      <c r="B314" s="62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 hidden="1">
      <c r="A315" s="14"/>
      <c r="B315" s="62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 hidden="1">
      <c r="A316" s="14"/>
      <c r="B316" s="62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 hidden="1">
      <c r="A317" s="14"/>
      <c r="B317" s="62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 hidden="1">
      <c r="A318" s="14"/>
      <c r="B318" s="62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 hidden="1">
      <c r="A319" s="14"/>
      <c r="B319" s="62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 hidden="1">
      <c r="A320" s="14"/>
      <c r="B320" s="62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 hidden="1">
      <c r="A321" s="14"/>
      <c r="B321" s="62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 hidden="1">
      <c r="A322" s="14"/>
      <c r="B322" s="62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</row>
    <row r="323" hidden="1">
      <c r="A323" s="14"/>
      <c r="B323" s="62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</row>
    <row r="324" hidden="1">
      <c r="A324" s="14"/>
      <c r="B324" s="62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</row>
    <row r="325" hidden="1">
      <c r="A325" s="14"/>
      <c r="B325" s="62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</row>
    <row r="326" hidden="1">
      <c r="A326" s="14"/>
      <c r="B326" s="62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</row>
    <row r="327" hidden="1">
      <c r="A327" s="14"/>
      <c r="B327" s="62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</row>
    <row r="328" hidden="1">
      <c r="A328" s="14"/>
      <c r="B328" s="62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</row>
    <row r="329" hidden="1">
      <c r="A329" s="14"/>
      <c r="B329" s="62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</row>
    <row r="330" hidden="1">
      <c r="A330" s="14"/>
      <c r="B330" s="62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</row>
    <row r="331" hidden="1">
      <c r="A331" s="14"/>
      <c r="B331" s="62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</row>
    <row r="332" hidden="1">
      <c r="A332" s="14"/>
      <c r="B332" s="62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</row>
    <row r="333" hidden="1">
      <c r="A333" s="14"/>
      <c r="B333" s="62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</row>
    <row r="334" hidden="1">
      <c r="A334" s="14"/>
      <c r="B334" s="62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</row>
    <row r="335" hidden="1">
      <c r="A335" s="14"/>
      <c r="B335" s="62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</row>
    <row r="336" hidden="1">
      <c r="A336" s="14"/>
      <c r="B336" s="62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</row>
    <row r="337" hidden="1">
      <c r="A337" s="14"/>
      <c r="B337" s="62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</row>
    <row r="338" hidden="1">
      <c r="A338" s="14"/>
      <c r="B338" s="62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</row>
    <row r="339" hidden="1">
      <c r="A339" s="14"/>
      <c r="B339" s="62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</row>
    <row r="340" hidden="1">
      <c r="A340" s="14"/>
      <c r="B340" s="62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</row>
    <row r="341" hidden="1">
      <c r="A341" s="14"/>
      <c r="B341" s="62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</row>
    <row r="342" hidden="1">
      <c r="A342" s="14"/>
      <c r="B342" s="62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</row>
    <row r="343" hidden="1">
      <c r="A343" s="14"/>
      <c r="B343" s="62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  <row r="344" hidden="1">
      <c r="A344" s="14"/>
      <c r="B344" s="62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 hidden="1">
      <c r="A345" s="14"/>
      <c r="B345" s="62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 hidden="1">
      <c r="A346" s="14"/>
      <c r="B346" s="62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</row>
    <row r="347" hidden="1">
      <c r="A347" s="14"/>
      <c r="B347" s="62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</row>
    <row r="348" hidden="1">
      <c r="A348" s="14"/>
      <c r="B348" s="62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</row>
    <row r="349" hidden="1">
      <c r="A349" s="14"/>
      <c r="B349" s="62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</row>
    <row r="350" hidden="1">
      <c r="A350" s="14"/>
      <c r="B350" s="62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 hidden="1">
      <c r="A351" s="14"/>
      <c r="B351" s="62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 hidden="1">
      <c r="A352" s="14"/>
      <c r="B352" s="62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 hidden="1">
      <c r="A353" s="14"/>
      <c r="B353" s="62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 hidden="1">
      <c r="A354" s="14"/>
      <c r="B354" s="62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</row>
    <row r="355" hidden="1">
      <c r="A355" s="14"/>
      <c r="B355" s="62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</row>
    <row r="356" hidden="1">
      <c r="A356" s="14"/>
      <c r="B356" s="62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</row>
    <row r="357" hidden="1">
      <c r="A357" s="14"/>
      <c r="B357" s="62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</row>
    <row r="358" hidden="1">
      <c r="A358" s="14"/>
      <c r="B358" s="62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 hidden="1">
      <c r="A359" s="14"/>
      <c r="B359" s="62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 hidden="1">
      <c r="A360" s="14"/>
      <c r="B360" s="62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</row>
    <row r="361" hidden="1">
      <c r="A361" s="14"/>
      <c r="B361" s="62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</row>
    <row r="362" hidden="1">
      <c r="A362" s="14"/>
      <c r="B362" s="62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 hidden="1">
      <c r="A363" s="14"/>
      <c r="B363" s="62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 hidden="1">
      <c r="A364" s="14"/>
      <c r="B364" s="62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</row>
    <row r="365" hidden="1">
      <c r="A365" s="14"/>
      <c r="B365" s="62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</row>
    <row r="366" hidden="1">
      <c r="A366" s="14"/>
      <c r="B366" s="62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 hidden="1">
      <c r="A367" s="14"/>
      <c r="B367" s="62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 hidden="1">
      <c r="A368" s="14"/>
      <c r="B368" s="62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</row>
    <row r="369" hidden="1">
      <c r="A369" s="14"/>
      <c r="B369" s="62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</row>
    <row r="370" hidden="1">
      <c r="A370" s="14"/>
      <c r="B370" s="62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</row>
    <row r="371" hidden="1">
      <c r="A371" s="14"/>
      <c r="B371" s="62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</row>
    <row r="372" hidden="1">
      <c r="A372" s="14"/>
      <c r="B372" s="62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 hidden="1">
      <c r="A373" s="14"/>
      <c r="B373" s="62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 hidden="1">
      <c r="A374" s="14"/>
      <c r="B374" s="62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</row>
    <row r="375" hidden="1">
      <c r="A375" s="14"/>
      <c r="B375" s="62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</row>
    <row r="376" hidden="1">
      <c r="A376" s="14"/>
      <c r="B376" s="62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</row>
    <row r="377" hidden="1">
      <c r="A377" s="14"/>
      <c r="B377" s="62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 hidden="1">
      <c r="A378" s="14"/>
      <c r="B378" s="62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 hidden="1">
      <c r="A379" s="14"/>
      <c r="B379" s="62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 hidden="1">
      <c r="A380" s="14"/>
      <c r="B380" s="62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</row>
    <row r="381" hidden="1">
      <c r="A381" s="14"/>
      <c r="B381" s="62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</row>
    <row r="382" hidden="1">
      <c r="A382" s="14"/>
      <c r="B382" s="62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</row>
    <row r="383" hidden="1">
      <c r="A383" s="14"/>
      <c r="B383" s="62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</row>
    <row r="384" hidden="1">
      <c r="A384" s="14"/>
      <c r="B384" s="62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</row>
    <row r="385" hidden="1">
      <c r="A385" s="14"/>
      <c r="B385" s="62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</row>
    <row r="386" hidden="1">
      <c r="A386" s="14"/>
      <c r="B386" s="62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</row>
    <row r="387" hidden="1">
      <c r="A387" s="14"/>
      <c r="B387" s="62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</row>
    <row r="388" hidden="1">
      <c r="A388" s="14"/>
      <c r="B388" s="62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 hidden="1">
      <c r="A389" s="14"/>
      <c r="B389" s="62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 hidden="1">
      <c r="A390" s="14"/>
      <c r="B390" s="62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</row>
    <row r="391" hidden="1">
      <c r="A391" s="14"/>
      <c r="B391" s="62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</row>
    <row r="392" hidden="1">
      <c r="A392" s="14"/>
      <c r="B392" s="62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</row>
    <row r="393" hidden="1">
      <c r="A393" s="14"/>
      <c r="B393" s="62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</row>
    <row r="394" hidden="1">
      <c r="A394" s="14"/>
      <c r="B394" s="62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</row>
    <row r="395" hidden="1">
      <c r="A395" s="14"/>
      <c r="B395" s="62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</row>
    <row r="396" hidden="1">
      <c r="A396" s="14"/>
      <c r="B396" s="62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</row>
    <row r="397" hidden="1">
      <c r="A397" s="14"/>
      <c r="B397" s="62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</row>
    <row r="398" hidden="1">
      <c r="A398" s="14"/>
      <c r="B398" s="62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</row>
    <row r="399" hidden="1">
      <c r="A399" s="14"/>
      <c r="B399" s="62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</row>
    <row r="400" hidden="1">
      <c r="A400" s="14"/>
      <c r="B400" s="62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</row>
    <row r="401" hidden="1">
      <c r="A401" s="14"/>
      <c r="B401" s="62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</row>
    <row r="402" hidden="1">
      <c r="A402" s="14"/>
      <c r="B402" s="62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</row>
    <row r="403" hidden="1">
      <c r="A403" s="14"/>
      <c r="B403" s="62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</row>
    <row r="404" hidden="1">
      <c r="A404" s="14"/>
      <c r="B404" s="62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</row>
    <row r="405" hidden="1">
      <c r="A405" s="14"/>
      <c r="B405" s="62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</row>
    <row r="406" hidden="1">
      <c r="A406" s="14"/>
      <c r="B406" s="62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</row>
    <row r="407" hidden="1">
      <c r="A407" s="14"/>
      <c r="B407" s="62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</row>
    <row r="408" hidden="1">
      <c r="A408" s="14"/>
      <c r="B408" s="62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</row>
    <row r="409" hidden="1">
      <c r="A409" s="14"/>
      <c r="B409" s="62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</row>
    <row r="410" hidden="1">
      <c r="A410" s="14"/>
      <c r="B410" s="62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</row>
    <row r="411" hidden="1">
      <c r="A411" s="14"/>
      <c r="B411" s="62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</row>
    <row r="412" hidden="1">
      <c r="A412" s="14"/>
      <c r="B412" s="62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</row>
    <row r="413" hidden="1">
      <c r="A413" s="14"/>
      <c r="B413" s="62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</row>
    <row r="414" hidden="1">
      <c r="A414" s="14"/>
      <c r="B414" s="62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</row>
    <row r="415" hidden="1">
      <c r="A415" s="14"/>
      <c r="B415" s="62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</row>
    <row r="416" hidden="1">
      <c r="A416" s="14"/>
      <c r="B416" s="62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</row>
    <row r="417" hidden="1">
      <c r="A417" s="14"/>
      <c r="B417" s="62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</row>
    <row r="418" hidden="1">
      <c r="A418" s="14"/>
      <c r="B418" s="62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 hidden="1">
      <c r="A419" s="14"/>
      <c r="B419" s="62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 hidden="1">
      <c r="A420" s="14"/>
      <c r="B420" s="62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 hidden="1">
      <c r="A421" s="14"/>
      <c r="B421" s="62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 hidden="1">
      <c r="A422" s="14"/>
      <c r="B422" s="62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 hidden="1">
      <c r="A423" s="14"/>
      <c r="B423" s="62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 hidden="1">
      <c r="A424" s="14"/>
      <c r="B424" s="62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 hidden="1">
      <c r="A425" s="14"/>
      <c r="B425" s="62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 hidden="1">
      <c r="A426" s="14"/>
      <c r="B426" s="62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</row>
    <row r="427" hidden="1">
      <c r="A427" s="14"/>
      <c r="B427" s="62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 hidden="1">
      <c r="A428" s="14"/>
      <c r="B428" s="62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 hidden="1">
      <c r="A429" s="14"/>
      <c r="B429" s="62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 hidden="1">
      <c r="A430" s="14"/>
      <c r="B430" s="62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 hidden="1">
      <c r="A431" s="14"/>
      <c r="B431" s="62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 hidden="1">
      <c r="A432" s="14"/>
      <c r="B432" s="62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</row>
    <row r="433" hidden="1">
      <c r="A433" s="14"/>
      <c r="B433" s="62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</row>
    <row r="434" hidden="1">
      <c r="A434" s="14"/>
      <c r="B434" s="62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</row>
    <row r="435" hidden="1">
      <c r="A435" s="14"/>
      <c r="B435" s="62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 hidden="1">
      <c r="A436" s="14"/>
      <c r="B436" s="62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</row>
    <row r="437" hidden="1">
      <c r="A437" s="14"/>
      <c r="B437" s="62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</row>
    <row r="438" hidden="1">
      <c r="A438" s="14"/>
      <c r="B438" s="62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</row>
    <row r="439" hidden="1">
      <c r="A439" s="14"/>
      <c r="B439" s="62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</row>
    <row r="440" hidden="1">
      <c r="A440" s="14"/>
      <c r="B440" s="62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 hidden="1">
      <c r="A441" s="14"/>
      <c r="B441" s="62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 hidden="1">
      <c r="A442" s="14"/>
      <c r="B442" s="62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</row>
    <row r="443" hidden="1">
      <c r="A443" s="14"/>
      <c r="B443" s="62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</row>
    <row r="444" hidden="1">
      <c r="A444" s="14"/>
      <c r="B444" s="62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 hidden="1">
      <c r="A445" s="14"/>
      <c r="B445" s="62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 hidden="1">
      <c r="A446" s="14"/>
      <c r="B446" s="62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 hidden="1">
      <c r="A447" s="14"/>
      <c r="B447" s="62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 hidden="1">
      <c r="A448" s="14"/>
      <c r="B448" s="62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 hidden="1">
      <c r="A449" s="14"/>
      <c r="B449" s="62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 hidden="1">
      <c r="A450" s="14"/>
      <c r="B450" s="62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</row>
    <row r="451" hidden="1">
      <c r="A451" s="14"/>
      <c r="B451" s="62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 hidden="1">
      <c r="A452" s="14"/>
      <c r="B452" s="62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 hidden="1">
      <c r="A453" s="14"/>
      <c r="B453" s="62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 hidden="1">
      <c r="A454" s="14"/>
      <c r="B454" s="62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 hidden="1">
      <c r="A455" s="14"/>
      <c r="B455" s="62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 hidden="1">
      <c r="A456" s="14"/>
      <c r="B456" s="62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 hidden="1">
      <c r="A457" s="14"/>
      <c r="B457" s="62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 hidden="1">
      <c r="A458" s="14"/>
      <c r="B458" s="62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</row>
    <row r="459" hidden="1">
      <c r="A459" s="14"/>
      <c r="B459" s="62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 hidden="1">
      <c r="A460" s="14"/>
      <c r="B460" s="62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 hidden="1">
      <c r="A461" s="14"/>
      <c r="B461" s="62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 hidden="1">
      <c r="A462" s="14"/>
      <c r="B462" s="62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 hidden="1">
      <c r="A463" s="14"/>
      <c r="B463" s="62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 hidden="1">
      <c r="A464" s="14"/>
      <c r="B464" s="62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 hidden="1">
      <c r="A465" s="14"/>
      <c r="B465" s="62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</row>
    <row r="466" hidden="1">
      <c r="A466" s="14"/>
      <c r="B466" s="62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 hidden="1">
      <c r="A467" s="14"/>
      <c r="B467" s="62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 hidden="1">
      <c r="A468" s="14"/>
      <c r="B468" s="62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 hidden="1">
      <c r="A469" s="14"/>
      <c r="B469" s="62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 hidden="1">
      <c r="A470" s="14"/>
      <c r="B470" s="62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hidden="1">
      <c r="A471" s="14"/>
      <c r="B471" s="62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hidden="1">
      <c r="A472" s="14"/>
      <c r="B472" s="62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hidden="1">
      <c r="A473" s="14"/>
      <c r="B473" s="62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hidden="1">
      <c r="A474" s="14"/>
      <c r="B474" s="62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hidden="1">
      <c r="A475" s="14"/>
      <c r="B475" s="62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hidden="1">
      <c r="A476" s="14"/>
      <c r="B476" s="62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hidden="1">
      <c r="A477" s="14"/>
      <c r="B477" s="62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hidden="1">
      <c r="A478" s="14"/>
      <c r="B478" s="62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hidden="1">
      <c r="A479" s="14"/>
      <c r="B479" s="62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hidden="1">
      <c r="A480" s="14"/>
      <c r="B480" s="62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hidden="1">
      <c r="A481" s="14"/>
      <c r="B481" s="62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hidden="1">
      <c r="A482" s="14"/>
      <c r="B482" s="62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hidden="1">
      <c r="A483" s="14"/>
      <c r="B483" s="62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hidden="1">
      <c r="A484" s="14"/>
      <c r="B484" s="62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hidden="1">
      <c r="A485" s="14"/>
      <c r="B485" s="62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hidden="1">
      <c r="A486" s="14"/>
      <c r="B486" s="62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hidden="1">
      <c r="A487" s="14"/>
      <c r="B487" s="62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hidden="1">
      <c r="A488" s="14"/>
      <c r="B488" s="62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hidden="1">
      <c r="A489" s="14"/>
      <c r="B489" s="62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hidden="1">
      <c r="A490" s="14"/>
      <c r="B490" s="62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hidden="1">
      <c r="A491" s="14"/>
      <c r="B491" s="62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hidden="1">
      <c r="A492" s="14"/>
      <c r="B492" s="62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hidden="1">
      <c r="A493" s="14"/>
      <c r="B493" s="62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hidden="1">
      <c r="A494" s="14"/>
      <c r="B494" s="62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 hidden="1">
      <c r="A495" s="14"/>
      <c r="B495" s="62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 hidden="1">
      <c r="A496" s="14"/>
      <c r="B496" s="62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 hidden="1">
      <c r="A497" s="14"/>
      <c r="B497" s="62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 hidden="1">
      <c r="A498" s="14"/>
      <c r="B498" s="62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 hidden="1">
      <c r="A499" s="14"/>
      <c r="B499" s="62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 hidden="1">
      <c r="A500" s="14"/>
      <c r="B500" s="62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hidden="1">
      <c r="A501" s="14"/>
      <c r="B501" s="62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hidden="1">
      <c r="A502" s="14"/>
      <c r="B502" s="62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 hidden="1">
      <c r="A503" s="14"/>
      <c r="B503" s="62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 hidden="1">
      <c r="A504" s="14"/>
      <c r="B504" s="62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 hidden="1">
      <c r="A505" s="14"/>
      <c r="B505" s="62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 hidden="1">
      <c r="A506" s="14"/>
      <c r="B506" s="62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 hidden="1">
      <c r="A507" s="14"/>
      <c r="B507" s="62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 hidden="1">
      <c r="A508" s="14"/>
      <c r="B508" s="62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hidden="1">
      <c r="A509" s="14"/>
      <c r="B509" s="62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hidden="1">
      <c r="A510" s="14"/>
      <c r="B510" s="62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hidden="1">
      <c r="A511" s="14"/>
      <c r="B511" s="62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hidden="1">
      <c r="A512" s="14"/>
      <c r="B512" s="62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 hidden="1">
      <c r="A513" s="14"/>
      <c r="B513" s="62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 hidden="1">
      <c r="A514" s="14"/>
      <c r="B514" s="62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hidden="1">
      <c r="A515" s="14"/>
      <c r="B515" s="62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hidden="1">
      <c r="A516" s="14"/>
      <c r="B516" s="62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hidden="1">
      <c r="A517" s="14"/>
      <c r="B517" s="62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hidden="1">
      <c r="A518" s="14"/>
      <c r="B518" s="62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hidden="1">
      <c r="A519" s="14"/>
      <c r="B519" s="62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hidden="1">
      <c r="A520" s="14"/>
      <c r="B520" s="62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 hidden="1">
      <c r="A521" s="14"/>
      <c r="B521" s="62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 hidden="1">
      <c r="A522" s="14"/>
      <c r="B522" s="62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hidden="1">
      <c r="A523" s="14"/>
      <c r="B523" s="62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hidden="1">
      <c r="A524" s="14"/>
      <c r="B524" s="62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hidden="1">
      <c r="A525" s="14"/>
      <c r="B525" s="62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hidden="1">
      <c r="A526" s="14"/>
      <c r="B526" s="62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hidden="1">
      <c r="A527" s="14"/>
      <c r="B527" s="62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hidden="1">
      <c r="A528" s="14"/>
      <c r="B528" s="62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hidden="1">
      <c r="A529" s="14"/>
      <c r="B529" s="62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hidden="1">
      <c r="A530" s="14"/>
      <c r="B530" s="62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 hidden="1">
      <c r="A531" s="14"/>
      <c r="B531" s="62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 hidden="1">
      <c r="A532" s="14"/>
      <c r="B532" s="62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 hidden="1">
      <c r="A533" s="14"/>
      <c r="B533" s="62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 hidden="1">
      <c r="A534" s="14"/>
      <c r="B534" s="62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 hidden="1">
      <c r="A535" s="14"/>
      <c r="B535" s="62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 hidden="1">
      <c r="A536" s="14"/>
      <c r="B536" s="62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hidden="1">
      <c r="A537" s="14"/>
      <c r="B537" s="62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hidden="1">
      <c r="A538" s="14"/>
      <c r="B538" s="62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 hidden="1">
      <c r="A539" s="14"/>
      <c r="B539" s="62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 hidden="1">
      <c r="A540" s="14"/>
      <c r="B540" s="62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hidden="1">
      <c r="A541" s="14"/>
      <c r="B541" s="62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hidden="1">
      <c r="A542" s="14"/>
      <c r="B542" s="62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hidden="1">
      <c r="A543" s="14"/>
      <c r="B543" s="62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hidden="1">
      <c r="A544" s="14"/>
      <c r="B544" s="62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 hidden="1">
      <c r="A545" s="14"/>
      <c r="B545" s="62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 hidden="1">
      <c r="A546" s="14"/>
      <c r="B546" s="62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 hidden="1">
      <c r="A547" s="14"/>
      <c r="B547" s="62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 hidden="1">
      <c r="A548" s="14"/>
      <c r="B548" s="62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 hidden="1">
      <c r="A549" s="14"/>
      <c r="B549" s="62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 hidden="1">
      <c r="A550" s="14"/>
      <c r="B550" s="62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hidden="1">
      <c r="A551" s="14"/>
      <c r="B551" s="62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hidden="1">
      <c r="A552" s="14"/>
      <c r="B552" s="62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hidden="1">
      <c r="A553" s="14"/>
      <c r="B553" s="62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hidden="1">
      <c r="A554" s="14"/>
      <c r="B554" s="62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 hidden="1">
      <c r="A555" s="14"/>
      <c r="B555" s="62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 hidden="1">
      <c r="A556" s="14"/>
      <c r="B556" s="62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hidden="1">
      <c r="A557" s="14"/>
      <c r="B557" s="62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hidden="1">
      <c r="A558" s="14"/>
      <c r="B558" s="62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hidden="1">
      <c r="A559" s="14"/>
      <c r="B559" s="62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hidden="1">
      <c r="A560" s="14"/>
      <c r="B560" s="62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 hidden="1">
      <c r="A561" s="14"/>
      <c r="B561" s="62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 hidden="1">
      <c r="A562" s="14"/>
      <c r="B562" s="62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hidden="1">
      <c r="A563" s="14"/>
      <c r="B563" s="62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hidden="1">
      <c r="A564" s="14"/>
      <c r="B564" s="62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hidden="1">
      <c r="A565" s="14"/>
      <c r="B565" s="62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hidden="1">
      <c r="A566" s="14"/>
      <c r="B566" s="62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hidden="1">
      <c r="A567" s="14"/>
      <c r="B567" s="62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hidden="1">
      <c r="A568" s="14"/>
      <c r="B568" s="62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hidden="1">
      <c r="A569" s="14"/>
      <c r="B569" s="62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hidden="1">
      <c r="A570" s="14"/>
      <c r="B570" s="62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 hidden="1">
      <c r="A571" s="14"/>
      <c r="B571" s="62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 hidden="1">
      <c r="A572" s="14"/>
      <c r="B572" s="62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hidden="1">
      <c r="A573" s="14"/>
      <c r="B573" s="62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hidden="1">
      <c r="A574" s="14"/>
      <c r="B574" s="62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 hidden="1">
      <c r="A575" s="14"/>
      <c r="B575" s="62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 hidden="1">
      <c r="A576" s="14"/>
      <c r="B576" s="62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 hidden="1">
      <c r="A577" s="14"/>
      <c r="B577" s="62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 hidden="1">
      <c r="A578" s="14"/>
      <c r="B578" s="62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hidden="1">
      <c r="A579" s="14"/>
      <c r="B579" s="62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hidden="1">
      <c r="A580" s="14"/>
      <c r="B580" s="62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 hidden="1">
      <c r="A581" s="14"/>
      <c r="B581" s="62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 hidden="1">
      <c r="A582" s="14"/>
      <c r="B582" s="62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 hidden="1">
      <c r="A583" s="14"/>
      <c r="B583" s="62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 hidden="1">
      <c r="A584" s="14"/>
      <c r="B584" s="62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 hidden="1">
      <c r="A585" s="14"/>
      <c r="B585" s="62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 hidden="1">
      <c r="A586" s="14"/>
      <c r="B586" s="62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hidden="1">
      <c r="A587" s="14"/>
      <c r="B587" s="62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hidden="1">
      <c r="A588" s="14"/>
      <c r="B588" s="62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hidden="1">
      <c r="A589" s="14"/>
      <c r="B589" s="62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hidden="1">
      <c r="A590" s="14"/>
      <c r="B590" s="62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hidden="1">
      <c r="A591" s="14"/>
      <c r="B591" s="62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hidden="1">
      <c r="A592" s="14"/>
      <c r="B592" s="62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 hidden="1">
      <c r="A593" s="14"/>
      <c r="B593" s="62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 hidden="1">
      <c r="A594" s="14"/>
      <c r="B594" s="62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hidden="1">
      <c r="A595" s="14"/>
      <c r="B595" s="62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hidden="1">
      <c r="A596" s="14"/>
      <c r="B596" s="62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 hidden="1">
      <c r="A597" s="14"/>
      <c r="B597" s="62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 hidden="1">
      <c r="A598" s="14"/>
      <c r="B598" s="62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hidden="1">
      <c r="A599" s="14"/>
      <c r="B599" s="62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hidden="1">
      <c r="A600" s="14"/>
      <c r="B600" s="62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 hidden="1">
      <c r="A601" s="14"/>
      <c r="B601" s="62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 hidden="1">
      <c r="A602" s="14"/>
      <c r="B602" s="62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hidden="1">
      <c r="A603" s="14"/>
      <c r="B603" s="62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hidden="1">
      <c r="A604" s="14"/>
      <c r="B604" s="62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hidden="1">
      <c r="A605" s="14"/>
      <c r="B605" s="62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hidden="1">
      <c r="A606" s="14"/>
      <c r="B606" s="62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hidden="1">
      <c r="A607" s="14"/>
      <c r="B607" s="62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hidden="1">
      <c r="A608" s="14"/>
      <c r="B608" s="62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 hidden="1">
      <c r="A609" s="14"/>
      <c r="B609" s="62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 hidden="1">
      <c r="A610" s="14"/>
      <c r="B610" s="62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hidden="1">
      <c r="A611" s="14"/>
      <c r="B611" s="62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hidden="1">
      <c r="A612" s="14"/>
      <c r="B612" s="62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 hidden="1">
      <c r="A613" s="14"/>
      <c r="B613" s="62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 hidden="1">
      <c r="A614" s="14"/>
      <c r="B614" s="62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 hidden="1">
      <c r="A615" s="14"/>
      <c r="B615" s="62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 hidden="1">
      <c r="A616" s="14"/>
      <c r="B616" s="62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hidden="1">
      <c r="A617" s="14"/>
      <c r="B617" s="62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hidden="1">
      <c r="A618" s="14"/>
      <c r="B618" s="62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hidden="1">
      <c r="A619" s="14"/>
      <c r="B619" s="62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hidden="1">
      <c r="A620" s="14"/>
      <c r="B620" s="62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hidden="1">
      <c r="A621" s="14"/>
      <c r="B621" s="62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hidden="1">
      <c r="A622" s="14"/>
      <c r="B622" s="62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 hidden="1">
      <c r="A623" s="14"/>
      <c r="B623" s="62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 hidden="1">
      <c r="A624" s="14"/>
      <c r="B624" s="62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hidden="1">
      <c r="A625" s="14"/>
      <c r="B625" s="62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hidden="1">
      <c r="A626" s="14"/>
      <c r="B626" s="62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hidden="1">
      <c r="A627" s="14"/>
      <c r="B627" s="62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hidden="1">
      <c r="A628" s="14"/>
      <c r="B628" s="62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hidden="1">
      <c r="A629" s="14"/>
      <c r="B629" s="62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hidden="1">
      <c r="A630" s="14"/>
      <c r="B630" s="62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 hidden="1">
      <c r="A631" s="14"/>
      <c r="B631" s="62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 hidden="1">
      <c r="A632" s="14"/>
      <c r="B632" s="62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hidden="1">
      <c r="A633" s="14"/>
      <c r="B633" s="62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hidden="1">
      <c r="A634" s="14"/>
      <c r="B634" s="62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hidden="1">
      <c r="A635" s="14"/>
      <c r="B635" s="62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hidden="1">
      <c r="A636" s="14"/>
      <c r="B636" s="62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hidden="1">
      <c r="A637" s="14"/>
      <c r="B637" s="62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hidden="1">
      <c r="A638" s="14"/>
      <c r="B638" s="62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hidden="1">
      <c r="A639" s="14"/>
      <c r="B639" s="62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hidden="1">
      <c r="A640" s="14"/>
      <c r="B640" s="62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hidden="1">
      <c r="A641" s="14"/>
      <c r="B641" s="62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hidden="1">
      <c r="A642" s="14"/>
      <c r="B642" s="62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hidden="1">
      <c r="A643" s="14"/>
      <c r="B643" s="62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hidden="1">
      <c r="A644" s="14"/>
      <c r="B644" s="62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hidden="1">
      <c r="A645" s="14"/>
      <c r="B645" s="62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hidden="1">
      <c r="A646" s="14"/>
      <c r="B646" s="62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 hidden="1">
      <c r="A647" s="14"/>
      <c r="B647" s="62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 hidden="1">
      <c r="A648" s="14"/>
      <c r="B648" s="62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hidden="1">
      <c r="A649" s="14"/>
      <c r="B649" s="62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hidden="1">
      <c r="A650" s="14"/>
      <c r="B650" s="62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hidden="1">
      <c r="A651" s="14"/>
      <c r="B651" s="62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hidden="1">
      <c r="A652" s="14"/>
      <c r="B652" s="62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 hidden="1">
      <c r="A653" s="14"/>
      <c r="B653" s="62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 hidden="1">
      <c r="A654" s="14"/>
      <c r="B654" s="62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 hidden="1">
      <c r="A655" s="14"/>
      <c r="B655" s="62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 hidden="1">
      <c r="A656" s="14"/>
      <c r="B656" s="62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hidden="1">
      <c r="A657" s="14"/>
      <c r="B657" s="62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hidden="1">
      <c r="A658" s="14"/>
      <c r="B658" s="62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hidden="1">
      <c r="A659" s="14"/>
      <c r="B659" s="62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hidden="1">
      <c r="A660" s="14"/>
      <c r="B660" s="62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 hidden="1">
      <c r="A661" s="14"/>
      <c r="B661" s="62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 hidden="1">
      <c r="A662" s="14"/>
      <c r="B662" s="62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hidden="1">
      <c r="A663" s="14"/>
      <c r="B663" s="62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hidden="1">
      <c r="A664" s="14"/>
      <c r="B664" s="62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 hidden="1">
      <c r="A665" s="14"/>
      <c r="B665" s="62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 hidden="1">
      <c r="A666" s="14"/>
      <c r="B666" s="62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 hidden="1">
      <c r="A667" s="14"/>
      <c r="B667" s="62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 hidden="1">
      <c r="A668" s="14"/>
      <c r="B668" s="62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hidden="1">
      <c r="A669" s="14"/>
      <c r="B669" s="62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hidden="1">
      <c r="A670" s="14"/>
      <c r="B670" s="62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hidden="1">
      <c r="A671" s="14"/>
      <c r="B671" s="62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hidden="1">
      <c r="A672" s="14"/>
      <c r="B672" s="62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 hidden="1">
      <c r="A673" s="14"/>
      <c r="B673" s="62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 hidden="1">
      <c r="A674" s="14"/>
      <c r="B674" s="62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hidden="1">
      <c r="A675" s="14"/>
      <c r="B675" s="62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hidden="1">
      <c r="A676" s="14"/>
      <c r="B676" s="62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 hidden="1">
      <c r="A677" s="14"/>
      <c r="B677" s="62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 hidden="1">
      <c r="A678" s="14"/>
      <c r="B678" s="62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hidden="1">
      <c r="A679" s="14"/>
      <c r="B679" s="62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hidden="1">
      <c r="A680" s="14"/>
      <c r="B680" s="62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hidden="1">
      <c r="A681" s="14"/>
      <c r="B681" s="62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hidden="1">
      <c r="A682" s="14"/>
      <c r="B682" s="62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hidden="1">
      <c r="A683" s="14"/>
      <c r="B683" s="62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hidden="1">
      <c r="A684" s="14"/>
      <c r="B684" s="62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hidden="1">
      <c r="A685" s="14"/>
      <c r="B685" s="62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hidden="1">
      <c r="A686" s="14"/>
      <c r="B686" s="62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hidden="1">
      <c r="A687" s="14"/>
      <c r="B687" s="62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hidden="1">
      <c r="A688" s="14"/>
      <c r="B688" s="62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hidden="1">
      <c r="A689" s="14"/>
      <c r="B689" s="62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hidden="1">
      <c r="A690" s="14"/>
      <c r="B690" s="62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hidden="1">
      <c r="A691" s="14"/>
      <c r="B691" s="62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hidden="1">
      <c r="A692" s="14"/>
      <c r="B692" s="62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 hidden="1">
      <c r="A693" s="14"/>
      <c r="B693" s="62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 hidden="1">
      <c r="A694" s="14"/>
      <c r="B694" s="62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 hidden="1">
      <c r="A695" s="14"/>
      <c r="B695" s="62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 hidden="1">
      <c r="A696" s="14"/>
      <c r="B696" s="62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 hidden="1">
      <c r="A697" s="14"/>
      <c r="B697" s="62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 hidden="1">
      <c r="A698" s="14"/>
      <c r="B698" s="62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 hidden="1">
      <c r="A699" s="14"/>
      <c r="B699" s="62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 hidden="1">
      <c r="A700" s="14"/>
      <c r="B700" s="62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 hidden="1">
      <c r="A701" s="14"/>
      <c r="B701" s="62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 hidden="1">
      <c r="A702" s="14"/>
      <c r="B702" s="62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 hidden="1">
      <c r="A703" s="14"/>
      <c r="B703" s="62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 hidden="1">
      <c r="A704" s="14"/>
      <c r="B704" s="62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 hidden="1">
      <c r="A705" s="14"/>
      <c r="B705" s="62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 hidden="1">
      <c r="A706" s="14"/>
      <c r="B706" s="62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 hidden="1">
      <c r="A707" s="14"/>
      <c r="B707" s="62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 hidden="1">
      <c r="A708" s="14"/>
      <c r="B708" s="62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 hidden="1">
      <c r="A709" s="14"/>
      <c r="B709" s="62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 hidden="1">
      <c r="A710" s="14"/>
      <c r="B710" s="62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 hidden="1">
      <c r="A711" s="14"/>
      <c r="B711" s="62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 hidden="1">
      <c r="A712" s="14"/>
      <c r="B712" s="62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 hidden="1">
      <c r="A713" s="14"/>
      <c r="B713" s="62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 hidden="1">
      <c r="A714" s="14"/>
      <c r="B714" s="62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 hidden="1">
      <c r="A715" s="14"/>
      <c r="B715" s="62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 hidden="1">
      <c r="A716" s="14"/>
      <c r="B716" s="62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 hidden="1">
      <c r="A717" s="14"/>
      <c r="B717" s="62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 hidden="1">
      <c r="A718" s="14"/>
      <c r="B718" s="62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 hidden="1">
      <c r="A719" s="14"/>
      <c r="B719" s="62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 hidden="1">
      <c r="A720" s="14"/>
      <c r="B720" s="62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 hidden="1">
      <c r="A721" s="14"/>
      <c r="B721" s="62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 hidden="1">
      <c r="A722" s="14"/>
      <c r="B722" s="62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 hidden="1">
      <c r="A723" s="14"/>
      <c r="B723" s="62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 hidden="1">
      <c r="A724" s="14"/>
      <c r="B724" s="62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</row>
    <row r="725" hidden="1">
      <c r="A725" s="14"/>
      <c r="B725" s="62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</row>
    <row r="726" hidden="1">
      <c r="A726" s="14"/>
      <c r="B726" s="62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</row>
    <row r="727" hidden="1">
      <c r="A727" s="14"/>
      <c r="B727" s="62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</row>
    <row r="728" hidden="1">
      <c r="A728" s="14"/>
      <c r="B728" s="62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</row>
    <row r="729" hidden="1">
      <c r="A729" s="14"/>
      <c r="B729" s="62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</row>
    <row r="730" hidden="1">
      <c r="A730" s="14"/>
      <c r="B730" s="62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</row>
    <row r="731" hidden="1">
      <c r="A731" s="14"/>
      <c r="B731" s="62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</row>
    <row r="732" hidden="1">
      <c r="A732" s="14"/>
      <c r="B732" s="62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</row>
    <row r="733" hidden="1">
      <c r="A733" s="14"/>
      <c r="B733" s="62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</row>
    <row r="734" hidden="1">
      <c r="A734" s="14"/>
      <c r="B734" s="62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</row>
    <row r="735" hidden="1">
      <c r="A735" s="14"/>
      <c r="B735" s="62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</row>
    <row r="736" hidden="1">
      <c r="A736" s="14"/>
      <c r="B736" s="62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</row>
    <row r="737" hidden="1">
      <c r="A737" s="14"/>
      <c r="B737" s="62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</row>
    <row r="738" hidden="1">
      <c r="A738" s="14"/>
      <c r="B738" s="62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</row>
    <row r="739" hidden="1">
      <c r="A739" s="14"/>
      <c r="B739" s="62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</row>
    <row r="740" hidden="1">
      <c r="A740" s="14"/>
      <c r="B740" s="62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</row>
    <row r="741" hidden="1">
      <c r="A741" s="14"/>
      <c r="B741" s="62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</row>
    <row r="742" hidden="1">
      <c r="A742" s="14"/>
      <c r="B742" s="62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</row>
    <row r="743" hidden="1">
      <c r="A743" s="14"/>
      <c r="B743" s="62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</row>
    <row r="744" hidden="1">
      <c r="A744" s="14"/>
      <c r="B744" s="62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</row>
    <row r="745" hidden="1">
      <c r="A745" s="14"/>
      <c r="B745" s="62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</row>
    <row r="746" hidden="1">
      <c r="A746" s="14"/>
      <c r="B746" s="62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</row>
    <row r="747" hidden="1">
      <c r="A747" s="14"/>
      <c r="B747" s="62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</row>
    <row r="748" hidden="1">
      <c r="A748" s="14"/>
      <c r="B748" s="62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</row>
    <row r="749" hidden="1">
      <c r="A749" s="14"/>
      <c r="B749" s="62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</row>
    <row r="750" hidden="1">
      <c r="A750" s="14"/>
      <c r="B750" s="62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</row>
    <row r="751" hidden="1">
      <c r="A751" s="14"/>
      <c r="B751" s="62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</row>
    <row r="752" hidden="1">
      <c r="A752" s="14"/>
      <c r="B752" s="62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</row>
    <row r="753" hidden="1">
      <c r="A753" s="14"/>
      <c r="B753" s="62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</row>
    <row r="754" hidden="1">
      <c r="A754" s="14"/>
      <c r="B754" s="62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</row>
    <row r="755" hidden="1">
      <c r="A755" s="14"/>
      <c r="B755" s="62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</row>
    <row r="756" hidden="1">
      <c r="A756" s="14"/>
      <c r="B756" s="62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</row>
    <row r="757" hidden="1">
      <c r="A757" s="14"/>
      <c r="B757" s="62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</row>
    <row r="758" hidden="1">
      <c r="A758" s="14"/>
      <c r="B758" s="62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</row>
    <row r="759" hidden="1">
      <c r="A759" s="14"/>
      <c r="B759" s="62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</row>
    <row r="760" hidden="1">
      <c r="A760" s="14"/>
      <c r="B760" s="62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</row>
    <row r="761" hidden="1">
      <c r="A761" s="14"/>
      <c r="B761" s="62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</row>
    <row r="762" hidden="1">
      <c r="A762" s="14"/>
      <c r="B762" s="62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</row>
    <row r="763" hidden="1">
      <c r="A763" s="14"/>
      <c r="B763" s="62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</row>
    <row r="764" hidden="1">
      <c r="A764" s="14"/>
      <c r="B764" s="62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</row>
    <row r="765" hidden="1">
      <c r="A765" s="14"/>
      <c r="B765" s="62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</row>
    <row r="766" hidden="1">
      <c r="A766" s="14"/>
      <c r="B766" s="62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</row>
    <row r="767" hidden="1">
      <c r="A767" s="14"/>
      <c r="B767" s="62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</row>
    <row r="768" hidden="1">
      <c r="A768" s="14"/>
      <c r="B768" s="62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</row>
    <row r="769" hidden="1">
      <c r="A769" s="14"/>
      <c r="B769" s="62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</row>
    <row r="770" hidden="1">
      <c r="A770" s="14"/>
      <c r="B770" s="62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</row>
    <row r="771" hidden="1">
      <c r="A771" s="14"/>
      <c r="B771" s="62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</row>
    <row r="772" hidden="1">
      <c r="A772" s="14"/>
      <c r="B772" s="62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</row>
    <row r="773" hidden="1">
      <c r="A773" s="14"/>
      <c r="B773" s="62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</row>
    <row r="774" hidden="1">
      <c r="A774" s="14"/>
      <c r="B774" s="62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</row>
    <row r="775" hidden="1">
      <c r="A775" s="14"/>
      <c r="B775" s="62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</row>
    <row r="776" hidden="1">
      <c r="A776" s="14"/>
      <c r="B776" s="62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</row>
    <row r="777" hidden="1">
      <c r="A777" s="14"/>
      <c r="B777" s="62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</row>
    <row r="778" hidden="1">
      <c r="A778" s="14"/>
      <c r="B778" s="62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</row>
    <row r="779" hidden="1">
      <c r="A779" s="14"/>
      <c r="B779" s="62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</row>
    <row r="780" hidden="1">
      <c r="A780" s="14"/>
      <c r="B780" s="62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</row>
    <row r="781" hidden="1">
      <c r="A781" s="14"/>
      <c r="B781" s="62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</row>
    <row r="782" hidden="1">
      <c r="A782" s="14"/>
      <c r="B782" s="62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</row>
    <row r="783" hidden="1">
      <c r="A783" s="14"/>
      <c r="B783" s="62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</row>
    <row r="784" hidden="1">
      <c r="A784" s="14"/>
      <c r="B784" s="62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</row>
    <row r="785" hidden="1">
      <c r="A785" s="14"/>
      <c r="B785" s="62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</row>
    <row r="786" hidden="1">
      <c r="A786" s="14"/>
      <c r="B786" s="62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</row>
    <row r="787" hidden="1">
      <c r="A787" s="14"/>
      <c r="B787" s="62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</row>
    <row r="788" hidden="1">
      <c r="A788" s="14"/>
      <c r="B788" s="62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</row>
    <row r="789" hidden="1">
      <c r="A789" s="14"/>
      <c r="B789" s="62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</row>
    <row r="790" hidden="1">
      <c r="A790" s="14"/>
      <c r="B790" s="62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</row>
    <row r="791" hidden="1">
      <c r="A791" s="14"/>
      <c r="B791" s="62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</row>
    <row r="792" hidden="1">
      <c r="A792" s="14"/>
      <c r="B792" s="62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</row>
    <row r="793" hidden="1">
      <c r="A793" s="14"/>
      <c r="B793" s="62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</row>
    <row r="794" hidden="1">
      <c r="A794" s="14"/>
      <c r="B794" s="62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</row>
    <row r="795" hidden="1">
      <c r="A795" s="14"/>
      <c r="B795" s="62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</row>
    <row r="796" hidden="1">
      <c r="A796" s="14"/>
      <c r="B796" s="62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</row>
    <row r="797" hidden="1">
      <c r="A797" s="14"/>
      <c r="B797" s="62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</row>
    <row r="798" hidden="1">
      <c r="A798" s="14"/>
      <c r="B798" s="62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</row>
    <row r="799" hidden="1">
      <c r="A799" s="14"/>
      <c r="B799" s="62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</row>
    <row r="800" hidden="1">
      <c r="A800" s="14"/>
      <c r="B800" s="62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</row>
    <row r="801" hidden="1">
      <c r="A801" s="14"/>
      <c r="B801" s="62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</row>
    <row r="802" hidden="1">
      <c r="A802" s="14"/>
      <c r="B802" s="62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</row>
    <row r="803" hidden="1">
      <c r="A803" s="14"/>
      <c r="B803" s="62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</row>
    <row r="804" hidden="1">
      <c r="A804" s="14"/>
      <c r="B804" s="62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</row>
    <row r="805" hidden="1">
      <c r="A805" s="14"/>
      <c r="B805" s="62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</row>
    <row r="806" hidden="1">
      <c r="A806" s="14"/>
      <c r="B806" s="62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</row>
    <row r="807" hidden="1">
      <c r="A807" s="14"/>
      <c r="B807" s="62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</row>
    <row r="808" hidden="1">
      <c r="A808" s="14"/>
      <c r="B808" s="62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</row>
    <row r="809" hidden="1">
      <c r="A809" s="14"/>
      <c r="B809" s="62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</row>
    <row r="810" hidden="1">
      <c r="A810" s="14"/>
      <c r="B810" s="62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</row>
    <row r="811" hidden="1">
      <c r="A811" s="14"/>
      <c r="B811" s="62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</row>
    <row r="812" hidden="1">
      <c r="A812" s="14"/>
      <c r="B812" s="62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</row>
    <row r="813" hidden="1">
      <c r="A813" s="14"/>
      <c r="B813" s="62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</row>
    <row r="814" hidden="1">
      <c r="A814" s="14"/>
      <c r="B814" s="62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</row>
    <row r="815" hidden="1">
      <c r="A815" s="14"/>
      <c r="B815" s="62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</row>
    <row r="816" hidden="1">
      <c r="A816" s="14"/>
      <c r="B816" s="62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</row>
    <row r="817" hidden="1">
      <c r="A817" s="14"/>
      <c r="B817" s="62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</row>
    <row r="818" hidden="1">
      <c r="A818" s="14"/>
      <c r="B818" s="62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</row>
    <row r="819" hidden="1">
      <c r="A819" s="14"/>
      <c r="B819" s="62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</row>
    <row r="820" hidden="1">
      <c r="A820" s="14"/>
      <c r="B820" s="62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</row>
    <row r="821" hidden="1">
      <c r="A821" s="14"/>
      <c r="B821" s="62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</row>
    <row r="822" hidden="1">
      <c r="A822" s="14"/>
      <c r="B822" s="62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</row>
    <row r="823" hidden="1">
      <c r="A823" s="14"/>
      <c r="B823" s="62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</row>
    <row r="824" hidden="1">
      <c r="A824" s="14"/>
      <c r="B824" s="62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</row>
    <row r="825" hidden="1">
      <c r="A825" s="14"/>
      <c r="B825" s="62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</row>
    <row r="826" hidden="1">
      <c r="A826" s="14"/>
      <c r="B826" s="62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</row>
    <row r="827" hidden="1">
      <c r="A827" s="14"/>
      <c r="B827" s="62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</row>
    <row r="828" hidden="1">
      <c r="A828" s="14"/>
      <c r="B828" s="62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</row>
    <row r="829" hidden="1">
      <c r="A829" s="14"/>
      <c r="B829" s="62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</row>
    <row r="830" hidden="1">
      <c r="A830" s="14"/>
      <c r="B830" s="62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</row>
    <row r="831" hidden="1">
      <c r="A831" s="14"/>
      <c r="B831" s="62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</row>
    <row r="832" hidden="1">
      <c r="A832" s="14"/>
      <c r="B832" s="62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</row>
    <row r="833" hidden="1">
      <c r="A833" s="14"/>
      <c r="B833" s="62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</row>
    <row r="834" hidden="1">
      <c r="A834" s="14"/>
      <c r="B834" s="62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</row>
    <row r="835" hidden="1">
      <c r="A835" s="14"/>
      <c r="B835" s="62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</row>
    <row r="836" hidden="1">
      <c r="A836" s="14"/>
      <c r="B836" s="62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</row>
    <row r="837" hidden="1">
      <c r="A837" s="14"/>
      <c r="B837" s="62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</row>
    <row r="838" hidden="1">
      <c r="A838" s="14"/>
      <c r="B838" s="62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</row>
    <row r="839" hidden="1">
      <c r="A839" s="14"/>
      <c r="B839" s="62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</row>
    <row r="840" hidden="1">
      <c r="A840" s="14"/>
      <c r="B840" s="62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</row>
    <row r="841" hidden="1">
      <c r="A841" s="14"/>
      <c r="B841" s="62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</row>
    <row r="842" hidden="1">
      <c r="A842" s="14"/>
      <c r="B842" s="62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</row>
    <row r="843" hidden="1">
      <c r="A843" s="14"/>
      <c r="B843" s="62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</row>
    <row r="844" hidden="1">
      <c r="A844" s="14"/>
      <c r="B844" s="62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</row>
    <row r="845" hidden="1">
      <c r="A845" s="14"/>
      <c r="B845" s="62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</row>
    <row r="846" hidden="1">
      <c r="A846" s="14"/>
      <c r="B846" s="62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</row>
    <row r="847" hidden="1">
      <c r="A847" s="14"/>
      <c r="B847" s="62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</row>
    <row r="848" hidden="1">
      <c r="A848" s="14"/>
      <c r="B848" s="62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</row>
    <row r="849" hidden="1">
      <c r="A849" s="14"/>
      <c r="B849" s="62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</row>
    <row r="850" hidden="1">
      <c r="A850" s="14"/>
      <c r="B850" s="62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</row>
    <row r="851" hidden="1">
      <c r="A851" s="14"/>
      <c r="B851" s="62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</row>
    <row r="852" hidden="1">
      <c r="A852" s="14"/>
      <c r="B852" s="62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</row>
    <row r="853" hidden="1">
      <c r="A853" s="14"/>
      <c r="B853" s="62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</row>
    <row r="854" hidden="1">
      <c r="A854" s="14"/>
      <c r="B854" s="62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</row>
    <row r="855" hidden="1">
      <c r="A855" s="14"/>
      <c r="B855" s="62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</row>
    <row r="856" hidden="1">
      <c r="A856" s="14"/>
      <c r="B856" s="62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</row>
    <row r="857" hidden="1">
      <c r="A857" s="14"/>
      <c r="B857" s="62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</row>
    <row r="858" hidden="1">
      <c r="A858" s="14"/>
      <c r="B858" s="62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</row>
    <row r="859" hidden="1">
      <c r="A859" s="14"/>
      <c r="B859" s="62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</row>
    <row r="860" hidden="1">
      <c r="A860" s="14"/>
      <c r="B860" s="62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</row>
    <row r="861" hidden="1">
      <c r="A861" s="14"/>
      <c r="B861" s="62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</row>
    <row r="862" hidden="1">
      <c r="A862" s="14"/>
      <c r="B862" s="62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</row>
    <row r="863" hidden="1">
      <c r="A863" s="14"/>
      <c r="B863" s="62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</row>
    <row r="864" hidden="1">
      <c r="A864" s="14"/>
      <c r="B864" s="62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</row>
    <row r="865" hidden="1">
      <c r="A865" s="14"/>
      <c r="B865" s="62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</row>
    <row r="866" hidden="1">
      <c r="A866" s="14"/>
      <c r="B866" s="62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</row>
    <row r="867" hidden="1">
      <c r="A867" s="14"/>
      <c r="B867" s="62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</row>
    <row r="868" hidden="1">
      <c r="A868" s="14"/>
      <c r="B868" s="62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</row>
    <row r="869" hidden="1">
      <c r="A869" s="14"/>
      <c r="B869" s="62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</row>
    <row r="870" hidden="1">
      <c r="A870" s="14"/>
      <c r="B870" s="62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</row>
    <row r="871" hidden="1">
      <c r="A871" s="14"/>
      <c r="B871" s="62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</row>
    <row r="872" hidden="1">
      <c r="A872" s="14"/>
      <c r="B872" s="62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</row>
    <row r="873" hidden="1">
      <c r="A873" s="14"/>
      <c r="B873" s="62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</row>
    <row r="874" hidden="1">
      <c r="A874" s="14"/>
      <c r="B874" s="62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</row>
    <row r="875" hidden="1">
      <c r="A875" s="14"/>
      <c r="B875" s="62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</row>
    <row r="876" hidden="1">
      <c r="A876" s="14"/>
      <c r="B876" s="62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</row>
    <row r="877" hidden="1">
      <c r="A877" s="14"/>
      <c r="B877" s="62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</row>
    <row r="878" hidden="1">
      <c r="A878" s="14"/>
      <c r="B878" s="62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</row>
    <row r="879" hidden="1">
      <c r="A879" s="14"/>
      <c r="B879" s="62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</row>
    <row r="880" hidden="1">
      <c r="A880" s="14"/>
      <c r="B880" s="62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</row>
    <row r="881" hidden="1">
      <c r="A881" s="14"/>
      <c r="B881" s="62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</row>
    <row r="882" hidden="1">
      <c r="A882" s="14"/>
      <c r="B882" s="62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</row>
    <row r="883" hidden="1">
      <c r="A883" s="14"/>
      <c r="B883" s="62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</row>
    <row r="884" hidden="1">
      <c r="A884" s="14"/>
      <c r="B884" s="62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</row>
    <row r="885" hidden="1">
      <c r="A885" s="14"/>
      <c r="B885" s="62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</row>
    <row r="886" hidden="1">
      <c r="A886" s="14"/>
      <c r="B886" s="62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</row>
    <row r="887" hidden="1">
      <c r="A887" s="14"/>
      <c r="B887" s="62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</row>
    <row r="888" hidden="1">
      <c r="A888" s="14"/>
      <c r="B888" s="62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</row>
    <row r="889" hidden="1">
      <c r="A889" s="14"/>
      <c r="B889" s="62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</row>
    <row r="890" hidden="1">
      <c r="A890" s="14"/>
      <c r="B890" s="62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</row>
    <row r="891" hidden="1">
      <c r="A891" s="14"/>
      <c r="B891" s="62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</row>
    <row r="892" hidden="1">
      <c r="A892" s="14"/>
      <c r="B892" s="62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</row>
    <row r="893" hidden="1">
      <c r="A893" s="14"/>
      <c r="B893" s="62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</row>
    <row r="894" hidden="1">
      <c r="A894" s="14"/>
      <c r="B894" s="62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</row>
    <row r="895" hidden="1">
      <c r="A895" s="14"/>
      <c r="B895" s="62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</row>
    <row r="896" hidden="1">
      <c r="A896" s="14"/>
      <c r="B896" s="62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</row>
    <row r="897" hidden="1">
      <c r="A897" s="14"/>
      <c r="B897" s="62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</row>
    <row r="898" hidden="1">
      <c r="A898" s="14"/>
      <c r="B898" s="62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</row>
    <row r="899" hidden="1">
      <c r="A899" s="14"/>
      <c r="B899" s="62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</row>
    <row r="900" hidden="1">
      <c r="A900" s="14"/>
      <c r="B900" s="62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</row>
    <row r="901" hidden="1">
      <c r="A901" s="14"/>
      <c r="B901" s="62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</row>
    <row r="902" hidden="1">
      <c r="A902" s="14"/>
      <c r="B902" s="62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</row>
    <row r="903" hidden="1">
      <c r="A903" s="14"/>
      <c r="B903" s="62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</row>
    <row r="904" hidden="1">
      <c r="A904" s="14"/>
      <c r="B904" s="62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</row>
    <row r="905" hidden="1">
      <c r="A905" s="14"/>
      <c r="B905" s="62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</row>
    <row r="906" hidden="1">
      <c r="A906" s="14"/>
      <c r="B906" s="62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</row>
    <row r="907" hidden="1">
      <c r="A907" s="14"/>
      <c r="B907" s="62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</row>
    <row r="908" hidden="1">
      <c r="A908" s="14"/>
      <c r="B908" s="62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</row>
    <row r="909" hidden="1">
      <c r="A909" s="14"/>
      <c r="B909" s="62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</row>
    <row r="910" hidden="1">
      <c r="A910" s="14"/>
      <c r="B910" s="62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</row>
    <row r="911" hidden="1">
      <c r="A911" s="14"/>
      <c r="B911" s="62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</row>
    <row r="912" hidden="1">
      <c r="A912" s="14"/>
      <c r="B912" s="62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</row>
    <row r="913" hidden="1">
      <c r="A913" s="14"/>
      <c r="B913" s="62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</row>
    <row r="914" hidden="1">
      <c r="A914" s="14"/>
      <c r="B914" s="62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</row>
    <row r="915" hidden="1">
      <c r="A915" s="14"/>
      <c r="B915" s="62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</row>
    <row r="916" hidden="1">
      <c r="A916" s="14"/>
      <c r="B916" s="62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</row>
    <row r="917" hidden="1">
      <c r="A917" s="14"/>
      <c r="B917" s="62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</row>
    <row r="918" hidden="1">
      <c r="A918" s="14"/>
      <c r="B918" s="62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</row>
    <row r="919" hidden="1">
      <c r="A919" s="14"/>
      <c r="B919" s="62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</row>
    <row r="920" hidden="1">
      <c r="A920" s="14"/>
      <c r="B920" s="62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</row>
    <row r="921" hidden="1">
      <c r="A921" s="14"/>
      <c r="B921" s="62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</row>
    <row r="922" hidden="1">
      <c r="A922" s="14"/>
      <c r="B922" s="62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</row>
    <row r="923" hidden="1">
      <c r="A923" s="14"/>
      <c r="B923" s="62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</row>
    <row r="924" hidden="1">
      <c r="A924" s="14"/>
      <c r="B924" s="62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</row>
    <row r="925" hidden="1">
      <c r="A925" s="14"/>
      <c r="B925" s="62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</row>
    <row r="926" hidden="1">
      <c r="A926" s="14"/>
      <c r="B926" s="62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</row>
    <row r="927" hidden="1">
      <c r="A927" s="14"/>
      <c r="B927" s="62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</row>
    <row r="928" hidden="1">
      <c r="A928" s="14"/>
      <c r="B928" s="62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</row>
    <row r="929" hidden="1">
      <c r="A929" s="14"/>
      <c r="B929" s="62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</row>
    <row r="930" hidden="1">
      <c r="A930" s="14"/>
      <c r="B930" s="62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</row>
    <row r="931" hidden="1">
      <c r="A931" s="14"/>
      <c r="B931" s="62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</row>
    <row r="932" hidden="1">
      <c r="A932" s="14"/>
      <c r="B932" s="62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</row>
    <row r="933" hidden="1">
      <c r="A933" s="14"/>
      <c r="B933" s="62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</row>
    <row r="934" hidden="1">
      <c r="A934" s="14"/>
      <c r="B934" s="62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</row>
    <row r="935" hidden="1">
      <c r="A935" s="14"/>
      <c r="B935" s="62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</row>
    <row r="936" hidden="1">
      <c r="A936" s="14"/>
      <c r="B936" s="62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</row>
    <row r="937" hidden="1">
      <c r="A937" s="14"/>
      <c r="B937" s="62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</row>
    <row r="938" hidden="1">
      <c r="A938" s="14"/>
      <c r="B938" s="62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</row>
    <row r="939" hidden="1">
      <c r="A939" s="14"/>
      <c r="B939" s="62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</row>
    <row r="940" hidden="1">
      <c r="A940" s="14"/>
      <c r="B940" s="62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</row>
    <row r="941" hidden="1">
      <c r="A941" s="14"/>
      <c r="B941" s="62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</row>
    <row r="942" hidden="1">
      <c r="A942" s="14"/>
      <c r="B942" s="62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</row>
    <row r="943" hidden="1">
      <c r="A943" s="14"/>
      <c r="B943" s="62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</row>
    <row r="944" hidden="1">
      <c r="A944" s="14"/>
      <c r="B944" s="62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</row>
    <row r="945" hidden="1">
      <c r="A945" s="14"/>
      <c r="B945" s="62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</row>
    <row r="946" hidden="1">
      <c r="A946" s="14"/>
      <c r="B946" s="62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</row>
    <row r="947" hidden="1">
      <c r="A947" s="14"/>
      <c r="B947" s="62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</row>
    <row r="948" hidden="1">
      <c r="A948" s="14"/>
      <c r="B948" s="62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</row>
    <row r="949" hidden="1">
      <c r="A949" s="14"/>
      <c r="B949" s="62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</row>
    <row r="950" hidden="1">
      <c r="A950" s="14"/>
      <c r="B950" s="62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</row>
    <row r="951" hidden="1">
      <c r="A951" s="14"/>
      <c r="B951" s="62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</row>
    <row r="952" hidden="1">
      <c r="A952" s="14"/>
      <c r="B952" s="62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</row>
    <row r="953" hidden="1">
      <c r="A953" s="14"/>
      <c r="B953" s="62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</row>
    <row r="954" hidden="1">
      <c r="A954" s="14"/>
      <c r="B954" s="62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</row>
    <row r="955" hidden="1">
      <c r="A955" s="14"/>
      <c r="B955" s="62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</row>
    <row r="956" hidden="1">
      <c r="A956" s="14"/>
      <c r="B956" s="62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</row>
    <row r="957" hidden="1">
      <c r="A957" s="14"/>
      <c r="B957" s="62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</row>
    <row r="958" hidden="1">
      <c r="A958" s="14"/>
      <c r="B958" s="62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</row>
    <row r="959" hidden="1">
      <c r="A959" s="14"/>
      <c r="B959" s="62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</row>
    <row r="960" hidden="1">
      <c r="A960" s="14"/>
      <c r="B960" s="62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</row>
    <row r="961" hidden="1">
      <c r="A961" s="14"/>
      <c r="B961" s="62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</row>
    <row r="962" hidden="1">
      <c r="A962" s="14"/>
      <c r="B962" s="62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</row>
    <row r="963" hidden="1">
      <c r="A963" s="14"/>
      <c r="B963" s="62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</row>
    <row r="964" hidden="1">
      <c r="A964" s="14"/>
      <c r="B964" s="62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</row>
    <row r="965" hidden="1">
      <c r="A965" s="14"/>
      <c r="B965" s="62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</row>
    <row r="966" hidden="1">
      <c r="A966" s="14"/>
      <c r="B966" s="62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</row>
    <row r="967" hidden="1">
      <c r="A967" s="14"/>
      <c r="B967" s="62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</row>
    <row r="968" hidden="1">
      <c r="A968" s="14"/>
      <c r="B968" s="62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</row>
    <row r="969" hidden="1">
      <c r="A969" s="14"/>
      <c r="B969" s="62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</row>
    <row r="970" hidden="1">
      <c r="A970" s="14"/>
      <c r="B970" s="62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</row>
    <row r="971" hidden="1">
      <c r="A971" s="14"/>
      <c r="B971" s="62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</row>
    <row r="972" hidden="1">
      <c r="A972" s="14"/>
      <c r="B972" s="62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</row>
    <row r="973" hidden="1">
      <c r="A973" s="14"/>
      <c r="B973" s="62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</row>
    <row r="974" hidden="1">
      <c r="A974" s="14"/>
      <c r="B974" s="62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</row>
    <row r="975" hidden="1">
      <c r="A975" s="14"/>
      <c r="B975" s="62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</row>
    <row r="976" hidden="1">
      <c r="A976" s="14"/>
      <c r="B976" s="62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</row>
    <row r="977" hidden="1">
      <c r="A977" s="14"/>
      <c r="B977" s="62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</row>
    <row r="978" hidden="1">
      <c r="A978" s="14"/>
      <c r="B978" s="62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</row>
    <row r="979" hidden="1">
      <c r="A979" s="14"/>
      <c r="B979" s="62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</row>
    <row r="980" hidden="1">
      <c r="A980" s="14"/>
      <c r="B980" s="62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</row>
    <row r="981" hidden="1">
      <c r="A981" s="14"/>
      <c r="B981" s="62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</row>
    <row r="982" hidden="1">
      <c r="A982" s="14"/>
      <c r="B982" s="62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</row>
    <row r="983" hidden="1">
      <c r="A983" s="14"/>
      <c r="B983" s="62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</row>
    <row r="984" hidden="1">
      <c r="A984" s="14"/>
      <c r="B984" s="62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</row>
    <row r="985" hidden="1">
      <c r="A985" s="14"/>
      <c r="B985" s="62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</row>
    <row r="986" hidden="1">
      <c r="A986" s="14"/>
      <c r="B986" s="62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</row>
    <row r="987" hidden="1">
      <c r="A987" s="14"/>
      <c r="B987" s="62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</row>
    <row r="988" hidden="1">
      <c r="A988" s="14"/>
      <c r="B988" s="62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</row>
    <row r="989" hidden="1">
      <c r="A989" s="14"/>
      <c r="B989" s="62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</row>
    <row r="990" hidden="1">
      <c r="A990" s="14"/>
      <c r="B990" s="62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</row>
    <row r="991" hidden="1">
      <c r="A991" s="14"/>
      <c r="B991" s="62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</row>
    <row r="992" hidden="1">
      <c r="A992" s="14"/>
      <c r="B992" s="62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</row>
    <row r="993" hidden="1">
      <c r="A993" s="14"/>
      <c r="B993" s="62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</row>
    <row r="994" hidden="1">
      <c r="A994" s="14"/>
      <c r="B994" s="62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</row>
    <row r="995" hidden="1">
      <c r="A995" s="14"/>
      <c r="B995" s="62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</row>
    <row r="996" hidden="1">
      <c r="A996" s="14"/>
      <c r="B996" s="62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</row>
    <row r="997" hidden="1">
      <c r="A997" s="14"/>
      <c r="B997" s="62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</row>
    <row r="998" hidden="1">
      <c r="A998" s="14"/>
      <c r="B998" s="62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</row>
    <row r="999" hidden="1">
      <c r="A999" s="14"/>
      <c r="B999" s="62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</row>
    <row r="1000" hidden="1">
      <c r="A1000" s="14"/>
      <c r="B1000" s="62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</row>
  </sheetData>
  <autoFilter ref="$A$1:$U$1000">
    <filterColumn colId="2">
      <filters>
        <filter val="DSIA"/>
      </filters>
    </filterColumn>
  </autoFilter>
  <customSheetViews>
    <customSheetView guid="{BB4C0117-13F6-4F7B-A3F3-D97A72DCF060}" filter="1" showAutoFilter="1">
      <autoFilter ref="$A$1:$L$220">
        <filterColumn colId="6">
          <filters>
            <filter val="E1"/>
            <filter val="E9"/>
            <filter val="R29"/>
            <filter val="R2"/>
            <filter val="R3"/>
            <filter val="R4"/>
            <filter val="E15"/>
            <filter val="E19"/>
            <filter val="R30"/>
            <filter val="LL1"/>
            <filter val="r24"/>
            <filter val="E20"/>
            <filter val="R15"/>
          </filters>
        </filterColumn>
      </autoFilter>
    </customSheetView>
  </customSheetView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28.86"/>
    <col customWidth="1" min="5" max="5" width="23.43"/>
    <col customWidth="1" min="6" max="6" width="43.43"/>
    <col customWidth="1" min="7" max="7" width="21.0"/>
    <col customWidth="1" min="9" max="9" width="19.0"/>
    <col customWidth="1" min="11" max="11" width="17.29"/>
    <col customWidth="1" min="13" max="13" width="19.71"/>
    <col customWidth="1" min="15" max="15" width="24.0"/>
    <col customWidth="1" min="18" max="18" width="34.43"/>
  </cols>
  <sheetData>
    <row r="1">
      <c r="A1" s="1" t="str">
        <f>IFERROR(__xludf.DUMMYFUNCTION("IMPORTRANGE(""https://docs.google.com/spreadsheets/d/1K6ap6WqAwMsuHrJrRPOLb833EudX4YjjlR0kLR9bs_M/edit?usp=sharing"",""'Choix étudiants'!A1:R220"")"),"Horodateur")</f>
        <v>Horodateur</v>
      </c>
      <c r="B1" s="3" t="str">
        <f>IFERROR(__xludf.DUMMYFUNCTION("""COMPUTED_VALUE"""),"Equipe")</f>
        <v>Equipe</v>
      </c>
      <c r="C1" s="6" t="str">
        <f>IFERROR(__xludf.DUMMYFUNCTION("""COMPUTED_VALUE"""),"Filière")</f>
        <v>Filière</v>
      </c>
      <c r="D1" s="8" t="str">
        <f>IFERROR(__xludf.DUMMYFUNCTION("""COMPUTED_VALUE"""),"Nom")</f>
        <v>Nom</v>
      </c>
      <c r="E1" s="8" t="str">
        <f>IFERROR(__xludf.DUMMYFUNCTION("""COMPUTED_VALUE"""),"Prénom")</f>
        <v>Prénom</v>
      </c>
      <c r="F1" s="8" t="str">
        <f>IFERROR(__xludf.DUMMYFUNCTION("""COMPUTED_VALUE"""),"Mail")</f>
        <v>Mail</v>
      </c>
      <c r="G1" s="3" t="str">
        <f>IFERROR(__xludf.DUMMYFUNCTION("""COMPUTED_VALUE"""),"Choix 1 : type")</f>
        <v>Choix 1 : type</v>
      </c>
      <c r="H1" s="3" t="str">
        <f>IFERROR(__xludf.DUMMYFUNCTION("""COMPUTED_VALUE"""),"Choix 1 : référence")</f>
        <v>Choix 1 : référence</v>
      </c>
      <c r="I1" s="3" t="str">
        <f>IFERROR(__xludf.DUMMYFUNCTION("""COMPUTED_VALUE"""),"Choix 2 :  type")</f>
        <v>Choix 2 :  type</v>
      </c>
      <c r="J1" s="3" t="str">
        <f>IFERROR(__xludf.DUMMYFUNCTION("""COMPUTED_VALUE"""),"Choix 2 : Référence")</f>
        <v>Choix 2 : Référence</v>
      </c>
      <c r="K1" s="3" t="str">
        <f>IFERROR(__xludf.DUMMYFUNCTION("""COMPUTED_VALUE"""),"Choix 3 : type")</f>
        <v>Choix 3 : type</v>
      </c>
      <c r="L1" s="3" t="str">
        <f>IFERROR(__xludf.DUMMYFUNCTION("""COMPUTED_VALUE"""),"Choix 3 : Référence")</f>
        <v>Choix 3 : Référence</v>
      </c>
      <c r="M1" s="3" t="str">
        <f>IFERROR(__xludf.DUMMYFUNCTION("""COMPUTED_VALUE"""),"Choix 4 : type")</f>
        <v>Choix 4 : type</v>
      </c>
      <c r="N1" s="3" t="str">
        <f>IFERROR(__xludf.DUMMYFUNCTION("""COMPUTED_VALUE"""),"Choix 4 : Référence")</f>
        <v>Choix 4 : Référence</v>
      </c>
      <c r="O1" s="3" t="str">
        <f>IFERROR(__xludf.DUMMYFUNCTION("""COMPUTED_VALUE"""),"Choix 5 : type")</f>
        <v>Choix 5 : type</v>
      </c>
      <c r="P1" s="3" t="str">
        <f>IFERROR(__xludf.DUMMYFUNCTION("""COMPUTED_VALUE"""),"Choix 5 : Référence")</f>
        <v>Choix 5 : Référence</v>
      </c>
      <c r="Q1" s="3" t="str">
        <f>IFERROR(__xludf.DUMMYFUNCTION("""COMPUTED_VALUE"""),"Départ international")</f>
        <v>Départ international</v>
      </c>
      <c r="R1" s="3" t="str">
        <f>IFERROR(__xludf.DUMMYFUNCTION("""COMPUTED_VALUE"""),"Entrepreneuriat : sujet")</f>
        <v>Entrepreneuriat : sujet</v>
      </c>
      <c r="S1" s="11"/>
      <c r="T1" s="3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>
      <c r="A2" s="15" t="str">
        <f>IFERROR(__xludf.DUMMYFUNCTION("""COMPUTED_VALUE"""),"")</f>
        <v/>
      </c>
      <c r="B2" s="16" t="str">
        <f>IFERROR(__xludf.DUMMYFUNCTION("""COMPUTED_VALUE"""),"")</f>
        <v/>
      </c>
      <c r="C2" s="19" t="str">
        <f>IFERROR(__xludf.DUMMYFUNCTION("""COMPUTED_VALUE"""),"IME")</f>
        <v>IME</v>
      </c>
      <c r="D2" s="20" t="str">
        <f>IFERROR(__xludf.DUMMYFUNCTION("""COMPUTED_VALUE"""),"AHMED")</f>
        <v>AHMED</v>
      </c>
      <c r="E2" s="20" t="str">
        <f>IFERROR(__xludf.DUMMYFUNCTION("""COMPUTED_VALUE"""),"MD Foyez")</f>
        <v>MD Foyez</v>
      </c>
      <c r="F2" s="20" t="str">
        <f>IFERROR(__xludf.DUMMYFUNCTION("""COMPUTED_VALUE"""),"mdfoyez.ahmed@edu.esiee.fr")</f>
        <v>mdfoyez.ahmed@edu.esiee.fr</v>
      </c>
      <c r="G2" s="22" t="str">
        <f>IFERROR(__xludf.DUMMYFUNCTION("""COMPUTED_VALUE"""),"")</f>
        <v/>
      </c>
      <c r="H2" s="22" t="str">
        <f>IFERROR(__xludf.DUMMYFUNCTION("""COMPUTED_VALUE"""),"")</f>
        <v/>
      </c>
      <c r="I2" s="22" t="str">
        <f>IFERROR(__xludf.DUMMYFUNCTION("""COMPUTED_VALUE"""),"")</f>
        <v/>
      </c>
      <c r="J2" s="22" t="str">
        <f>IFERROR(__xludf.DUMMYFUNCTION("""COMPUTED_VALUE"""),"")</f>
        <v/>
      </c>
      <c r="K2" s="22" t="str">
        <f>IFERROR(__xludf.DUMMYFUNCTION("""COMPUTED_VALUE"""),"")</f>
        <v/>
      </c>
      <c r="L2" s="22" t="str">
        <f>IFERROR(__xludf.DUMMYFUNCTION("""COMPUTED_VALUE"""),"")</f>
        <v/>
      </c>
      <c r="M2" s="22" t="str">
        <f>IFERROR(__xludf.DUMMYFUNCTION("""COMPUTED_VALUE"""),"")</f>
        <v/>
      </c>
      <c r="N2" s="22" t="str">
        <f>IFERROR(__xludf.DUMMYFUNCTION("""COMPUTED_VALUE"""),"")</f>
        <v/>
      </c>
      <c r="O2" s="22" t="str">
        <f>IFERROR(__xludf.DUMMYFUNCTION("""COMPUTED_VALUE"""),"")</f>
        <v/>
      </c>
      <c r="P2" s="22" t="str">
        <f>IFERROR(__xludf.DUMMYFUNCTION("""COMPUTED_VALUE"""),"")</f>
        <v/>
      </c>
      <c r="Q2" s="22" t="str">
        <f>IFERROR(__xludf.DUMMYFUNCTION("""COMPUTED_VALUE"""),"")</f>
        <v/>
      </c>
      <c r="R2" s="16" t="str">
        <f>IFERROR(__xludf.DUMMYFUNCTION("""COMPUTED_VALUE"""),"")</f>
        <v/>
      </c>
      <c r="S2" s="24"/>
      <c r="T2" s="19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25">
        <f>IFERROR(__xludf.DUMMYFUNCTION("""COMPUTED_VALUE"""),43362.594421851856)</f>
        <v>43362.59442</v>
      </c>
      <c r="B3" s="3" t="str">
        <f>IFERROR(__xludf.DUMMYFUNCTION("""COMPUTED_VALUE"""),"")</f>
        <v/>
      </c>
      <c r="C3" s="6" t="str">
        <f>IFERROR(__xludf.DUMMYFUNCTION("""COMPUTED_VALUE"""),"IMC")</f>
        <v>IMC</v>
      </c>
      <c r="D3" s="8" t="str">
        <f>IFERROR(__xludf.DUMMYFUNCTION("""COMPUTED_VALUE"""),"AMIOT")</f>
        <v>AMIOT</v>
      </c>
      <c r="E3" s="8" t="str">
        <f>IFERROR(__xludf.DUMMYFUNCTION("""COMPUTED_VALUE"""),"Nicolas")</f>
        <v>Nicolas</v>
      </c>
      <c r="F3" s="8" t="str">
        <f>IFERROR(__xludf.DUMMYFUNCTION("""COMPUTED_VALUE"""),"nicolas.amiot@edu.esiee.fr")</f>
        <v>nicolas.amiot@edu.esiee.fr</v>
      </c>
      <c r="G3" s="3" t="str">
        <f>IFERROR(__xludf.DUMMYFUNCTION("""COMPUTED_VALUE"""),"Recherche")</f>
        <v>Recherche</v>
      </c>
      <c r="H3" s="3" t="str">
        <f>IFERROR(__xludf.DUMMYFUNCTION("""COMPUTED_VALUE"""),"R21")</f>
        <v>R21</v>
      </c>
      <c r="I3" s="3" t="str">
        <f>IFERROR(__xludf.DUMMYFUNCTION("""COMPUTED_VALUE"""),"Recherche")</f>
        <v>Recherche</v>
      </c>
      <c r="J3" s="3" t="str">
        <f>IFERROR(__xludf.DUMMYFUNCTION("""COMPUTED_VALUE"""),"R20")</f>
        <v>R20</v>
      </c>
      <c r="K3" s="3" t="str">
        <f>IFERROR(__xludf.DUMMYFUNCTION("""COMPUTED_VALUE"""),"Recherche")</f>
        <v>Recherche</v>
      </c>
      <c r="L3" s="3" t="str">
        <f>IFERROR(__xludf.DUMMYFUNCTION("""COMPUTED_VALUE"""),"R11")</f>
        <v>R11</v>
      </c>
      <c r="M3" s="3" t="str">
        <f>IFERROR(__xludf.DUMMYFUNCTION("""COMPUTED_VALUE"""),"Recherche")</f>
        <v>Recherche</v>
      </c>
      <c r="N3" s="3" t="str">
        <f>IFERROR(__xludf.DUMMYFUNCTION("""COMPUTED_VALUE"""),"R13")</f>
        <v>R13</v>
      </c>
      <c r="O3" s="3" t="str">
        <f>IFERROR(__xludf.DUMMYFUNCTION("""COMPUTED_VALUE"""),"Recherche")</f>
        <v>Recherche</v>
      </c>
      <c r="P3" s="3" t="str">
        <f>IFERROR(__xludf.DUMMYFUNCTION("""COMPUTED_VALUE"""),"R25")</f>
        <v>R25</v>
      </c>
      <c r="Q3" s="3" t="str">
        <f>IFERROR(__xludf.DUMMYFUNCTION("""COMPUTED_VALUE"""),"Je ne pars pas")</f>
        <v>Je ne pars pas</v>
      </c>
      <c r="R3" s="3" t="str">
        <f>IFERROR(__xludf.DUMMYFUNCTION("""COMPUTED_VALUE"""),"")</f>
        <v/>
      </c>
      <c r="S3" s="11"/>
      <c r="T3" s="3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15">
        <f>IFERROR(__xludf.DUMMYFUNCTION("""COMPUTED_VALUE"""),43360.43083783565)</f>
        <v>43360.43084</v>
      </c>
      <c r="B4" s="16" t="str">
        <f>IFERROR(__xludf.DUMMYFUNCTION("""COMPUTED_VALUE"""),"")</f>
        <v/>
      </c>
      <c r="C4" s="19" t="str">
        <f>IFERROR(__xludf.DUMMYFUNCTION("""COMPUTED_VALUE"""),"INF")</f>
        <v>INF</v>
      </c>
      <c r="D4" s="20" t="str">
        <f>IFERROR(__xludf.DUMMYFUNCTION("""COMPUTED_VALUE"""),"ANNE-LOUISE")</f>
        <v>ANNE-LOUISE</v>
      </c>
      <c r="E4" s="20" t="str">
        <f>IFERROR(__xludf.DUMMYFUNCTION("""COMPUTED_VALUE"""),"Yohan")</f>
        <v>Yohan</v>
      </c>
      <c r="F4" s="20" t="str">
        <f>IFERROR(__xludf.DUMMYFUNCTION("""COMPUTED_VALUE"""),"yohan.anne-louise@edu.esiee.fr")</f>
        <v>yohan.anne-louise@edu.esiee.fr</v>
      </c>
      <c r="G4" s="22" t="str">
        <f>IFERROR(__xludf.DUMMYFUNCTION("""COMPUTED_VALUE"""),"Recherche")</f>
        <v>Recherche</v>
      </c>
      <c r="H4" s="22" t="str">
        <f>IFERROR(__xludf.DUMMYFUNCTION("""COMPUTED_VALUE"""),"R17")</f>
        <v>R17</v>
      </c>
      <c r="I4" s="22" t="str">
        <f>IFERROR(__xludf.DUMMYFUNCTION("""COMPUTED_VALUE"""),"Entreprise")</f>
        <v>Entreprise</v>
      </c>
      <c r="J4" s="22" t="str">
        <f>IFERROR(__xludf.DUMMYFUNCTION("""COMPUTED_VALUE"""),"E24")</f>
        <v>E24</v>
      </c>
      <c r="K4" s="22" t="str">
        <f>IFERROR(__xludf.DUMMYFUNCTION("""COMPUTED_VALUE"""),"Entreprise")</f>
        <v>Entreprise</v>
      </c>
      <c r="L4" s="22" t="str">
        <f>IFERROR(__xludf.DUMMYFUNCTION("""COMPUTED_VALUE"""),"E10")</f>
        <v>E10</v>
      </c>
      <c r="M4" s="22" t="str">
        <f>IFERROR(__xludf.DUMMYFUNCTION("""COMPUTED_VALUE"""),"Entreprise")</f>
        <v>Entreprise</v>
      </c>
      <c r="N4" s="22" t="str">
        <f>IFERROR(__xludf.DUMMYFUNCTION("""COMPUTED_VALUE"""),"E9")</f>
        <v>E9</v>
      </c>
      <c r="O4" s="22" t="str">
        <f>IFERROR(__xludf.DUMMYFUNCTION("""COMPUTED_VALUE"""),"Entreprise")</f>
        <v>Entreprise</v>
      </c>
      <c r="P4" s="22" t="str">
        <f>IFERROR(__xludf.DUMMYFUNCTION("""COMPUTED_VALUE"""),"E12")</f>
        <v>E12</v>
      </c>
      <c r="Q4" s="22" t="str">
        <f>IFERROR(__xludf.DUMMYFUNCTION("""COMPUTED_VALUE"""),"Je ne pars pas")</f>
        <v>Je ne pars pas</v>
      </c>
      <c r="R4" s="16" t="str">
        <f>IFERROR(__xludf.DUMMYFUNCTION("""COMPUTED_VALUE"""),"")</f>
        <v/>
      </c>
      <c r="S4" s="24"/>
      <c r="T4" s="19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25">
        <f>IFERROR(__xludf.DUMMYFUNCTION("""COMPUTED_VALUE"""),43360.57348789352)</f>
        <v>43360.57349</v>
      </c>
      <c r="B5" s="3" t="str">
        <f>IFERROR(__xludf.DUMMYFUNCTION("""COMPUTED_VALUE"""),"")</f>
        <v/>
      </c>
      <c r="C5" s="6" t="str">
        <f>IFERROR(__xludf.DUMMYFUNCTION("""COMPUTED_VALUE"""),"ENE")</f>
        <v>ENE</v>
      </c>
      <c r="D5" s="8" t="str">
        <f>IFERROR(__xludf.DUMMYFUNCTION("""COMPUTED_VALUE"""),"ARFAOUI")</f>
        <v>ARFAOUI</v>
      </c>
      <c r="E5" s="8" t="str">
        <f>IFERROR(__xludf.DUMMYFUNCTION("""COMPUTED_VALUE"""),"Inès")</f>
        <v>Inès</v>
      </c>
      <c r="F5" s="8" t="str">
        <f>IFERROR(__xludf.DUMMYFUNCTION("""COMPUTED_VALUE"""),"ines.arfaoui@edu.esiee.fr")</f>
        <v>ines.arfaoui@edu.esiee.fr</v>
      </c>
      <c r="G5" s="3" t="str">
        <f>IFERROR(__xludf.DUMMYFUNCTION("""COMPUTED_VALUE"""),"Recherche")</f>
        <v>Recherche</v>
      </c>
      <c r="H5" s="3" t="str">
        <f>IFERROR(__xludf.DUMMYFUNCTION("""COMPUTED_VALUE"""),"R12")</f>
        <v>R12</v>
      </c>
      <c r="I5" s="3" t="str">
        <f>IFERROR(__xludf.DUMMYFUNCTION("""COMPUTED_VALUE"""),"Recherche")</f>
        <v>Recherche</v>
      </c>
      <c r="J5" s="3" t="str">
        <f>IFERROR(__xludf.DUMMYFUNCTION("""COMPUTED_VALUE"""),"R16")</f>
        <v>R16</v>
      </c>
      <c r="K5" s="3" t="str">
        <f>IFERROR(__xludf.DUMMYFUNCTION("""COMPUTED_VALUE"""),"Recherche")</f>
        <v>Recherche</v>
      </c>
      <c r="L5" s="3" t="str">
        <f>IFERROR(__xludf.DUMMYFUNCTION("""COMPUTED_VALUE"""),"R1")</f>
        <v>R1</v>
      </c>
      <c r="M5" s="3" t="str">
        <f>IFERROR(__xludf.DUMMYFUNCTION("""COMPUTED_VALUE"""),"Entreprise")</f>
        <v>Entreprise</v>
      </c>
      <c r="N5" s="3" t="str">
        <f>IFERROR(__xludf.DUMMYFUNCTION("""COMPUTED_VALUE"""),"E13")</f>
        <v>E13</v>
      </c>
      <c r="O5" s="3" t="str">
        <f>IFERROR(__xludf.DUMMYFUNCTION("""COMPUTED_VALUE"""),"Recherche")</f>
        <v>Recherche</v>
      </c>
      <c r="P5" s="3" t="str">
        <f>IFERROR(__xludf.DUMMYFUNCTION("""COMPUTED_VALUE"""),"R12")</f>
        <v>R12</v>
      </c>
      <c r="Q5" s="3" t="str">
        <f>IFERROR(__xludf.DUMMYFUNCTION("""COMPUTED_VALUE"""),"Je ne pars pas")</f>
        <v>Je ne pars pas</v>
      </c>
      <c r="R5" s="3" t="str">
        <f>IFERROR(__xludf.DUMMYFUNCTION("""COMPUTED_VALUE"""),"")</f>
        <v/>
      </c>
      <c r="S5" s="11"/>
      <c r="T5" s="3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15">
        <f>IFERROR(__xludf.DUMMYFUNCTION("""COMPUTED_VALUE"""),43360.43392679398)</f>
        <v>43360.43393</v>
      </c>
      <c r="B6" s="16" t="str">
        <f>IFERROR(__xludf.DUMMYFUNCTION("""COMPUTED_VALUE"""),"")</f>
        <v/>
      </c>
      <c r="C6" s="19" t="str">
        <f>IFERROR(__xludf.DUMMYFUNCTION("""COMPUTED_VALUE"""),"DSIA")</f>
        <v>DSIA</v>
      </c>
      <c r="D6" s="20" t="str">
        <f>IFERROR(__xludf.DUMMYFUNCTION("""COMPUTED_VALUE"""),"ARIANFAR")</f>
        <v>ARIANFAR</v>
      </c>
      <c r="E6" s="20" t="str">
        <f>IFERROR(__xludf.DUMMYFUNCTION("""COMPUTED_VALUE"""),"Siawash")</f>
        <v>Siawash</v>
      </c>
      <c r="F6" s="20" t="str">
        <f>IFERROR(__xludf.DUMMYFUNCTION("""COMPUTED_VALUE"""),"siawash.arianfar@edu.esiee.fr")</f>
        <v>siawash.arianfar@edu.esiee.fr</v>
      </c>
      <c r="G6" s="22" t="str">
        <f>IFERROR(__xludf.DUMMYFUNCTION("""COMPUTED_VALUE"""),"Recherche")</f>
        <v>Recherche</v>
      </c>
      <c r="H6" s="22" t="str">
        <f>IFERROR(__xludf.DUMMYFUNCTION("""COMPUTED_VALUE"""),"R4")</f>
        <v>R4</v>
      </c>
      <c r="I6" s="22" t="str">
        <f>IFERROR(__xludf.DUMMYFUNCTION("""COMPUTED_VALUE"""),"Recherche")</f>
        <v>Recherche</v>
      </c>
      <c r="J6" s="22" t="str">
        <f>IFERROR(__xludf.DUMMYFUNCTION("""COMPUTED_VALUE"""),"R8")</f>
        <v>R8</v>
      </c>
      <c r="K6" s="22" t="str">
        <f>IFERROR(__xludf.DUMMYFUNCTION("""COMPUTED_VALUE"""),"Recherche")</f>
        <v>Recherche</v>
      </c>
      <c r="L6" s="22" t="str">
        <f>IFERROR(__xludf.DUMMYFUNCTION("""COMPUTED_VALUE"""),"R19")</f>
        <v>R19</v>
      </c>
      <c r="M6" s="22" t="str">
        <f>IFERROR(__xludf.DUMMYFUNCTION("""COMPUTED_VALUE"""),"Recherche")</f>
        <v>Recherche</v>
      </c>
      <c r="N6" s="22" t="str">
        <f>IFERROR(__xludf.DUMMYFUNCTION("""COMPUTED_VALUE"""),"R9")</f>
        <v>R9</v>
      </c>
      <c r="O6" s="22" t="str">
        <f>IFERROR(__xludf.DUMMYFUNCTION("""COMPUTED_VALUE"""),"Recherche")</f>
        <v>Recherche</v>
      </c>
      <c r="P6" s="22" t="str">
        <f>IFERROR(__xludf.DUMMYFUNCTION("""COMPUTED_VALUE""")," ")</f>
        <v> </v>
      </c>
      <c r="Q6" s="22" t="str">
        <f>IFERROR(__xludf.DUMMYFUNCTION("""COMPUTED_VALUE"""),"Je ne pars pas")</f>
        <v>Je ne pars pas</v>
      </c>
      <c r="R6" s="16" t="str">
        <f>IFERROR(__xludf.DUMMYFUNCTION("""COMPUTED_VALUE"""),"")</f>
        <v/>
      </c>
      <c r="S6" s="24"/>
      <c r="T6" s="19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25">
        <f>IFERROR(__xludf.DUMMYFUNCTION("""COMPUTED_VALUE"""),43362.46773237269)</f>
        <v>43362.46773</v>
      </c>
      <c r="B7" s="3" t="str">
        <f>IFERROR(__xludf.DUMMYFUNCTION("""COMPUTED_VALUE"""),"")</f>
        <v/>
      </c>
      <c r="C7" s="6" t="str">
        <f>IFERROR(__xludf.DUMMYFUNCTION("""COMPUTED_VALUE"""),"SE")</f>
        <v>SE</v>
      </c>
      <c r="D7" s="8" t="str">
        <f>IFERROR(__xludf.DUMMYFUNCTION("""COMPUTED_VALUE"""),"ARZEL")</f>
        <v>ARZEL</v>
      </c>
      <c r="E7" s="8" t="str">
        <f>IFERROR(__xludf.DUMMYFUNCTION("""COMPUTED_VALUE"""),"Timothée")</f>
        <v>Timothée</v>
      </c>
      <c r="F7" s="8" t="str">
        <f>IFERROR(__xludf.DUMMYFUNCTION("""COMPUTED_VALUE"""),"timothee.arzel@edu.esiee.fr")</f>
        <v>timothee.arzel@edu.esiee.fr</v>
      </c>
      <c r="G7" s="3" t="str">
        <f>IFERROR(__xludf.DUMMYFUNCTION("""COMPUTED_VALUE"""),"Entreprise")</f>
        <v>Entreprise</v>
      </c>
      <c r="H7" s="3" t="str">
        <f>IFERROR(__xludf.DUMMYFUNCTION("""COMPUTED_VALUE"""),"E16")</f>
        <v>E16</v>
      </c>
      <c r="I7" s="3" t="str">
        <f>IFERROR(__xludf.DUMMYFUNCTION("""COMPUTED_VALUE"""),"Entreprise")</f>
        <v>Entreprise</v>
      </c>
      <c r="J7" s="3" t="str">
        <f>IFERROR(__xludf.DUMMYFUNCTION("""COMPUTED_VALUE"""),"E17")</f>
        <v>E17</v>
      </c>
      <c r="K7" s="3" t="str">
        <f>IFERROR(__xludf.DUMMYFUNCTION("""COMPUTED_VALUE"""),"Entreprise")</f>
        <v>Entreprise</v>
      </c>
      <c r="L7" s="3" t="str">
        <f>IFERROR(__xludf.DUMMYFUNCTION("""COMPUTED_VALUE"""),"E3")</f>
        <v>E3</v>
      </c>
      <c r="M7" s="3" t="str">
        <f>IFERROR(__xludf.DUMMYFUNCTION("""COMPUTED_VALUE"""),"Entreprise")</f>
        <v>Entreprise</v>
      </c>
      <c r="N7" s="3" t="str">
        <f>IFERROR(__xludf.DUMMYFUNCTION("""COMPUTED_VALUE"""),"E12")</f>
        <v>E12</v>
      </c>
      <c r="O7" s="3" t="str">
        <f>IFERROR(__xludf.DUMMYFUNCTION("""COMPUTED_VALUE"""),"Entreprise")</f>
        <v>Entreprise</v>
      </c>
      <c r="P7" s="3" t="str">
        <f>IFERROR(__xludf.DUMMYFUNCTION("""COMPUTED_VALUE"""),"E20")</f>
        <v>E20</v>
      </c>
      <c r="Q7" s="3" t="str">
        <f>IFERROR(__xludf.DUMMYFUNCTION("""COMPUTED_VALUE"""),"Je pars au semestre 1")</f>
        <v>Je pars au semestre 1</v>
      </c>
      <c r="R7" s="3" t="str">
        <f>IFERROR(__xludf.DUMMYFUNCTION("""COMPUTED_VALUE"""),"")</f>
        <v/>
      </c>
      <c r="S7" s="11"/>
      <c r="T7" s="3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15">
        <f>IFERROR(__xludf.DUMMYFUNCTION("""COMPUTED_VALUE"""),43361.004449618056)</f>
        <v>43361.00445</v>
      </c>
      <c r="B8" s="16" t="str">
        <f>IFERROR(__xludf.DUMMYFUNCTION("""COMPUTED_VALUE"""),"")</f>
        <v/>
      </c>
      <c r="C8" s="19" t="str">
        <f>IFERROR(__xludf.DUMMYFUNCTION("""COMPUTED_VALUE"""),"CYBER")</f>
        <v>CYBER</v>
      </c>
      <c r="D8" s="20" t="str">
        <f>IFERROR(__xludf.DUMMYFUNCTION("""COMPUTED_VALUE"""),"BAKWA")</f>
        <v>BAKWA</v>
      </c>
      <c r="E8" s="20" t="str">
        <f>IFERROR(__xludf.DUMMYFUNCTION("""COMPUTED_VALUE"""),"Mathias")</f>
        <v>Mathias</v>
      </c>
      <c r="F8" s="20" t="str">
        <f>IFERROR(__xludf.DUMMYFUNCTION("""COMPUTED_VALUE"""),"mathias.bakwa@edu.esiee.fr")</f>
        <v>mathias.bakwa@edu.esiee.fr</v>
      </c>
      <c r="G8" s="22" t="str">
        <f>IFERROR(__xludf.DUMMYFUNCTION("""COMPUTED_VALUE"""),"Recherche")</f>
        <v>Recherche</v>
      </c>
      <c r="H8" s="22" t="str">
        <f>IFERROR(__xludf.DUMMYFUNCTION("""COMPUTED_VALUE"""),"R19")</f>
        <v>R19</v>
      </c>
      <c r="I8" s="22" t="str">
        <f>IFERROR(__xludf.DUMMYFUNCTION("""COMPUTED_VALUE"""),"Recherche")</f>
        <v>Recherche</v>
      </c>
      <c r="J8" s="22" t="str">
        <f>IFERROR(__xludf.DUMMYFUNCTION("""COMPUTED_VALUE"""),"R8")</f>
        <v>R8</v>
      </c>
      <c r="K8" s="22" t="str">
        <f>IFERROR(__xludf.DUMMYFUNCTION("""COMPUTED_VALUE"""),"Recherche")</f>
        <v>Recherche</v>
      </c>
      <c r="L8" s="22" t="str">
        <f>IFERROR(__xludf.DUMMYFUNCTION("""COMPUTED_VALUE"""),"R9")</f>
        <v>R9</v>
      </c>
      <c r="M8" s="22" t="str">
        <f>IFERROR(__xludf.DUMMYFUNCTION("""COMPUTED_VALUE"""),"Recherche")</f>
        <v>Recherche</v>
      </c>
      <c r="N8" s="22" t="str">
        <f>IFERROR(__xludf.DUMMYFUNCTION("""COMPUTED_VALUE"""),"R4")</f>
        <v>R4</v>
      </c>
      <c r="O8" s="22" t="str">
        <f>IFERROR(__xludf.DUMMYFUNCTION("""COMPUTED_VALUE"""),"Entreprise")</f>
        <v>Entreprise</v>
      </c>
      <c r="P8" s="22" t="str">
        <f>IFERROR(__xludf.DUMMYFUNCTION("""COMPUTED_VALUE"""),"E22")</f>
        <v>E22</v>
      </c>
      <c r="Q8" s="22" t="str">
        <f>IFERROR(__xludf.DUMMYFUNCTION("""COMPUTED_VALUE"""),"Je ne pars pas")</f>
        <v>Je ne pars pas</v>
      </c>
      <c r="R8" s="16" t="str">
        <f>IFERROR(__xludf.DUMMYFUNCTION("""COMPUTED_VALUE"""),"")</f>
        <v/>
      </c>
      <c r="S8" s="24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25">
        <f>IFERROR(__xludf.DUMMYFUNCTION("""COMPUTED_VALUE"""),43360.43815596065)</f>
        <v>43360.43816</v>
      </c>
      <c r="B9" s="3" t="str">
        <f>IFERROR(__xludf.DUMMYFUNCTION("""COMPUTED_VALUE"""),"")</f>
        <v/>
      </c>
      <c r="C9" s="6" t="str">
        <f>IFERROR(__xludf.DUMMYFUNCTION("""COMPUTED_VALUE"""),"INF")</f>
        <v>INF</v>
      </c>
      <c r="D9" s="8" t="str">
        <f>IFERROR(__xludf.DUMMYFUNCTION("""COMPUTED_VALUE"""),"BALLET")</f>
        <v>BALLET</v>
      </c>
      <c r="E9" s="8" t="str">
        <f>IFERROR(__xludf.DUMMYFUNCTION("""COMPUTED_VALUE"""),"Stéphane")</f>
        <v>Stéphane</v>
      </c>
      <c r="F9" s="8" t="str">
        <f>IFERROR(__xludf.DUMMYFUNCTION("""COMPUTED_VALUE"""),"stephane.ballet@edu.esiee.fr")</f>
        <v>stephane.ballet@edu.esiee.fr</v>
      </c>
      <c r="G9" s="3" t="str">
        <f>IFERROR(__xludf.DUMMYFUNCTION("""COMPUTED_VALUE"""),"Recherche")</f>
        <v>Recherche</v>
      </c>
      <c r="H9" s="3" t="str">
        <f>IFERROR(__xludf.DUMMYFUNCTION("""COMPUTED_VALUE"""),"R18")</f>
        <v>R18</v>
      </c>
      <c r="I9" s="3" t="str">
        <f>IFERROR(__xludf.DUMMYFUNCTION("""COMPUTED_VALUE"""),"Recherche")</f>
        <v>Recherche</v>
      </c>
      <c r="J9" s="3" t="str">
        <f>IFERROR(__xludf.DUMMYFUNCTION("""COMPUTED_VALUE"""),"R13")</f>
        <v>R13</v>
      </c>
      <c r="K9" s="3" t="str">
        <f>IFERROR(__xludf.DUMMYFUNCTION("""COMPUTED_VALUE"""),"Entreprise")</f>
        <v>Entreprise</v>
      </c>
      <c r="L9" s="3" t="str">
        <f>IFERROR(__xludf.DUMMYFUNCTION("""COMPUTED_VALUE"""),"E5")</f>
        <v>E5</v>
      </c>
      <c r="M9" s="3" t="str">
        <f>IFERROR(__xludf.DUMMYFUNCTION("""COMPUTED_VALUE"""),"Entreprise")</f>
        <v>Entreprise</v>
      </c>
      <c r="N9" s="3" t="str">
        <f>IFERROR(__xludf.DUMMYFUNCTION("""COMPUTED_VALUE"""),"E24")</f>
        <v>E24</v>
      </c>
      <c r="O9" s="3" t="str">
        <f>IFERROR(__xludf.DUMMYFUNCTION("""COMPUTED_VALUE"""),"Recherche")</f>
        <v>Recherche</v>
      </c>
      <c r="P9" s="3" t="str">
        <f>IFERROR(__xludf.DUMMYFUNCTION("""COMPUTED_VALUE"""),"R20")</f>
        <v>R20</v>
      </c>
      <c r="Q9" s="3" t="str">
        <f>IFERROR(__xludf.DUMMYFUNCTION("""COMPUTED_VALUE"""),"Je ne pars pas")</f>
        <v>Je ne pars pas</v>
      </c>
      <c r="R9" s="3" t="str">
        <f>IFERROR(__xludf.DUMMYFUNCTION("""COMPUTED_VALUE"""),"")</f>
        <v/>
      </c>
      <c r="S9" s="11"/>
      <c r="T9" s="3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15">
        <f>IFERROR(__xludf.DUMMYFUNCTION("""COMPUTED_VALUE"""),43360.42807393518)</f>
        <v>43360.42807</v>
      </c>
      <c r="B10" s="16" t="str">
        <f>IFERROR(__xludf.DUMMYFUNCTION("""COMPUTED_VALUE"""),"")</f>
        <v/>
      </c>
      <c r="C10" s="19" t="str">
        <f>IFERROR(__xludf.DUMMYFUNCTION("""COMPUTED_VALUE"""),"DSIA")</f>
        <v>DSIA</v>
      </c>
      <c r="D10" s="20" t="str">
        <f>IFERROR(__xludf.DUMMYFUNCTION("""COMPUTED_VALUE"""),"BAO")</f>
        <v>BAO</v>
      </c>
      <c r="E10" s="20" t="str">
        <f>IFERROR(__xludf.DUMMYFUNCTION("""COMPUTED_VALUE"""),"Patrick")</f>
        <v>Patrick</v>
      </c>
      <c r="F10" s="20" t="str">
        <f>IFERROR(__xludf.DUMMYFUNCTION("""COMPUTED_VALUE"""),"patrick.bao@edu.esiee.fr")</f>
        <v>patrick.bao@edu.esiee.fr</v>
      </c>
      <c r="G10" s="22" t="str">
        <f>IFERROR(__xludf.DUMMYFUNCTION("""COMPUTED_VALUE"""),"Recherche")</f>
        <v>Recherche</v>
      </c>
      <c r="H10" s="22" t="str">
        <f>IFERROR(__xludf.DUMMYFUNCTION("""COMPUTED_VALUE"""),"R18")</f>
        <v>R18</v>
      </c>
      <c r="I10" s="22" t="str">
        <f>IFERROR(__xludf.DUMMYFUNCTION("""COMPUTED_VALUE"""),"Recherche")</f>
        <v>Recherche</v>
      </c>
      <c r="J10" s="22" t="str">
        <f>IFERROR(__xludf.DUMMYFUNCTION("""COMPUTED_VALUE"""),"R13")</f>
        <v>R13</v>
      </c>
      <c r="K10" s="22" t="str">
        <f>IFERROR(__xludf.DUMMYFUNCTION("""COMPUTED_VALUE"""),"Entreprise")</f>
        <v>Entreprise</v>
      </c>
      <c r="L10" s="22" t="str">
        <f>IFERROR(__xludf.DUMMYFUNCTION("""COMPUTED_VALUE"""),"E4")</f>
        <v>E4</v>
      </c>
      <c r="M10" s="22" t="str">
        <f>IFERROR(__xludf.DUMMYFUNCTION("""COMPUTED_VALUE"""),"Recherche")</f>
        <v>Recherche</v>
      </c>
      <c r="N10" s="22" t="str">
        <f>IFERROR(__xludf.DUMMYFUNCTION("""COMPUTED_VALUE"""),"E21")</f>
        <v>E21</v>
      </c>
      <c r="O10" s="22" t="str">
        <f>IFERROR(__xludf.DUMMYFUNCTION("""COMPUTED_VALUE"""),"Recherche")</f>
        <v>Recherche</v>
      </c>
      <c r="P10" s="22" t="str">
        <f>IFERROR(__xludf.DUMMYFUNCTION("""COMPUTED_VALUE"""),"R18")</f>
        <v>R18</v>
      </c>
      <c r="Q10" s="22" t="str">
        <f>IFERROR(__xludf.DUMMYFUNCTION("""COMPUTED_VALUE"""),"Je ne pars pas")</f>
        <v>Je ne pars pas</v>
      </c>
      <c r="R10" s="16" t="str">
        <f>IFERROR(__xludf.DUMMYFUNCTION("""COMPUTED_VALUE"""),"")</f>
        <v/>
      </c>
      <c r="S10" s="24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25">
        <f>IFERROR(__xludf.DUMMYFUNCTION("""COMPUTED_VALUE"""),43361.367414988425)</f>
        <v>43361.36741</v>
      </c>
      <c r="B11" s="3" t="str">
        <f>IFERROR(__xludf.DUMMYFUNCTION("""COMPUTED_VALUE"""),"")</f>
        <v/>
      </c>
      <c r="C11" s="6" t="str">
        <f>IFERROR(__xludf.DUMMYFUNCTION("""COMPUTED_VALUE"""),"DSIA")</f>
        <v>DSIA</v>
      </c>
      <c r="D11" s="8" t="str">
        <f>IFERROR(__xludf.DUMMYFUNCTION("""COMPUTED_VALUE"""),"BARBOSA VAZ")</f>
        <v>BARBOSA VAZ</v>
      </c>
      <c r="E11" s="8" t="str">
        <f>IFERROR(__xludf.DUMMYFUNCTION("""COMPUTED_VALUE"""),"Vincent")</f>
        <v>Vincent</v>
      </c>
      <c r="F11" s="8" t="str">
        <f>IFERROR(__xludf.DUMMYFUNCTION("""COMPUTED_VALUE"""),"vincent.barbosavaz@edu.esiee.fr")</f>
        <v>vincent.barbosavaz@edu.esiee.fr</v>
      </c>
      <c r="G11" s="3" t="str">
        <f>IFERROR(__xludf.DUMMYFUNCTION("""COMPUTED_VALUE"""),"Entrepreneuriat/Logiciel Libre")</f>
        <v>Entrepreneuriat/Logiciel Libre</v>
      </c>
      <c r="H11" s="3" t="str">
        <f>IFERROR(__xludf.DUMMYFUNCTION("""COMPUTED_VALUE"""),"")</f>
        <v/>
      </c>
      <c r="I11" s="3" t="str">
        <f>IFERROR(__xludf.DUMMYFUNCTION("""COMPUTED_VALUE"""),"")</f>
        <v/>
      </c>
      <c r="J11" s="3" t="str">
        <f>IFERROR(__xludf.DUMMYFUNCTION("""COMPUTED_VALUE"""),"")</f>
        <v/>
      </c>
      <c r="K11" s="3" t="str">
        <f>IFERROR(__xludf.DUMMYFUNCTION("""COMPUTED_VALUE"""),"")</f>
        <v/>
      </c>
      <c r="L11" s="3" t="str">
        <f>IFERROR(__xludf.DUMMYFUNCTION("""COMPUTED_VALUE"""),"")</f>
        <v/>
      </c>
      <c r="M11" s="3" t="str">
        <f>IFERROR(__xludf.DUMMYFUNCTION("""COMPUTED_VALUE"""),"")</f>
        <v/>
      </c>
      <c r="N11" s="3" t="str">
        <f>IFERROR(__xludf.DUMMYFUNCTION("""COMPUTED_VALUE"""),"")</f>
        <v/>
      </c>
      <c r="O11" s="3" t="str">
        <f>IFERROR(__xludf.DUMMYFUNCTION("""COMPUTED_VALUE"""),"")</f>
        <v/>
      </c>
      <c r="P11" s="3" t="str">
        <f>IFERROR(__xludf.DUMMYFUNCTION("""COMPUTED_VALUE"""),"")</f>
        <v/>
      </c>
      <c r="Q11" s="3" t="str">
        <f>IFERROR(__xludf.DUMMYFUNCTION("""COMPUTED_VALUE"""),"Je ne pars pas")</f>
        <v>Je ne pars pas</v>
      </c>
      <c r="R11" s="3" t="str">
        <f>IFERROR(__xludf.DUMMYFUNCTION("""COMPUTED_VALUE"""),"")</f>
        <v/>
      </c>
      <c r="S11" s="11"/>
      <c r="T11" s="3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15">
        <f>IFERROR(__xludf.DUMMYFUNCTION("""COMPUTED_VALUE"""),43361.33919059028)</f>
        <v>43361.33919</v>
      </c>
      <c r="B12" s="16" t="str">
        <f>IFERROR(__xludf.DUMMYFUNCTION("""COMPUTED_VALUE"""),"")</f>
        <v/>
      </c>
      <c r="C12" s="19" t="str">
        <f>IFERROR(__xludf.DUMMYFUNCTION("""COMPUTED_VALUE"""),"GI")</f>
        <v>GI</v>
      </c>
      <c r="D12" s="20" t="str">
        <f>IFERROR(__xludf.DUMMYFUNCTION("""COMPUTED_VALUE"""),"BARGE")</f>
        <v>BARGE</v>
      </c>
      <c r="E12" s="20" t="str">
        <f>IFERROR(__xludf.DUMMYFUNCTION("""COMPUTED_VALUE"""),"Loïc")</f>
        <v>Loïc</v>
      </c>
      <c r="F12" s="20" t="str">
        <f>IFERROR(__xludf.DUMMYFUNCTION("""COMPUTED_VALUE"""),"loic.barge@edu.esiee.fr")</f>
        <v>loic.barge@edu.esiee.fr</v>
      </c>
      <c r="G12" s="22" t="str">
        <f>IFERROR(__xludf.DUMMYFUNCTION("""COMPUTED_VALUE"""),"Recherche")</f>
        <v>Recherche</v>
      </c>
      <c r="H12" s="22" t="str">
        <f>IFERROR(__xludf.DUMMYFUNCTION("""COMPUTED_VALUE"""),"R24")</f>
        <v>R24</v>
      </c>
      <c r="I12" s="22" t="str">
        <f>IFERROR(__xludf.DUMMYFUNCTION("""COMPUTED_VALUE"""),"Recherche")</f>
        <v>Recherche</v>
      </c>
      <c r="J12" s="22" t="str">
        <f>IFERROR(__xludf.DUMMYFUNCTION("""COMPUTED_VALUE"""),"R32")</f>
        <v>R32</v>
      </c>
      <c r="K12" s="22" t="str">
        <f>IFERROR(__xludf.DUMMYFUNCTION("""COMPUTED_VALUE"""),"Recherche")</f>
        <v>Recherche</v>
      </c>
      <c r="L12" s="22" t="str">
        <f>IFERROR(__xludf.DUMMYFUNCTION("""COMPUTED_VALUE"""),"R31")</f>
        <v>R31</v>
      </c>
      <c r="M12" s="22" t="str">
        <f>IFERROR(__xludf.DUMMYFUNCTION("""COMPUTED_VALUE"""),"Concours")</f>
        <v>Concours</v>
      </c>
      <c r="N12" s="22" t="str">
        <f>IFERROR(__xludf.DUMMYFUNCTION("""COMPUTED_VALUE"""),"C1")</f>
        <v>C1</v>
      </c>
      <c r="O12" s="22" t="str">
        <f>IFERROR(__xludf.DUMMYFUNCTION("""COMPUTED_VALUE"""),"Entreprise")</f>
        <v>Entreprise</v>
      </c>
      <c r="P12" s="22" t="str">
        <f>IFERROR(__xludf.DUMMYFUNCTION("""COMPUTED_VALUE"""),"E10")</f>
        <v>E10</v>
      </c>
      <c r="Q12" s="22" t="str">
        <f>IFERROR(__xludf.DUMMYFUNCTION("""COMPUTED_VALUE"""),"Je ne pars pas")</f>
        <v>Je ne pars pas</v>
      </c>
      <c r="R12" s="16" t="str">
        <f>IFERROR(__xludf.DUMMYFUNCTION("""COMPUTED_VALUE"""),"")</f>
        <v/>
      </c>
      <c r="S12" s="24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25">
        <f>IFERROR(__xludf.DUMMYFUNCTION("""COMPUTED_VALUE"""),43360.418938206014)</f>
        <v>43360.41894</v>
      </c>
      <c r="B13" s="3" t="str">
        <f>IFERROR(__xludf.DUMMYFUNCTION("""COMPUTED_VALUE"""),"")</f>
        <v/>
      </c>
      <c r="C13" s="6" t="str">
        <f>IFERROR(__xludf.DUMMYFUNCTION("""COMPUTED_VALUE"""),"BIO")</f>
        <v>BIO</v>
      </c>
      <c r="D13" s="8" t="str">
        <f>IFERROR(__xludf.DUMMYFUNCTION("""COMPUTED_VALUE"""),"BATISTA")</f>
        <v>BATISTA</v>
      </c>
      <c r="E13" s="8" t="str">
        <f>IFERROR(__xludf.DUMMYFUNCTION("""COMPUTED_VALUE"""),"Claire")</f>
        <v>Claire</v>
      </c>
      <c r="F13" s="8" t="str">
        <f>IFERROR(__xludf.DUMMYFUNCTION("""COMPUTED_VALUE"""),"claire.batista@edu.esiee.fr")</f>
        <v>claire.batista@edu.esiee.fr</v>
      </c>
      <c r="G13" s="3" t="str">
        <f>IFERROR(__xludf.DUMMYFUNCTION("""COMPUTED_VALUE"""),"Recherche")</f>
        <v>Recherche</v>
      </c>
      <c r="H13" s="3" t="str">
        <f>IFERROR(__xludf.DUMMYFUNCTION("""COMPUTED_VALUE"""),"R2")</f>
        <v>R2</v>
      </c>
      <c r="I13" s="3" t="str">
        <f>IFERROR(__xludf.DUMMYFUNCTION("""COMPUTED_VALUE"""),"Entreprise")</f>
        <v>Entreprise</v>
      </c>
      <c r="J13" s="3" t="str">
        <f>IFERROR(__xludf.DUMMYFUNCTION("""COMPUTED_VALUE"""),"E1")</f>
        <v>E1</v>
      </c>
      <c r="K13" s="3" t="str">
        <f>IFERROR(__xludf.DUMMYFUNCTION("""COMPUTED_VALUE"""),"Entreprise")</f>
        <v>Entreprise</v>
      </c>
      <c r="L13" s="3" t="str">
        <f>IFERROR(__xludf.DUMMYFUNCTION("""COMPUTED_VALUE"""),"E19")</f>
        <v>E19</v>
      </c>
      <c r="M13" s="3" t="str">
        <f>IFERROR(__xludf.DUMMYFUNCTION("""COMPUTED_VALUE"""),"Entreprise")</f>
        <v>Entreprise</v>
      </c>
      <c r="N13" s="3" t="str">
        <f>IFERROR(__xludf.DUMMYFUNCTION("""COMPUTED_VALUE"""),"E15")</f>
        <v>E15</v>
      </c>
      <c r="O13" s="3" t="str">
        <f>IFERROR(__xludf.DUMMYFUNCTION("""COMPUTED_VALUE"""),"Recherche")</f>
        <v>Recherche</v>
      </c>
      <c r="P13" s="3" t="str">
        <f>IFERROR(__xludf.DUMMYFUNCTION("""COMPUTED_VALUE"""),"R15")</f>
        <v>R15</v>
      </c>
      <c r="Q13" s="3" t="str">
        <f>IFERROR(__xludf.DUMMYFUNCTION("""COMPUTED_VALUE"""),"Je ne pars pas")</f>
        <v>Je ne pars pas</v>
      </c>
      <c r="R13" s="3" t="str">
        <f>IFERROR(__xludf.DUMMYFUNCTION("""COMPUTED_VALUE"""),"")</f>
        <v/>
      </c>
      <c r="S13" s="11"/>
      <c r="T13" s="3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15">
        <f>IFERROR(__xludf.DUMMYFUNCTION("""COMPUTED_VALUE"""),43362.36437289351)</f>
        <v>43362.36437</v>
      </c>
      <c r="B14" s="16" t="str">
        <f>IFERROR(__xludf.DUMMYFUNCTION("""COMPUTED_VALUE"""),"")</f>
        <v/>
      </c>
      <c r="C14" s="19" t="str">
        <f>IFERROR(__xludf.DUMMYFUNCTION("""COMPUTED_VALUE"""),"BIO")</f>
        <v>BIO</v>
      </c>
      <c r="D14" s="20" t="str">
        <f>IFERROR(__xludf.DUMMYFUNCTION("""COMPUTED_VALUE"""),"BAUDOUIN")</f>
        <v>BAUDOUIN</v>
      </c>
      <c r="E14" s="20" t="str">
        <f>IFERROR(__xludf.DUMMYFUNCTION("""COMPUTED_VALUE"""),"Clara")</f>
        <v>Clara</v>
      </c>
      <c r="F14" s="20" t="str">
        <f>IFERROR(__xludf.DUMMYFUNCTION("""COMPUTED_VALUE"""),"clara.baudouin@edu.esiee.fr")</f>
        <v>clara.baudouin@edu.esiee.fr</v>
      </c>
      <c r="G14" s="22" t="str">
        <f>IFERROR(__xludf.DUMMYFUNCTION("""COMPUTED_VALUE"""),"Entreprise")</f>
        <v>Entreprise</v>
      </c>
      <c r="H14" s="22" t="str">
        <f>IFERROR(__xludf.DUMMYFUNCTION("""COMPUTED_VALUE"""),"E15")</f>
        <v>E15</v>
      </c>
      <c r="I14" s="22" t="str">
        <f>IFERROR(__xludf.DUMMYFUNCTION("""COMPUTED_VALUE"""),"Entreprise")</f>
        <v>Entreprise</v>
      </c>
      <c r="J14" s="22" t="str">
        <f>IFERROR(__xludf.DUMMYFUNCTION("""COMPUTED_VALUE"""),"E19")</f>
        <v>E19</v>
      </c>
      <c r="K14" s="22" t="str">
        <f>IFERROR(__xludf.DUMMYFUNCTION("""COMPUTED_VALUE"""),"Entreprise")</f>
        <v>Entreprise</v>
      </c>
      <c r="L14" s="22" t="str">
        <f>IFERROR(__xludf.DUMMYFUNCTION("""COMPUTED_VALUE"""),"E1")</f>
        <v>E1</v>
      </c>
      <c r="M14" s="22" t="str">
        <f>IFERROR(__xludf.DUMMYFUNCTION("""COMPUTED_VALUE"""),"Entreprise")</f>
        <v>Entreprise</v>
      </c>
      <c r="N14" s="22" t="str">
        <f>IFERROR(__xludf.DUMMYFUNCTION("""COMPUTED_VALUE"""),"R2")</f>
        <v>R2</v>
      </c>
      <c r="O14" s="22" t="str">
        <f>IFERROR(__xludf.DUMMYFUNCTION("""COMPUTED_VALUE"""),"Entreprise")</f>
        <v>Entreprise</v>
      </c>
      <c r="P14" s="22" t="str">
        <f>IFERROR(__xludf.DUMMYFUNCTION("""COMPUTED_VALUE"""),"E20")</f>
        <v>E20</v>
      </c>
      <c r="Q14" s="22" t="str">
        <f>IFERROR(__xludf.DUMMYFUNCTION("""COMPUTED_VALUE"""),"Je pars au semestre 1")</f>
        <v>Je pars au semestre 1</v>
      </c>
      <c r="R14" s="16" t="str">
        <f>IFERROR(__xludf.DUMMYFUNCTION("""COMPUTED_VALUE"""),"")</f>
        <v/>
      </c>
      <c r="S14" s="24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25">
        <f>IFERROR(__xludf.DUMMYFUNCTION("""COMPUTED_VALUE"""),43360.50744803241)</f>
        <v>43360.50745</v>
      </c>
      <c r="B15" s="3" t="str">
        <f>IFERROR(__xludf.DUMMYFUNCTION("""COMPUTED_VALUE"""),"")</f>
        <v/>
      </c>
      <c r="C15" s="6" t="str">
        <f>IFERROR(__xludf.DUMMYFUNCTION("""COMPUTED_VALUE"""),"GI")</f>
        <v>GI</v>
      </c>
      <c r="D15" s="8" t="str">
        <f>IFERROR(__xludf.DUMMYFUNCTION("""COMPUTED_VALUE"""),"BEN AMOR")</f>
        <v>BEN AMOR</v>
      </c>
      <c r="E15" s="8" t="str">
        <f>IFERROR(__xludf.DUMMYFUNCTION("""COMPUTED_VALUE"""),"Alia")</f>
        <v>Alia</v>
      </c>
      <c r="F15" s="8" t="str">
        <f>IFERROR(__xludf.DUMMYFUNCTION("""COMPUTED_VALUE"""),"alia.benamor@edu.esiee.fr")</f>
        <v>alia.benamor@edu.esiee.fr</v>
      </c>
      <c r="G15" s="3" t="str">
        <f>IFERROR(__xludf.DUMMYFUNCTION("""COMPUTED_VALUE"""),"Entrepreneuriat/Logiciel Libre")</f>
        <v>Entrepreneuriat/Logiciel Libre</v>
      </c>
      <c r="H15" s="3" t="str">
        <f>IFERROR(__xludf.DUMMYFUNCTION("""COMPUTED_VALUE"""),"")</f>
        <v/>
      </c>
      <c r="I15" s="3" t="str">
        <f>IFERROR(__xludf.DUMMYFUNCTION("""COMPUTED_VALUE"""),"")</f>
        <v/>
      </c>
      <c r="J15" s="3" t="str">
        <f>IFERROR(__xludf.DUMMYFUNCTION("""COMPUTED_VALUE"""),"")</f>
        <v/>
      </c>
      <c r="K15" s="3" t="str">
        <f>IFERROR(__xludf.DUMMYFUNCTION("""COMPUTED_VALUE"""),"")</f>
        <v/>
      </c>
      <c r="L15" s="3" t="str">
        <f>IFERROR(__xludf.DUMMYFUNCTION("""COMPUTED_VALUE"""),"")</f>
        <v/>
      </c>
      <c r="M15" s="3" t="str">
        <f>IFERROR(__xludf.DUMMYFUNCTION("""COMPUTED_VALUE"""),"")</f>
        <v/>
      </c>
      <c r="N15" s="3" t="str">
        <f>IFERROR(__xludf.DUMMYFUNCTION("""COMPUTED_VALUE"""),"")</f>
        <v/>
      </c>
      <c r="O15" s="3" t="str">
        <f>IFERROR(__xludf.DUMMYFUNCTION("""COMPUTED_VALUE"""),"")</f>
        <v/>
      </c>
      <c r="P15" s="3" t="str">
        <f>IFERROR(__xludf.DUMMYFUNCTION("""COMPUTED_VALUE"""),"")</f>
        <v/>
      </c>
      <c r="Q15" s="3" t="str">
        <f>IFERROR(__xludf.DUMMYFUNCTION("""COMPUTED_VALUE"""),"Je ne pars pas")</f>
        <v>Je ne pars pas</v>
      </c>
      <c r="R15" s="3" t="str">
        <f>IFERROR(__xludf.DUMMYFUNCTION("""COMPUTED_VALUE"""),"")</f>
        <v/>
      </c>
      <c r="S15" s="11"/>
      <c r="T15" s="3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5">
        <f>IFERROR(__xludf.DUMMYFUNCTION("""COMPUTED_VALUE"""),43361.31109994213)</f>
        <v>43361.3111</v>
      </c>
      <c r="B16" s="16" t="str">
        <f>IFERROR(__xludf.DUMMYFUNCTION("""COMPUTED_VALUE"""),"")</f>
        <v/>
      </c>
      <c r="C16" s="19" t="str">
        <f>IFERROR(__xludf.DUMMYFUNCTION("""COMPUTED_VALUE"""),"IME")</f>
        <v>IME</v>
      </c>
      <c r="D16" s="20" t="str">
        <f>IFERROR(__xludf.DUMMYFUNCTION("""COMPUTED_VALUE"""),"BENSON")</f>
        <v>BENSON</v>
      </c>
      <c r="E16" s="20" t="str">
        <f>IFERROR(__xludf.DUMMYFUNCTION("""COMPUTED_VALUE"""),"Laurence")</f>
        <v>Laurence</v>
      </c>
      <c r="F16" s="20" t="str">
        <f>IFERROR(__xludf.DUMMYFUNCTION("""COMPUTED_VALUE"""),"laurence.benson@edu.esiee.fr")</f>
        <v>laurence.benson@edu.esiee.fr</v>
      </c>
      <c r="G16" s="22" t="str">
        <f>IFERROR(__xludf.DUMMYFUNCTION("""COMPUTED_VALUE"""),"Recherche")</f>
        <v>Recherche</v>
      </c>
      <c r="H16" s="22" t="str">
        <f>IFERROR(__xludf.DUMMYFUNCTION("""COMPUTED_VALUE"""),"R22")</f>
        <v>R22</v>
      </c>
      <c r="I16" s="22" t="str">
        <f>IFERROR(__xludf.DUMMYFUNCTION("""COMPUTED_VALUE"""),"Recherche")</f>
        <v>Recherche</v>
      </c>
      <c r="J16" s="22" t="str">
        <f>IFERROR(__xludf.DUMMYFUNCTION("""COMPUTED_VALUE"""),"R28")</f>
        <v>R28</v>
      </c>
      <c r="K16" s="22" t="str">
        <f>IFERROR(__xludf.DUMMYFUNCTION("""COMPUTED_VALUE"""),"Recherche")</f>
        <v>Recherche</v>
      </c>
      <c r="L16" s="22" t="str">
        <f>IFERROR(__xludf.DUMMYFUNCTION("""COMPUTED_VALUE"""),"R29")</f>
        <v>R29</v>
      </c>
      <c r="M16" s="22" t="str">
        <f>IFERROR(__xludf.DUMMYFUNCTION("""COMPUTED_VALUE"""),"Recherche")</f>
        <v>Recherche</v>
      </c>
      <c r="N16" s="22" t="str">
        <f>IFERROR(__xludf.DUMMYFUNCTION("""COMPUTED_VALUE"""),"R30")</f>
        <v>R30</v>
      </c>
      <c r="O16" s="22" t="str">
        <f>IFERROR(__xludf.DUMMYFUNCTION("""COMPUTED_VALUE"""),"Recherche")</f>
        <v>Recherche</v>
      </c>
      <c r="P16" s="22" t="str">
        <f>IFERROR(__xludf.DUMMYFUNCTION("""COMPUTED_VALUE"""),"R12")</f>
        <v>R12</v>
      </c>
      <c r="Q16" s="22" t="str">
        <f>IFERROR(__xludf.DUMMYFUNCTION("""COMPUTED_VALUE"""),"Je ne pars pas")</f>
        <v>Je ne pars pas</v>
      </c>
      <c r="R16" s="16" t="str">
        <f>IFERROR(__xludf.DUMMYFUNCTION("""COMPUTED_VALUE"""),"")</f>
        <v/>
      </c>
      <c r="S16" s="24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25">
        <f>IFERROR(__xludf.DUMMYFUNCTION("""COMPUTED_VALUE"""),43360.43280574074)</f>
        <v>43360.43281</v>
      </c>
      <c r="B17" s="3" t="str">
        <f>IFERROR(__xludf.DUMMYFUNCTION("""COMPUTED_VALUE"""),"")</f>
        <v/>
      </c>
      <c r="C17" s="6" t="str">
        <f>IFERROR(__xludf.DUMMYFUNCTION("""COMPUTED_VALUE"""),"ELE")</f>
        <v>ELE</v>
      </c>
      <c r="D17" s="8" t="str">
        <f>IFERROR(__xludf.DUMMYFUNCTION("""COMPUTED_VALUE"""),"BERNARDINI")</f>
        <v>BERNARDINI</v>
      </c>
      <c r="E17" s="8" t="str">
        <f>IFERROR(__xludf.DUMMYFUNCTION("""COMPUTED_VALUE"""),"Baptiste")</f>
        <v>Baptiste</v>
      </c>
      <c r="F17" s="8" t="str">
        <f>IFERROR(__xludf.DUMMYFUNCTION("""COMPUTED_VALUE"""),"baptiste.bernardini@edu.esiee.fr")</f>
        <v>baptiste.bernardini@edu.esiee.fr</v>
      </c>
      <c r="G17" s="3" t="str">
        <f>IFERROR(__xludf.DUMMYFUNCTION("""COMPUTED_VALUE"""),"Concours")</f>
        <v>Concours</v>
      </c>
      <c r="H17" s="3" t="str">
        <f>IFERROR(__xludf.DUMMYFUNCTION("""COMPUTED_VALUE"""),"C3")</f>
        <v>C3</v>
      </c>
      <c r="I17" s="3" t="str">
        <f>IFERROR(__xludf.DUMMYFUNCTION("""COMPUTED_VALUE"""),"Recherche")</f>
        <v>Recherche</v>
      </c>
      <c r="J17" s="3" t="str">
        <f>IFERROR(__xludf.DUMMYFUNCTION("""COMPUTED_VALUE"""),"R26")</f>
        <v>R26</v>
      </c>
      <c r="K17" s="3" t="str">
        <f>IFERROR(__xludf.DUMMYFUNCTION("""COMPUTED_VALUE"""),"Concours")</f>
        <v>Concours</v>
      </c>
      <c r="L17" s="3" t="str">
        <f>IFERROR(__xludf.DUMMYFUNCTION("""COMPUTED_VALUE"""),"C1")</f>
        <v>C1</v>
      </c>
      <c r="M17" s="3" t="str">
        <f>IFERROR(__xludf.DUMMYFUNCTION("""COMPUTED_VALUE"""),"Recherche")</f>
        <v>Recherche</v>
      </c>
      <c r="N17" s="3" t="str">
        <f>IFERROR(__xludf.DUMMYFUNCTION("""COMPUTED_VALUE"""),"R3")</f>
        <v>R3</v>
      </c>
      <c r="O17" s="3" t="str">
        <f>IFERROR(__xludf.DUMMYFUNCTION("""COMPUTED_VALUE"""),"Recherche")</f>
        <v>Recherche</v>
      </c>
      <c r="P17" s="3" t="str">
        <f>IFERROR(__xludf.DUMMYFUNCTION("""COMPUTED_VALUE"""),"R22")</f>
        <v>R22</v>
      </c>
      <c r="Q17" s="3" t="str">
        <f>IFERROR(__xludf.DUMMYFUNCTION("""COMPUTED_VALUE"""),"Je ne pars pas")</f>
        <v>Je ne pars pas</v>
      </c>
      <c r="R17" s="3" t="str">
        <f>IFERROR(__xludf.DUMMYFUNCTION("""COMPUTED_VALUE"""),"")</f>
        <v/>
      </c>
      <c r="S17" s="11"/>
      <c r="T17" s="3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5">
        <f>IFERROR(__xludf.DUMMYFUNCTION("""COMPUTED_VALUE"""),43360.53704667824)</f>
        <v>43360.53705</v>
      </c>
      <c r="B18" s="16" t="str">
        <f>IFERROR(__xludf.DUMMYFUNCTION("""COMPUTED_VALUE"""),"")</f>
        <v/>
      </c>
      <c r="C18" s="19" t="str">
        <f>IFERROR(__xludf.DUMMYFUNCTION("""COMPUTED_VALUE"""),"ENE")</f>
        <v>ENE</v>
      </c>
      <c r="D18" s="20" t="str">
        <f>IFERROR(__xludf.DUMMYFUNCTION("""COMPUTED_VALUE"""),"BERTOLIM VIEIRA SILVA")</f>
        <v>BERTOLIM VIEIRA SILVA</v>
      </c>
      <c r="E18" s="20" t="str">
        <f>IFERROR(__xludf.DUMMYFUNCTION("""COMPUTED_VALUE"""),"Gabriel")</f>
        <v>Gabriel</v>
      </c>
      <c r="F18" s="20" t="str">
        <f>IFERROR(__xludf.DUMMYFUNCTION("""COMPUTED_VALUE"""),"gabriel.bertolimvieirasilva@edu.esiee.fr")</f>
        <v>gabriel.bertolimvieirasilva@edu.esiee.fr</v>
      </c>
      <c r="G18" s="22" t="str">
        <f>IFERROR(__xludf.DUMMYFUNCTION("""COMPUTED_VALUE"""),"Entreprise")</f>
        <v>Entreprise</v>
      </c>
      <c r="H18" s="22" t="str">
        <f>IFERROR(__xludf.DUMMYFUNCTION("""COMPUTED_VALUE"""),"E13")</f>
        <v>E13</v>
      </c>
      <c r="I18" s="22" t="str">
        <f>IFERROR(__xludf.DUMMYFUNCTION("""COMPUTED_VALUE"""),"Recherche")</f>
        <v>Recherche</v>
      </c>
      <c r="J18" s="22" t="str">
        <f>IFERROR(__xludf.DUMMYFUNCTION("""COMPUTED_VALUE"""),"R12")</f>
        <v>R12</v>
      </c>
      <c r="K18" s="22" t="str">
        <f>IFERROR(__xludf.DUMMYFUNCTION("""COMPUTED_VALUE"""),"Recherche")</f>
        <v>Recherche</v>
      </c>
      <c r="L18" s="22" t="str">
        <f>IFERROR(__xludf.DUMMYFUNCTION("""COMPUTED_VALUE"""),"R5")</f>
        <v>R5</v>
      </c>
      <c r="M18" s="22" t="str">
        <f>IFERROR(__xludf.DUMMYFUNCTION("""COMPUTED_VALUE"""),"Recherche")</f>
        <v>Recherche</v>
      </c>
      <c r="N18" s="22" t="str">
        <f>IFERROR(__xludf.DUMMYFUNCTION("""COMPUTED_VALUE"""),"R16")</f>
        <v>R16</v>
      </c>
      <c r="O18" s="22" t="str">
        <f>IFERROR(__xludf.DUMMYFUNCTION("""COMPUTED_VALUE"""),"Recherche")</f>
        <v>Recherche</v>
      </c>
      <c r="P18" s="22" t="str">
        <f>IFERROR(__xludf.DUMMYFUNCTION("""COMPUTED_VALUE"""),"R23")</f>
        <v>R23</v>
      </c>
      <c r="Q18" s="22" t="str">
        <f>IFERROR(__xludf.DUMMYFUNCTION("""COMPUTED_VALUE"""),"Je ne pars pas")</f>
        <v>Je ne pars pas</v>
      </c>
      <c r="R18" s="16" t="str">
        <f>IFERROR(__xludf.DUMMYFUNCTION("""COMPUTED_VALUE"""),"")</f>
        <v/>
      </c>
      <c r="S18" s="24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25">
        <f>IFERROR(__xludf.DUMMYFUNCTION("""COMPUTED_VALUE"""),43361.380840150465)</f>
        <v>43361.38084</v>
      </c>
      <c r="B19" s="3" t="str">
        <f>IFERROR(__xludf.DUMMYFUNCTION("""COMPUTED_VALUE"""),"")</f>
        <v/>
      </c>
      <c r="C19" s="6" t="str">
        <f>IFERROR(__xludf.DUMMYFUNCTION("""COMPUTED_VALUE"""),"ENE")</f>
        <v>ENE</v>
      </c>
      <c r="D19" s="8" t="str">
        <f>IFERROR(__xludf.DUMMYFUNCTION("""COMPUTED_VALUE"""),"BEZZINA")</f>
        <v>BEZZINA</v>
      </c>
      <c r="E19" s="8" t="str">
        <f>IFERROR(__xludf.DUMMYFUNCTION("""COMPUTED_VALUE"""),"Lorenzo")</f>
        <v>Lorenzo</v>
      </c>
      <c r="F19" s="8" t="str">
        <f>IFERROR(__xludf.DUMMYFUNCTION("""COMPUTED_VALUE"""),"lorenzo.bezzina@edu.esiee.fr")</f>
        <v>lorenzo.bezzina@edu.esiee.fr</v>
      </c>
      <c r="G19" s="3" t="str">
        <f>IFERROR(__xludf.DUMMYFUNCTION("""COMPUTED_VALUE"""),"Recherche")</f>
        <v>Recherche</v>
      </c>
      <c r="H19" s="3" t="str">
        <f>IFERROR(__xludf.DUMMYFUNCTION("""COMPUTED_VALUE"""),"R16")</f>
        <v>R16</v>
      </c>
      <c r="I19" s="3" t="str">
        <f>IFERROR(__xludf.DUMMYFUNCTION("""COMPUTED_VALUE"""),"Recherche")</f>
        <v>Recherche</v>
      </c>
      <c r="J19" s="3" t="str">
        <f>IFERROR(__xludf.DUMMYFUNCTION("""COMPUTED_VALUE"""),"R1")</f>
        <v>R1</v>
      </c>
      <c r="K19" s="3" t="str">
        <f>IFERROR(__xludf.DUMMYFUNCTION("""COMPUTED_VALUE"""),"Entreprise")</f>
        <v>Entreprise</v>
      </c>
      <c r="L19" s="3" t="str">
        <f>IFERROR(__xludf.DUMMYFUNCTION("""COMPUTED_VALUE"""),"E14")</f>
        <v>E14</v>
      </c>
      <c r="M19" s="3" t="str">
        <f>IFERROR(__xludf.DUMMYFUNCTION("""COMPUTED_VALUE"""),"Entreprise")</f>
        <v>Entreprise</v>
      </c>
      <c r="N19" s="3" t="str">
        <f>IFERROR(__xludf.DUMMYFUNCTION("""COMPUTED_VALUE"""),"E13")</f>
        <v>E13</v>
      </c>
      <c r="O19" s="3" t="str">
        <f>IFERROR(__xludf.DUMMYFUNCTION("""COMPUTED_VALUE"""),"Recherche")</f>
        <v>Recherche</v>
      </c>
      <c r="P19" s="3" t="str">
        <f>IFERROR(__xludf.DUMMYFUNCTION("""COMPUTED_VALUE"""),"R23")</f>
        <v>R23</v>
      </c>
      <c r="Q19" s="3" t="str">
        <f>IFERROR(__xludf.DUMMYFUNCTION("""COMPUTED_VALUE"""),"Je ne pars pas")</f>
        <v>Je ne pars pas</v>
      </c>
      <c r="R19" s="3" t="str">
        <f>IFERROR(__xludf.DUMMYFUNCTION("""COMPUTED_VALUE"""),"")</f>
        <v/>
      </c>
      <c r="S19" s="11"/>
      <c r="T19" s="3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29">
        <f>IFERROR(__xludf.DUMMYFUNCTION("""COMPUTED_VALUE"""),43361.20218306713)</f>
        <v>43361.20218</v>
      </c>
      <c r="B20" s="16" t="str">
        <f>IFERROR(__xludf.DUMMYFUNCTION("""COMPUTED_VALUE"""),"")</f>
        <v/>
      </c>
      <c r="C20" s="19" t="str">
        <f>IFERROR(__xludf.DUMMYFUNCTION("""COMPUTED_VALUE"""),"ENE")</f>
        <v>ENE</v>
      </c>
      <c r="D20" s="20" t="str">
        <f>IFERROR(__xludf.DUMMYFUNCTION("""COMPUTED_VALUE"""),"BILOSI")</f>
        <v>BILOSI</v>
      </c>
      <c r="E20" s="20" t="str">
        <f>IFERROR(__xludf.DUMMYFUNCTION("""COMPUTED_VALUE"""),"Pierre-Marc")</f>
        <v>Pierre-Marc</v>
      </c>
      <c r="F20" s="20" t="str">
        <f>IFERROR(__xludf.DUMMYFUNCTION("""COMPUTED_VALUE"""),"pierre-marc.bilosi@edu.esiee.fr")</f>
        <v>pierre-marc.bilosi@edu.esiee.fr</v>
      </c>
      <c r="G20" s="22" t="str">
        <f>IFERROR(__xludf.DUMMYFUNCTION("""COMPUTED_VALUE"""),"Recherche")</f>
        <v>Recherche</v>
      </c>
      <c r="H20" s="22" t="str">
        <f>IFERROR(__xludf.DUMMYFUNCTION("""COMPUTED_VALUE"""),"R16")</f>
        <v>R16</v>
      </c>
      <c r="I20" s="22" t="str">
        <f>IFERROR(__xludf.DUMMYFUNCTION("""COMPUTED_VALUE"""),"Recherche")</f>
        <v>Recherche</v>
      </c>
      <c r="J20" s="22" t="str">
        <f>IFERROR(__xludf.DUMMYFUNCTION("""COMPUTED_VALUE"""),"R1")</f>
        <v>R1</v>
      </c>
      <c r="K20" s="22" t="str">
        <f>IFERROR(__xludf.DUMMYFUNCTION("""COMPUTED_VALUE"""),"Recherche")</f>
        <v>Recherche</v>
      </c>
      <c r="L20" s="22" t="str">
        <f>IFERROR(__xludf.DUMMYFUNCTION("""COMPUTED_VALUE"""),"R23")</f>
        <v>R23</v>
      </c>
      <c r="M20" s="22" t="str">
        <f>IFERROR(__xludf.DUMMYFUNCTION("""COMPUTED_VALUE"""),"Entreprise")</f>
        <v>Entreprise</v>
      </c>
      <c r="N20" s="22" t="str">
        <f>IFERROR(__xludf.DUMMYFUNCTION("""COMPUTED_VALUE"""),"E13")</f>
        <v>E13</v>
      </c>
      <c r="O20" s="22" t="str">
        <f>IFERROR(__xludf.DUMMYFUNCTION("""COMPUTED_VALUE"""),"Recherche")</f>
        <v>Recherche</v>
      </c>
      <c r="P20" s="22" t="str">
        <f>IFERROR(__xludf.DUMMYFUNCTION("""COMPUTED_VALUE"""),"R16")</f>
        <v>R16</v>
      </c>
      <c r="Q20" s="22" t="str">
        <f>IFERROR(__xludf.DUMMYFUNCTION("""COMPUTED_VALUE"""),"Je pars au semestre 2")</f>
        <v>Je pars au semestre 2</v>
      </c>
      <c r="R20" s="16" t="str">
        <f>IFERROR(__xludf.DUMMYFUNCTION("""COMPUTED_VALUE"""),"")</f>
        <v/>
      </c>
      <c r="S20" s="24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25">
        <f>IFERROR(__xludf.DUMMYFUNCTION("""COMPUTED_VALUE"""),43364.195270462966)</f>
        <v>43364.19527</v>
      </c>
      <c r="B21" s="3" t="str">
        <f>IFERROR(__xludf.DUMMYFUNCTION("""COMPUTED_VALUE"""),"")</f>
        <v/>
      </c>
      <c r="C21" s="6" t="str">
        <f>IFERROR(__xludf.DUMMYFUNCTION("""COMPUTED_VALUE"""),"IMC")</f>
        <v>IMC</v>
      </c>
      <c r="D21" s="8" t="str">
        <f>IFERROR(__xludf.DUMMYFUNCTION("""COMPUTED_VALUE"""),"BLOND")</f>
        <v>BLOND</v>
      </c>
      <c r="E21" s="8" t="str">
        <f>IFERROR(__xludf.DUMMYFUNCTION("""COMPUTED_VALUE"""),"Roman")</f>
        <v>Roman</v>
      </c>
      <c r="F21" s="8" t="str">
        <f>IFERROR(__xludf.DUMMYFUNCTION("""COMPUTED_VALUE"""),"roman.blond@edu.esiee.fr")</f>
        <v>roman.blond@edu.esiee.fr</v>
      </c>
      <c r="G21" s="3" t="str">
        <f>IFERROR(__xludf.DUMMYFUNCTION("""COMPUTED_VALUE"""),"Recherche")</f>
        <v>Recherche</v>
      </c>
      <c r="H21" s="3" t="str">
        <f>IFERROR(__xludf.DUMMYFUNCTION("""COMPUTED_VALUE"""),"R27")</f>
        <v>R27</v>
      </c>
      <c r="I21" s="3" t="str">
        <f>IFERROR(__xludf.DUMMYFUNCTION("""COMPUTED_VALUE"""),"Logiciel libre")</f>
        <v>Logiciel libre</v>
      </c>
      <c r="J21" s="3" t="str">
        <f>IFERROR(__xludf.DUMMYFUNCTION("""COMPUTED_VALUE"""),"LL1")</f>
        <v>LL1</v>
      </c>
      <c r="K21" s="3" t="str">
        <f>IFERROR(__xludf.DUMMYFUNCTION("""COMPUTED_VALUE"""),"Recherche")</f>
        <v>Recherche</v>
      </c>
      <c r="L21" s="3" t="str">
        <f>IFERROR(__xludf.DUMMYFUNCTION("""COMPUTED_VALUE"""),"R27")</f>
        <v>R27</v>
      </c>
      <c r="M21" s="3" t="str">
        <f>IFERROR(__xludf.DUMMYFUNCTION("""COMPUTED_VALUE"""),"Logiciel libre")</f>
        <v>Logiciel libre</v>
      </c>
      <c r="N21" s="3" t="str">
        <f>IFERROR(__xludf.DUMMYFUNCTION("""COMPUTED_VALUE"""),"LL1")</f>
        <v>LL1</v>
      </c>
      <c r="O21" s="3" t="str">
        <f>IFERROR(__xludf.DUMMYFUNCTION("""COMPUTED_VALUE"""),"Recherche")</f>
        <v>Recherche</v>
      </c>
      <c r="P21" s="3" t="str">
        <f>IFERROR(__xludf.DUMMYFUNCTION("""COMPUTED_VALUE"""),"R27")</f>
        <v>R27</v>
      </c>
      <c r="Q21" s="3" t="str">
        <f>IFERROR(__xludf.DUMMYFUNCTION("""COMPUTED_VALUE"""),"Je pars au semestre 1")</f>
        <v>Je pars au semestre 1</v>
      </c>
      <c r="R21" s="3" t="str">
        <f>IFERROR(__xludf.DUMMYFUNCTION("""COMPUTED_VALUE"""),"")</f>
        <v/>
      </c>
      <c r="S21" s="11"/>
      <c r="T21" s="3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5">
        <f>IFERROR(__xludf.DUMMYFUNCTION("""COMPUTED_VALUE"""),43360.41983728009)</f>
        <v>43360.41984</v>
      </c>
      <c r="B22" s="16" t="str">
        <f>IFERROR(__xludf.DUMMYFUNCTION("""COMPUTED_VALUE"""),"")</f>
        <v/>
      </c>
      <c r="C22" s="19" t="str">
        <f>IFERROR(__xludf.DUMMYFUNCTION("""COMPUTED_VALUE"""),"CYBER")</f>
        <v>CYBER</v>
      </c>
      <c r="D22" s="20" t="str">
        <f>IFERROR(__xludf.DUMMYFUNCTION("""COMPUTED_VALUE"""),"BLONDIN")</f>
        <v>BLONDIN</v>
      </c>
      <c r="E22" s="20" t="str">
        <f>IFERROR(__xludf.DUMMYFUNCTION("""COMPUTED_VALUE"""),"Eliott")</f>
        <v>Eliott</v>
      </c>
      <c r="F22" s="20" t="str">
        <f>IFERROR(__xludf.DUMMYFUNCTION("""COMPUTED_VALUE"""),"eliott.blondin@edu.esiee.fr")</f>
        <v>eliott.blondin@edu.esiee.fr</v>
      </c>
      <c r="G22" s="22" t="str">
        <f>IFERROR(__xludf.DUMMYFUNCTION("""COMPUTED_VALUE"""),"Recherche")</f>
        <v>Recherche</v>
      </c>
      <c r="H22" s="22" t="str">
        <f>IFERROR(__xludf.DUMMYFUNCTION("""COMPUTED_VALUE"""),"R9")</f>
        <v>R9</v>
      </c>
      <c r="I22" s="22" t="str">
        <f>IFERROR(__xludf.DUMMYFUNCTION("""COMPUTED_VALUE"""),"Recherche")</f>
        <v>Recherche</v>
      </c>
      <c r="J22" s="22" t="str">
        <f>IFERROR(__xludf.DUMMYFUNCTION("""COMPUTED_VALUE"""),"R8")</f>
        <v>R8</v>
      </c>
      <c r="K22" s="22" t="str">
        <f>IFERROR(__xludf.DUMMYFUNCTION("""COMPUTED_VALUE"""),"Recherche")</f>
        <v>Recherche</v>
      </c>
      <c r="L22" s="22" t="str">
        <f>IFERROR(__xludf.DUMMYFUNCTION("""COMPUTED_VALUE"""),"R19")</f>
        <v>R19</v>
      </c>
      <c r="M22" s="22" t="str">
        <f>IFERROR(__xludf.DUMMYFUNCTION("""COMPUTED_VALUE"""),"Recherche")</f>
        <v>Recherche</v>
      </c>
      <c r="N22" s="22" t="str">
        <f>IFERROR(__xludf.DUMMYFUNCTION("""COMPUTED_VALUE"""),"R13")</f>
        <v>R13</v>
      </c>
      <c r="O22" s="22" t="str">
        <f>IFERROR(__xludf.DUMMYFUNCTION("""COMPUTED_VALUE"""),"Recherche")</f>
        <v>Recherche</v>
      </c>
      <c r="P22" s="22" t="str">
        <f>IFERROR(__xludf.DUMMYFUNCTION("""COMPUTED_VALUE"""),"R18")</f>
        <v>R18</v>
      </c>
      <c r="Q22" s="22" t="str">
        <f>IFERROR(__xludf.DUMMYFUNCTION("""COMPUTED_VALUE"""),"Je ne pars pas")</f>
        <v>Je ne pars pas</v>
      </c>
      <c r="R22" s="16" t="str">
        <f>IFERROR(__xludf.DUMMYFUNCTION("""COMPUTED_VALUE"""),"")</f>
        <v/>
      </c>
      <c r="S22" s="24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25">
        <f>IFERROR(__xludf.DUMMYFUNCTION("""COMPUTED_VALUE"""),43361.33745392361)</f>
        <v>43361.33745</v>
      </c>
      <c r="B23" s="3" t="str">
        <f>IFERROR(__xludf.DUMMYFUNCTION("""COMPUTED_VALUE"""),"")</f>
        <v/>
      </c>
      <c r="C23" s="6" t="str">
        <f>IFERROR(__xludf.DUMMYFUNCTION("""COMPUTED_VALUE"""),"ELE")</f>
        <v>ELE</v>
      </c>
      <c r="D23" s="8" t="str">
        <f>IFERROR(__xludf.DUMMYFUNCTION("""COMPUTED_VALUE"""),"BOISSEVAL")</f>
        <v>BOISSEVAL</v>
      </c>
      <c r="E23" s="8" t="str">
        <f>IFERROR(__xludf.DUMMYFUNCTION("""COMPUTED_VALUE"""),"Sébastien")</f>
        <v>Sébastien</v>
      </c>
      <c r="F23" s="8" t="str">
        <f>IFERROR(__xludf.DUMMYFUNCTION("""COMPUTED_VALUE"""),"sebastien.boisseval@edu.esiee.fr")</f>
        <v>sebastien.boisseval@edu.esiee.fr</v>
      </c>
      <c r="G23" s="3" t="str">
        <f>IFERROR(__xludf.DUMMYFUNCTION("""COMPUTED_VALUE"""),"Concours")</f>
        <v>Concours</v>
      </c>
      <c r="H23" s="3" t="str">
        <f>IFERROR(__xludf.DUMMYFUNCTION("""COMPUTED_VALUE"""),"C3")</f>
        <v>C3</v>
      </c>
      <c r="I23" s="3" t="str">
        <f>IFERROR(__xludf.DUMMYFUNCTION("""COMPUTED_VALUE"""),"Recherche")</f>
        <v>Recherche</v>
      </c>
      <c r="J23" s="3" t="str">
        <f>IFERROR(__xludf.DUMMYFUNCTION("""COMPUTED_VALUE"""),"R26")</f>
        <v>R26</v>
      </c>
      <c r="K23" s="3" t="str">
        <f>IFERROR(__xludf.DUMMYFUNCTION("""COMPUTED_VALUE"""),"Recherche")</f>
        <v>Recherche</v>
      </c>
      <c r="L23" s="3" t="str">
        <f>IFERROR(__xludf.DUMMYFUNCTION("""COMPUTED_VALUE"""),"R18")</f>
        <v>R18</v>
      </c>
      <c r="M23" s="3" t="str">
        <f>IFERROR(__xludf.DUMMYFUNCTION("""COMPUTED_VALUE"""),"Recherche")</f>
        <v>Recherche</v>
      </c>
      <c r="N23" s="3" t="str">
        <f>IFERROR(__xludf.DUMMYFUNCTION("""COMPUTED_VALUE"""),"R22")</f>
        <v>R22</v>
      </c>
      <c r="O23" s="3" t="str">
        <f>IFERROR(__xludf.DUMMYFUNCTION("""COMPUTED_VALUE"""),"Recherche")</f>
        <v>Recherche</v>
      </c>
      <c r="P23" s="3" t="str">
        <f>IFERROR(__xludf.DUMMYFUNCTION("""COMPUTED_VALUE"""),"R29")</f>
        <v>R29</v>
      </c>
      <c r="Q23" s="3" t="str">
        <f>IFERROR(__xludf.DUMMYFUNCTION("""COMPUTED_VALUE"""),"Je ne pars pas")</f>
        <v>Je ne pars pas</v>
      </c>
      <c r="R23" s="3" t="str">
        <f>IFERROR(__xludf.DUMMYFUNCTION("""COMPUTED_VALUE"""),"")</f>
        <v/>
      </c>
      <c r="S23" s="11"/>
      <c r="T23" s="3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5">
        <f>IFERROR(__xludf.DUMMYFUNCTION("""COMPUTED_VALUE"""),43362.51808311343)</f>
        <v>43362.51808</v>
      </c>
      <c r="B24" s="16" t="str">
        <f>IFERROR(__xludf.DUMMYFUNCTION("""COMPUTED_VALUE"""),"")</f>
        <v/>
      </c>
      <c r="C24" s="19" t="str">
        <f>IFERROR(__xludf.DUMMYFUNCTION("""COMPUTED_VALUE"""),"INF")</f>
        <v>INF</v>
      </c>
      <c r="D24" s="20" t="str">
        <f>IFERROR(__xludf.DUMMYFUNCTION("""COMPUTED_VALUE"""),"BOITTIAUX")</f>
        <v>BOITTIAUX</v>
      </c>
      <c r="E24" s="20" t="str">
        <f>IFERROR(__xludf.DUMMYFUNCTION("""COMPUTED_VALUE"""),"Clementin")</f>
        <v>Clementin</v>
      </c>
      <c r="F24" s="20" t="str">
        <f>IFERROR(__xludf.DUMMYFUNCTION("""COMPUTED_VALUE"""),"clementin.boittiaux@edu.esiee.fr")</f>
        <v>clementin.boittiaux@edu.esiee.fr</v>
      </c>
      <c r="G24" s="22" t="str">
        <f>IFERROR(__xludf.DUMMYFUNCTION("""COMPUTED_VALUE"""),"Recherche")</f>
        <v>Recherche</v>
      </c>
      <c r="H24" s="22" t="str">
        <f>IFERROR(__xludf.DUMMYFUNCTION("""COMPUTED_VALUE"""),"R21")</f>
        <v>R21</v>
      </c>
      <c r="I24" s="22" t="str">
        <f>IFERROR(__xludf.DUMMYFUNCTION("""COMPUTED_VALUE"""),"Recherche")</f>
        <v>Recherche</v>
      </c>
      <c r="J24" s="22" t="str">
        <f>IFERROR(__xludf.DUMMYFUNCTION("""COMPUTED_VALUE"""),"R27")</f>
        <v>R27</v>
      </c>
      <c r="K24" s="22" t="str">
        <f>IFERROR(__xludf.DUMMYFUNCTION("""COMPUTED_VALUE"""),"Recherche")</f>
        <v>Recherche</v>
      </c>
      <c r="L24" s="22" t="str">
        <f>IFERROR(__xludf.DUMMYFUNCTION("""COMPUTED_VALUE"""),"R25")</f>
        <v>R25</v>
      </c>
      <c r="M24" s="22" t="str">
        <f>IFERROR(__xludf.DUMMYFUNCTION("""COMPUTED_VALUE"""),"Entreprise")</f>
        <v>Entreprise</v>
      </c>
      <c r="N24" s="22" t="str">
        <f>IFERROR(__xludf.DUMMYFUNCTION("""COMPUTED_VALUE"""),"E15")</f>
        <v>E15</v>
      </c>
      <c r="O24" s="22" t="str">
        <f>IFERROR(__xludf.DUMMYFUNCTION("""COMPUTED_VALUE"""),"Entreprise")</f>
        <v>Entreprise</v>
      </c>
      <c r="P24" s="22" t="str">
        <f>IFERROR(__xludf.DUMMYFUNCTION("""COMPUTED_VALUE"""),"E19")</f>
        <v>E19</v>
      </c>
      <c r="Q24" s="22" t="str">
        <f>IFERROR(__xludf.DUMMYFUNCTION("""COMPUTED_VALUE"""),"Je pars au semestre 1")</f>
        <v>Je pars au semestre 1</v>
      </c>
      <c r="R24" s="16" t="str">
        <f>IFERROR(__xludf.DUMMYFUNCTION("""COMPUTED_VALUE"""),"")</f>
        <v/>
      </c>
      <c r="S24" s="24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25">
        <f>IFERROR(__xludf.DUMMYFUNCTION("""COMPUTED_VALUE"""),43360.4230265625)</f>
        <v>43360.42303</v>
      </c>
      <c r="B25" s="3" t="str">
        <f>IFERROR(__xludf.DUMMYFUNCTION("""COMPUTED_VALUE"""),"")</f>
        <v/>
      </c>
      <c r="C25" s="6" t="str">
        <f>IFERROR(__xludf.DUMMYFUNCTION("""COMPUTED_VALUE"""),"BIO")</f>
        <v>BIO</v>
      </c>
      <c r="D25" s="8" t="str">
        <f>IFERROR(__xludf.DUMMYFUNCTION("""COMPUTED_VALUE"""),"BONNET-RENOSI")</f>
        <v>BONNET-RENOSI</v>
      </c>
      <c r="E25" s="8" t="str">
        <f>IFERROR(__xludf.DUMMYFUNCTION("""COMPUTED_VALUE"""),"Lucile")</f>
        <v>Lucile</v>
      </c>
      <c r="F25" s="8" t="str">
        <f>IFERROR(__xludf.DUMMYFUNCTION("""COMPUTED_VALUE"""),"lucile.bonnet-renosi@edu.esiee.fr")</f>
        <v>lucile.bonnet-renosi@edu.esiee.fr</v>
      </c>
      <c r="G25" s="3" t="str">
        <f>IFERROR(__xludf.DUMMYFUNCTION("""COMPUTED_VALUE"""),"Entreprise")</f>
        <v>Entreprise</v>
      </c>
      <c r="H25" s="3" t="str">
        <f>IFERROR(__xludf.DUMMYFUNCTION("""COMPUTED_VALUE"""),"E25")</f>
        <v>E25</v>
      </c>
      <c r="I25" s="3" t="str">
        <f>IFERROR(__xludf.DUMMYFUNCTION("""COMPUTED_VALUE"""),"Recherche")</f>
        <v>Recherche</v>
      </c>
      <c r="J25" s="3" t="str">
        <f>IFERROR(__xludf.DUMMYFUNCTION("""COMPUTED_VALUE"""),"R3")</f>
        <v>R3</v>
      </c>
      <c r="K25" s="3" t="str">
        <f>IFERROR(__xludf.DUMMYFUNCTION("""COMPUTED_VALUE"""),"Recherche")</f>
        <v>Recherche</v>
      </c>
      <c r="L25" s="3" t="str">
        <f>IFERROR(__xludf.DUMMYFUNCTION("""COMPUTED_VALUE"""),"R2")</f>
        <v>R2</v>
      </c>
      <c r="M25" s="3" t="str">
        <f>IFERROR(__xludf.DUMMYFUNCTION("""COMPUTED_VALUE"""),"Recherche")</f>
        <v>Recherche</v>
      </c>
      <c r="N25" s="3" t="str">
        <f>IFERROR(__xludf.DUMMYFUNCTION("""COMPUTED_VALUE"""),"R15")</f>
        <v>R15</v>
      </c>
      <c r="O25" s="3" t="str">
        <f>IFERROR(__xludf.DUMMYFUNCTION("""COMPUTED_VALUE"""),"Entreprise")</f>
        <v>Entreprise</v>
      </c>
      <c r="P25" s="3" t="str">
        <f>IFERROR(__xludf.DUMMYFUNCTION("""COMPUTED_VALUE"""),"E15")</f>
        <v>E15</v>
      </c>
      <c r="Q25" s="3" t="str">
        <f>IFERROR(__xludf.DUMMYFUNCTION("""COMPUTED_VALUE"""),"Je pars au semestre 2")</f>
        <v>Je pars au semestre 2</v>
      </c>
      <c r="R25" s="3" t="str">
        <f>IFERROR(__xludf.DUMMYFUNCTION("""COMPUTED_VALUE"""),"")</f>
        <v/>
      </c>
      <c r="S25" s="11"/>
      <c r="T25" s="3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5">
        <f>IFERROR(__xludf.DUMMYFUNCTION("""COMPUTED_VALUE"""),43361.84124047453)</f>
        <v>43361.84124</v>
      </c>
      <c r="B26" s="16" t="str">
        <f>IFERROR(__xludf.DUMMYFUNCTION("""COMPUTED_VALUE"""),"")</f>
        <v/>
      </c>
      <c r="C26" s="19" t="str">
        <f>IFERROR(__xludf.DUMMYFUNCTION("""COMPUTED_VALUE"""),"SE")</f>
        <v>SE</v>
      </c>
      <c r="D26" s="20" t="str">
        <f>IFERROR(__xludf.DUMMYFUNCTION("""COMPUTED_VALUE"""),"BORDIER")</f>
        <v>BORDIER</v>
      </c>
      <c r="E26" s="20" t="str">
        <f>IFERROR(__xludf.DUMMYFUNCTION("""COMPUTED_VALUE"""),"Axel")</f>
        <v>Axel</v>
      </c>
      <c r="F26" s="20" t="str">
        <f>IFERROR(__xludf.DUMMYFUNCTION("""COMPUTED_VALUE"""),"axel.bordier@edu.esiee.fr")</f>
        <v>axel.bordier@edu.esiee.fr</v>
      </c>
      <c r="G26" s="22" t="str">
        <f>IFERROR(__xludf.DUMMYFUNCTION("""COMPUTED_VALUE"""),"Entreprise")</f>
        <v>Entreprise</v>
      </c>
      <c r="H26" s="22" t="str">
        <f>IFERROR(__xludf.DUMMYFUNCTION("""COMPUTED_VALUE"""),"E16")</f>
        <v>E16</v>
      </c>
      <c r="I26" s="22" t="str">
        <f>IFERROR(__xludf.DUMMYFUNCTION("""COMPUTED_VALUE"""),"Concours")</f>
        <v>Concours</v>
      </c>
      <c r="J26" s="22" t="str">
        <f>IFERROR(__xludf.DUMMYFUNCTION("""COMPUTED_VALUE"""),"C2")</f>
        <v>C2</v>
      </c>
      <c r="K26" s="22" t="str">
        <f>IFERROR(__xludf.DUMMYFUNCTION("""COMPUTED_VALUE"""),"Concours")</f>
        <v>Concours</v>
      </c>
      <c r="L26" s="22" t="str">
        <f>IFERROR(__xludf.DUMMYFUNCTION("""COMPUTED_VALUE"""),"C1")</f>
        <v>C1</v>
      </c>
      <c r="M26" s="22" t="str">
        <f>IFERROR(__xludf.DUMMYFUNCTION("""COMPUTED_VALUE"""),"Recherche")</f>
        <v>Recherche</v>
      </c>
      <c r="N26" s="22" t="str">
        <f>IFERROR(__xludf.DUMMYFUNCTION("""COMPUTED_VALUE"""),"R5")</f>
        <v>R5</v>
      </c>
      <c r="O26" s="22" t="str">
        <f>IFERROR(__xludf.DUMMYFUNCTION("""COMPUTED_VALUE"""),"Recherche")</f>
        <v>Recherche</v>
      </c>
      <c r="P26" s="22" t="str">
        <f>IFERROR(__xludf.DUMMYFUNCTION("""COMPUTED_VALUE"""),"R7")</f>
        <v>R7</v>
      </c>
      <c r="Q26" s="22" t="str">
        <f>IFERROR(__xludf.DUMMYFUNCTION("""COMPUTED_VALUE"""),"Je pars au semestre 1")</f>
        <v>Je pars au semestre 1</v>
      </c>
      <c r="R26" s="16" t="str">
        <f>IFERROR(__xludf.DUMMYFUNCTION("""COMPUTED_VALUE"""),"")</f>
        <v/>
      </c>
      <c r="S26" s="24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25">
        <f>IFERROR(__xludf.DUMMYFUNCTION("""COMPUTED_VALUE"""),43360.42185636574)</f>
        <v>43360.42186</v>
      </c>
      <c r="B27" s="3" t="str">
        <f>IFERROR(__xludf.DUMMYFUNCTION("""COMPUTED_VALUE"""),"")</f>
        <v/>
      </c>
      <c r="C27" s="6" t="str">
        <f>IFERROR(__xludf.DUMMYFUNCTION("""COMPUTED_VALUE"""),"DSIA")</f>
        <v>DSIA</v>
      </c>
      <c r="D27" s="8" t="str">
        <f>IFERROR(__xludf.DUMMYFUNCTION("""COMPUTED_VALUE"""),"BOUILLANNE")</f>
        <v>BOUILLANNE</v>
      </c>
      <c r="E27" s="8" t="str">
        <f>IFERROR(__xludf.DUMMYFUNCTION("""COMPUTED_VALUE"""),"Elias")</f>
        <v>Elias</v>
      </c>
      <c r="F27" s="8" t="str">
        <f>IFERROR(__xludf.DUMMYFUNCTION("""COMPUTED_VALUE"""),"elias.bouillanne@edu.esiee.fr")</f>
        <v>elias.bouillanne@edu.esiee.fr</v>
      </c>
      <c r="G27" s="3" t="str">
        <f>IFERROR(__xludf.DUMMYFUNCTION("""COMPUTED_VALUE"""),"Entreprise")</f>
        <v>Entreprise</v>
      </c>
      <c r="H27" s="3" t="str">
        <f>IFERROR(__xludf.DUMMYFUNCTION("""COMPUTED_VALUE"""),"E7")</f>
        <v>E7</v>
      </c>
      <c r="I27" s="3" t="str">
        <f>IFERROR(__xludf.DUMMYFUNCTION("""COMPUTED_VALUE"""),"Entreprise")</f>
        <v>Entreprise</v>
      </c>
      <c r="J27" s="3" t="str">
        <f>IFERROR(__xludf.DUMMYFUNCTION("""COMPUTED_VALUE"""),"E4")</f>
        <v>E4</v>
      </c>
      <c r="K27" s="3" t="str">
        <f>IFERROR(__xludf.DUMMYFUNCTION("""COMPUTED_VALUE"""),"Entreprise")</f>
        <v>Entreprise</v>
      </c>
      <c r="L27" s="3" t="str">
        <f>IFERROR(__xludf.DUMMYFUNCTION("""COMPUTED_VALUE"""),"E19")</f>
        <v>E19</v>
      </c>
      <c r="M27" s="3" t="str">
        <f>IFERROR(__xludf.DUMMYFUNCTION("""COMPUTED_VALUE"""),"Entreprise")</f>
        <v>Entreprise</v>
      </c>
      <c r="N27" s="3" t="str">
        <f>IFERROR(__xludf.DUMMYFUNCTION("""COMPUTED_VALUE"""),"E23")</f>
        <v>E23</v>
      </c>
      <c r="O27" s="3" t="str">
        <f>IFERROR(__xludf.DUMMYFUNCTION("""COMPUTED_VALUE"""),"Entreprise")</f>
        <v>Entreprise</v>
      </c>
      <c r="P27" s="3" t="str">
        <f>IFERROR(__xludf.DUMMYFUNCTION("""COMPUTED_VALUE"""),"E17")</f>
        <v>E17</v>
      </c>
      <c r="Q27" s="3" t="str">
        <f>IFERROR(__xludf.DUMMYFUNCTION("""COMPUTED_VALUE"""),"Je ne pars pas")</f>
        <v>Je ne pars pas</v>
      </c>
      <c r="R27" s="3" t="str">
        <f>IFERROR(__xludf.DUMMYFUNCTION("""COMPUTED_VALUE"""),"")</f>
        <v/>
      </c>
      <c r="S27" s="11"/>
      <c r="T27" s="3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5">
        <f>IFERROR(__xludf.DUMMYFUNCTION("""COMPUTED_VALUE"""),43362.413583761576)</f>
        <v>43362.41358</v>
      </c>
      <c r="B28" s="16" t="str">
        <f>IFERROR(__xludf.DUMMYFUNCTION("""COMPUTED_VALUE"""),"")</f>
        <v/>
      </c>
      <c r="C28" s="19" t="str">
        <f>IFERROR(__xludf.DUMMYFUNCTION("""COMPUTED_VALUE"""),"SE")</f>
        <v>SE</v>
      </c>
      <c r="D28" s="20" t="str">
        <f>IFERROR(__xludf.DUMMYFUNCTION("""COMPUTED_VALUE"""),"BOUILLEUX")</f>
        <v>BOUILLEUX</v>
      </c>
      <c r="E28" s="20" t="str">
        <f>IFERROR(__xludf.DUMMYFUNCTION("""COMPUTED_VALUE"""),"Victor")</f>
        <v>Victor</v>
      </c>
      <c r="F28" s="20" t="str">
        <f>IFERROR(__xludf.DUMMYFUNCTION("""COMPUTED_VALUE"""),"victor.bouilleux@edu.esiee.fr")</f>
        <v>victor.bouilleux@edu.esiee.fr</v>
      </c>
      <c r="G28" s="22" t="str">
        <f>IFERROR(__xludf.DUMMYFUNCTION("""COMPUTED_VALUE"""),"Recherche")</f>
        <v>Recherche</v>
      </c>
      <c r="H28" s="22" t="str">
        <f>IFERROR(__xludf.DUMMYFUNCTION("""COMPUTED_VALUE"""),"R5")</f>
        <v>R5</v>
      </c>
      <c r="I28" s="22" t="str">
        <f>IFERROR(__xludf.DUMMYFUNCTION("""COMPUTED_VALUE"""),"Recherche")</f>
        <v>Recherche</v>
      </c>
      <c r="J28" s="22" t="str">
        <f>IFERROR(__xludf.DUMMYFUNCTION("""COMPUTED_VALUE"""),"R13")</f>
        <v>R13</v>
      </c>
      <c r="K28" s="22" t="str">
        <f>IFERROR(__xludf.DUMMYFUNCTION("""COMPUTED_VALUE"""),"Recherche")</f>
        <v>Recherche</v>
      </c>
      <c r="L28" s="22" t="str">
        <f>IFERROR(__xludf.DUMMYFUNCTION("""COMPUTED_VALUE"""),"R18")</f>
        <v>R18</v>
      </c>
      <c r="M28" s="22" t="str">
        <f>IFERROR(__xludf.DUMMYFUNCTION("""COMPUTED_VALUE"""),"Entreprise")</f>
        <v>Entreprise</v>
      </c>
      <c r="N28" s="22" t="str">
        <f>IFERROR(__xludf.DUMMYFUNCTION("""COMPUTED_VALUE"""),"E12")</f>
        <v>E12</v>
      </c>
      <c r="O28" s="22" t="str">
        <f>IFERROR(__xludf.DUMMYFUNCTION("""COMPUTED_VALUE"""),"Entreprise")</f>
        <v>Entreprise</v>
      </c>
      <c r="P28" s="22" t="str">
        <f>IFERROR(__xludf.DUMMYFUNCTION("""COMPUTED_VALUE"""),"E16")</f>
        <v>E16</v>
      </c>
      <c r="Q28" s="22" t="str">
        <f>IFERROR(__xludf.DUMMYFUNCTION("""COMPUTED_VALUE"""),"Je ne pars pas")</f>
        <v>Je ne pars pas</v>
      </c>
      <c r="R28" s="16" t="str">
        <f>IFERROR(__xludf.DUMMYFUNCTION("""COMPUTED_VALUE"""),"")</f>
        <v/>
      </c>
      <c r="S28" s="24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25">
        <f>IFERROR(__xludf.DUMMYFUNCTION("""COMPUTED_VALUE"""),43362.24494175926)</f>
        <v>43362.24494</v>
      </c>
      <c r="B29" s="3" t="str">
        <f>IFERROR(__xludf.DUMMYFUNCTION("""COMPUTED_VALUE"""),"")</f>
        <v/>
      </c>
      <c r="C29" s="6" t="str">
        <f>IFERROR(__xludf.DUMMYFUNCTION("""COMPUTED_VALUE"""),"SE")</f>
        <v>SE</v>
      </c>
      <c r="D29" s="8" t="str">
        <f>IFERROR(__xludf.DUMMYFUNCTION("""COMPUTED_VALUE"""),"BRIERRE-BATTAIS")</f>
        <v>BRIERRE-BATTAIS</v>
      </c>
      <c r="E29" s="8" t="str">
        <f>IFERROR(__xludf.DUMMYFUNCTION("""COMPUTED_VALUE"""),"Tim")</f>
        <v>Tim</v>
      </c>
      <c r="F29" s="8" t="str">
        <f>IFERROR(__xludf.DUMMYFUNCTION("""COMPUTED_VALUE"""),"tim.brierre-battais@edu.esiee.fr")</f>
        <v>tim.brierre-battais@edu.esiee.fr</v>
      </c>
      <c r="G29" s="3" t="str">
        <f>IFERROR(__xludf.DUMMYFUNCTION("""COMPUTED_VALUE"""),"Concours")</f>
        <v>Concours</v>
      </c>
      <c r="H29" s="3" t="str">
        <f>IFERROR(__xludf.DUMMYFUNCTION("""COMPUTED_VALUE"""),"C1")</f>
        <v>C1</v>
      </c>
      <c r="I29" s="3" t="str">
        <f>IFERROR(__xludf.DUMMYFUNCTION("""COMPUTED_VALUE"""),"Recherche")</f>
        <v>Recherche</v>
      </c>
      <c r="J29" s="3" t="str">
        <f>IFERROR(__xludf.DUMMYFUNCTION("""COMPUTED_VALUE"""),"R11")</f>
        <v>R11</v>
      </c>
      <c r="K29" s="3" t="str">
        <f>IFERROR(__xludf.DUMMYFUNCTION("""COMPUTED_VALUE"""),"Recherche")</f>
        <v>Recherche</v>
      </c>
      <c r="L29" s="3" t="str">
        <f>IFERROR(__xludf.DUMMYFUNCTION("""COMPUTED_VALUE"""),"R6")</f>
        <v>R6</v>
      </c>
      <c r="M29" s="3" t="str">
        <f>IFERROR(__xludf.DUMMYFUNCTION("""COMPUTED_VALUE"""),"Recherche")</f>
        <v>Recherche</v>
      </c>
      <c r="N29" s="3" t="str">
        <f>IFERROR(__xludf.DUMMYFUNCTION("""COMPUTED_VALUE"""),"R5")</f>
        <v>R5</v>
      </c>
      <c r="O29" s="3" t="str">
        <f>IFERROR(__xludf.DUMMYFUNCTION("""COMPUTED_VALUE"""),"Recherche")</f>
        <v>Recherche</v>
      </c>
      <c r="P29" s="3" t="str">
        <f>IFERROR(__xludf.DUMMYFUNCTION("""COMPUTED_VALUE"""),"R14")</f>
        <v>R14</v>
      </c>
      <c r="Q29" s="3" t="str">
        <f>IFERROR(__xludf.DUMMYFUNCTION("""COMPUTED_VALUE"""),"Je pars au semestre 2")</f>
        <v>Je pars au semestre 2</v>
      </c>
      <c r="R29" s="3" t="str">
        <f>IFERROR(__xludf.DUMMYFUNCTION("""COMPUTED_VALUE"""),"")</f>
        <v/>
      </c>
      <c r="S29" s="11"/>
      <c r="T29" s="3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5">
        <f>IFERROR(__xludf.DUMMYFUNCTION("""COMPUTED_VALUE"""),43361.174665451384)</f>
        <v>43361.17467</v>
      </c>
      <c r="B30" s="16" t="str">
        <f>IFERROR(__xludf.DUMMYFUNCTION("""COMPUTED_VALUE"""),"")</f>
        <v/>
      </c>
      <c r="C30" s="19" t="str">
        <f>IFERROR(__xludf.DUMMYFUNCTION("""COMPUTED_VALUE"""),"ENE")</f>
        <v>ENE</v>
      </c>
      <c r="D30" s="20" t="str">
        <f>IFERROR(__xludf.DUMMYFUNCTION("""COMPUTED_VALUE"""),"CAILLE")</f>
        <v>CAILLE</v>
      </c>
      <c r="E30" s="20" t="str">
        <f>IFERROR(__xludf.DUMMYFUNCTION("""COMPUTED_VALUE"""),"Yoan")</f>
        <v>Yoan</v>
      </c>
      <c r="F30" s="20" t="str">
        <f>IFERROR(__xludf.DUMMYFUNCTION("""COMPUTED_VALUE"""),"yoan.caille@edu.esiee.fr")</f>
        <v>yoan.caille@edu.esiee.fr</v>
      </c>
      <c r="G30" s="22" t="str">
        <f>IFERROR(__xludf.DUMMYFUNCTION("""COMPUTED_VALUE"""),"Recherche")</f>
        <v>Recherche</v>
      </c>
      <c r="H30" s="22" t="str">
        <f>IFERROR(__xludf.DUMMYFUNCTION("""COMPUTED_VALUE"""),"R1")</f>
        <v>R1</v>
      </c>
      <c r="I30" s="22" t="str">
        <f>IFERROR(__xludf.DUMMYFUNCTION("""COMPUTED_VALUE"""),"Recherche")</f>
        <v>Recherche</v>
      </c>
      <c r="J30" s="22" t="str">
        <f>IFERROR(__xludf.DUMMYFUNCTION("""COMPUTED_VALUE"""),"R12")</f>
        <v>R12</v>
      </c>
      <c r="K30" s="22" t="str">
        <f>IFERROR(__xludf.DUMMYFUNCTION("""COMPUTED_VALUE"""),"Entreprise")</f>
        <v>Entreprise</v>
      </c>
      <c r="L30" s="31" t="str">
        <f>IFERROR(__xludf.DUMMYFUNCTION("""COMPUTED_VALUE"""),"E17")</f>
        <v>E17</v>
      </c>
      <c r="M30" s="22" t="str">
        <f>IFERROR(__xludf.DUMMYFUNCTION("""COMPUTED_VALUE"""),"Entreprise")</f>
        <v>Entreprise</v>
      </c>
      <c r="N30" s="22" t="str">
        <f>IFERROR(__xludf.DUMMYFUNCTION("""COMPUTED_VALUE"""),"E13")</f>
        <v>E13</v>
      </c>
      <c r="O30" s="22" t="str">
        <f>IFERROR(__xludf.DUMMYFUNCTION("""COMPUTED_VALUE"""),"Recherche")</f>
        <v>Recherche</v>
      </c>
      <c r="P30" s="22" t="str">
        <f>IFERROR(__xludf.DUMMYFUNCTION("""COMPUTED_VALUE"""),"R17")</f>
        <v>R17</v>
      </c>
      <c r="Q30" s="22" t="str">
        <f>IFERROR(__xludf.DUMMYFUNCTION("""COMPUTED_VALUE"""),"Je ne pars pas")</f>
        <v>Je ne pars pas</v>
      </c>
      <c r="R30" s="16" t="str">
        <f>IFERROR(__xludf.DUMMYFUNCTION("""COMPUTED_VALUE"""),"")</f>
        <v/>
      </c>
      <c r="S30" s="24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25">
        <f>IFERROR(__xludf.DUMMYFUNCTION("""COMPUTED_VALUE"""),43362.29253337963)</f>
        <v>43362.29253</v>
      </c>
      <c r="B31" s="3" t="str">
        <f>IFERROR(__xludf.DUMMYFUNCTION("""COMPUTED_VALUE"""),"")</f>
        <v/>
      </c>
      <c r="C31" s="6" t="str">
        <f>IFERROR(__xludf.DUMMYFUNCTION("""COMPUTED_VALUE"""),"CYBER")</f>
        <v>CYBER</v>
      </c>
      <c r="D31" s="8" t="str">
        <f>IFERROR(__xludf.DUMMYFUNCTION("""COMPUTED_VALUE"""),"CALLOT")</f>
        <v>CALLOT</v>
      </c>
      <c r="E31" s="8" t="str">
        <f>IFERROR(__xludf.DUMMYFUNCTION("""COMPUTED_VALUE"""),"Evrard")</f>
        <v>Evrard</v>
      </c>
      <c r="F31" s="8" t="str">
        <f>IFERROR(__xludf.DUMMYFUNCTION("""COMPUTED_VALUE"""),"evrard.callot@edu.esiee.fr")</f>
        <v>evrard.callot@edu.esiee.fr</v>
      </c>
      <c r="G31" s="3" t="str">
        <f>IFERROR(__xludf.DUMMYFUNCTION("""COMPUTED_VALUE"""),"Recherche")</f>
        <v>Recherche</v>
      </c>
      <c r="H31" s="3" t="str">
        <f>IFERROR(__xludf.DUMMYFUNCTION("""COMPUTED_VALUE"""),"R15")</f>
        <v>R15</v>
      </c>
      <c r="I31" s="3" t="str">
        <f>IFERROR(__xludf.DUMMYFUNCTION("""COMPUTED_VALUE"""),"Entreprise")</f>
        <v>Entreprise</v>
      </c>
      <c r="J31" s="3" t="str">
        <f>IFERROR(__xludf.DUMMYFUNCTION("""COMPUTED_VALUE"""),"E4")</f>
        <v>E4</v>
      </c>
      <c r="K31" s="3" t="str">
        <f>IFERROR(__xludf.DUMMYFUNCTION("""COMPUTED_VALUE"""),"Recherche")</f>
        <v>Recherche</v>
      </c>
      <c r="L31" s="3">
        <f>IFERROR(__xludf.DUMMYFUNCTION("""COMPUTED_VALUE"""),9.0)</f>
        <v>9</v>
      </c>
      <c r="M31" s="3" t="str">
        <f>IFERROR(__xludf.DUMMYFUNCTION("""COMPUTED_VALUE"""),"Logiciel libre")</f>
        <v>Logiciel libre</v>
      </c>
      <c r="N31" s="3" t="str">
        <f>IFERROR(__xludf.DUMMYFUNCTION("""COMPUTED_VALUE"""),"LL1")</f>
        <v>LL1</v>
      </c>
      <c r="O31" s="3" t="str">
        <f>IFERROR(__xludf.DUMMYFUNCTION("""COMPUTED_VALUE"""),"Recherche")</f>
        <v>Recherche</v>
      </c>
      <c r="P31" s="3" t="str">
        <f>IFERROR(__xludf.DUMMYFUNCTION("""COMPUTED_VALUE"""),"R27")</f>
        <v>R27</v>
      </c>
      <c r="Q31" s="3" t="str">
        <f>IFERROR(__xludf.DUMMYFUNCTION("""COMPUTED_VALUE"""),"Je pars au semestre 1")</f>
        <v>Je pars au semestre 1</v>
      </c>
      <c r="R31" s="3" t="str">
        <f>IFERROR(__xludf.DUMMYFUNCTION("""COMPUTED_VALUE"""),"")</f>
        <v/>
      </c>
      <c r="S31" s="11"/>
      <c r="T31" s="3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5">
        <f>IFERROR(__xludf.DUMMYFUNCTION("""COMPUTED_VALUE"""),43360.4400637963)</f>
        <v>43360.44006</v>
      </c>
      <c r="B32" s="16" t="str">
        <f>IFERROR(__xludf.DUMMYFUNCTION("""COMPUTED_VALUE"""),"")</f>
        <v/>
      </c>
      <c r="C32" s="19" t="str">
        <f>IFERROR(__xludf.DUMMYFUNCTION("""COMPUTED_VALUE"""),"DSIA")</f>
        <v>DSIA</v>
      </c>
      <c r="D32" s="20" t="str">
        <f>IFERROR(__xludf.DUMMYFUNCTION("""COMPUTED_VALUE"""),"CARDOSO")</f>
        <v>CARDOSO</v>
      </c>
      <c r="E32" s="20" t="str">
        <f>IFERROR(__xludf.DUMMYFUNCTION("""COMPUTED_VALUE"""),"William")</f>
        <v>William</v>
      </c>
      <c r="F32" s="20" t="str">
        <f>IFERROR(__xludf.DUMMYFUNCTION("""COMPUTED_VALUE"""),"william.cardoso@edu.esiee.fr")</f>
        <v>william.cardoso@edu.esiee.fr</v>
      </c>
      <c r="G32" s="22" t="str">
        <f>IFERROR(__xludf.DUMMYFUNCTION("""COMPUTED_VALUE"""),"Entreprise")</f>
        <v>Entreprise</v>
      </c>
      <c r="H32" s="22" t="str">
        <f>IFERROR(__xludf.DUMMYFUNCTION("""COMPUTED_VALUE"""),"E7")</f>
        <v>E7</v>
      </c>
      <c r="I32" s="22" t="str">
        <f>IFERROR(__xludf.DUMMYFUNCTION("""COMPUTED_VALUE"""),"Entreprise")</f>
        <v>Entreprise</v>
      </c>
      <c r="J32" s="22" t="str">
        <f>IFERROR(__xludf.DUMMYFUNCTION("""COMPUTED_VALUE"""),"E4")</f>
        <v>E4</v>
      </c>
      <c r="K32" s="22" t="str">
        <f>IFERROR(__xludf.DUMMYFUNCTION("""COMPUTED_VALUE"""),"Recherche")</f>
        <v>Recherche</v>
      </c>
      <c r="L32" s="22" t="str">
        <f>IFERROR(__xludf.DUMMYFUNCTION("""COMPUTED_VALUE"""),"R10")</f>
        <v>R10</v>
      </c>
      <c r="M32" s="22" t="str">
        <f>IFERROR(__xludf.DUMMYFUNCTION("""COMPUTED_VALUE"""),"Entreprise")</f>
        <v>Entreprise</v>
      </c>
      <c r="N32" s="22" t="str">
        <f>IFERROR(__xludf.DUMMYFUNCTION("""COMPUTED_VALUE"""),"E7")</f>
        <v>E7</v>
      </c>
      <c r="O32" s="22" t="str">
        <f>IFERROR(__xludf.DUMMYFUNCTION("""COMPUTED_VALUE"""),"Entreprise")</f>
        <v>Entreprise</v>
      </c>
      <c r="P32" s="22" t="str">
        <f>IFERROR(__xludf.DUMMYFUNCTION("""COMPUTED_VALUE"""),"E4")</f>
        <v>E4</v>
      </c>
      <c r="Q32" s="22" t="str">
        <f>IFERROR(__xludf.DUMMYFUNCTION("""COMPUTED_VALUE"""),"Je ne pars pas")</f>
        <v>Je ne pars pas</v>
      </c>
      <c r="R32" s="16" t="str">
        <f>IFERROR(__xludf.DUMMYFUNCTION("""COMPUTED_VALUE"""),"")</f>
        <v/>
      </c>
      <c r="S32" s="24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25">
        <f>IFERROR(__xludf.DUMMYFUNCTION("""COMPUTED_VALUE"""),43360.42831309028)</f>
        <v>43360.42831</v>
      </c>
      <c r="B33" s="3" t="str">
        <f>IFERROR(__xludf.DUMMYFUNCTION("""COMPUTED_VALUE"""),"")</f>
        <v/>
      </c>
      <c r="C33" s="6" t="str">
        <f>IFERROR(__xludf.DUMMYFUNCTION("""COMPUTED_VALUE"""),"IMC")</f>
        <v>IMC</v>
      </c>
      <c r="D33" s="8" t="str">
        <f>IFERROR(__xludf.DUMMYFUNCTION("""COMPUTED_VALUE"""),"CARNEIRO ESPINDOLA")</f>
        <v>CARNEIRO ESPINDOLA</v>
      </c>
      <c r="E33" s="8" t="str">
        <f>IFERROR(__xludf.DUMMYFUNCTION("""COMPUTED_VALUE"""),"Stela")</f>
        <v>Stela</v>
      </c>
      <c r="F33" s="8" t="str">
        <f>IFERROR(__xludf.DUMMYFUNCTION("""COMPUTED_VALUE"""),"stela.carneiroespindola@edu.esiee.fr")</f>
        <v>stela.carneiroespindola@edu.esiee.fr</v>
      </c>
      <c r="G33" s="3" t="str">
        <f>IFERROR(__xludf.DUMMYFUNCTION("""COMPUTED_VALUE"""),"Recherche")</f>
        <v>Recherche</v>
      </c>
      <c r="H33" s="3" t="str">
        <f>IFERROR(__xludf.DUMMYFUNCTION("""COMPUTED_VALUE"""),"R25")</f>
        <v>R25</v>
      </c>
      <c r="I33" s="3" t="str">
        <f>IFERROR(__xludf.DUMMYFUNCTION("""COMPUTED_VALUE"""),"Recherche")</f>
        <v>Recherche</v>
      </c>
      <c r="J33" s="3" t="str">
        <f>IFERROR(__xludf.DUMMYFUNCTION("""COMPUTED_VALUE"""),"R6")</f>
        <v>R6</v>
      </c>
      <c r="K33" s="3" t="str">
        <f>IFERROR(__xludf.DUMMYFUNCTION("""COMPUTED_VALUE"""),"Recherche")</f>
        <v>Recherche</v>
      </c>
      <c r="L33" s="3" t="str">
        <f>IFERROR(__xludf.DUMMYFUNCTION("""COMPUTED_VALUE"""),"R7")</f>
        <v>R7</v>
      </c>
      <c r="M33" s="3" t="str">
        <f>IFERROR(__xludf.DUMMYFUNCTION("""COMPUTED_VALUE"""),"Recherche")</f>
        <v>Recherche</v>
      </c>
      <c r="N33" s="3" t="str">
        <f>IFERROR(__xludf.DUMMYFUNCTION("""COMPUTED_VALUE"""),"R20")</f>
        <v>R20</v>
      </c>
      <c r="O33" s="3" t="str">
        <f>IFERROR(__xludf.DUMMYFUNCTION("""COMPUTED_VALUE"""),"Recherche")</f>
        <v>Recherche</v>
      </c>
      <c r="P33" s="3" t="str">
        <f>IFERROR(__xludf.DUMMYFUNCTION("""COMPUTED_VALUE"""),"R11")</f>
        <v>R11</v>
      </c>
      <c r="Q33" s="3" t="str">
        <f>IFERROR(__xludf.DUMMYFUNCTION("""COMPUTED_VALUE"""),"Je ne pars pas")</f>
        <v>Je ne pars pas</v>
      </c>
      <c r="R33" s="3" t="str">
        <f>IFERROR(__xludf.DUMMYFUNCTION("""COMPUTED_VALUE"""),"")</f>
        <v/>
      </c>
      <c r="S33" s="11"/>
      <c r="T33" s="3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5">
        <f>IFERROR(__xludf.DUMMYFUNCTION("""COMPUTED_VALUE"""),43360.43514806713)</f>
        <v>43360.43515</v>
      </c>
      <c r="B34" s="16" t="str">
        <f>IFERROR(__xludf.DUMMYFUNCTION("""COMPUTED_VALUE"""),"")</f>
        <v/>
      </c>
      <c r="C34" s="19" t="str">
        <f>IFERROR(__xludf.DUMMYFUNCTION("""COMPUTED_VALUE"""),"GI")</f>
        <v>GI</v>
      </c>
      <c r="D34" s="20" t="str">
        <f>IFERROR(__xludf.DUMMYFUNCTION("""COMPUTED_VALUE"""),"CHAAIRAT")</f>
        <v>CHAAIRAT</v>
      </c>
      <c r="E34" s="20" t="str">
        <f>IFERROR(__xludf.DUMMYFUNCTION("""COMPUTED_VALUE"""),"Nassim")</f>
        <v>Nassim</v>
      </c>
      <c r="F34" s="20" t="str">
        <f>IFERROR(__xludf.DUMMYFUNCTION("""COMPUTED_VALUE"""),"nassim.chaairat@edu.esiee.fr")</f>
        <v>nassim.chaairat@edu.esiee.fr</v>
      </c>
      <c r="G34" s="22" t="str">
        <f>IFERROR(__xludf.DUMMYFUNCTION("""COMPUTED_VALUE"""),"Recherche")</f>
        <v>Recherche</v>
      </c>
      <c r="H34" s="22" t="str">
        <f>IFERROR(__xludf.DUMMYFUNCTION("""COMPUTED_VALUE"""),"R32")</f>
        <v>R32</v>
      </c>
      <c r="I34" s="22" t="str">
        <f>IFERROR(__xludf.DUMMYFUNCTION("""COMPUTED_VALUE"""),"Entreprise")</f>
        <v>Entreprise</v>
      </c>
      <c r="J34" s="22" t="str">
        <f>IFERROR(__xludf.DUMMYFUNCTION("""COMPUTED_VALUE"""),"E10")</f>
        <v>E10</v>
      </c>
      <c r="K34" s="22" t="str">
        <f>IFERROR(__xludf.DUMMYFUNCTION("""COMPUTED_VALUE"""),"Recherche")</f>
        <v>Recherche</v>
      </c>
      <c r="L34" s="22" t="str">
        <f>IFERROR(__xludf.DUMMYFUNCTION("""COMPUTED_VALUE"""),"R24")</f>
        <v>R24</v>
      </c>
      <c r="M34" s="22" t="str">
        <f>IFERROR(__xludf.DUMMYFUNCTION("""COMPUTED_VALUE"""),"Recherche")</f>
        <v>Recherche</v>
      </c>
      <c r="N34" s="22" t="str">
        <f>IFERROR(__xludf.DUMMYFUNCTION("""COMPUTED_VALUE"""),"R31")</f>
        <v>R31</v>
      </c>
      <c r="O34" s="22" t="str">
        <f>IFERROR(__xludf.DUMMYFUNCTION("""COMPUTED_VALUE"""),"Concours")</f>
        <v>Concours</v>
      </c>
      <c r="P34" s="22" t="str">
        <f>IFERROR(__xludf.DUMMYFUNCTION("""COMPUTED_VALUE"""),"C1")</f>
        <v>C1</v>
      </c>
      <c r="Q34" s="22" t="str">
        <f>IFERROR(__xludf.DUMMYFUNCTION("""COMPUTED_VALUE"""),"Je ne pars pas")</f>
        <v>Je ne pars pas</v>
      </c>
      <c r="R34" s="16" t="str">
        <f>IFERROR(__xludf.DUMMYFUNCTION("""COMPUTED_VALUE"""),"")</f>
        <v/>
      </c>
      <c r="S34" s="24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25">
        <f>IFERROR(__xludf.DUMMYFUNCTION("""COMPUTED_VALUE"""),43360.46383245371)</f>
        <v>43360.46383</v>
      </c>
      <c r="B35" s="3" t="str">
        <f>IFERROR(__xludf.DUMMYFUNCTION("""COMPUTED_VALUE"""),"")</f>
        <v/>
      </c>
      <c r="C35" s="6" t="str">
        <f>IFERROR(__xludf.DUMMYFUNCTION("""COMPUTED_VALUE"""),"BIO")</f>
        <v>BIO</v>
      </c>
      <c r="D35" s="8" t="str">
        <f>IFERROR(__xludf.DUMMYFUNCTION("""COMPUTED_VALUE"""),"CHARLIER")</f>
        <v>CHARLIER</v>
      </c>
      <c r="E35" s="8" t="str">
        <f>IFERROR(__xludf.DUMMYFUNCTION("""COMPUTED_VALUE"""),"Claire")</f>
        <v>Claire</v>
      </c>
      <c r="F35" s="8" t="str">
        <f>IFERROR(__xludf.DUMMYFUNCTION("""COMPUTED_VALUE"""),"claire.charlier@edu.esiee.fr")</f>
        <v>claire.charlier@edu.esiee.fr</v>
      </c>
      <c r="G35" s="3" t="str">
        <f>IFERROR(__xludf.DUMMYFUNCTION("""COMPUTED_VALUE"""),"Entreprise")</f>
        <v>Entreprise</v>
      </c>
      <c r="H35" s="3" t="str">
        <f>IFERROR(__xludf.DUMMYFUNCTION("""COMPUTED_VALUE"""),"E1")</f>
        <v>E1</v>
      </c>
      <c r="I35" s="3" t="str">
        <f>IFERROR(__xludf.DUMMYFUNCTION("""COMPUTED_VALUE"""),"Entreprise")</f>
        <v>Entreprise</v>
      </c>
      <c r="J35" s="3" t="str">
        <f>IFERROR(__xludf.DUMMYFUNCTION("""COMPUTED_VALUE"""),"E19")</f>
        <v>E19</v>
      </c>
      <c r="K35" s="3" t="str">
        <f>IFERROR(__xludf.DUMMYFUNCTION("""COMPUTED_VALUE"""),"Entreprise")</f>
        <v>Entreprise</v>
      </c>
      <c r="L35" s="3" t="str">
        <f>IFERROR(__xludf.DUMMYFUNCTION("""COMPUTED_VALUE"""),"E15")</f>
        <v>E15</v>
      </c>
      <c r="M35" s="3" t="str">
        <f>IFERROR(__xludf.DUMMYFUNCTION("""COMPUTED_VALUE"""),"Recherche")</f>
        <v>Recherche</v>
      </c>
      <c r="N35" s="3" t="str">
        <f>IFERROR(__xludf.DUMMYFUNCTION("""COMPUTED_VALUE"""),"R2")</f>
        <v>R2</v>
      </c>
      <c r="O35" s="3" t="str">
        <f>IFERROR(__xludf.DUMMYFUNCTION("""COMPUTED_VALUE"""),"Recherche")</f>
        <v>Recherche</v>
      </c>
      <c r="P35" s="3" t="str">
        <f>IFERROR(__xludf.DUMMYFUNCTION("""COMPUTED_VALUE"""),"R3")</f>
        <v>R3</v>
      </c>
      <c r="Q35" s="3" t="str">
        <f>IFERROR(__xludf.DUMMYFUNCTION("""COMPUTED_VALUE"""),"Je pars au semestre 1")</f>
        <v>Je pars au semestre 1</v>
      </c>
      <c r="R35" s="3" t="str">
        <f>IFERROR(__xludf.DUMMYFUNCTION("""COMPUTED_VALUE"""),"")</f>
        <v/>
      </c>
      <c r="S35" s="11"/>
      <c r="T35" s="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5">
        <f>IFERROR(__xludf.DUMMYFUNCTION("""COMPUTED_VALUE"""),43361.48492644676)</f>
        <v>43361.48493</v>
      </c>
      <c r="B36" s="16" t="str">
        <f>IFERROR(__xludf.DUMMYFUNCTION("""COMPUTED_VALUE"""),"")</f>
        <v/>
      </c>
      <c r="C36" s="19" t="str">
        <f>IFERROR(__xludf.DUMMYFUNCTION("""COMPUTED_VALUE"""),"INF")</f>
        <v>INF</v>
      </c>
      <c r="D36" s="20" t="str">
        <f>IFERROR(__xludf.DUMMYFUNCTION("""COMPUTED_VALUE"""),"CHARTIER")</f>
        <v>CHARTIER</v>
      </c>
      <c r="E36" s="20" t="str">
        <f>IFERROR(__xludf.DUMMYFUNCTION("""COMPUTED_VALUE"""),"Clément")</f>
        <v>Clément</v>
      </c>
      <c r="F36" s="20" t="str">
        <f>IFERROR(__xludf.DUMMYFUNCTION("""COMPUTED_VALUE"""),"clement.chartier@edu.esiee.fr")</f>
        <v>clement.chartier@edu.esiee.fr</v>
      </c>
      <c r="G36" s="22" t="str">
        <f>IFERROR(__xludf.DUMMYFUNCTION("""COMPUTED_VALUE"""),"Entreprise")</f>
        <v>Entreprise</v>
      </c>
      <c r="H36" s="22" t="str">
        <f>IFERROR(__xludf.DUMMYFUNCTION("""COMPUTED_VALUE"""),"E24")</f>
        <v>E24</v>
      </c>
      <c r="I36" s="22" t="str">
        <f>IFERROR(__xludf.DUMMYFUNCTION("""COMPUTED_VALUE"""),"Entreprise")</f>
        <v>Entreprise</v>
      </c>
      <c r="J36" s="22" t="str">
        <f>IFERROR(__xludf.DUMMYFUNCTION("""COMPUTED_VALUE"""),"E8")</f>
        <v>E8</v>
      </c>
      <c r="K36" s="22" t="str">
        <f>IFERROR(__xludf.DUMMYFUNCTION("""COMPUTED_VALUE"""),"Entreprise")</f>
        <v>Entreprise</v>
      </c>
      <c r="L36" s="22" t="str">
        <f>IFERROR(__xludf.DUMMYFUNCTION("""COMPUTED_VALUE"""),"E6")</f>
        <v>E6</v>
      </c>
      <c r="M36" s="22" t="str">
        <f>IFERROR(__xludf.DUMMYFUNCTION("""COMPUTED_VALUE"""),"Entreprise")</f>
        <v>Entreprise</v>
      </c>
      <c r="N36" s="22" t="str">
        <f>IFERROR(__xludf.DUMMYFUNCTION("""COMPUTED_VALUE"""),"E9")</f>
        <v>E9</v>
      </c>
      <c r="O36" s="22" t="str">
        <f>IFERROR(__xludf.DUMMYFUNCTION("""COMPUTED_VALUE"""),"Entreprise")</f>
        <v>Entreprise</v>
      </c>
      <c r="P36" s="22" t="str">
        <f>IFERROR(__xludf.DUMMYFUNCTION("""COMPUTED_VALUE"""),"E10")</f>
        <v>E10</v>
      </c>
      <c r="Q36" s="22" t="str">
        <f>IFERROR(__xludf.DUMMYFUNCTION("""COMPUTED_VALUE"""),"Je ne pars pas")</f>
        <v>Je ne pars pas</v>
      </c>
      <c r="R36" s="16" t="str">
        <f>IFERROR(__xludf.DUMMYFUNCTION("""COMPUTED_VALUE"""),"")</f>
        <v/>
      </c>
      <c r="S36" s="24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25">
        <f>IFERROR(__xludf.DUMMYFUNCTION("""COMPUTED_VALUE"""),43362.35164559028)</f>
        <v>43362.35165</v>
      </c>
      <c r="B37" s="3" t="str">
        <f>IFERROR(__xludf.DUMMYFUNCTION("""COMPUTED_VALUE"""),"")</f>
        <v/>
      </c>
      <c r="C37" s="6" t="str">
        <f>IFERROR(__xludf.DUMMYFUNCTION("""COMPUTED_VALUE"""),"BIO")</f>
        <v>BIO</v>
      </c>
      <c r="D37" s="8" t="str">
        <f>IFERROR(__xludf.DUMMYFUNCTION("""COMPUTED_VALUE"""),"CHERIF")</f>
        <v>CHERIF</v>
      </c>
      <c r="E37" s="8" t="str">
        <f>IFERROR(__xludf.DUMMYFUNCTION("""COMPUTED_VALUE"""),"Alyssa")</f>
        <v>Alyssa</v>
      </c>
      <c r="F37" s="8" t="str">
        <f>IFERROR(__xludf.DUMMYFUNCTION("""COMPUTED_VALUE"""),"alyssa.cherif@edu.esiee.fr")</f>
        <v>alyssa.cherif@edu.esiee.fr</v>
      </c>
      <c r="G37" s="3" t="str">
        <f>IFERROR(__xludf.DUMMYFUNCTION("""COMPUTED_VALUE"""),"Entreprise")</f>
        <v>Entreprise</v>
      </c>
      <c r="H37" s="3" t="str">
        <f>IFERROR(__xludf.DUMMYFUNCTION("""COMPUTED_VALUE"""),"E15")</f>
        <v>E15</v>
      </c>
      <c r="I37" s="3" t="str">
        <f>IFERROR(__xludf.DUMMYFUNCTION("""COMPUTED_VALUE"""),"Entreprise")</f>
        <v>Entreprise</v>
      </c>
      <c r="J37" s="3" t="str">
        <f>IFERROR(__xludf.DUMMYFUNCTION("""COMPUTED_VALUE"""),"E20")</f>
        <v>E20</v>
      </c>
      <c r="K37" s="3" t="str">
        <f>IFERROR(__xludf.DUMMYFUNCTION("""COMPUTED_VALUE"""),"Entreprise")</f>
        <v>Entreprise</v>
      </c>
      <c r="L37" s="3" t="str">
        <f>IFERROR(__xludf.DUMMYFUNCTION("""COMPUTED_VALUE"""),"E1")</f>
        <v>E1</v>
      </c>
      <c r="M37" s="3" t="str">
        <f>IFERROR(__xludf.DUMMYFUNCTION("""COMPUTED_VALUE"""),"Entreprise")</f>
        <v>Entreprise</v>
      </c>
      <c r="N37" s="3" t="str">
        <f>IFERROR(__xludf.DUMMYFUNCTION("""COMPUTED_VALUE"""),"E19")</f>
        <v>E19</v>
      </c>
      <c r="O37" s="3" t="str">
        <f>IFERROR(__xludf.DUMMYFUNCTION("""COMPUTED_VALUE"""),"Recherche")</f>
        <v>Recherche</v>
      </c>
      <c r="P37" s="3" t="str">
        <f>IFERROR(__xludf.DUMMYFUNCTION("""COMPUTED_VALUE"""),"R2")</f>
        <v>R2</v>
      </c>
      <c r="Q37" s="3" t="str">
        <f>IFERROR(__xludf.DUMMYFUNCTION("""COMPUTED_VALUE"""),"Je pars au semestre 1")</f>
        <v>Je pars au semestre 1</v>
      </c>
      <c r="R37" s="3" t="str">
        <f>IFERROR(__xludf.DUMMYFUNCTION("""COMPUTED_VALUE"""),"")</f>
        <v/>
      </c>
      <c r="S37" s="11"/>
      <c r="T37" s="3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5">
        <f>IFERROR(__xludf.DUMMYFUNCTION("""COMPUTED_VALUE"""),43360.48946074074)</f>
        <v>43360.48946</v>
      </c>
      <c r="B38" s="16" t="str">
        <f>IFERROR(__xludf.DUMMYFUNCTION("""COMPUTED_VALUE"""),"")</f>
        <v/>
      </c>
      <c r="C38" s="19" t="str">
        <f>IFERROR(__xludf.DUMMYFUNCTION("""COMPUTED_VALUE"""),"ENE")</f>
        <v>ENE</v>
      </c>
      <c r="D38" s="20" t="str">
        <f>IFERROR(__xludf.DUMMYFUNCTION("""COMPUTED_VALUE"""),"CHOISY")</f>
        <v>CHOISY</v>
      </c>
      <c r="E38" s="20" t="str">
        <f>IFERROR(__xludf.DUMMYFUNCTION("""COMPUTED_VALUE"""),"Victor")</f>
        <v>Victor</v>
      </c>
      <c r="F38" s="20" t="str">
        <f>IFERROR(__xludf.DUMMYFUNCTION("""COMPUTED_VALUE"""),"victor.choisy@edu.esiee.fr")</f>
        <v>victor.choisy@edu.esiee.fr</v>
      </c>
      <c r="G38" s="22" t="str">
        <f>IFERROR(__xludf.DUMMYFUNCTION("""COMPUTED_VALUE"""),"Recherche")</f>
        <v>Recherche</v>
      </c>
      <c r="H38" s="22" t="str">
        <f>IFERROR(__xludf.DUMMYFUNCTION("""COMPUTED_VALUE"""),"R12")</f>
        <v>R12</v>
      </c>
      <c r="I38" s="22" t="str">
        <f>IFERROR(__xludf.DUMMYFUNCTION("""COMPUTED_VALUE"""),"Entreprise")</f>
        <v>Entreprise</v>
      </c>
      <c r="J38" s="22" t="str">
        <f>IFERROR(__xludf.DUMMYFUNCTION("""COMPUTED_VALUE"""),"E13")</f>
        <v>E13</v>
      </c>
      <c r="K38" s="22" t="str">
        <f>IFERROR(__xludf.DUMMYFUNCTION("""COMPUTED_VALUE"""),"Recherche")</f>
        <v>Recherche</v>
      </c>
      <c r="L38" s="22" t="str">
        <f>IFERROR(__xludf.DUMMYFUNCTION("""COMPUTED_VALUE"""),"R23")</f>
        <v>R23</v>
      </c>
      <c r="M38" s="22" t="str">
        <f>IFERROR(__xludf.DUMMYFUNCTION("""COMPUTED_VALUE"""),"Recherche")</f>
        <v>Recherche</v>
      </c>
      <c r="N38" s="22" t="str">
        <f>IFERROR(__xludf.DUMMYFUNCTION("""COMPUTED_VALUE"""),"R12")</f>
        <v>R12</v>
      </c>
      <c r="O38" s="22" t="str">
        <f>IFERROR(__xludf.DUMMYFUNCTION("""COMPUTED_VALUE"""),"Recherche")</f>
        <v>Recherche</v>
      </c>
      <c r="P38" s="22" t="str">
        <f>IFERROR(__xludf.DUMMYFUNCTION("""COMPUTED_VALUE"""),"R12")</f>
        <v>R12</v>
      </c>
      <c r="Q38" s="22" t="str">
        <f>IFERROR(__xludf.DUMMYFUNCTION("""COMPUTED_VALUE"""),"Je pars au semestre 2")</f>
        <v>Je pars au semestre 2</v>
      </c>
      <c r="R38" s="16" t="str">
        <f>IFERROR(__xludf.DUMMYFUNCTION("""COMPUTED_VALUE"""),"")</f>
        <v/>
      </c>
      <c r="S38" s="24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25">
        <f>IFERROR(__xludf.DUMMYFUNCTION("""COMPUTED_VALUE"""),43360.42983175926)</f>
        <v>43360.42983</v>
      </c>
      <c r="B39" s="3" t="str">
        <f>IFERROR(__xludf.DUMMYFUNCTION("""COMPUTED_VALUE"""),"")</f>
        <v/>
      </c>
      <c r="C39" s="6" t="str">
        <f>IFERROR(__xludf.DUMMYFUNCTION("""COMPUTED_VALUE"""),"SE")</f>
        <v>SE</v>
      </c>
      <c r="D39" s="8" t="str">
        <f>IFERROR(__xludf.DUMMYFUNCTION("""COMPUTED_VALUE"""),"CLASSE")</f>
        <v>CLASSE</v>
      </c>
      <c r="E39" s="8" t="str">
        <f>IFERROR(__xludf.DUMMYFUNCTION("""COMPUTED_VALUE"""),"Tom")</f>
        <v>Tom</v>
      </c>
      <c r="F39" s="8" t="str">
        <f>IFERROR(__xludf.DUMMYFUNCTION("""COMPUTED_VALUE"""),"tom.classe@edu.esiee.fr")</f>
        <v>tom.classe@edu.esiee.fr</v>
      </c>
      <c r="G39" s="3" t="str">
        <f>IFERROR(__xludf.DUMMYFUNCTION("""COMPUTED_VALUE"""),"Recherche")</f>
        <v>Recherche</v>
      </c>
      <c r="H39" s="3" t="str">
        <f>IFERROR(__xludf.DUMMYFUNCTION("""COMPUTED_VALUE"""),"R7")</f>
        <v>R7</v>
      </c>
      <c r="I39" s="3" t="str">
        <f>IFERROR(__xludf.DUMMYFUNCTION("""COMPUTED_VALUE"""),"Recherche")</f>
        <v>Recherche</v>
      </c>
      <c r="J39" s="3" t="str">
        <f>IFERROR(__xludf.DUMMYFUNCTION("""COMPUTED_VALUE"""),"R11")</f>
        <v>R11</v>
      </c>
      <c r="K39" s="3" t="str">
        <f>IFERROR(__xludf.DUMMYFUNCTION("""COMPUTED_VALUE"""),"Recherche")</f>
        <v>Recherche</v>
      </c>
      <c r="L39" s="3" t="str">
        <f>IFERROR(__xludf.DUMMYFUNCTION("""COMPUTED_VALUE"""),"R17")</f>
        <v>R17</v>
      </c>
      <c r="M39" s="3" t="str">
        <f>IFERROR(__xludf.DUMMYFUNCTION("""COMPUTED_VALUE"""),"Recherche")</f>
        <v>Recherche</v>
      </c>
      <c r="N39" s="3" t="str">
        <f>IFERROR(__xludf.DUMMYFUNCTION("""COMPUTED_VALUE"""),"R6")</f>
        <v>R6</v>
      </c>
      <c r="O39" s="3" t="str">
        <f>IFERROR(__xludf.DUMMYFUNCTION("""COMPUTED_VALUE"""),"Entreprise")</f>
        <v>Entreprise</v>
      </c>
      <c r="P39" s="3" t="str">
        <f>IFERROR(__xludf.DUMMYFUNCTION("""COMPUTED_VALUE"""),"E16")</f>
        <v>E16</v>
      </c>
      <c r="Q39" s="3" t="str">
        <f>IFERROR(__xludf.DUMMYFUNCTION("""COMPUTED_VALUE"""),"Je ne pars pas")</f>
        <v>Je ne pars pas</v>
      </c>
      <c r="R39" s="3" t="str">
        <f>IFERROR(__xludf.DUMMYFUNCTION("""COMPUTED_VALUE"""),"")</f>
        <v/>
      </c>
      <c r="S39" s="11"/>
      <c r="T39" s="3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5">
        <f>IFERROR(__xludf.DUMMYFUNCTION("""COMPUTED_VALUE"""),43360.41989336806)</f>
        <v>43360.41989</v>
      </c>
      <c r="B40" s="16" t="str">
        <f>IFERROR(__xludf.DUMMYFUNCTION("""COMPUTED_VALUE"""),"")</f>
        <v/>
      </c>
      <c r="C40" s="19" t="str">
        <f>IFERROR(__xludf.DUMMYFUNCTION("""COMPUTED_VALUE"""),"BIO")</f>
        <v>BIO</v>
      </c>
      <c r="D40" s="20" t="str">
        <f>IFERROR(__xludf.DUMMYFUNCTION("""COMPUTED_VALUE"""),"COLBOIS RICHARD")</f>
        <v>COLBOIS RICHARD</v>
      </c>
      <c r="E40" s="20" t="str">
        <f>IFERROR(__xludf.DUMMYFUNCTION("""COMPUTED_VALUE"""),"Charlotte")</f>
        <v>Charlotte</v>
      </c>
      <c r="F40" s="20" t="str">
        <f>IFERROR(__xludf.DUMMYFUNCTION("""COMPUTED_VALUE"""),"charlotte.colboisrichard@edu.esiee.fr")</f>
        <v>charlotte.colboisrichard@edu.esiee.fr</v>
      </c>
      <c r="G40" s="22" t="str">
        <f>IFERROR(__xludf.DUMMYFUNCTION("""COMPUTED_VALUE"""),"Entreprise")</f>
        <v>Entreprise</v>
      </c>
      <c r="H40" s="22" t="str">
        <f>IFERROR(__xludf.DUMMYFUNCTION("""COMPUTED_VALUE"""),"E1")</f>
        <v>E1</v>
      </c>
      <c r="I40" s="22" t="str">
        <f>IFERROR(__xludf.DUMMYFUNCTION("""COMPUTED_VALUE"""),"Entreprise")</f>
        <v>Entreprise</v>
      </c>
      <c r="J40" s="22" t="str">
        <f>IFERROR(__xludf.DUMMYFUNCTION("""COMPUTED_VALUE"""),"E15")</f>
        <v>E15</v>
      </c>
      <c r="K40" s="22" t="str">
        <f>IFERROR(__xludf.DUMMYFUNCTION("""COMPUTED_VALUE"""),"Recherche")</f>
        <v>Recherche</v>
      </c>
      <c r="L40" s="22" t="str">
        <f>IFERROR(__xludf.DUMMYFUNCTION("""COMPUTED_VALUE"""),"R2")</f>
        <v>R2</v>
      </c>
      <c r="M40" s="22" t="str">
        <f>IFERROR(__xludf.DUMMYFUNCTION("""COMPUTED_VALUE"""),"Recherche")</f>
        <v>Recherche</v>
      </c>
      <c r="N40" s="22" t="str">
        <f>IFERROR(__xludf.DUMMYFUNCTION("""COMPUTED_VALUE"""),"R15")</f>
        <v>R15</v>
      </c>
      <c r="O40" s="22" t="str">
        <f>IFERROR(__xludf.DUMMYFUNCTION("""COMPUTED_VALUE"""),"Entreprise")</f>
        <v>Entreprise</v>
      </c>
      <c r="P40" s="22" t="str">
        <f>IFERROR(__xludf.DUMMYFUNCTION("""COMPUTED_VALUE"""),"E19")</f>
        <v>E19</v>
      </c>
      <c r="Q40" s="22" t="str">
        <f>IFERROR(__xludf.DUMMYFUNCTION("""COMPUTED_VALUE"""),"Je ne pars pas")</f>
        <v>Je ne pars pas</v>
      </c>
      <c r="R40" s="16" t="str">
        <f>IFERROR(__xludf.DUMMYFUNCTION("""COMPUTED_VALUE"""),"")</f>
        <v/>
      </c>
      <c r="S40" s="24"/>
      <c r="T40" s="19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25">
        <f>IFERROR(__xludf.DUMMYFUNCTION("""COMPUTED_VALUE"""),43360.502424363425)</f>
        <v>43360.50242</v>
      </c>
      <c r="B41" s="3" t="str">
        <f>IFERROR(__xludf.DUMMYFUNCTION("""COMPUTED_VALUE"""),"")</f>
        <v/>
      </c>
      <c r="C41" s="6" t="str">
        <f>IFERROR(__xludf.DUMMYFUNCTION("""COMPUTED_VALUE"""),"ENE")</f>
        <v>ENE</v>
      </c>
      <c r="D41" s="8" t="str">
        <f>IFERROR(__xludf.DUMMYFUNCTION("""COMPUTED_VALUE"""),"COLLOGNAT")</f>
        <v>COLLOGNAT</v>
      </c>
      <c r="E41" s="8" t="str">
        <f>IFERROR(__xludf.DUMMYFUNCTION("""COMPUTED_VALUE"""),"Guillaume")</f>
        <v>Guillaume</v>
      </c>
      <c r="F41" s="8" t="str">
        <f>IFERROR(__xludf.DUMMYFUNCTION("""COMPUTED_VALUE"""),"guillaume.collognat@edu.esiee.fr")</f>
        <v>guillaume.collognat@edu.esiee.fr</v>
      </c>
      <c r="G41" s="3" t="str">
        <f>IFERROR(__xludf.DUMMYFUNCTION("""COMPUTED_VALUE"""),"Recherche")</f>
        <v>Recherche</v>
      </c>
      <c r="H41" s="3" t="str">
        <f>IFERROR(__xludf.DUMMYFUNCTION("""COMPUTED_VALUE"""),"R12")</f>
        <v>R12</v>
      </c>
      <c r="I41" s="3" t="str">
        <f>IFERROR(__xludf.DUMMYFUNCTION("""COMPUTED_VALUE"""),"Entreprise")</f>
        <v>Entreprise</v>
      </c>
      <c r="J41" s="3" t="str">
        <f>IFERROR(__xludf.DUMMYFUNCTION("""COMPUTED_VALUE"""),"E13")</f>
        <v>E13</v>
      </c>
      <c r="K41" s="3" t="str">
        <f>IFERROR(__xludf.DUMMYFUNCTION("""COMPUTED_VALUE"""),"Recherche")</f>
        <v>Recherche</v>
      </c>
      <c r="L41" s="3" t="str">
        <f>IFERROR(__xludf.DUMMYFUNCTION("""COMPUTED_VALUE"""),"R23")</f>
        <v>R23</v>
      </c>
      <c r="M41" s="3" t="str">
        <f>IFERROR(__xludf.DUMMYFUNCTION("""COMPUTED_VALUE"""),"Recherche")</f>
        <v>Recherche</v>
      </c>
      <c r="N41" s="3" t="str">
        <f>IFERROR(__xludf.DUMMYFUNCTION("""COMPUTED_VALUE"""),"R12")</f>
        <v>R12</v>
      </c>
      <c r="O41" s="3" t="str">
        <f>IFERROR(__xludf.DUMMYFUNCTION("""COMPUTED_VALUE"""),"Recherche")</f>
        <v>Recherche</v>
      </c>
      <c r="P41" s="3" t="str">
        <f>IFERROR(__xludf.DUMMYFUNCTION("""COMPUTED_VALUE"""),"R12")</f>
        <v>R12</v>
      </c>
      <c r="Q41" s="3" t="str">
        <f>IFERROR(__xludf.DUMMYFUNCTION("""COMPUTED_VALUE"""),"Je ne pars pas")</f>
        <v>Je ne pars pas</v>
      </c>
      <c r="R41" s="3" t="str">
        <f>IFERROR(__xludf.DUMMYFUNCTION("""COMPUTED_VALUE"""),"")</f>
        <v/>
      </c>
      <c r="S41" s="11"/>
      <c r="T41" s="3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5">
        <f>IFERROR(__xludf.DUMMYFUNCTION("""COMPUTED_VALUE"""),43360.51380027778)</f>
        <v>43360.5138</v>
      </c>
      <c r="B42" s="16" t="str">
        <f>IFERROR(__xludf.DUMMYFUNCTION("""COMPUTED_VALUE"""),"")</f>
        <v/>
      </c>
      <c r="C42" s="19" t="str">
        <f>IFERROR(__xludf.DUMMYFUNCTION("""COMPUTED_VALUE"""),"INF")</f>
        <v>INF</v>
      </c>
      <c r="D42" s="20" t="str">
        <f>IFERROR(__xludf.DUMMYFUNCTION("""COMPUTED_VALUE"""),"CONTAT")</f>
        <v>CONTAT</v>
      </c>
      <c r="E42" s="20" t="str">
        <f>IFERROR(__xludf.DUMMYFUNCTION("""COMPUTED_VALUE"""),"Gauthier")</f>
        <v>Gauthier</v>
      </c>
      <c r="F42" s="20" t="str">
        <f>IFERROR(__xludf.DUMMYFUNCTION("""COMPUTED_VALUE"""),"gauthier.contat@edu.esiee.fr")</f>
        <v>gauthier.contat@edu.esiee.fr</v>
      </c>
      <c r="G42" s="22" t="str">
        <f>IFERROR(__xludf.DUMMYFUNCTION("""COMPUTED_VALUE"""),"Entreprise")</f>
        <v>Entreprise</v>
      </c>
      <c r="H42" s="22" t="str">
        <f>IFERROR(__xludf.DUMMYFUNCTION("""COMPUTED_VALUE"""),"E16")</f>
        <v>E16</v>
      </c>
      <c r="I42" s="22" t="str">
        <f>IFERROR(__xludf.DUMMYFUNCTION("""COMPUTED_VALUE"""),"Recherche")</f>
        <v>Recherche</v>
      </c>
      <c r="J42" s="22" t="str">
        <f>IFERROR(__xludf.DUMMYFUNCTION("""COMPUTED_VALUE"""),"R13")</f>
        <v>R13</v>
      </c>
      <c r="K42" s="22" t="str">
        <f>IFERROR(__xludf.DUMMYFUNCTION("""COMPUTED_VALUE"""),"Entreprise")</f>
        <v>Entreprise</v>
      </c>
      <c r="L42" s="22" t="str">
        <f>IFERROR(__xludf.DUMMYFUNCTION("""COMPUTED_VALUE"""),"E11")</f>
        <v>E11</v>
      </c>
      <c r="M42" s="22" t="str">
        <f>IFERROR(__xludf.DUMMYFUNCTION("""COMPUTED_VALUE"""),"Recherche")</f>
        <v>Recherche</v>
      </c>
      <c r="N42" s="22" t="str">
        <f>IFERROR(__xludf.DUMMYFUNCTION("""COMPUTED_VALUE"""),"R18")</f>
        <v>R18</v>
      </c>
      <c r="O42" s="22" t="str">
        <f>IFERROR(__xludf.DUMMYFUNCTION("""COMPUTED_VALUE"""),"Recherche")</f>
        <v>Recherche</v>
      </c>
      <c r="P42" s="22" t="str">
        <f>IFERROR(__xludf.DUMMYFUNCTION("""COMPUTED_VALUE"""),"R18")</f>
        <v>R18</v>
      </c>
      <c r="Q42" s="22" t="str">
        <f>IFERROR(__xludf.DUMMYFUNCTION("""COMPUTED_VALUE"""),"Je ne pars pas")</f>
        <v>Je ne pars pas</v>
      </c>
      <c r="R42" s="16" t="str">
        <f>IFERROR(__xludf.DUMMYFUNCTION("""COMPUTED_VALUE"""),"")</f>
        <v/>
      </c>
      <c r="S42" s="24"/>
      <c r="T42" s="19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25">
        <f>IFERROR(__xludf.DUMMYFUNCTION("""COMPUTED_VALUE"""),43360.42230947917)</f>
        <v>43360.42231</v>
      </c>
      <c r="B43" s="3" t="str">
        <f>IFERROR(__xludf.DUMMYFUNCTION("""COMPUTED_VALUE"""),"")</f>
        <v/>
      </c>
      <c r="C43" s="6" t="str">
        <f>IFERROR(__xludf.DUMMYFUNCTION("""COMPUTED_VALUE"""),"DSIA")</f>
        <v>DSIA</v>
      </c>
      <c r="D43" s="8" t="str">
        <f>IFERROR(__xludf.DUMMYFUNCTION("""COMPUTED_VALUE"""),"COVILLE")</f>
        <v>COVILLE</v>
      </c>
      <c r="E43" s="8" t="str">
        <f>IFERROR(__xludf.DUMMYFUNCTION("""COMPUTED_VALUE"""),"Romain")</f>
        <v>Romain</v>
      </c>
      <c r="F43" s="8" t="str">
        <f>IFERROR(__xludf.DUMMYFUNCTION("""COMPUTED_VALUE"""),"romain.coville@edu.esiee.fr")</f>
        <v>romain.coville@edu.esiee.fr</v>
      </c>
      <c r="G43" s="3" t="str">
        <f>IFERROR(__xludf.DUMMYFUNCTION("""COMPUTED_VALUE"""),"Entreprise")</f>
        <v>Entreprise</v>
      </c>
      <c r="H43" s="3" t="str">
        <f>IFERROR(__xludf.DUMMYFUNCTION("""COMPUTED_VALUE"""),"E7")</f>
        <v>E7</v>
      </c>
      <c r="I43" s="3" t="str">
        <f>IFERROR(__xludf.DUMMYFUNCTION("""COMPUTED_VALUE"""),"Entreprise")</f>
        <v>Entreprise</v>
      </c>
      <c r="J43" s="3" t="str">
        <f>IFERROR(__xludf.DUMMYFUNCTION("""COMPUTED_VALUE"""),"E4")</f>
        <v>E4</v>
      </c>
      <c r="K43" s="3" t="str">
        <f>IFERROR(__xludf.DUMMYFUNCTION("""COMPUTED_VALUE"""),"Entreprise")</f>
        <v>Entreprise</v>
      </c>
      <c r="L43" s="3" t="str">
        <f>IFERROR(__xludf.DUMMYFUNCTION("""COMPUTED_VALUE"""),"E24")</f>
        <v>E24</v>
      </c>
      <c r="M43" s="3" t="str">
        <f>IFERROR(__xludf.DUMMYFUNCTION("""COMPUTED_VALUE"""),"Entreprise")</f>
        <v>Entreprise</v>
      </c>
      <c r="N43" s="3" t="str">
        <f>IFERROR(__xludf.DUMMYFUNCTION("""COMPUTED_VALUE"""),"E7")</f>
        <v>E7</v>
      </c>
      <c r="O43" s="3" t="str">
        <f>IFERROR(__xludf.DUMMYFUNCTION("""COMPUTED_VALUE"""),"Entreprise")</f>
        <v>Entreprise</v>
      </c>
      <c r="P43" s="3" t="str">
        <f>IFERROR(__xludf.DUMMYFUNCTION("""COMPUTED_VALUE"""),"E4")</f>
        <v>E4</v>
      </c>
      <c r="Q43" s="3" t="str">
        <f>IFERROR(__xludf.DUMMYFUNCTION("""COMPUTED_VALUE"""),"Je ne pars pas")</f>
        <v>Je ne pars pas</v>
      </c>
      <c r="R43" s="3" t="str">
        <f>IFERROR(__xludf.DUMMYFUNCTION("""COMPUTED_VALUE"""),"")</f>
        <v/>
      </c>
      <c r="S43" s="11"/>
      <c r="T43" s="3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5">
        <f>IFERROR(__xludf.DUMMYFUNCTION("""COMPUTED_VALUE"""),43362.139786203705)</f>
        <v>43362.13979</v>
      </c>
      <c r="B44" s="16" t="str">
        <f>IFERROR(__xludf.DUMMYFUNCTION("""COMPUTED_VALUE"""),"")</f>
        <v/>
      </c>
      <c r="C44" s="19" t="str">
        <f>IFERROR(__xludf.DUMMYFUNCTION("""COMPUTED_VALUE"""),"ENE")</f>
        <v>ENE</v>
      </c>
      <c r="D44" s="20" t="str">
        <f>IFERROR(__xludf.DUMMYFUNCTION("""COMPUTED_VALUE"""),"CROZON")</f>
        <v>CROZON</v>
      </c>
      <c r="E44" s="20" t="str">
        <f>IFERROR(__xludf.DUMMYFUNCTION("""COMPUTED_VALUE"""),"Alexandre")</f>
        <v>Alexandre</v>
      </c>
      <c r="F44" s="20" t="str">
        <f>IFERROR(__xludf.DUMMYFUNCTION("""COMPUTED_VALUE"""),"alexandre.crozon@edu.esiee.fr")</f>
        <v>alexandre.crozon@edu.esiee.fr</v>
      </c>
      <c r="G44" s="22" t="str">
        <f>IFERROR(__xludf.DUMMYFUNCTION("""COMPUTED_VALUE"""),"Recherche")</f>
        <v>Recherche</v>
      </c>
      <c r="H44" s="22" t="str">
        <f>IFERROR(__xludf.DUMMYFUNCTION("""COMPUTED_VALUE"""),"R12")</f>
        <v>R12</v>
      </c>
      <c r="I44" s="22" t="str">
        <f>IFERROR(__xludf.DUMMYFUNCTION("""COMPUTED_VALUE"""),"Entreprise")</f>
        <v>Entreprise</v>
      </c>
      <c r="J44" s="22" t="str">
        <f>IFERROR(__xludf.DUMMYFUNCTION("""COMPUTED_VALUE"""),"E13")</f>
        <v>E13</v>
      </c>
      <c r="K44" s="22" t="str">
        <f>IFERROR(__xludf.DUMMYFUNCTION("""COMPUTED_VALUE"""),"Entreprise")</f>
        <v>Entreprise</v>
      </c>
      <c r="L44" s="22" t="str">
        <f>IFERROR(__xludf.DUMMYFUNCTION("""COMPUTED_VALUE"""),"R13")</f>
        <v>R13</v>
      </c>
      <c r="M44" s="22" t="str">
        <f>IFERROR(__xludf.DUMMYFUNCTION("""COMPUTED_VALUE"""),"Entreprise")</f>
        <v>Entreprise</v>
      </c>
      <c r="N44" s="22" t="str">
        <f>IFERROR(__xludf.DUMMYFUNCTION("""COMPUTED_VALUE"""),"E14")</f>
        <v>E14</v>
      </c>
      <c r="O44" s="22" t="str">
        <f>IFERROR(__xludf.DUMMYFUNCTION("""COMPUTED_VALUE"""),"Recherche")</f>
        <v>Recherche</v>
      </c>
      <c r="P44" s="22" t="str">
        <f>IFERROR(__xludf.DUMMYFUNCTION("""COMPUTED_VALUE"""),"R16")</f>
        <v>R16</v>
      </c>
      <c r="Q44" s="22" t="str">
        <f>IFERROR(__xludf.DUMMYFUNCTION("""COMPUTED_VALUE"""),"Je ne pars pas")</f>
        <v>Je ne pars pas</v>
      </c>
      <c r="R44" s="16" t="str">
        <f>IFERROR(__xludf.DUMMYFUNCTION("""COMPUTED_VALUE"""),"")</f>
        <v/>
      </c>
      <c r="S44" s="24"/>
      <c r="T44" s="19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25">
        <f>IFERROR(__xludf.DUMMYFUNCTION("""COMPUTED_VALUE"""),43360.4196406713)</f>
        <v>43360.41964</v>
      </c>
      <c r="B45" s="3" t="str">
        <f>IFERROR(__xludf.DUMMYFUNCTION("""COMPUTED_VALUE"""),"")</f>
        <v/>
      </c>
      <c r="C45" s="6" t="str">
        <f>IFERROR(__xludf.DUMMYFUNCTION("""COMPUTED_VALUE"""),"SE")</f>
        <v>SE</v>
      </c>
      <c r="D45" s="8" t="str">
        <f>IFERROR(__xludf.DUMMYFUNCTION("""COMPUTED_VALUE"""),"DACOSSE")</f>
        <v>DACOSSE</v>
      </c>
      <c r="E45" s="8" t="str">
        <f>IFERROR(__xludf.DUMMYFUNCTION("""COMPUTED_VALUE"""),"Alexandre")</f>
        <v>Alexandre</v>
      </c>
      <c r="F45" s="8" t="str">
        <f>IFERROR(__xludf.DUMMYFUNCTION("""COMPUTED_VALUE"""),"alexandre.dacosse@edu.esiee.fr")</f>
        <v>alexandre.dacosse@edu.esiee.fr</v>
      </c>
      <c r="G45" s="3" t="str">
        <f>IFERROR(__xludf.DUMMYFUNCTION("""COMPUTED_VALUE"""),"Recherche")</f>
        <v>Recherche</v>
      </c>
      <c r="H45" s="3" t="str">
        <f>IFERROR(__xludf.DUMMYFUNCTION("""COMPUTED_VALUE"""),"R18")</f>
        <v>R18</v>
      </c>
      <c r="I45" s="3" t="str">
        <f>IFERROR(__xludf.DUMMYFUNCTION("""COMPUTED_VALUE"""),"Recherche")</f>
        <v>Recherche</v>
      </c>
      <c r="J45" s="3" t="str">
        <f>IFERROR(__xludf.DUMMYFUNCTION("""COMPUTED_VALUE"""),"R13")</f>
        <v>R13</v>
      </c>
      <c r="K45" s="3" t="str">
        <f>IFERROR(__xludf.DUMMYFUNCTION("""COMPUTED_VALUE"""),"Entreprise")</f>
        <v>Entreprise</v>
      </c>
      <c r="L45" s="3" t="str">
        <f>IFERROR(__xludf.DUMMYFUNCTION("""COMPUTED_VALUE"""),"E20")</f>
        <v>E20</v>
      </c>
      <c r="M45" s="3" t="str">
        <f>IFERROR(__xludf.DUMMYFUNCTION("""COMPUTED_VALUE"""),"Recherche")</f>
        <v>Recherche</v>
      </c>
      <c r="N45" s="3" t="str">
        <f>IFERROR(__xludf.DUMMYFUNCTION("""COMPUTED_VALUE"""),"R11")</f>
        <v>R11</v>
      </c>
      <c r="O45" s="3" t="str">
        <f>IFERROR(__xludf.DUMMYFUNCTION("""COMPUTED_VALUE"""),"Entreprise")</f>
        <v>Entreprise</v>
      </c>
      <c r="P45" s="3" t="str">
        <f>IFERROR(__xludf.DUMMYFUNCTION("""COMPUTED_VALUE"""),"E19")</f>
        <v>E19</v>
      </c>
      <c r="Q45" s="3" t="str">
        <f>IFERROR(__xludf.DUMMYFUNCTION("""COMPUTED_VALUE"""),"Je ne pars pas")</f>
        <v>Je ne pars pas</v>
      </c>
      <c r="R45" s="3" t="str">
        <f>IFERROR(__xludf.DUMMYFUNCTION("""COMPUTED_VALUE"""),"")</f>
        <v/>
      </c>
      <c r="S45" s="11"/>
      <c r="T45" s="3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5">
        <f>IFERROR(__xludf.DUMMYFUNCTION("""COMPUTED_VALUE"""),43360.52914084491)</f>
        <v>43360.52914</v>
      </c>
      <c r="B46" s="16" t="str">
        <f>IFERROR(__xludf.DUMMYFUNCTION("""COMPUTED_VALUE"""),"")</f>
        <v/>
      </c>
      <c r="C46" s="19" t="str">
        <f>IFERROR(__xludf.DUMMYFUNCTION("""COMPUTED_VALUE"""),"BIO")</f>
        <v>BIO</v>
      </c>
      <c r="D46" s="20" t="str">
        <f>IFERROR(__xludf.DUMMYFUNCTION("""COMPUTED_VALUE"""),"DAMIAN")</f>
        <v>DAMIAN</v>
      </c>
      <c r="E46" s="20" t="str">
        <f>IFERROR(__xludf.DUMMYFUNCTION("""COMPUTED_VALUE"""),"Léa")</f>
        <v>Léa</v>
      </c>
      <c r="F46" s="20" t="str">
        <f>IFERROR(__xludf.DUMMYFUNCTION("""COMPUTED_VALUE"""),"lea.damian@edu.esiee.fr")</f>
        <v>lea.damian@edu.esiee.fr</v>
      </c>
      <c r="G46" s="22" t="str">
        <f>IFERROR(__xludf.DUMMYFUNCTION("""COMPUTED_VALUE"""),"Recherche")</f>
        <v>Recherche</v>
      </c>
      <c r="H46" s="22" t="str">
        <f>IFERROR(__xludf.DUMMYFUNCTION("""COMPUTED_VALUE"""),"R2")</f>
        <v>R2</v>
      </c>
      <c r="I46" s="22" t="str">
        <f>IFERROR(__xludf.DUMMYFUNCTION("""COMPUTED_VALUE"""),"Entreprise")</f>
        <v>Entreprise</v>
      </c>
      <c r="J46" s="22" t="str">
        <f>IFERROR(__xludf.DUMMYFUNCTION("""COMPUTED_VALUE"""),"E15")</f>
        <v>E15</v>
      </c>
      <c r="K46" s="22" t="str">
        <f>IFERROR(__xludf.DUMMYFUNCTION("""COMPUTED_VALUE"""),"Recherche")</f>
        <v>Recherche</v>
      </c>
      <c r="L46" s="22" t="str">
        <f>IFERROR(__xludf.DUMMYFUNCTION("""COMPUTED_VALUE"""),"R24")</f>
        <v>R24</v>
      </c>
      <c r="M46" s="22" t="str">
        <f>IFERROR(__xludf.DUMMYFUNCTION("""COMPUTED_VALUE"""),"Entreprise")</f>
        <v>Entreprise</v>
      </c>
      <c r="N46" s="22" t="str">
        <f>IFERROR(__xludf.DUMMYFUNCTION("""COMPUTED_VALUE"""),"E19")</f>
        <v>E19</v>
      </c>
      <c r="O46" s="22" t="str">
        <f>IFERROR(__xludf.DUMMYFUNCTION("""COMPUTED_VALUE"""),"Entreprise")</f>
        <v>Entreprise</v>
      </c>
      <c r="P46" s="22" t="str">
        <f>IFERROR(__xludf.DUMMYFUNCTION("""COMPUTED_VALUE"""),"E1")</f>
        <v>E1</v>
      </c>
      <c r="Q46" s="22" t="str">
        <f>IFERROR(__xludf.DUMMYFUNCTION("""COMPUTED_VALUE"""),"Je ne pars pas")</f>
        <v>Je ne pars pas</v>
      </c>
      <c r="R46" s="16" t="str">
        <f>IFERROR(__xludf.DUMMYFUNCTION("""COMPUTED_VALUE"""),"")</f>
        <v/>
      </c>
      <c r="S46" s="24"/>
      <c r="T46" s="19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25">
        <f>IFERROR(__xludf.DUMMYFUNCTION("""COMPUTED_VALUE"""),43360.440339479166)</f>
        <v>43360.44034</v>
      </c>
      <c r="B47" s="3" t="str">
        <f>IFERROR(__xludf.DUMMYFUNCTION("""COMPUTED_VALUE"""),"")</f>
        <v/>
      </c>
      <c r="C47" s="6" t="str">
        <f>IFERROR(__xludf.DUMMYFUNCTION("""COMPUTED_VALUE"""),"GI")</f>
        <v>GI</v>
      </c>
      <c r="D47" s="8" t="str">
        <f>IFERROR(__xludf.DUMMYFUNCTION("""COMPUTED_VALUE"""),"DAMON")</f>
        <v>DAMON</v>
      </c>
      <c r="E47" s="8" t="str">
        <f>IFERROR(__xludf.DUMMYFUNCTION("""COMPUTED_VALUE"""),"Clarisse")</f>
        <v>Clarisse</v>
      </c>
      <c r="F47" s="8" t="str">
        <f>IFERROR(__xludf.DUMMYFUNCTION("""COMPUTED_VALUE"""),"clarisse.damon@edu.esiee.fr")</f>
        <v>clarisse.damon@edu.esiee.fr</v>
      </c>
      <c r="G47" s="3" t="str">
        <f>IFERROR(__xludf.DUMMYFUNCTION("""COMPUTED_VALUE"""),"Recherche")</f>
        <v>Recherche</v>
      </c>
      <c r="H47" s="3" t="str">
        <f>IFERROR(__xludf.DUMMYFUNCTION("""COMPUTED_VALUE"""),"R31")</f>
        <v>R31</v>
      </c>
      <c r="I47" s="3" t="str">
        <f>IFERROR(__xludf.DUMMYFUNCTION("""COMPUTED_VALUE"""),"Entreprise")</f>
        <v>Entreprise</v>
      </c>
      <c r="J47" s="3" t="str">
        <f>IFERROR(__xludf.DUMMYFUNCTION("""COMPUTED_VALUE"""),"E21")</f>
        <v>E21</v>
      </c>
      <c r="K47" s="3" t="str">
        <f>IFERROR(__xludf.DUMMYFUNCTION("""COMPUTED_VALUE"""),"Entreprise")</f>
        <v>Entreprise</v>
      </c>
      <c r="L47" s="3" t="str">
        <f>IFERROR(__xludf.DUMMYFUNCTION("""COMPUTED_VALUE"""),"E23")</f>
        <v>E23</v>
      </c>
      <c r="M47" s="3" t="str">
        <f>IFERROR(__xludf.DUMMYFUNCTION("""COMPUTED_VALUE"""),"Recherche")</f>
        <v>Recherche</v>
      </c>
      <c r="N47" s="3" t="str">
        <f>IFERROR(__xludf.DUMMYFUNCTION("""COMPUTED_VALUE"""),"R32")</f>
        <v>R32</v>
      </c>
      <c r="O47" s="3" t="str">
        <f>IFERROR(__xludf.DUMMYFUNCTION("""COMPUTED_VALUE"""),"Recherche")</f>
        <v>Recherche</v>
      </c>
      <c r="P47" s="3" t="str">
        <f>IFERROR(__xludf.DUMMYFUNCTION("""COMPUTED_VALUE"""),"R24")</f>
        <v>R24</v>
      </c>
      <c r="Q47" s="3" t="str">
        <f>IFERROR(__xludf.DUMMYFUNCTION("""COMPUTED_VALUE"""),"Je pars au semestre 2")</f>
        <v>Je pars au semestre 2</v>
      </c>
      <c r="R47" s="3" t="str">
        <f>IFERROR(__xludf.DUMMYFUNCTION("""COMPUTED_VALUE"""),"")</f>
        <v/>
      </c>
      <c r="S47" s="11"/>
      <c r="T47" s="3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5">
        <f>IFERROR(__xludf.DUMMYFUNCTION("""COMPUTED_VALUE"""),43360.526752731486)</f>
        <v>43360.52675</v>
      </c>
      <c r="B48" s="16" t="str">
        <f>IFERROR(__xludf.DUMMYFUNCTION("""COMPUTED_VALUE"""),"")</f>
        <v/>
      </c>
      <c r="C48" s="19" t="str">
        <f>IFERROR(__xludf.DUMMYFUNCTION("""COMPUTED_VALUE"""),"IME")</f>
        <v>IME</v>
      </c>
      <c r="D48" s="20" t="str">
        <f>IFERROR(__xludf.DUMMYFUNCTION("""COMPUTED_VALUE"""),"DELBANI")</f>
        <v>DELBANI</v>
      </c>
      <c r="E48" s="20" t="str">
        <f>IFERROR(__xludf.DUMMYFUNCTION("""COMPUTED_VALUE"""),"Ahmad")</f>
        <v>Ahmad</v>
      </c>
      <c r="F48" s="20" t="str">
        <f>IFERROR(__xludf.DUMMYFUNCTION("""COMPUTED_VALUE"""),"ahmadali.delbani@edu.esiee.fr")</f>
        <v>ahmadali.delbani@edu.esiee.fr</v>
      </c>
      <c r="G48" s="22" t="str">
        <f>IFERROR(__xludf.DUMMYFUNCTION("""COMPUTED_VALUE"""),"Recherche")</f>
        <v>Recherche</v>
      </c>
      <c r="H48" s="22" t="str">
        <f>IFERROR(__xludf.DUMMYFUNCTION("""COMPUTED_VALUE"""),"R22")</f>
        <v>R22</v>
      </c>
      <c r="I48" s="22" t="str">
        <f>IFERROR(__xludf.DUMMYFUNCTION("""COMPUTED_VALUE"""),"Recherche")</f>
        <v>Recherche</v>
      </c>
      <c r="J48" s="22" t="str">
        <f>IFERROR(__xludf.DUMMYFUNCTION("""COMPUTED_VALUE"""),"R28")</f>
        <v>R28</v>
      </c>
      <c r="K48" s="22" t="str">
        <f>IFERROR(__xludf.DUMMYFUNCTION("""COMPUTED_VALUE"""),"Recherche")</f>
        <v>Recherche</v>
      </c>
      <c r="L48" s="22" t="str">
        <f>IFERROR(__xludf.DUMMYFUNCTION("""COMPUTED_VALUE"""),"R29")</f>
        <v>R29</v>
      </c>
      <c r="M48" s="22" t="str">
        <f>IFERROR(__xludf.DUMMYFUNCTION("""COMPUTED_VALUE"""),"Recherche")</f>
        <v>Recherche</v>
      </c>
      <c r="N48" s="22" t="str">
        <f>IFERROR(__xludf.DUMMYFUNCTION("""COMPUTED_VALUE"""),"R30")</f>
        <v>R30</v>
      </c>
      <c r="O48" s="22" t="str">
        <f>IFERROR(__xludf.DUMMYFUNCTION("""COMPUTED_VALUE"""),"Recherche")</f>
        <v>Recherche</v>
      </c>
      <c r="P48" s="22" t="str">
        <f>IFERROR(__xludf.DUMMYFUNCTION("""COMPUTED_VALUE"""),"R23")</f>
        <v>R23</v>
      </c>
      <c r="Q48" s="22" t="str">
        <f>IFERROR(__xludf.DUMMYFUNCTION("""COMPUTED_VALUE"""),"Je ne pars pas")</f>
        <v>Je ne pars pas</v>
      </c>
      <c r="R48" s="16" t="str">
        <f>IFERROR(__xludf.DUMMYFUNCTION("""COMPUTED_VALUE"""),"")</f>
        <v/>
      </c>
      <c r="S48" s="24"/>
      <c r="T48" s="19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25">
        <f>IFERROR(__xludf.DUMMYFUNCTION("""COMPUTED_VALUE"""),43362.14318940972)</f>
        <v>43362.14319</v>
      </c>
      <c r="B49" s="3" t="str">
        <f>IFERROR(__xludf.DUMMYFUNCTION("""COMPUTED_VALUE"""),"")</f>
        <v/>
      </c>
      <c r="C49" s="6" t="str">
        <f>IFERROR(__xludf.DUMMYFUNCTION("""COMPUTED_VALUE"""),"ENE")</f>
        <v>ENE</v>
      </c>
      <c r="D49" s="8" t="str">
        <f>IFERROR(__xludf.DUMMYFUNCTION("""COMPUTED_VALUE"""),"DELONCLE")</f>
        <v>DELONCLE</v>
      </c>
      <c r="E49" s="8" t="str">
        <f>IFERROR(__xludf.DUMMYFUNCTION("""COMPUTED_VALUE"""),"Lucas")</f>
        <v>Lucas</v>
      </c>
      <c r="F49" s="8" t="str">
        <f>IFERROR(__xludf.DUMMYFUNCTION("""COMPUTED_VALUE"""),"lucas.deloncle@edu.esiee.fr")</f>
        <v>lucas.deloncle@edu.esiee.fr</v>
      </c>
      <c r="G49" s="3" t="str">
        <f>IFERROR(__xludf.DUMMYFUNCTION("""COMPUTED_VALUE"""),"Recherche")</f>
        <v>Recherche</v>
      </c>
      <c r="H49" s="3" t="str">
        <f>IFERROR(__xludf.DUMMYFUNCTION("""COMPUTED_VALUE"""),"R12")</f>
        <v>R12</v>
      </c>
      <c r="I49" s="3" t="str">
        <f>IFERROR(__xludf.DUMMYFUNCTION("""COMPUTED_VALUE"""),"Recherche")</f>
        <v>Recherche</v>
      </c>
      <c r="J49" s="3" t="str">
        <f>IFERROR(__xludf.DUMMYFUNCTION("""COMPUTED_VALUE"""),"R1")</f>
        <v>R1</v>
      </c>
      <c r="K49" s="3" t="str">
        <f>IFERROR(__xludf.DUMMYFUNCTION("""COMPUTED_VALUE"""),"Entreprise")</f>
        <v>Entreprise</v>
      </c>
      <c r="L49" s="3" t="str">
        <f>IFERROR(__xludf.DUMMYFUNCTION("""COMPUTED_VALUE"""),"E13")</f>
        <v>E13</v>
      </c>
      <c r="M49" s="3" t="str">
        <f>IFERROR(__xludf.DUMMYFUNCTION("""COMPUTED_VALUE"""),"Entreprise")</f>
        <v>Entreprise</v>
      </c>
      <c r="N49" s="3" t="str">
        <f>IFERROR(__xludf.DUMMYFUNCTION("""COMPUTED_VALUE"""),"E14")</f>
        <v>E14</v>
      </c>
      <c r="O49" s="3" t="str">
        <f>IFERROR(__xludf.DUMMYFUNCTION("""COMPUTED_VALUE"""),"Recherche")</f>
        <v>Recherche</v>
      </c>
      <c r="P49" s="3" t="str">
        <f>IFERROR(__xludf.DUMMYFUNCTION("""COMPUTED_VALUE"""),"R2")</f>
        <v>R2</v>
      </c>
      <c r="Q49" s="3" t="str">
        <f>IFERROR(__xludf.DUMMYFUNCTION("""COMPUTED_VALUE"""),"Je ne pars pas")</f>
        <v>Je ne pars pas</v>
      </c>
      <c r="R49" s="3" t="str">
        <f>IFERROR(__xludf.DUMMYFUNCTION("""COMPUTED_VALUE"""),"")</f>
        <v/>
      </c>
      <c r="S49" s="11"/>
      <c r="T49" s="3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5">
        <f>IFERROR(__xludf.DUMMYFUNCTION("""COMPUTED_VALUE"""),43360.42603219907)</f>
        <v>43360.42603</v>
      </c>
      <c r="B50" s="16" t="str">
        <f>IFERROR(__xludf.DUMMYFUNCTION("""COMPUTED_VALUE"""),"")</f>
        <v/>
      </c>
      <c r="C50" s="19" t="str">
        <f>IFERROR(__xludf.DUMMYFUNCTION("""COMPUTED_VALUE"""),"BIO")</f>
        <v>BIO</v>
      </c>
      <c r="D50" s="20" t="str">
        <f>IFERROR(__xludf.DUMMYFUNCTION("""COMPUTED_VALUE"""),"DEMEER")</f>
        <v>DEMEER</v>
      </c>
      <c r="E50" s="20" t="str">
        <f>IFERROR(__xludf.DUMMYFUNCTION("""COMPUTED_VALUE"""),"Eléna")</f>
        <v>Eléna</v>
      </c>
      <c r="F50" s="20" t="str">
        <f>IFERROR(__xludf.DUMMYFUNCTION("""COMPUTED_VALUE"""),"elena.demeer@edu.esiee.fr")</f>
        <v>elena.demeer@edu.esiee.fr</v>
      </c>
      <c r="G50" s="22" t="str">
        <f>IFERROR(__xludf.DUMMYFUNCTION("""COMPUTED_VALUE"""),"Recherche")</f>
        <v>Recherche</v>
      </c>
      <c r="H50" s="22" t="str">
        <f>IFERROR(__xludf.DUMMYFUNCTION("""COMPUTED_VALUE"""),"R24")</f>
        <v>R24</v>
      </c>
      <c r="I50" s="22" t="str">
        <f>IFERROR(__xludf.DUMMYFUNCTION("""COMPUTED_VALUE"""),"Recherche")</f>
        <v>Recherche</v>
      </c>
      <c r="J50" s="22" t="str">
        <f>IFERROR(__xludf.DUMMYFUNCTION("""COMPUTED_VALUE"""),"R2")</f>
        <v>R2</v>
      </c>
      <c r="K50" s="22" t="str">
        <f>IFERROR(__xludf.DUMMYFUNCTION("""COMPUTED_VALUE"""),"Recherche")</f>
        <v>Recherche</v>
      </c>
      <c r="L50" s="22" t="str">
        <f>IFERROR(__xludf.DUMMYFUNCTION("""COMPUTED_VALUE"""),"R3")</f>
        <v>R3</v>
      </c>
      <c r="M50" s="22" t="str">
        <f>IFERROR(__xludf.DUMMYFUNCTION("""COMPUTED_VALUE"""),"Entreprise")</f>
        <v>Entreprise</v>
      </c>
      <c r="N50" s="22" t="str">
        <f>IFERROR(__xludf.DUMMYFUNCTION("""COMPUTED_VALUE"""),"E1")</f>
        <v>E1</v>
      </c>
      <c r="O50" s="22" t="str">
        <f>IFERROR(__xludf.DUMMYFUNCTION("""COMPUTED_VALUE"""),"Entreprise")</f>
        <v>Entreprise</v>
      </c>
      <c r="P50" s="22" t="str">
        <f>IFERROR(__xludf.DUMMYFUNCTION("""COMPUTED_VALUE"""),"E19")</f>
        <v>E19</v>
      </c>
      <c r="Q50" s="22" t="str">
        <f>IFERROR(__xludf.DUMMYFUNCTION("""COMPUTED_VALUE"""),"Je ne pars pas")</f>
        <v>Je ne pars pas</v>
      </c>
      <c r="R50" s="16" t="str">
        <f>IFERROR(__xludf.DUMMYFUNCTION("""COMPUTED_VALUE"""),"")</f>
        <v/>
      </c>
      <c r="S50" s="24"/>
      <c r="T50" s="19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25">
        <f>IFERROR(__xludf.DUMMYFUNCTION("""COMPUTED_VALUE"""),43361.978871597224)</f>
        <v>43361.97887</v>
      </c>
      <c r="B51" s="3" t="str">
        <f>IFERROR(__xludf.DUMMYFUNCTION("""COMPUTED_VALUE"""),"")</f>
        <v/>
      </c>
      <c r="C51" s="6" t="str">
        <f>IFERROR(__xludf.DUMMYFUNCTION("""COMPUTED_VALUE"""),"SE")</f>
        <v>SE</v>
      </c>
      <c r="D51" s="8" t="str">
        <f>IFERROR(__xludf.DUMMYFUNCTION("""COMPUTED_VALUE"""),"DEPIT")</f>
        <v>DEPIT</v>
      </c>
      <c r="E51" s="8" t="str">
        <f>IFERROR(__xludf.DUMMYFUNCTION("""COMPUTED_VALUE"""),"Antoine")</f>
        <v>Antoine</v>
      </c>
      <c r="F51" s="8" t="str">
        <f>IFERROR(__xludf.DUMMYFUNCTION("""COMPUTED_VALUE"""),"antoine.depit@edu.esiee.fr")</f>
        <v>antoine.depit@edu.esiee.fr</v>
      </c>
      <c r="G51" s="3" t="str">
        <f>IFERROR(__xludf.DUMMYFUNCTION("""COMPUTED_VALUE"""),"Recherche")</f>
        <v>Recherche</v>
      </c>
      <c r="H51" s="3" t="str">
        <f>IFERROR(__xludf.DUMMYFUNCTION("""COMPUTED_VALUE"""),"R5")</f>
        <v>R5</v>
      </c>
      <c r="I51" s="3" t="str">
        <f>IFERROR(__xludf.DUMMYFUNCTION("""COMPUTED_VALUE"""),"Recherche")</f>
        <v>Recherche</v>
      </c>
      <c r="J51" s="3" t="str">
        <f>IFERROR(__xludf.DUMMYFUNCTION("""COMPUTED_VALUE"""),"R6")</f>
        <v>R6</v>
      </c>
      <c r="K51" s="3" t="str">
        <f>IFERROR(__xludf.DUMMYFUNCTION("""COMPUTED_VALUE"""),"Recherche")</f>
        <v>Recherche</v>
      </c>
      <c r="L51" s="3" t="str">
        <f>IFERROR(__xludf.DUMMYFUNCTION("""COMPUTED_VALUE"""),"R7")</f>
        <v>R7</v>
      </c>
      <c r="M51" s="3" t="str">
        <f>IFERROR(__xludf.DUMMYFUNCTION("""COMPUTED_VALUE"""),"Recherche")</f>
        <v>Recherche</v>
      </c>
      <c r="N51" s="3" t="str">
        <f>IFERROR(__xludf.DUMMYFUNCTION("""COMPUTED_VALUE"""),"R31")</f>
        <v>R31</v>
      </c>
      <c r="O51" s="3" t="str">
        <f>IFERROR(__xludf.DUMMYFUNCTION("""COMPUTED_VALUE"""),"Recherche")</f>
        <v>Recherche</v>
      </c>
      <c r="P51" s="3" t="str">
        <f>IFERROR(__xludf.DUMMYFUNCTION("""COMPUTED_VALUE"""),"R29")</f>
        <v>R29</v>
      </c>
      <c r="Q51" s="3" t="str">
        <f>IFERROR(__xludf.DUMMYFUNCTION("""COMPUTED_VALUE"""),"Je pars au semestre 1")</f>
        <v>Je pars au semestre 1</v>
      </c>
      <c r="R51" s="3" t="str">
        <f>IFERROR(__xludf.DUMMYFUNCTION("""COMPUTED_VALUE"""),"")</f>
        <v/>
      </c>
      <c r="S51" s="11"/>
      <c r="T51" s="3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5">
        <f>IFERROR(__xludf.DUMMYFUNCTION("""COMPUTED_VALUE"""),43360.69269732639)</f>
        <v>43360.6927</v>
      </c>
      <c r="B52" s="16" t="str">
        <f>IFERROR(__xludf.DUMMYFUNCTION("""COMPUTED_VALUE"""),"")</f>
        <v/>
      </c>
      <c r="C52" s="19" t="str">
        <f>IFERROR(__xludf.DUMMYFUNCTION("""COMPUTED_VALUE"""),"ENE")</f>
        <v>ENE</v>
      </c>
      <c r="D52" s="20" t="str">
        <f>IFERROR(__xludf.DUMMYFUNCTION("""COMPUTED_VALUE"""),"DESCAMPS")</f>
        <v>DESCAMPS</v>
      </c>
      <c r="E52" s="20" t="str">
        <f>IFERROR(__xludf.DUMMYFUNCTION("""COMPUTED_VALUE"""),"Guillaume")</f>
        <v>Guillaume</v>
      </c>
      <c r="F52" s="20" t="str">
        <f>IFERROR(__xludf.DUMMYFUNCTION("""COMPUTED_VALUE"""),"guillaume.descamps@edu.esiee.fr")</f>
        <v>guillaume.descamps@edu.esiee.fr</v>
      </c>
      <c r="G52" s="22" t="str">
        <f>IFERROR(__xludf.DUMMYFUNCTION("""COMPUTED_VALUE"""),"Entreprise")</f>
        <v>Entreprise</v>
      </c>
      <c r="H52" s="22" t="str">
        <f>IFERROR(__xludf.DUMMYFUNCTION("""COMPUTED_VALUE"""),"E13")</f>
        <v>E13</v>
      </c>
      <c r="I52" s="22" t="str">
        <f>IFERROR(__xludf.DUMMYFUNCTION("""COMPUTED_VALUE"""),"Recherche")</f>
        <v>Recherche</v>
      </c>
      <c r="J52" s="22" t="str">
        <f>IFERROR(__xludf.DUMMYFUNCTION("""COMPUTED_VALUE"""),"R1")</f>
        <v>R1</v>
      </c>
      <c r="K52" s="22" t="str">
        <f>IFERROR(__xludf.DUMMYFUNCTION("""COMPUTED_VALUE"""),"Recherche")</f>
        <v>Recherche</v>
      </c>
      <c r="L52" s="22" t="str">
        <f>IFERROR(__xludf.DUMMYFUNCTION("""COMPUTED_VALUE"""),"R23")</f>
        <v>R23</v>
      </c>
      <c r="M52" s="22" t="str">
        <f>IFERROR(__xludf.DUMMYFUNCTION("""COMPUTED_VALUE"""),"Recherche")</f>
        <v>Recherche</v>
      </c>
      <c r="N52" s="22" t="str">
        <f>IFERROR(__xludf.DUMMYFUNCTION("""COMPUTED_VALUE"""),"R12")</f>
        <v>R12</v>
      </c>
      <c r="O52" s="22" t="str">
        <f>IFERROR(__xludf.DUMMYFUNCTION("""COMPUTED_VALUE"""),"Recherche")</f>
        <v>Recherche</v>
      </c>
      <c r="P52" s="22" t="str">
        <f>IFERROR(__xludf.DUMMYFUNCTION("""COMPUTED_VALUE"""),"R4")</f>
        <v>R4</v>
      </c>
      <c r="Q52" s="22" t="str">
        <f>IFERROR(__xludf.DUMMYFUNCTION("""COMPUTED_VALUE"""),"Je pars au semestre 1")</f>
        <v>Je pars au semestre 1</v>
      </c>
      <c r="R52" s="16" t="str">
        <f>IFERROR(__xludf.DUMMYFUNCTION("""COMPUTED_VALUE"""),"")</f>
        <v/>
      </c>
      <c r="S52" s="24"/>
      <c r="T52" s="19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25">
        <f>IFERROR(__xludf.DUMMYFUNCTION("""COMPUTED_VALUE"""),43360.45961304398)</f>
        <v>43360.45961</v>
      </c>
      <c r="B53" s="3" t="str">
        <f>IFERROR(__xludf.DUMMYFUNCTION("""COMPUTED_VALUE"""),"")</f>
        <v/>
      </c>
      <c r="C53" s="6" t="str">
        <f>IFERROR(__xludf.DUMMYFUNCTION("""COMPUTED_VALUE"""),"CYBER")</f>
        <v>CYBER</v>
      </c>
      <c r="D53" s="8" t="str">
        <f>IFERROR(__xludf.DUMMYFUNCTION("""COMPUTED_VALUE"""),"DESPORTES")</f>
        <v>DESPORTES</v>
      </c>
      <c r="E53" s="8" t="str">
        <f>IFERROR(__xludf.DUMMYFUNCTION("""COMPUTED_VALUE"""),"Etienne")</f>
        <v>Etienne</v>
      </c>
      <c r="F53" s="8" t="str">
        <f>IFERROR(__xludf.DUMMYFUNCTION("""COMPUTED_VALUE"""),"etienne.desportes@edu.esiee.fr")</f>
        <v>etienne.desportes@edu.esiee.fr</v>
      </c>
      <c r="G53" s="3" t="str">
        <f>IFERROR(__xludf.DUMMYFUNCTION("""COMPUTED_VALUE"""),"Entreprise")</f>
        <v>Entreprise</v>
      </c>
      <c r="H53" s="3" t="str">
        <f>IFERROR(__xludf.DUMMYFUNCTION("""COMPUTED_VALUE"""),"E1")</f>
        <v>E1</v>
      </c>
      <c r="I53" s="3" t="str">
        <f>IFERROR(__xludf.DUMMYFUNCTION("""COMPUTED_VALUE"""),"Recherche")</f>
        <v>Recherche</v>
      </c>
      <c r="J53" s="3" t="str">
        <f>IFERROR(__xludf.DUMMYFUNCTION("""COMPUTED_VALUE"""),"R15")</f>
        <v>R15</v>
      </c>
      <c r="K53" s="3" t="str">
        <f>IFERROR(__xludf.DUMMYFUNCTION("""COMPUTED_VALUE"""),"Entreprise")</f>
        <v>Entreprise</v>
      </c>
      <c r="L53" s="3" t="str">
        <f>IFERROR(__xludf.DUMMYFUNCTION("""COMPUTED_VALUE"""),"E15")</f>
        <v>E15</v>
      </c>
      <c r="M53" s="3" t="str">
        <f>IFERROR(__xludf.DUMMYFUNCTION("""COMPUTED_VALUE"""),"Entreprise")</f>
        <v>Entreprise</v>
      </c>
      <c r="N53" s="3" t="str">
        <f>IFERROR(__xludf.DUMMYFUNCTION("""COMPUTED_VALUE"""),"E19")</f>
        <v>E19</v>
      </c>
      <c r="O53" s="3" t="str">
        <f>IFERROR(__xludf.DUMMYFUNCTION("""COMPUTED_VALUE"""),"Recherche")</f>
        <v>Recherche</v>
      </c>
      <c r="P53" s="3" t="str">
        <f>IFERROR(__xludf.DUMMYFUNCTION("""COMPUTED_VALUE"""),"R2")</f>
        <v>R2</v>
      </c>
      <c r="Q53" s="3" t="str">
        <f>IFERROR(__xludf.DUMMYFUNCTION("""COMPUTED_VALUE"""),"Je pars au semestre 2")</f>
        <v>Je pars au semestre 2</v>
      </c>
      <c r="R53" s="3" t="str">
        <f>IFERROR(__xludf.DUMMYFUNCTION("""COMPUTED_VALUE"""),"")</f>
        <v/>
      </c>
      <c r="S53" s="11"/>
      <c r="T53" s="3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5">
        <f>IFERROR(__xludf.DUMMYFUNCTION("""COMPUTED_VALUE"""),43361.134501249995)</f>
        <v>43361.1345</v>
      </c>
      <c r="B54" s="16" t="str">
        <f>IFERROR(__xludf.DUMMYFUNCTION("""COMPUTED_VALUE"""),"")</f>
        <v/>
      </c>
      <c r="C54" s="19" t="str">
        <f>IFERROR(__xludf.DUMMYFUNCTION("""COMPUTED_VALUE"""),"ENE")</f>
        <v>ENE</v>
      </c>
      <c r="D54" s="20" t="str">
        <f>IFERROR(__xludf.DUMMYFUNCTION("""COMPUTED_VALUE"""),"DIANE")</f>
        <v>DIANE</v>
      </c>
      <c r="E54" s="20" t="str">
        <f>IFERROR(__xludf.DUMMYFUNCTION("""COMPUTED_VALUE"""),"Victor")</f>
        <v>Victor</v>
      </c>
      <c r="F54" s="20" t="str">
        <f>IFERROR(__xludf.DUMMYFUNCTION("""COMPUTED_VALUE"""),"victor.diane@edu.esiee.fr")</f>
        <v>victor.diane@edu.esiee.fr</v>
      </c>
      <c r="G54" s="22" t="str">
        <f>IFERROR(__xludf.DUMMYFUNCTION("""COMPUTED_VALUE"""),"Entreprise")</f>
        <v>Entreprise</v>
      </c>
      <c r="H54" s="22" t="str">
        <f>IFERROR(__xludf.DUMMYFUNCTION("""COMPUTED_VALUE"""),"E25")</f>
        <v>E25</v>
      </c>
      <c r="I54" s="22" t="str">
        <f>IFERROR(__xludf.DUMMYFUNCTION("""COMPUTED_VALUE"""),"Recherche")</f>
        <v>Recherche</v>
      </c>
      <c r="J54" s="22" t="str">
        <f>IFERROR(__xludf.DUMMYFUNCTION("""COMPUTED_VALUE"""),"R1")</f>
        <v>R1</v>
      </c>
      <c r="K54" s="22" t="str">
        <f>IFERROR(__xludf.DUMMYFUNCTION("""COMPUTED_VALUE"""),"Recherche")</f>
        <v>Recherche</v>
      </c>
      <c r="L54" s="22" t="str">
        <f>IFERROR(__xludf.DUMMYFUNCTION("""COMPUTED_VALUE"""),"R12")</f>
        <v>R12</v>
      </c>
      <c r="M54" s="22" t="str">
        <f>IFERROR(__xludf.DUMMYFUNCTION("""COMPUTED_VALUE"""),"Entreprise")</f>
        <v>Entreprise</v>
      </c>
      <c r="N54" s="22" t="str">
        <f>IFERROR(__xludf.DUMMYFUNCTION("""COMPUTED_VALUE"""),"E13")</f>
        <v>E13</v>
      </c>
      <c r="O54" s="22" t="str">
        <f>IFERROR(__xludf.DUMMYFUNCTION("""COMPUTED_VALUE"""),"Recherche")</f>
        <v>Recherche</v>
      </c>
      <c r="P54" s="22" t="str">
        <f>IFERROR(__xludf.DUMMYFUNCTION("""COMPUTED_VALUE"""),"R23")</f>
        <v>R23</v>
      </c>
      <c r="Q54" s="22" t="str">
        <f>IFERROR(__xludf.DUMMYFUNCTION("""COMPUTED_VALUE"""),"Je ne pars pas")</f>
        <v>Je ne pars pas</v>
      </c>
      <c r="R54" s="16" t="str">
        <f>IFERROR(__xludf.DUMMYFUNCTION("""COMPUTED_VALUE"""),"")</f>
        <v/>
      </c>
      <c r="S54" s="24"/>
      <c r="T54" s="19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25">
        <f>IFERROR(__xludf.DUMMYFUNCTION("""COMPUTED_VALUE"""),43360.42247774306)</f>
        <v>43360.42248</v>
      </c>
      <c r="B55" s="3" t="str">
        <f>IFERROR(__xludf.DUMMYFUNCTION("""COMPUTED_VALUE"""),"")</f>
        <v/>
      </c>
      <c r="C55" s="6" t="str">
        <f>IFERROR(__xludf.DUMMYFUNCTION("""COMPUTED_VALUE"""),"IMC")</f>
        <v>IMC</v>
      </c>
      <c r="D55" s="8" t="str">
        <f>IFERROR(__xludf.DUMMYFUNCTION("""COMPUTED_VALUE"""),"DOUARRE")</f>
        <v>DOUARRE</v>
      </c>
      <c r="E55" s="8" t="str">
        <f>IFERROR(__xludf.DUMMYFUNCTION("""COMPUTED_VALUE"""),"Damien")</f>
        <v>Damien</v>
      </c>
      <c r="F55" s="8" t="str">
        <f>IFERROR(__xludf.DUMMYFUNCTION("""COMPUTED_VALUE"""),"damien.douarre@edu.esiee.fr")</f>
        <v>damien.douarre@edu.esiee.fr</v>
      </c>
      <c r="G55" s="3" t="str">
        <f>IFERROR(__xludf.DUMMYFUNCTION("""COMPUTED_VALUE"""),"Entreprise")</f>
        <v>Entreprise</v>
      </c>
      <c r="H55" s="3" t="str">
        <f>IFERROR(__xludf.DUMMYFUNCTION("""COMPUTED_VALUE"""),"E23")</f>
        <v>E23</v>
      </c>
      <c r="I55" s="3" t="str">
        <f>IFERROR(__xludf.DUMMYFUNCTION("""COMPUTED_VALUE"""),"Entreprise")</f>
        <v>Entreprise</v>
      </c>
      <c r="J55" s="3" t="str">
        <f>IFERROR(__xludf.DUMMYFUNCTION("""COMPUTED_VALUE"""),"E22")</f>
        <v>E22</v>
      </c>
      <c r="K55" s="3" t="str">
        <f>IFERROR(__xludf.DUMMYFUNCTION("""COMPUTED_VALUE"""),"Entreprise")</f>
        <v>Entreprise</v>
      </c>
      <c r="L55" s="3" t="str">
        <f>IFERROR(__xludf.DUMMYFUNCTION("""COMPUTED_VALUE"""),"E24")</f>
        <v>E24</v>
      </c>
      <c r="M55" s="3" t="str">
        <f>IFERROR(__xludf.DUMMYFUNCTION("""COMPUTED_VALUE"""),"Entreprise")</f>
        <v>Entreprise</v>
      </c>
      <c r="N55" s="3" t="str">
        <f>IFERROR(__xludf.DUMMYFUNCTION("""COMPUTED_VALUE"""),"E1")</f>
        <v>E1</v>
      </c>
      <c r="O55" s="3" t="str">
        <f>IFERROR(__xludf.DUMMYFUNCTION("""COMPUTED_VALUE"""),"Recherche")</f>
        <v>Recherche</v>
      </c>
      <c r="P55" s="3" t="str">
        <f>IFERROR(__xludf.DUMMYFUNCTION("""COMPUTED_VALUE"""),"R2")</f>
        <v>R2</v>
      </c>
      <c r="Q55" s="3" t="str">
        <f>IFERROR(__xludf.DUMMYFUNCTION("""COMPUTED_VALUE"""),"Je ne pars pas")</f>
        <v>Je ne pars pas</v>
      </c>
      <c r="R55" s="3" t="str">
        <f>IFERROR(__xludf.DUMMYFUNCTION("""COMPUTED_VALUE"""),"")</f>
        <v/>
      </c>
      <c r="S55" s="11"/>
      <c r="T55" s="3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5">
        <f>IFERROR(__xludf.DUMMYFUNCTION("""COMPUTED_VALUE"""),43360.469558888886)</f>
        <v>43360.46956</v>
      </c>
      <c r="B56" s="16" t="str">
        <f>IFERROR(__xludf.DUMMYFUNCTION("""COMPUTED_VALUE"""),"")</f>
        <v/>
      </c>
      <c r="C56" s="19" t="str">
        <f>IFERROR(__xludf.DUMMYFUNCTION("""COMPUTED_VALUE"""),"CYBER")</f>
        <v>CYBER</v>
      </c>
      <c r="D56" s="20" t="str">
        <f>IFERROR(__xludf.DUMMYFUNCTION("""COMPUTED_VALUE"""),"DRAGHI")</f>
        <v>DRAGHI</v>
      </c>
      <c r="E56" s="20" t="str">
        <f>IFERROR(__xludf.DUMMYFUNCTION("""COMPUTED_VALUE"""),"Léo")</f>
        <v>Léo</v>
      </c>
      <c r="F56" s="20" t="str">
        <f>IFERROR(__xludf.DUMMYFUNCTION("""COMPUTED_VALUE"""),"leo.draghi@edu.esiee.fr")</f>
        <v>leo.draghi@edu.esiee.fr</v>
      </c>
      <c r="G56" s="22" t="str">
        <f>IFERROR(__xludf.DUMMYFUNCTION("""COMPUTED_VALUE"""),"Recherche")</f>
        <v>Recherche</v>
      </c>
      <c r="H56" s="22" t="str">
        <f>IFERROR(__xludf.DUMMYFUNCTION("""COMPUTED_VALUE"""),"R8")</f>
        <v>R8</v>
      </c>
      <c r="I56" s="22" t="str">
        <f>IFERROR(__xludf.DUMMYFUNCTION("""COMPUTED_VALUE"""),"Recherche")</f>
        <v>Recherche</v>
      </c>
      <c r="J56" s="22" t="str">
        <f>IFERROR(__xludf.DUMMYFUNCTION("""COMPUTED_VALUE"""),"R9")</f>
        <v>R9</v>
      </c>
      <c r="K56" s="22" t="str">
        <f>IFERROR(__xludf.DUMMYFUNCTION("""COMPUTED_VALUE"""),"Recherche")</f>
        <v>Recherche</v>
      </c>
      <c r="L56" s="22" t="str">
        <f>IFERROR(__xludf.DUMMYFUNCTION("""COMPUTED_VALUE"""),"R4")</f>
        <v>R4</v>
      </c>
      <c r="M56" s="22" t="str">
        <f>IFERROR(__xludf.DUMMYFUNCTION("""COMPUTED_VALUE"""),"Entreprise")</f>
        <v>Entreprise</v>
      </c>
      <c r="N56" s="22" t="str">
        <f>IFERROR(__xludf.DUMMYFUNCTION("""COMPUTED_VALUE"""),"E10")</f>
        <v>E10</v>
      </c>
      <c r="O56" s="22" t="str">
        <f>IFERROR(__xludf.DUMMYFUNCTION("""COMPUTED_VALUE"""),"Recherche")</f>
        <v>Recherche</v>
      </c>
      <c r="P56" s="22" t="str">
        <f>IFERROR(__xludf.DUMMYFUNCTION("""COMPUTED_VALUE"""),"R31")</f>
        <v>R31</v>
      </c>
      <c r="Q56" s="22" t="str">
        <f>IFERROR(__xludf.DUMMYFUNCTION("""COMPUTED_VALUE"""),"Je ne pars pas")</f>
        <v>Je ne pars pas</v>
      </c>
      <c r="R56" s="16" t="str">
        <f>IFERROR(__xludf.DUMMYFUNCTION("""COMPUTED_VALUE"""),"")</f>
        <v/>
      </c>
      <c r="S56" s="24"/>
      <c r="T56" s="19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25">
        <f>IFERROR(__xludf.DUMMYFUNCTION("""COMPUTED_VALUE"""),43360.433920358795)</f>
        <v>43360.43392</v>
      </c>
      <c r="B57" s="3" t="str">
        <f>IFERROR(__xludf.DUMMYFUNCTION("""COMPUTED_VALUE"""),"")</f>
        <v/>
      </c>
      <c r="C57" s="6" t="str">
        <f>IFERROR(__xludf.DUMMYFUNCTION("""COMPUTED_VALUE"""),"BIO")</f>
        <v>BIO</v>
      </c>
      <c r="D57" s="8" t="str">
        <f>IFERROR(__xludf.DUMMYFUNCTION("""COMPUTED_VALUE"""),"DUARTE PEREIRA")</f>
        <v>DUARTE PEREIRA</v>
      </c>
      <c r="E57" s="8" t="str">
        <f>IFERROR(__xludf.DUMMYFUNCTION("""COMPUTED_VALUE"""),"Flávio Miguel")</f>
        <v>Flávio Miguel</v>
      </c>
      <c r="F57" s="8" t="str">
        <f>IFERROR(__xludf.DUMMYFUNCTION("""COMPUTED_VALUE"""),"flaviomiguel.duartepereira@edu.esiee.fr")</f>
        <v>flaviomiguel.duartepereira@edu.esiee.fr</v>
      </c>
      <c r="G57" s="3" t="str">
        <f>IFERROR(__xludf.DUMMYFUNCTION("""COMPUTED_VALUE"""),"Recherche")</f>
        <v>Recherche</v>
      </c>
      <c r="H57" s="3" t="str">
        <f>IFERROR(__xludf.DUMMYFUNCTION("""COMPUTED_VALUE"""),"R2")</f>
        <v>R2</v>
      </c>
      <c r="I57" s="3" t="str">
        <f>IFERROR(__xludf.DUMMYFUNCTION("""COMPUTED_VALUE"""),"Entreprise")</f>
        <v>Entreprise</v>
      </c>
      <c r="J57" s="3" t="str">
        <f>IFERROR(__xludf.DUMMYFUNCTION("""COMPUTED_VALUE"""),"E15")</f>
        <v>E15</v>
      </c>
      <c r="K57" s="3" t="str">
        <f>IFERROR(__xludf.DUMMYFUNCTION("""COMPUTED_VALUE"""),"Entreprise")</f>
        <v>Entreprise</v>
      </c>
      <c r="L57" s="3" t="str">
        <f>IFERROR(__xludf.DUMMYFUNCTION("""COMPUTED_VALUE"""),"E19")</f>
        <v>E19</v>
      </c>
      <c r="M57" s="3" t="str">
        <f>IFERROR(__xludf.DUMMYFUNCTION("""COMPUTED_VALUE"""),"Recherche")</f>
        <v>Recherche</v>
      </c>
      <c r="N57" s="3" t="str">
        <f>IFERROR(__xludf.DUMMYFUNCTION("""COMPUTED_VALUE"""),"R15")</f>
        <v>R15</v>
      </c>
      <c r="O57" s="3" t="str">
        <f>IFERROR(__xludf.DUMMYFUNCTION("""COMPUTED_VALUE"""),"Entreprise")</f>
        <v>Entreprise</v>
      </c>
      <c r="P57" s="3" t="str">
        <f>IFERROR(__xludf.DUMMYFUNCTION("""COMPUTED_VALUE"""),"E1")</f>
        <v>E1</v>
      </c>
      <c r="Q57" s="3" t="str">
        <f>IFERROR(__xludf.DUMMYFUNCTION("""COMPUTED_VALUE"""),"Je ne pars pas")</f>
        <v>Je ne pars pas</v>
      </c>
      <c r="R57" s="3" t="str">
        <f>IFERROR(__xludf.DUMMYFUNCTION("""COMPUTED_VALUE"""),"")</f>
        <v/>
      </c>
      <c r="S57" s="11"/>
      <c r="T57" s="3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5">
        <f>IFERROR(__xludf.DUMMYFUNCTION("""COMPUTED_VALUE"""),43360.53029439815)</f>
        <v>43360.53029</v>
      </c>
      <c r="B58" s="16" t="str">
        <f>IFERROR(__xludf.DUMMYFUNCTION("""COMPUTED_VALUE"""),"")</f>
        <v/>
      </c>
      <c r="C58" s="19" t="str">
        <f>IFERROR(__xludf.DUMMYFUNCTION("""COMPUTED_VALUE"""),"ENE")</f>
        <v>ENE</v>
      </c>
      <c r="D58" s="20" t="str">
        <f>IFERROR(__xludf.DUMMYFUNCTION("""COMPUTED_VALUE"""),"DUCHAMP")</f>
        <v>DUCHAMP</v>
      </c>
      <c r="E58" s="20" t="str">
        <f>IFERROR(__xludf.DUMMYFUNCTION("""COMPUTED_VALUE"""),"Apolline")</f>
        <v>Apolline</v>
      </c>
      <c r="F58" s="20" t="str">
        <f>IFERROR(__xludf.DUMMYFUNCTION("""COMPUTED_VALUE"""),"apolline.duchamp@edu.esiee.fr")</f>
        <v>apolline.duchamp@edu.esiee.fr</v>
      </c>
      <c r="G58" s="22" t="str">
        <f>IFERROR(__xludf.DUMMYFUNCTION("""COMPUTED_VALUE"""),"Recherche")</f>
        <v>Recherche</v>
      </c>
      <c r="H58" s="22" t="str">
        <f>IFERROR(__xludf.DUMMYFUNCTION("""COMPUTED_VALUE"""),"R16")</f>
        <v>R16</v>
      </c>
      <c r="I58" s="22" t="str">
        <f>IFERROR(__xludf.DUMMYFUNCTION("""COMPUTED_VALUE"""),"Recherche")</f>
        <v>Recherche</v>
      </c>
      <c r="J58" s="22" t="str">
        <f>IFERROR(__xludf.DUMMYFUNCTION("""COMPUTED_VALUE"""),"R4")</f>
        <v>R4</v>
      </c>
      <c r="K58" s="22" t="str">
        <f>IFERROR(__xludf.DUMMYFUNCTION("""COMPUTED_VALUE"""),"Recherche")</f>
        <v>Recherche</v>
      </c>
      <c r="L58" s="22" t="str">
        <f>IFERROR(__xludf.DUMMYFUNCTION("""COMPUTED_VALUE"""),"R12")</f>
        <v>R12</v>
      </c>
      <c r="M58" s="22" t="str">
        <f>IFERROR(__xludf.DUMMYFUNCTION("""COMPUTED_VALUE"""),"Recherche")</f>
        <v>Recherche</v>
      </c>
      <c r="N58" s="22" t="str">
        <f>IFERROR(__xludf.DUMMYFUNCTION("""COMPUTED_VALUE"""),"R1")</f>
        <v>R1</v>
      </c>
      <c r="O58" s="22" t="str">
        <f>IFERROR(__xludf.DUMMYFUNCTION("""COMPUTED_VALUE"""),"Recherche")</f>
        <v>Recherche</v>
      </c>
      <c r="P58" s="22" t="str">
        <f>IFERROR(__xludf.DUMMYFUNCTION("""COMPUTED_VALUE"""),"R17")</f>
        <v>R17</v>
      </c>
      <c r="Q58" s="22" t="str">
        <f>IFERROR(__xludf.DUMMYFUNCTION("""COMPUTED_VALUE"""),"Je ne pars pas")</f>
        <v>Je ne pars pas</v>
      </c>
      <c r="R58" s="16" t="str">
        <f>IFERROR(__xludf.DUMMYFUNCTION("""COMPUTED_VALUE"""),"")</f>
        <v/>
      </c>
      <c r="S58" s="24"/>
      <c r="T58" s="19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25">
        <f>IFERROR(__xludf.DUMMYFUNCTION("""COMPUTED_VALUE"""),43360.51712763889)</f>
        <v>43360.51713</v>
      </c>
      <c r="B59" s="3" t="str">
        <f>IFERROR(__xludf.DUMMYFUNCTION("""COMPUTED_VALUE"""),"")</f>
        <v/>
      </c>
      <c r="C59" s="6" t="str">
        <f>IFERROR(__xludf.DUMMYFUNCTION("""COMPUTED_VALUE"""),"GI")</f>
        <v>GI</v>
      </c>
      <c r="D59" s="8" t="str">
        <f>IFERROR(__xludf.DUMMYFUNCTION("""COMPUTED_VALUE"""),"DURAND")</f>
        <v>DURAND</v>
      </c>
      <c r="E59" s="8" t="str">
        <f>IFERROR(__xludf.DUMMYFUNCTION("""COMPUTED_VALUE"""),"valentin")</f>
        <v>valentin</v>
      </c>
      <c r="F59" s="8" t="str">
        <f>IFERROR(__xludf.DUMMYFUNCTION("""COMPUTED_VALUE"""),"valentin.durand@edu.esiee.fr")</f>
        <v>valentin.durand@edu.esiee.fr</v>
      </c>
      <c r="G59" s="3" t="str">
        <f>IFERROR(__xludf.DUMMYFUNCTION("""COMPUTED_VALUE"""),"Entrepreneuriat/Logiciel Libre")</f>
        <v>Entrepreneuriat/Logiciel Libre</v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IFERROR(__xludf.DUMMYFUNCTION("""COMPUTED_VALUE"""),"Je pars au semestre 2")</f>
        <v>Je pars au semestre 2</v>
      </c>
      <c r="R59" s="3" t="str">
        <f>IFERROR(__xludf.DUMMYFUNCTION("""COMPUTED_VALUE"""),"")</f>
        <v/>
      </c>
      <c r="S59" s="11"/>
      <c r="T59" s="3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5">
        <f>IFERROR(__xludf.DUMMYFUNCTION("""COMPUTED_VALUE"""),43360.488211979165)</f>
        <v>43360.48821</v>
      </c>
      <c r="B60" s="16" t="str">
        <f>IFERROR(__xludf.DUMMYFUNCTION("""COMPUTED_VALUE"""),"")</f>
        <v/>
      </c>
      <c r="C60" s="19" t="str">
        <f>IFERROR(__xludf.DUMMYFUNCTION("""COMPUTED_VALUE"""),"GI")</f>
        <v>GI</v>
      </c>
      <c r="D60" s="20" t="str">
        <f>IFERROR(__xludf.DUMMYFUNCTION("""COMPUTED_VALUE"""),"DURAND")</f>
        <v>DURAND</v>
      </c>
      <c r="E60" s="20" t="str">
        <f>IFERROR(__xludf.DUMMYFUNCTION("""COMPUTED_VALUE"""),"Romain")</f>
        <v>Romain</v>
      </c>
      <c r="F60" s="20" t="str">
        <f>IFERROR(__xludf.DUMMYFUNCTION("""COMPUTED_VALUE"""),"romain.durand@edu.esiee.fr")</f>
        <v>romain.durand@edu.esiee.fr</v>
      </c>
      <c r="G60" s="22" t="str">
        <f>IFERROR(__xludf.DUMMYFUNCTION("""COMPUTED_VALUE"""),"Recherche")</f>
        <v>Recherche</v>
      </c>
      <c r="H60" s="22" t="str">
        <f>IFERROR(__xludf.DUMMYFUNCTION("""COMPUTED_VALUE"""),"R32")</f>
        <v>R32</v>
      </c>
      <c r="I60" s="22" t="str">
        <f>IFERROR(__xludf.DUMMYFUNCTION("""COMPUTED_VALUE"""),"Recherche")</f>
        <v>Recherche</v>
      </c>
      <c r="J60" s="22" t="str">
        <f>IFERROR(__xludf.DUMMYFUNCTION("""COMPUTED_VALUE"""),"R24")</f>
        <v>R24</v>
      </c>
      <c r="K60" s="22" t="str">
        <f>IFERROR(__xludf.DUMMYFUNCTION("""COMPUTED_VALUE"""),"Recherche")</f>
        <v>Recherche</v>
      </c>
      <c r="L60" s="22" t="str">
        <f>IFERROR(__xludf.DUMMYFUNCTION("""COMPUTED_VALUE"""),"R31")</f>
        <v>R31</v>
      </c>
      <c r="M60" s="22" t="str">
        <f>IFERROR(__xludf.DUMMYFUNCTION("""COMPUTED_VALUE"""),"Recherche")</f>
        <v>Recherche</v>
      </c>
      <c r="N60" s="22" t="str">
        <f>IFERROR(__xludf.DUMMYFUNCTION("""COMPUTED_VALUE"""),"R12")</f>
        <v>R12</v>
      </c>
      <c r="O60" s="22" t="str">
        <f>IFERROR(__xludf.DUMMYFUNCTION("""COMPUTED_VALUE"""),"Entreprise")</f>
        <v>Entreprise</v>
      </c>
      <c r="P60" s="22" t="str">
        <f>IFERROR(__xludf.DUMMYFUNCTION("""COMPUTED_VALUE"""),"E10")</f>
        <v>E10</v>
      </c>
      <c r="Q60" s="22" t="str">
        <f>IFERROR(__xludf.DUMMYFUNCTION("""COMPUTED_VALUE"""),"Je ne pars pas")</f>
        <v>Je ne pars pas</v>
      </c>
      <c r="R60" s="16" t="str">
        <f>IFERROR(__xludf.DUMMYFUNCTION("""COMPUTED_VALUE"""),"")</f>
        <v/>
      </c>
      <c r="S60" s="24"/>
      <c r="T60" s="19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25">
        <f>IFERROR(__xludf.DUMMYFUNCTION("""COMPUTED_VALUE"""),43362.23256134259)</f>
        <v>43362.23256</v>
      </c>
      <c r="B61" s="3" t="str">
        <f>IFERROR(__xludf.DUMMYFUNCTION("""COMPUTED_VALUE"""),"")</f>
        <v/>
      </c>
      <c r="C61" s="6" t="str">
        <f>IFERROR(__xludf.DUMMYFUNCTION("""COMPUTED_VALUE"""),"INF")</f>
        <v>INF</v>
      </c>
      <c r="D61" s="8" t="str">
        <f>IFERROR(__xludf.DUMMYFUNCTION("""COMPUTED_VALUE"""),"DURRMEYER")</f>
        <v>DURRMEYER</v>
      </c>
      <c r="E61" s="8" t="str">
        <f>IFERROR(__xludf.DUMMYFUNCTION("""COMPUTED_VALUE"""),"Alexandre")</f>
        <v>Alexandre</v>
      </c>
      <c r="F61" s="8" t="str">
        <f>IFERROR(__xludf.DUMMYFUNCTION("""COMPUTED_VALUE"""),"alexandre.durmeyer@edu.esiee.fr")</f>
        <v>alexandre.durmeyer@edu.esiee.fr</v>
      </c>
      <c r="G61" s="3" t="str">
        <f>IFERROR(__xludf.DUMMYFUNCTION("""COMPUTED_VALUE"""),"Recherche")</f>
        <v>Recherche</v>
      </c>
      <c r="H61" s="3" t="str">
        <f>IFERROR(__xludf.DUMMYFUNCTION("""COMPUTED_VALUE"""),"R15")</f>
        <v>R15</v>
      </c>
      <c r="I61" s="3" t="str">
        <f>IFERROR(__xludf.DUMMYFUNCTION("""COMPUTED_VALUE"""),"Recherche")</f>
        <v>Recherche</v>
      </c>
      <c r="J61" s="3" t="str">
        <f>IFERROR(__xludf.DUMMYFUNCTION("""COMPUTED_VALUE"""),"R25")</f>
        <v>R25</v>
      </c>
      <c r="K61" s="3" t="str">
        <f>IFERROR(__xludf.DUMMYFUNCTION("""COMPUTED_VALUE"""),"Entreprise")</f>
        <v>Entreprise</v>
      </c>
      <c r="L61" s="3" t="str">
        <f>IFERROR(__xludf.DUMMYFUNCTION("""COMPUTED_VALUE"""),"E16")</f>
        <v>E16</v>
      </c>
      <c r="M61" s="3" t="str">
        <f>IFERROR(__xludf.DUMMYFUNCTION("""COMPUTED_VALUE"""),"Concours")</f>
        <v>Concours</v>
      </c>
      <c r="N61" s="3" t="str">
        <f>IFERROR(__xludf.DUMMYFUNCTION("""COMPUTED_VALUE"""),"C1")</f>
        <v>C1</v>
      </c>
      <c r="O61" s="3" t="str">
        <f>IFERROR(__xludf.DUMMYFUNCTION("""COMPUTED_VALUE"""),"Recherche")</f>
        <v>Recherche</v>
      </c>
      <c r="P61" s="3" t="str">
        <f>IFERROR(__xludf.DUMMYFUNCTION("""COMPUTED_VALUE"""),"R5")</f>
        <v>R5</v>
      </c>
      <c r="Q61" s="3" t="str">
        <f>IFERROR(__xludf.DUMMYFUNCTION("""COMPUTED_VALUE"""),"Je pars au semestre 1")</f>
        <v>Je pars au semestre 1</v>
      </c>
      <c r="R61" s="3" t="str">
        <f>IFERROR(__xludf.DUMMYFUNCTION("""COMPUTED_VALUE"""),"")</f>
        <v/>
      </c>
      <c r="S61" s="11"/>
      <c r="T61" s="3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5">
        <f>IFERROR(__xludf.DUMMYFUNCTION("""COMPUTED_VALUE"""),43360.560136458334)</f>
        <v>43360.56014</v>
      </c>
      <c r="B62" s="16" t="str">
        <f>IFERROR(__xludf.DUMMYFUNCTION("""COMPUTED_VALUE"""),"")</f>
        <v/>
      </c>
      <c r="C62" s="19" t="str">
        <f>IFERROR(__xludf.DUMMYFUNCTION("""COMPUTED_VALUE"""),"ENE")</f>
        <v>ENE</v>
      </c>
      <c r="D62" s="20" t="str">
        <f>IFERROR(__xludf.DUMMYFUNCTION("""COMPUTED_VALUE"""),"DUSAUSOY")</f>
        <v>DUSAUSOY</v>
      </c>
      <c r="E62" s="20" t="str">
        <f>IFERROR(__xludf.DUMMYFUNCTION("""COMPUTED_VALUE"""),"Stéven")</f>
        <v>Stéven</v>
      </c>
      <c r="F62" s="20" t="str">
        <f>IFERROR(__xludf.DUMMYFUNCTION("""COMPUTED_VALUE"""),"steven.dusausoy@edu.esiee.fr")</f>
        <v>steven.dusausoy@edu.esiee.fr</v>
      </c>
      <c r="G62" s="22" t="str">
        <f>IFERROR(__xludf.DUMMYFUNCTION("""COMPUTED_VALUE"""),"Entreprise")</f>
        <v>Entreprise</v>
      </c>
      <c r="H62" s="22" t="str">
        <f>IFERROR(__xludf.DUMMYFUNCTION("""COMPUTED_VALUE"""),"E13")</f>
        <v>E13</v>
      </c>
      <c r="I62" s="22" t="str">
        <f>IFERROR(__xludf.DUMMYFUNCTION("""COMPUTED_VALUE"""),"Recherche")</f>
        <v>Recherche</v>
      </c>
      <c r="J62" s="22" t="str">
        <f>IFERROR(__xludf.DUMMYFUNCTION("""COMPUTED_VALUE"""),"R12")</f>
        <v>R12</v>
      </c>
      <c r="K62" s="22" t="str">
        <f>IFERROR(__xludf.DUMMYFUNCTION("""COMPUTED_VALUE"""),"Recherche")</f>
        <v>Recherche</v>
      </c>
      <c r="L62" s="22" t="str">
        <f>IFERROR(__xludf.DUMMYFUNCTION("""COMPUTED_VALUE"""),"R1")</f>
        <v>R1</v>
      </c>
      <c r="M62" s="22" t="str">
        <f>IFERROR(__xludf.DUMMYFUNCTION("""COMPUTED_VALUE"""),"Entreprise")</f>
        <v>Entreprise</v>
      </c>
      <c r="N62" s="22" t="str">
        <f>IFERROR(__xludf.DUMMYFUNCTION("""COMPUTED_VALUE"""),"E17")</f>
        <v>E17</v>
      </c>
      <c r="O62" s="22" t="str">
        <f>IFERROR(__xludf.DUMMYFUNCTION("""COMPUTED_VALUE"""),"Entreprise")</f>
        <v>Entreprise</v>
      </c>
      <c r="P62" s="22" t="str">
        <f>IFERROR(__xludf.DUMMYFUNCTION("""COMPUTED_VALUE"""),"E14")</f>
        <v>E14</v>
      </c>
      <c r="Q62" s="22" t="str">
        <f>IFERROR(__xludf.DUMMYFUNCTION("""COMPUTED_VALUE"""),"Je pars au semestre 1")</f>
        <v>Je pars au semestre 1</v>
      </c>
      <c r="R62" s="16" t="str">
        <f>IFERROR(__xludf.DUMMYFUNCTION("""COMPUTED_VALUE"""),"")</f>
        <v/>
      </c>
      <c r="S62" s="24"/>
      <c r="T62" s="19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25">
        <f>IFERROR(__xludf.DUMMYFUNCTION("""COMPUTED_VALUE"""),43360.42265961805)</f>
        <v>43360.42266</v>
      </c>
      <c r="B63" s="3" t="str">
        <f>IFERROR(__xludf.DUMMYFUNCTION("""COMPUTED_VALUE"""),"")</f>
        <v/>
      </c>
      <c r="C63" s="6" t="str">
        <f>IFERROR(__xludf.DUMMYFUNCTION("""COMPUTED_VALUE"""),"DSIA")</f>
        <v>DSIA</v>
      </c>
      <c r="D63" s="8" t="str">
        <f>IFERROR(__xludf.DUMMYFUNCTION("""COMPUTED_VALUE"""),"DUSSAUSSOIS")</f>
        <v>DUSSAUSSOIS</v>
      </c>
      <c r="E63" s="8" t="str">
        <f>IFERROR(__xludf.DUMMYFUNCTION("""COMPUTED_VALUE"""),"Marine")</f>
        <v>Marine</v>
      </c>
      <c r="F63" s="8" t="str">
        <f>IFERROR(__xludf.DUMMYFUNCTION("""COMPUTED_VALUE"""),"marine.dussaussois@edu.esiee.fr")</f>
        <v>marine.dussaussois@edu.esiee.fr</v>
      </c>
      <c r="G63" s="3" t="str">
        <f>IFERROR(__xludf.DUMMYFUNCTION("""COMPUTED_VALUE"""),"Entreprise")</f>
        <v>Entreprise</v>
      </c>
      <c r="H63" s="3" t="str">
        <f>IFERROR(__xludf.DUMMYFUNCTION("""COMPUTED_VALUE"""),"E7")</f>
        <v>E7</v>
      </c>
      <c r="I63" s="3" t="str">
        <f>IFERROR(__xludf.DUMMYFUNCTION("""COMPUTED_VALUE"""),"Entreprise")</f>
        <v>Entreprise</v>
      </c>
      <c r="J63" s="3" t="str">
        <f>IFERROR(__xludf.DUMMYFUNCTION("""COMPUTED_VALUE"""),"E4")</f>
        <v>E4</v>
      </c>
      <c r="K63" s="3" t="str">
        <f>IFERROR(__xludf.DUMMYFUNCTION("""COMPUTED_VALUE"""),"Entreprise")</f>
        <v>Entreprise</v>
      </c>
      <c r="L63" s="3" t="str">
        <f>IFERROR(__xludf.DUMMYFUNCTION("""COMPUTED_VALUE"""),"E19")</f>
        <v>E19</v>
      </c>
      <c r="M63" s="3" t="str">
        <f>IFERROR(__xludf.DUMMYFUNCTION("""COMPUTED_VALUE"""),"Recherche")</f>
        <v>Recherche</v>
      </c>
      <c r="N63" s="3" t="str">
        <f>IFERROR(__xludf.DUMMYFUNCTION("""COMPUTED_VALUE"""),"R10")</f>
        <v>R10</v>
      </c>
      <c r="O63" s="3" t="str">
        <f>IFERROR(__xludf.DUMMYFUNCTION("""COMPUTED_VALUE"""),"Entreprise")</f>
        <v>Entreprise</v>
      </c>
      <c r="P63" s="3" t="str">
        <f>IFERROR(__xludf.DUMMYFUNCTION("""COMPUTED_VALUE"""),"E17")</f>
        <v>E17</v>
      </c>
      <c r="Q63" s="3" t="str">
        <f>IFERROR(__xludf.DUMMYFUNCTION("""COMPUTED_VALUE"""),"Je ne pars pas")</f>
        <v>Je ne pars pas</v>
      </c>
      <c r="R63" s="3" t="str">
        <f>IFERROR(__xludf.DUMMYFUNCTION("""COMPUTED_VALUE"""),"")</f>
        <v/>
      </c>
      <c r="S63" s="11"/>
      <c r="T63" s="3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5">
        <f>IFERROR(__xludf.DUMMYFUNCTION("""COMPUTED_VALUE"""),43362.46021413195)</f>
        <v>43362.46021</v>
      </c>
      <c r="B64" s="16" t="str">
        <f>IFERROR(__xludf.DUMMYFUNCTION("""COMPUTED_VALUE"""),"")</f>
        <v/>
      </c>
      <c r="C64" s="19" t="str">
        <f>IFERROR(__xludf.DUMMYFUNCTION("""COMPUTED_VALUE"""),"SE")</f>
        <v>SE</v>
      </c>
      <c r="D64" s="20" t="str">
        <f>IFERROR(__xludf.DUMMYFUNCTION("""COMPUTED_VALUE"""),"EMMANUEL")</f>
        <v>EMMANUEL</v>
      </c>
      <c r="E64" s="20" t="str">
        <f>IFERROR(__xludf.DUMMYFUNCTION("""COMPUTED_VALUE"""),"Jerry")</f>
        <v>Jerry</v>
      </c>
      <c r="F64" s="20" t="str">
        <f>IFERROR(__xludf.DUMMYFUNCTION("""COMPUTED_VALUE"""),"jerry.emmanuel@edu.esiee.fr")</f>
        <v>jerry.emmanuel@edu.esiee.fr</v>
      </c>
      <c r="G64" s="22" t="str">
        <f>IFERROR(__xludf.DUMMYFUNCTION("""COMPUTED_VALUE"""),"Recherche")</f>
        <v>Recherche</v>
      </c>
      <c r="H64" s="22" t="str">
        <f>IFERROR(__xludf.DUMMYFUNCTION("""COMPUTED_VALUE"""),"R6")</f>
        <v>R6</v>
      </c>
      <c r="I64" s="22" t="str">
        <f>IFERROR(__xludf.DUMMYFUNCTION("""COMPUTED_VALUE"""),"Entreprise")</f>
        <v>Entreprise</v>
      </c>
      <c r="J64" s="22" t="str">
        <f>IFERROR(__xludf.DUMMYFUNCTION("""COMPUTED_VALUE"""),"E16")</f>
        <v>E16</v>
      </c>
      <c r="K64" s="22" t="str">
        <f>IFERROR(__xludf.DUMMYFUNCTION("""COMPUTED_VALUE"""),"Recherche")</f>
        <v>Recherche</v>
      </c>
      <c r="L64" s="22" t="str">
        <f>IFERROR(__xludf.DUMMYFUNCTION("""COMPUTED_VALUE"""),"R18")</f>
        <v>R18</v>
      </c>
      <c r="M64" s="22" t="str">
        <f>IFERROR(__xludf.DUMMYFUNCTION("""COMPUTED_VALUE"""),"Recherche")</f>
        <v>Recherche</v>
      </c>
      <c r="N64" s="22" t="str">
        <f>IFERROR(__xludf.DUMMYFUNCTION("""COMPUTED_VALUE"""),"R7")</f>
        <v>R7</v>
      </c>
      <c r="O64" s="22" t="str">
        <f>IFERROR(__xludf.DUMMYFUNCTION("""COMPUTED_VALUE"""),"Recherche")</f>
        <v>Recherche</v>
      </c>
      <c r="P64" s="22" t="str">
        <f>IFERROR(__xludf.DUMMYFUNCTION("""COMPUTED_VALUE"""),"R11")</f>
        <v>R11</v>
      </c>
      <c r="Q64" s="22" t="str">
        <f>IFERROR(__xludf.DUMMYFUNCTION("""COMPUTED_VALUE"""),"Je ne pars pas")</f>
        <v>Je ne pars pas</v>
      </c>
      <c r="R64" s="16" t="str">
        <f>IFERROR(__xludf.DUMMYFUNCTION("""COMPUTED_VALUE"""),"")</f>
        <v/>
      </c>
      <c r="S64" s="24"/>
      <c r="T64" s="19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25">
        <f>IFERROR(__xludf.DUMMYFUNCTION("""COMPUTED_VALUE"""),43362.38968841435)</f>
        <v>43362.38969</v>
      </c>
      <c r="B65" s="3" t="str">
        <f>IFERROR(__xludf.DUMMYFUNCTION("""COMPUTED_VALUE"""),"")</f>
        <v/>
      </c>
      <c r="C65" s="6" t="str">
        <f>IFERROR(__xludf.DUMMYFUNCTION("""COMPUTED_VALUE"""),"INF")</f>
        <v>INF</v>
      </c>
      <c r="D65" s="8" t="str">
        <f>IFERROR(__xludf.DUMMYFUNCTION("""COMPUTED_VALUE"""),"ESPINASSE")</f>
        <v>ESPINASSE</v>
      </c>
      <c r="E65" s="8" t="str">
        <f>IFERROR(__xludf.DUMMYFUNCTION("""COMPUTED_VALUE"""),"Baptiste")</f>
        <v>Baptiste</v>
      </c>
      <c r="F65" s="8" t="str">
        <f>IFERROR(__xludf.DUMMYFUNCTION("""COMPUTED_VALUE"""),"baptiste.espinasse@edu.esiee.fr")</f>
        <v>baptiste.espinasse@edu.esiee.fr</v>
      </c>
      <c r="G65" s="3" t="str">
        <f>IFERROR(__xludf.DUMMYFUNCTION("""COMPUTED_VALUE"""),"Recherche")</f>
        <v>Recherche</v>
      </c>
      <c r="H65" s="3" t="str">
        <f>IFERROR(__xludf.DUMMYFUNCTION("""COMPUTED_VALUE"""),"R5")</f>
        <v>R5</v>
      </c>
      <c r="I65" s="3" t="str">
        <f>IFERROR(__xludf.DUMMYFUNCTION("""COMPUTED_VALUE"""),"Concours")</f>
        <v>Concours</v>
      </c>
      <c r="J65" s="3" t="str">
        <f>IFERROR(__xludf.DUMMYFUNCTION("""COMPUTED_VALUE"""),"C1")</f>
        <v>C1</v>
      </c>
      <c r="K65" s="3" t="str">
        <f>IFERROR(__xludf.DUMMYFUNCTION("""COMPUTED_VALUE"""),"Recherche")</f>
        <v>Recherche</v>
      </c>
      <c r="L65" s="3" t="str">
        <f>IFERROR(__xludf.DUMMYFUNCTION("""COMPUTED_VALUE"""),"R16")</f>
        <v>R16</v>
      </c>
      <c r="M65" s="3" t="str">
        <f>IFERROR(__xludf.DUMMYFUNCTION("""COMPUTED_VALUE"""),"Recherche")</f>
        <v>Recherche</v>
      </c>
      <c r="N65" s="3" t="str">
        <f>IFERROR(__xludf.DUMMYFUNCTION("""COMPUTED_VALUE"""),"R28")</f>
        <v>R28</v>
      </c>
      <c r="O65" s="3" t="str">
        <f>IFERROR(__xludf.DUMMYFUNCTION("""COMPUTED_VALUE"""),"Recherche")</f>
        <v>Recherche</v>
      </c>
      <c r="P65" s="3" t="str">
        <f>IFERROR(__xludf.DUMMYFUNCTION("""COMPUTED_VALUE"""),"R29")</f>
        <v>R29</v>
      </c>
      <c r="Q65" s="3" t="str">
        <f>IFERROR(__xludf.DUMMYFUNCTION("""COMPUTED_VALUE"""),"Je pars au semestre 1")</f>
        <v>Je pars au semestre 1</v>
      </c>
      <c r="R65" s="3" t="str">
        <f>IFERROR(__xludf.DUMMYFUNCTION("""COMPUTED_VALUE"""),"")</f>
        <v/>
      </c>
      <c r="S65" s="11"/>
      <c r="T65" s="3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5">
        <f>IFERROR(__xludf.DUMMYFUNCTION("""COMPUTED_VALUE"""),43362.97070427083)</f>
        <v>43362.9707</v>
      </c>
      <c r="B66" s="16" t="str">
        <f>IFERROR(__xludf.DUMMYFUNCTION("""COMPUTED_VALUE"""),"")</f>
        <v/>
      </c>
      <c r="C66" s="19" t="str">
        <f>IFERROR(__xludf.DUMMYFUNCTION("""COMPUTED_VALUE"""),"GI")</f>
        <v>GI</v>
      </c>
      <c r="D66" s="20" t="str">
        <f>IFERROR(__xludf.DUMMYFUNCTION("""COMPUTED_VALUE"""),"EYSSERIC")</f>
        <v>EYSSERIC</v>
      </c>
      <c r="E66" s="20" t="str">
        <f>IFERROR(__xludf.DUMMYFUNCTION("""COMPUTED_VALUE"""),"Clément")</f>
        <v>Clément</v>
      </c>
      <c r="F66" s="20" t="str">
        <f>IFERROR(__xludf.DUMMYFUNCTION("""COMPUTED_VALUE"""),"clement.eysseric@edu.esiee.fr")</f>
        <v>clement.eysseric@edu.esiee.fr</v>
      </c>
      <c r="G66" s="22" t="str">
        <f>IFERROR(__xludf.DUMMYFUNCTION("""COMPUTED_VALUE"""),"Entreprise")</f>
        <v>Entreprise</v>
      </c>
      <c r="H66" s="22" t="str">
        <f>IFERROR(__xludf.DUMMYFUNCTION("""COMPUTED_VALUE"""),"E9")</f>
        <v>E9</v>
      </c>
      <c r="I66" s="22" t="str">
        <f>IFERROR(__xludf.DUMMYFUNCTION("""COMPUTED_VALUE"""),"Entreprise")</f>
        <v>Entreprise</v>
      </c>
      <c r="J66" s="22" t="str">
        <f>IFERROR(__xludf.DUMMYFUNCTION("""COMPUTED_VALUE"""),"E10")</f>
        <v>E10</v>
      </c>
      <c r="K66" s="22" t="str">
        <f>IFERROR(__xludf.DUMMYFUNCTION("""COMPUTED_VALUE"""),"Entreprise")</f>
        <v>Entreprise</v>
      </c>
      <c r="L66" s="22" t="str">
        <f>IFERROR(__xludf.DUMMYFUNCTION("""COMPUTED_VALUE"""),"E8")</f>
        <v>E8</v>
      </c>
      <c r="M66" s="22" t="str">
        <f>IFERROR(__xludf.DUMMYFUNCTION("""COMPUTED_VALUE"""),"Entreprise")</f>
        <v>Entreprise</v>
      </c>
      <c r="N66" s="22" t="str">
        <f>IFERROR(__xludf.DUMMYFUNCTION("""COMPUTED_VALUE"""),"E11")</f>
        <v>E11</v>
      </c>
      <c r="O66" s="22" t="str">
        <f>IFERROR(__xludf.DUMMYFUNCTION("""COMPUTED_VALUE"""),"Entreprise")</f>
        <v>Entreprise</v>
      </c>
      <c r="P66" s="22" t="str">
        <f>IFERROR(__xludf.DUMMYFUNCTION("""COMPUTED_VALUE"""),"E12")</f>
        <v>E12</v>
      </c>
      <c r="Q66" s="22" t="str">
        <f>IFERROR(__xludf.DUMMYFUNCTION("""COMPUTED_VALUE"""),"Je ne pars pas")</f>
        <v>Je ne pars pas</v>
      </c>
      <c r="R66" s="16" t="str">
        <f>IFERROR(__xludf.DUMMYFUNCTION("""COMPUTED_VALUE"""),"")</f>
        <v/>
      </c>
      <c r="S66" s="24"/>
      <c r="T66" s="19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25">
        <f>IFERROR(__xludf.DUMMYFUNCTION("""COMPUTED_VALUE"""),43361.651525891204)</f>
        <v>43361.65153</v>
      </c>
      <c r="B67" s="3" t="str">
        <f>IFERROR(__xludf.DUMMYFUNCTION("""COMPUTED_VALUE"""),"")</f>
        <v/>
      </c>
      <c r="C67" s="6" t="str">
        <f>IFERROR(__xludf.DUMMYFUNCTION("""COMPUTED_VALUE"""),"ELE")</f>
        <v>ELE</v>
      </c>
      <c r="D67" s="8" t="str">
        <f>IFERROR(__xludf.DUMMYFUNCTION("""COMPUTED_VALUE"""),"FELIX")</f>
        <v>FELIX</v>
      </c>
      <c r="E67" s="8" t="str">
        <f>IFERROR(__xludf.DUMMYFUNCTION("""COMPUTED_VALUE"""),"Andy")</f>
        <v>Andy</v>
      </c>
      <c r="F67" s="8" t="str">
        <f>IFERROR(__xludf.DUMMYFUNCTION("""COMPUTED_VALUE"""),"andy.felix@edu.esiee.fr")</f>
        <v>andy.felix@edu.esiee.fr</v>
      </c>
      <c r="G67" s="3" t="str">
        <f>IFERROR(__xludf.DUMMYFUNCTION("""COMPUTED_VALUE"""),"Entreprise")</f>
        <v>Entreprise</v>
      </c>
      <c r="H67" s="3" t="str">
        <f>IFERROR(__xludf.DUMMYFUNCTION("""COMPUTED_VALUE"""),"E21")</f>
        <v>E21</v>
      </c>
      <c r="I67" s="3" t="str">
        <f>IFERROR(__xludf.DUMMYFUNCTION("""COMPUTED_VALUE"""),"Entreprise")</f>
        <v>Entreprise</v>
      </c>
      <c r="J67" s="3" t="str">
        <f>IFERROR(__xludf.DUMMYFUNCTION("""COMPUTED_VALUE"""),"E18")</f>
        <v>E18</v>
      </c>
      <c r="K67" s="3" t="str">
        <f>IFERROR(__xludf.DUMMYFUNCTION("""COMPUTED_VALUE"""),"Entreprise")</f>
        <v>Entreprise</v>
      </c>
      <c r="L67" s="3" t="str">
        <f>IFERROR(__xludf.DUMMYFUNCTION("""COMPUTED_VALUE"""),"E20")</f>
        <v>E20</v>
      </c>
      <c r="M67" s="3" t="str">
        <f>IFERROR(__xludf.DUMMYFUNCTION("""COMPUTED_VALUE"""),"Entreprise")</f>
        <v>Entreprise</v>
      </c>
      <c r="N67" s="3" t="str">
        <f>IFERROR(__xludf.DUMMYFUNCTION("""COMPUTED_VALUE"""),"E12")</f>
        <v>E12</v>
      </c>
      <c r="O67" s="3" t="str">
        <f>IFERROR(__xludf.DUMMYFUNCTION("""COMPUTED_VALUE"""),"Recherche")</f>
        <v>Recherche</v>
      </c>
      <c r="P67" s="3" t="str">
        <f>IFERROR(__xludf.DUMMYFUNCTION("""COMPUTED_VALUE"""),"R2")</f>
        <v>R2</v>
      </c>
      <c r="Q67" s="3" t="str">
        <f>IFERROR(__xludf.DUMMYFUNCTION("""COMPUTED_VALUE"""),"Je ne pars pas")</f>
        <v>Je ne pars pas</v>
      </c>
      <c r="R67" s="3" t="str">
        <f>IFERROR(__xludf.DUMMYFUNCTION("""COMPUTED_VALUE"""),"")</f>
        <v/>
      </c>
      <c r="S67" s="11"/>
      <c r="T67" s="3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5">
        <f>IFERROR(__xludf.DUMMYFUNCTION("""COMPUTED_VALUE"""),43360.42486974537)</f>
        <v>43360.42487</v>
      </c>
      <c r="B68" s="16" t="str">
        <f>IFERROR(__xludf.DUMMYFUNCTION("""COMPUTED_VALUE"""),"")</f>
        <v/>
      </c>
      <c r="C68" s="19" t="str">
        <f>IFERROR(__xludf.DUMMYFUNCTION("""COMPUTED_VALUE"""),"BIO")</f>
        <v>BIO</v>
      </c>
      <c r="D68" s="20" t="str">
        <f>IFERROR(__xludf.DUMMYFUNCTION("""COMPUTED_VALUE"""),"FELIXAIN")</f>
        <v>FELIXAIN</v>
      </c>
      <c r="E68" s="20" t="str">
        <f>IFERROR(__xludf.DUMMYFUNCTION("""COMPUTED_VALUE"""),"Olivia")</f>
        <v>Olivia</v>
      </c>
      <c r="F68" s="20" t="str">
        <f>IFERROR(__xludf.DUMMYFUNCTION("""COMPUTED_VALUE"""),"olivia.felixain@edu.esiee.fr")</f>
        <v>olivia.felixain@edu.esiee.fr</v>
      </c>
      <c r="G68" s="22" t="str">
        <f>IFERROR(__xludf.DUMMYFUNCTION("""COMPUTED_VALUE"""),"Entreprise")</f>
        <v>Entreprise</v>
      </c>
      <c r="H68" s="22" t="str">
        <f>IFERROR(__xludf.DUMMYFUNCTION("""COMPUTED_VALUE"""),"E19")</f>
        <v>E19</v>
      </c>
      <c r="I68" s="22" t="str">
        <f>IFERROR(__xludf.DUMMYFUNCTION("""COMPUTED_VALUE"""),"Entreprise")</f>
        <v>Entreprise</v>
      </c>
      <c r="J68" s="22" t="str">
        <f>IFERROR(__xludf.DUMMYFUNCTION("""COMPUTED_VALUE"""),"E15")</f>
        <v>E15</v>
      </c>
      <c r="K68" s="22" t="str">
        <f>IFERROR(__xludf.DUMMYFUNCTION("""COMPUTED_VALUE"""),"Recherche")</f>
        <v>Recherche</v>
      </c>
      <c r="L68" s="22" t="str">
        <f>IFERROR(__xludf.DUMMYFUNCTION("""COMPUTED_VALUE"""),"R2")</f>
        <v>R2</v>
      </c>
      <c r="M68" s="22" t="str">
        <f>IFERROR(__xludf.DUMMYFUNCTION("""COMPUTED_VALUE"""),"Recherche")</f>
        <v>Recherche</v>
      </c>
      <c r="N68" s="22" t="str">
        <f>IFERROR(__xludf.DUMMYFUNCTION("""COMPUTED_VALUE"""),"R24")</f>
        <v>R24</v>
      </c>
      <c r="O68" s="22" t="str">
        <f>IFERROR(__xludf.DUMMYFUNCTION("""COMPUTED_VALUE"""),"Entreprise")</f>
        <v>Entreprise</v>
      </c>
      <c r="P68" s="22" t="str">
        <f>IFERROR(__xludf.DUMMYFUNCTION("""COMPUTED_VALUE"""),"E1")</f>
        <v>E1</v>
      </c>
      <c r="Q68" s="22" t="str">
        <f>IFERROR(__xludf.DUMMYFUNCTION("""COMPUTED_VALUE"""),"Je ne pars pas")</f>
        <v>Je ne pars pas</v>
      </c>
      <c r="R68" s="16" t="str">
        <f>IFERROR(__xludf.DUMMYFUNCTION("""COMPUTED_VALUE"""),"")</f>
        <v/>
      </c>
      <c r="S68" s="24"/>
      <c r="T68" s="19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25">
        <f>IFERROR(__xludf.DUMMYFUNCTION("""COMPUTED_VALUE"""),43360.420952569446)</f>
        <v>43360.42095</v>
      </c>
      <c r="B69" s="3" t="str">
        <f>IFERROR(__xludf.DUMMYFUNCTION("""COMPUTED_VALUE"""),"")</f>
        <v/>
      </c>
      <c r="C69" s="6" t="str">
        <f>IFERROR(__xludf.DUMMYFUNCTION("""COMPUTED_VALUE"""),"ELE")</f>
        <v>ELE</v>
      </c>
      <c r="D69" s="8" t="str">
        <f>IFERROR(__xludf.DUMMYFUNCTION("""COMPUTED_VALUE"""),"FERRARA")</f>
        <v>FERRARA</v>
      </c>
      <c r="E69" s="8" t="str">
        <f>IFERROR(__xludf.DUMMYFUNCTION("""COMPUTED_VALUE"""),"Romain")</f>
        <v>Romain</v>
      </c>
      <c r="F69" s="8" t="str">
        <f>IFERROR(__xludf.DUMMYFUNCTION("""COMPUTED_VALUE"""),"romain.ferrara@edu.esiee.fr")</f>
        <v>romain.ferrara@edu.esiee.fr</v>
      </c>
      <c r="G69" s="3" t="str">
        <f>IFERROR(__xludf.DUMMYFUNCTION("""COMPUTED_VALUE"""),"Recherche")</f>
        <v>Recherche</v>
      </c>
      <c r="H69" s="3" t="str">
        <f>IFERROR(__xludf.DUMMYFUNCTION("""COMPUTED_VALUE"""),"R18")</f>
        <v>R18</v>
      </c>
      <c r="I69" s="3" t="str">
        <f>IFERROR(__xludf.DUMMYFUNCTION("""COMPUTED_VALUE"""),"Recherche")</f>
        <v>Recherche</v>
      </c>
      <c r="J69" s="3" t="str">
        <f>IFERROR(__xludf.DUMMYFUNCTION("""COMPUTED_VALUE"""),"R13")</f>
        <v>R13</v>
      </c>
      <c r="K69" s="3" t="str">
        <f>IFERROR(__xludf.DUMMYFUNCTION("""COMPUTED_VALUE"""),"Entreprise")</f>
        <v>Entreprise</v>
      </c>
      <c r="L69" s="3" t="str">
        <f>IFERROR(__xludf.DUMMYFUNCTION("""COMPUTED_VALUE"""),"E20")</f>
        <v>E20</v>
      </c>
      <c r="M69" s="3" t="str">
        <f>IFERROR(__xludf.DUMMYFUNCTION("""COMPUTED_VALUE"""),"Recherche")</f>
        <v>Recherche</v>
      </c>
      <c r="N69" s="3" t="str">
        <f>IFERROR(__xludf.DUMMYFUNCTION("""COMPUTED_VALUE"""),"R22")</f>
        <v>R22</v>
      </c>
      <c r="O69" s="3" t="str">
        <f>IFERROR(__xludf.DUMMYFUNCTION("""COMPUTED_VALUE"""),"Recherche")</f>
        <v>Recherche</v>
      </c>
      <c r="P69" s="3" t="str">
        <f>IFERROR(__xludf.DUMMYFUNCTION("""COMPUTED_VALUE"""),"R29")</f>
        <v>R29</v>
      </c>
      <c r="Q69" s="3" t="str">
        <f>IFERROR(__xludf.DUMMYFUNCTION("""COMPUTED_VALUE"""),"Je pars au semestre 2")</f>
        <v>Je pars au semestre 2</v>
      </c>
      <c r="R69" s="3" t="str">
        <f>IFERROR(__xludf.DUMMYFUNCTION("""COMPUTED_VALUE"""),"")</f>
        <v/>
      </c>
      <c r="S69" s="11"/>
      <c r="T69" s="3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5">
        <f>IFERROR(__xludf.DUMMYFUNCTION("""COMPUTED_VALUE"""),43360.43589984954)</f>
        <v>43360.4359</v>
      </c>
      <c r="B70" s="16" t="str">
        <f>IFERROR(__xludf.DUMMYFUNCTION("""COMPUTED_VALUE"""),"")</f>
        <v/>
      </c>
      <c r="C70" s="19" t="str">
        <f>IFERROR(__xludf.DUMMYFUNCTION("""COMPUTED_VALUE"""),"BIO")</f>
        <v>BIO</v>
      </c>
      <c r="D70" s="20" t="str">
        <f>IFERROR(__xludf.DUMMYFUNCTION("""COMPUTED_VALUE"""),"FLEURANTUS")</f>
        <v>FLEURANTUS</v>
      </c>
      <c r="E70" s="20" t="str">
        <f>IFERROR(__xludf.DUMMYFUNCTION("""COMPUTED_VALUE"""),"Barbara")</f>
        <v>Barbara</v>
      </c>
      <c r="F70" s="20" t="str">
        <f>IFERROR(__xludf.DUMMYFUNCTION("""COMPUTED_VALUE"""),"barbara.fleurantus@edu.esiee.fr")</f>
        <v>barbara.fleurantus@edu.esiee.fr</v>
      </c>
      <c r="G70" s="22" t="str">
        <f>IFERROR(__xludf.DUMMYFUNCTION("""COMPUTED_VALUE"""),"Recherche")</f>
        <v>Recherche</v>
      </c>
      <c r="H70" s="22" t="str">
        <f>IFERROR(__xludf.DUMMYFUNCTION("""COMPUTED_VALUE"""),"R2")</f>
        <v>R2</v>
      </c>
      <c r="I70" s="22" t="str">
        <f>IFERROR(__xludf.DUMMYFUNCTION("""COMPUTED_VALUE"""),"Recherche")</f>
        <v>Recherche</v>
      </c>
      <c r="J70" s="22" t="str">
        <f>IFERROR(__xludf.DUMMYFUNCTION("""COMPUTED_VALUE"""),"R24")</f>
        <v>R24</v>
      </c>
      <c r="K70" s="22" t="str">
        <f>IFERROR(__xludf.DUMMYFUNCTION("""COMPUTED_VALUE"""),"Entreprise")</f>
        <v>Entreprise</v>
      </c>
      <c r="L70" s="22" t="str">
        <f>IFERROR(__xludf.DUMMYFUNCTION("""COMPUTED_VALUE"""),"E20")</f>
        <v>E20</v>
      </c>
      <c r="M70" s="22" t="str">
        <f>IFERROR(__xludf.DUMMYFUNCTION("""COMPUTED_VALUE"""),"Recherche")</f>
        <v>Recherche</v>
      </c>
      <c r="N70" s="22" t="str">
        <f>IFERROR(__xludf.DUMMYFUNCTION("""COMPUTED_VALUE"""),"R3")</f>
        <v>R3</v>
      </c>
      <c r="O70" s="22" t="str">
        <f>IFERROR(__xludf.DUMMYFUNCTION("""COMPUTED_VALUE"""),"Entreprise")</f>
        <v>Entreprise</v>
      </c>
      <c r="P70" s="22" t="str">
        <f>IFERROR(__xludf.DUMMYFUNCTION("""COMPUTED_VALUE"""),"E15")</f>
        <v>E15</v>
      </c>
      <c r="Q70" s="22" t="str">
        <f>IFERROR(__xludf.DUMMYFUNCTION("""COMPUTED_VALUE"""),"Je ne pars pas")</f>
        <v>Je ne pars pas</v>
      </c>
      <c r="R70" s="16" t="str">
        <f>IFERROR(__xludf.DUMMYFUNCTION("""COMPUTED_VALUE"""),"")</f>
        <v/>
      </c>
      <c r="S70" s="24"/>
      <c r="T70" s="19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25">
        <f>IFERROR(__xludf.DUMMYFUNCTION("""COMPUTED_VALUE"""),43360.428046099536)</f>
        <v>43360.42805</v>
      </c>
      <c r="B71" s="3" t="str">
        <f>IFERROR(__xludf.DUMMYFUNCTION("""COMPUTED_VALUE"""),"")</f>
        <v/>
      </c>
      <c r="C71" s="6" t="str">
        <f>IFERROR(__xludf.DUMMYFUNCTION("""COMPUTED_VALUE"""),"SE")</f>
        <v>SE</v>
      </c>
      <c r="D71" s="8" t="str">
        <f>IFERROR(__xludf.DUMMYFUNCTION("""COMPUTED_VALUE"""),"FLOURET")</f>
        <v>FLOURET</v>
      </c>
      <c r="E71" s="8" t="str">
        <f>IFERROR(__xludf.DUMMYFUNCTION("""COMPUTED_VALUE"""),"Achille")</f>
        <v>Achille</v>
      </c>
      <c r="F71" s="8" t="str">
        <f>IFERROR(__xludf.DUMMYFUNCTION("""COMPUTED_VALUE"""),"achille.flouret@edu.esiee.fr")</f>
        <v>achille.flouret@edu.esiee.fr</v>
      </c>
      <c r="G71" s="3" t="str">
        <f>IFERROR(__xludf.DUMMYFUNCTION("""COMPUTED_VALUE"""),"Recherche")</f>
        <v>Recherche</v>
      </c>
      <c r="H71" s="3" t="str">
        <f>IFERROR(__xludf.DUMMYFUNCTION("""COMPUTED_VALUE"""),"R18")</f>
        <v>R18</v>
      </c>
      <c r="I71" s="3" t="str">
        <f>IFERROR(__xludf.DUMMYFUNCTION("""COMPUTED_VALUE"""),"Recherche")</f>
        <v>Recherche</v>
      </c>
      <c r="J71" s="3" t="str">
        <f>IFERROR(__xludf.DUMMYFUNCTION("""COMPUTED_VALUE"""),"R13")</f>
        <v>R13</v>
      </c>
      <c r="K71" s="3" t="str">
        <f>IFERROR(__xludf.DUMMYFUNCTION("""COMPUTED_VALUE"""),"Entreprise")</f>
        <v>Entreprise</v>
      </c>
      <c r="L71" s="3" t="str">
        <f>IFERROR(__xludf.DUMMYFUNCTION("""COMPUTED_VALUE"""),"E20")</f>
        <v>E20</v>
      </c>
      <c r="M71" s="3" t="str">
        <f>IFERROR(__xludf.DUMMYFUNCTION("""COMPUTED_VALUE"""),"Recherche")</f>
        <v>Recherche</v>
      </c>
      <c r="N71" s="3" t="str">
        <f>IFERROR(__xludf.DUMMYFUNCTION("""COMPUTED_VALUE"""),"R11")</f>
        <v>R11</v>
      </c>
      <c r="O71" s="3" t="str">
        <f>IFERROR(__xludf.DUMMYFUNCTION("""COMPUTED_VALUE"""),"Entreprise")</f>
        <v>Entreprise</v>
      </c>
      <c r="P71" s="3" t="str">
        <f>IFERROR(__xludf.DUMMYFUNCTION("""COMPUTED_VALUE"""),"E19")</f>
        <v>E19</v>
      </c>
      <c r="Q71" s="3" t="str">
        <f>IFERROR(__xludf.DUMMYFUNCTION("""COMPUTED_VALUE"""),"Je ne pars pas")</f>
        <v>Je ne pars pas</v>
      </c>
      <c r="R71" s="3" t="str">
        <f>IFERROR(__xludf.DUMMYFUNCTION("""COMPUTED_VALUE"""),"")</f>
        <v/>
      </c>
      <c r="S71" s="11"/>
      <c r="T71" s="3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5">
        <f>IFERROR(__xludf.DUMMYFUNCTION("""COMPUTED_VALUE"""),43360.69499415509)</f>
        <v>43360.69499</v>
      </c>
      <c r="B72" s="16" t="str">
        <f>IFERROR(__xludf.DUMMYFUNCTION("""COMPUTED_VALUE"""),"")</f>
        <v/>
      </c>
      <c r="C72" s="19" t="str">
        <f>IFERROR(__xludf.DUMMYFUNCTION("""COMPUTED_VALUE"""),"INF")</f>
        <v>INF</v>
      </c>
      <c r="D72" s="20" t="str">
        <f>IFERROR(__xludf.DUMMYFUNCTION("""COMPUTED_VALUE"""),"FONSECA LOURES")</f>
        <v>FONSECA LOURES</v>
      </c>
      <c r="E72" s="20" t="str">
        <f>IFERROR(__xludf.DUMMYFUNCTION("""COMPUTED_VALUE"""),"Vitor")</f>
        <v>Vitor</v>
      </c>
      <c r="F72" s="20" t="str">
        <f>IFERROR(__xludf.DUMMYFUNCTION("""COMPUTED_VALUE"""),"vitor.fonsecaloures@edu.esiee.fr")</f>
        <v>vitor.fonsecaloures@edu.esiee.fr</v>
      </c>
      <c r="G72" s="22" t="str">
        <f>IFERROR(__xludf.DUMMYFUNCTION("""COMPUTED_VALUE"""),"Entreprise")</f>
        <v>Entreprise</v>
      </c>
      <c r="H72" s="22" t="str">
        <f>IFERROR(__xludf.DUMMYFUNCTION("""COMPUTED_VALUE"""),"E14")</f>
        <v>E14</v>
      </c>
      <c r="I72" s="22" t="str">
        <f>IFERROR(__xludf.DUMMYFUNCTION("""COMPUTED_VALUE"""),"Entreprise")</f>
        <v>Entreprise</v>
      </c>
      <c r="J72" s="22" t="str">
        <f>IFERROR(__xludf.DUMMYFUNCTION("""COMPUTED_VALUE"""),"E9")</f>
        <v>E9</v>
      </c>
      <c r="K72" s="22" t="str">
        <f>IFERROR(__xludf.DUMMYFUNCTION("""COMPUTED_VALUE"""),"Recherche")</f>
        <v>Recherche</v>
      </c>
      <c r="L72" s="22" t="str">
        <f>IFERROR(__xludf.DUMMYFUNCTION("""COMPUTED_VALUE"""),"R9")</f>
        <v>R9</v>
      </c>
      <c r="M72" s="22" t="str">
        <f>IFERROR(__xludf.DUMMYFUNCTION("""COMPUTED_VALUE"""),"Entreprise")</f>
        <v>Entreprise</v>
      </c>
      <c r="N72" s="22" t="str">
        <f>IFERROR(__xludf.DUMMYFUNCTION("""COMPUTED_VALUE"""),"E10")</f>
        <v>E10</v>
      </c>
      <c r="O72" s="22" t="str">
        <f>IFERROR(__xludf.DUMMYFUNCTION("""COMPUTED_VALUE"""),"Recherche")</f>
        <v>Recherche</v>
      </c>
      <c r="P72" s="22" t="str">
        <f>IFERROR(__xludf.DUMMYFUNCTION("""COMPUTED_VALUE"""),"R7")</f>
        <v>R7</v>
      </c>
      <c r="Q72" s="22" t="str">
        <f>IFERROR(__xludf.DUMMYFUNCTION("""COMPUTED_VALUE"""),"Je ne pars pas")</f>
        <v>Je ne pars pas</v>
      </c>
      <c r="R72" s="16" t="str">
        <f>IFERROR(__xludf.DUMMYFUNCTION("""COMPUTED_VALUE"""),"")</f>
        <v/>
      </c>
      <c r="S72" s="24"/>
      <c r="T72" s="19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25">
        <f>IFERROR(__xludf.DUMMYFUNCTION("""COMPUTED_VALUE"""),43360.42205729167)</f>
        <v>43360.42206</v>
      </c>
      <c r="B73" s="3" t="str">
        <f>IFERROR(__xludf.DUMMYFUNCTION("""COMPUTED_VALUE"""),"")</f>
        <v/>
      </c>
      <c r="C73" s="6" t="str">
        <f>IFERROR(__xludf.DUMMYFUNCTION("""COMPUTED_VALUE"""),"CYBER")</f>
        <v>CYBER</v>
      </c>
      <c r="D73" s="8" t="str">
        <f>IFERROR(__xludf.DUMMYFUNCTION("""COMPUTED_VALUE"""),"FRABONI")</f>
        <v>FRABONI</v>
      </c>
      <c r="E73" s="8" t="str">
        <f>IFERROR(__xludf.DUMMYFUNCTION("""COMPUTED_VALUE"""),"Tanguy")</f>
        <v>Tanguy</v>
      </c>
      <c r="F73" s="8" t="str">
        <f>IFERROR(__xludf.DUMMYFUNCTION("""COMPUTED_VALUE"""),"tanguy.fraboni@edu.esiee.fr")</f>
        <v>tanguy.fraboni@edu.esiee.fr</v>
      </c>
      <c r="G73" s="3" t="str">
        <f>IFERROR(__xludf.DUMMYFUNCTION("""COMPUTED_VALUE"""),"Recherche")</f>
        <v>Recherche</v>
      </c>
      <c r="H73" s="3" t="str">
        <f>IFERROR(__xludf.DUMMYFUNCTION("""COMPUTED_VALUE"""),"R9")</f>
        <v>R9</v>
      </c>
      <c r="I73" s="3" t="str">
        <f>IFERROR(__xludf.DUMMYFUNCTION("""COMPUTED_VALUE"""),"Recherche")</f>
        <v>Recherche</v>
      </c>
      <c r="J73" s="3" t="str">
        <f>IFERROR(__xludf.DUMMYFUNCTION("""COMPUTED_VALUE"""),"R8")</f>
        <v>R8</v>
      </c>
      <c r="K73" s="3" t="str">
        <f>IFERROR(__xludf.DUMMYFUNCTION("""COMPUTED_VALUE"""),"Recherche")</f>
        <v>Recherche</v>
      </c>
      <c r="L73" s="3" t="str">
        <f>IFERROR(__xludf.DUMMYFUNCTION("""COMPUTED_VALUE"""),"R4")</f>
        <v>R4</v>
      </c>
      <c r="M73" s="3" t="str">
        <f>IFERROR(__xludf.DUMMYFUNCTION("""COMPUTED_VALUE"""),"Concours")</f>
        <v>Concours</v>
      </c>
      <c r="N73" s="3" t="str">
        <f>IFERROR(__xludf.DUMMYFUNCTION("""COMPUTED_VALUE"""),"no")</f>
        <v>no</v>
      </c>
      <c r="O73" s="3" t="str">
        <f>IFERROR(__xludf.DUMMYFUNCTION("""COMPUTED_VALUE"""),"Concours")</f>
        <v>Concours</v>
      </c>
      <c r="P73" s="3" t="str">
        <f>IFERROR(__xludf.DUMMYFUNCTION("""COMPUTED_VALUE"""),"no")</f>
        <v>no</v>
      </c>
      <c r="Q73" s="3" t="str">
        <f>IFERROR(__xludf.DUMMYFUNCTION("""COMPUTED_VALUE"""),"Je ne pars pas")</f>
        <v>Je ne pars pas</v>
      </c>
      <c r="R73" s="3" t="str">
        <f>IFERROR(__xludf.DUMMYFUNCTION("""COMPUTED_VALUE"""),"")</f>
        <v/>
      </c>
      <c r="S73" s="11"/>
      <c r="T73" s="3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29">
        <f>IFERROR(__xludf.DUMMYFUNCTION("""COMPUTED_VALUE"""),43362.507519907405)</f>
        <v>43362.50752</v>
      </c>
      <c r="B74" s="16" t="str">
        <f>IFERROR(__xludf.DUMMYFUNCTION("""COMPUTED_VALUE"""),"")</f>
        <v/>
      </c>
      <c r="C74" s="19" t="str">
        <f>IFERROR(__xludf.DUMMYFUNCTION("""COMPUTED_VALUE"""),"INF")</f>
        <v>INF</v>
      </c>
      <c r="D74" s="20" t="str">
        <f>IFERROR(__xludf.DUMMYFUNCTION("""COMPUTED_VALUE"""),"GALLANCHER")</f>
        <v>GALLANCHER</v>
      </c>
      <c r="E74" s="20" t="str">
        <f>IFERROR(__xludf.DUMMYFUNCTION("""COMPUTED_VALUE"""),"Maxence")</f>
        <v>Maxence</v>
      </c>
      <c r="F74" s="20" t="str">
        <f>IFERROR(__xludf.DUMMYFUNCTION("""COMPUTED_VALUE"""),"maxence.gallancher@edu.esiee.fr")</f>
        <v>maxence.gallancher@edu.esiee.fr</v>
      </c>
      <c r="G74" s="22" t="str">
        <f>IFERROR(__xludf.DUMMYFUNCTION("""COMPUTED_VALUE"""),"Recherche")</f>
        <v>Recherche</v>
      </c>
      <c r="H74" s="22" t="str">
        <f>IFERROR(__xludf.DUMMYFUNCTION("""COMPUTED_VALUE"""),"R21")</f>
        <v>R21</v>
      </c>
      <c r="I74" s="22" t="str">
        <f>IFERROR(__xludf.DUMMYFUNCTION("""COMPUTED_VALUE"""),"Recherche")</f>
        <v>Recherche</v>
      </c>
      <c r="J74" s="22" t="str">
        <f>IFERROR(__xludf.DUMMYFUNCTION("""COMPUTED_VALUE"""),"R27")</f>
        <v>R27</v>
      </c>
      <c r="K74" s="22" t="str">
        <f>IFERROR(__xludf.DUMMYFUNCTION("""COMPUTED_VALUE"""),"Entreprise")</f>
        <v>Entreprise</v>
      </c>
      <c r="L74" s="22" t="str">
        <f>IFERROR(__xludf.DUMMYFUNCTION("""COMPUTED_VALUE"""),"E23")</f>
        <v>E23</v>
      </c>
      <c r="M74" s="22" t="str">
        <f>IFERROR(__xludf.DUMMYFUNCTION("""COMPUTED_VALUE"""),"Recherche")</f>
        <v>Recherche</v>
      </c>
      <c r="N74" s="22" t="str">
        <f>IFERROR(__xludf.DUMMYFUNCTION("""COMPUTED_VALUE"""),"R11")</f>
        <v>R11</v>
      </c>
      <c r="O74" s="22" t="str">
        <f>IFERROR(__xludf.DUMMYFUNCTION("""COMPUTED_VALUE"""),"Entreprise")</f>
        <v>Entreprise</v>
      </c>
      <c r="P74" s="22" t="str">
        <f>IFERROR(__xludf.DUMMYFUNCTION("""COMPUTED_VALUE"""),"R25")</f>
        <v>R25</v>
      </c>
      <c r="Q74" s="22" t="str">
        <f>IFERROR(__xludf.DUMMYFUNCTION("""COMPUTED_VALUE"""),"Je pars au semestre 1")</f>
        <v>Je pars au semestre 1</v>
      </c>
      <c r="R74" s="16" t="str">
        <f>IFERROR(__xludf.DUMMYFUNCTION("""COMPUTED_VALUE"""),"")</f>
        <v/>
      </c>
      <c r="S74" s="24"/>
      <c r="T74" s="19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25">
        <f>IFERROR(__xludf.DUMMYFUNCTION("""COMPUTED_VALUE"""),43363.60519445602)</f>
        <v>43363.60519</v>
      </c>
      <c r="B75" s="3" t="str">
        <f>IFERROR(__xludf.DUMMYFUNCTION("""COMPUTED_VALUE"""),"")</f>
        <v/>
      </c>
      <c r="C75" s="6" t="str">
        <f>IFERROR(__xludf.DUMMYFUNCTION("""COMPUTED_VALUE"""),"ELE")</f>
        <v>ELE</v>
      </c>
      <c r="D75" s="8" t="str">
        <f>IFERROR(__xludf.DUMMYFUNCTION("""COMPUTED_VALUE"""),"GENESTIER")</f>
        <v>GENESTIER</v>
      </c>
      <c r="E75" s="8" t="str">
        <f>IFERROR(__xludf.DUMMYFUNCTION("""COMPUTED_VALUE"""),"Geoffroy")</f>
        <v>Geoffroy</v>
      </c>
      <c r="F75" s="8" t="str">
        <f>IFERROR(__xludf.DUMMYFUNCTION("""COMPUTED_VALUE"""),"geoffroy.genestier@edu.esiee.fr")</f>
        <v>geoffroy.genestier@edu.esiee.fr</v>
      </c>
      <c r="G75" s="3" t="str">
        <f>IFERROR(__xludf.DUMMYFUNCTION("""COMPUTED_VALUE"""),"Concours")</f>
        <v>Concours</v>
      </c>
      <c r="H75" s="3" t="str">
        <f>IFERROR(__xludf.DUMMYFUNCTION("""COMPUTED_VALUE"""),"C1")</f>
        <v>C1</v>
      </c>
      <c r="I75" s="3" t="str">
        <f>IFERROR(__xludf.DUMMYFUNCTION("""COMPUTED_VALUE"""),"Concours")</f>
        <v>Concours</v>
      </c>
      <c r="J75" s="3" t="str">
        <f>IFERROR(__xludf.DUMMYFUNCTION("""COMPUTED_VALUE"""),"C3")</f>
        <v>C3</v>
      </c>
      <c r="K75" s="3" t="str">
        <f>IFERROR(__xludf.DUMMYFUNCTION("""COMPUTED_VALUE"""),"Entreprise")</f>
        <v>Entreprise</v>
      </c>
      <c r="L75" s="3" t="str">
        <f>IFERROR(__xludf.DUMMYFUNCTION("""COMPUTED_VALUE"""),"E18")</f>
        <v>E18</v>
      </c>
      <c r="M75" s="3" t="str">
        <f>IFERROR(__xludf.DUMMYFUNCTION("""COMPUTED_VALUE"""),"Entreprise")</f>
        <v>Entreprise</v>
      </c>
      <c r="N75" s="3" t="str">
        <f>IFERROR(__xludf.DUMMYFUNCTION("""COMPUTED_VALUE"""),"E21")</f>
        <v>E21</v>
      </c>
      <c r="O75" s="3" t="str">
        <f>IFERROR(__xludf.DUMMYFUNCTION("""COMPUTED_VALUE"""),"Entreprise")</f>
        <v>Entreprise</v>
      </c>
      <c r="P75" s="3" t="str">
        <f>IFERROR(__xludf.DUMMYFUNCTION("""COMPUTED_VALUE"""),"E12")</f>
        <v>E12</v>
      </c>
      <c r="Q75" s="3" t="str">
        <f>IFERROR(__xludf.DUMMYFUNCTION("""COMPUTED_VALUE"""),"Je pars au semestre 2")</f>
        <v>Je pars au semestre 2</v>
      </c>
      <c r="R75" s="3" t="str">
        <f>IFERROR(__xludf.DUMMYFUNCTION("""COMPUTED_VALUE"""),"")</f>
        <v/>
      </c>
      <c r="S75" s="11"/>
      <c r="T75" s="3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5">
        <f>IFERROR(__xludf.DUMMYFUNCTION("""COMPUTED_VALUE"""),43360.459242337965)</f>
        <v>43360.45924</v>
      </c>
      <c r="B76" s="16" t="str">
        <f>IFERROR(__xludf.DUMMYFUNCTION("""COMPUTED_VALUE"""),"")</f>
        <v/>
      </c>
      <c r="C76" s="19" t="str">
        <f>IFERROR(__xludf.DUMMYFUNCTION("""COMPUTED_VALUE"""),"GI")</f>
        <v>GI</v>
      </c>
      <c r="D76" s="20" t="str">
        <f>IFERROR(__xludf.DUMMYFUNCTION("""COMPUTED_VALUE"""),"GERARD")</f>
        <v>GERARD</v>
      </c>
      <c r="E76" s="20" t="str">
        <f>IFERROR(__xludf.DUMMYFUNCTION("""COMPUTED_VALUE"""),"Candice")</f>
        <v>Candice</v>
      </c>
      <c r="F76" s="20" t="str">
        <f>IFERROR(__xludf.DUMMYFUNCTION("""COMPUTED_VALUE"""),"candice.gerard@edu.esiee.fr")</f>
        <v>candice.gerard@edu.esiee.fr</v>
      </c>
      <c r="G76" s="22" t="str">
        <f>IFERROR(__xludf.DUMMYFUNCTION("""COMPUTED_VALUE"""),"Entreprise")</f>
        <v>Entreprise</v>
      </c>
      <c r="H76" s="22" t="str">
        <f>IFERROR(__xludf.DUMMYFUNCTION("""COMPUTED_VALUE"""),"E25")</f>
        <v>E25</v>
      </c>
      <c r="I76" s="22" t="str">
        <f>IFERROR(__xludf.DUMMYFUNCTION("""COMPUTED_VALUE"""),"Recherche")</f>
        <v>Recherche</v>
      </c>
      <c r="J76" s="22" t="str">
        <f>IFERROR(__xludf.DUMMYFUNCTION("""COMPUTED_VALUE"""),"R32")</f>
        <v>R32</v>
      </c>
      <c r="K76" s="22" t="str">
        <f>IFERROR(__xludf.DUMMYFUNCTION("""COMPUTED_VALUE"""),"Recherche")</f>
        <v>Recherche</v>
      </c>
      <c r="L76" s="22" t="str">
        <f>IFERROR(__xludf.DUMMYFUNCTION("""COMPUTED_VALUE"""),"R24")</f>
        <v>R24</v>
      </c>
      <c r="M76" s="22" t="str">
        <f>IFERROR(__xludf.DUMMYFUNCTION("""COMPUTED_VALUE"""),"Recherche")</f>
        <v>Recherche</v>
      </c>
      <c r="N76" s="22" t="str">
        <f>IFERROR(__xludf.DUMMYFUNCTION("""COMPUTED_VALUE"""),"R31")</f>
        <v>R31</v>
      </c>
      <c r="O76" s="22" t="str">
        <f>IFERROR(__xludf.DUMMYFUNCTION("""COMPUTED_VALUE"""),"Recherche")</f>
        <v>Recherche</v>
      </c>
      <c r="P76" s="22" t="str">
        <f>IFERROR(__xludf.DUMMYFUNCTION("""COMPUTED_VALUE"""),"R17")</f>
        <v>R17</v>
      </c>
      <c r="Q76" s="22" t="str">
        <f>IFERROR(__xludf.DUMMYFUNCTION("""COMPUTED_VALUE"""),"Je ne pars pas")</f>
        <v>Je ne pars pas</v>
      </c>
      <c r="R76" s="16" t="str">
        <f>IFERROR(__xludf.DUMMYFUNCTION("""COMPUTED_VALUE"""),"")</f>
        <v/>
      </c>
      <c r="S76" s="24"/>
      <c r="T76" s="19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25">
        <f>IFERROR(__xludf.DUMMYFUNCTION("""COMPUTED_VALUE"""),43362.52284133102)</f>
        <v>43362.52284</v>
      </c>
      <c r="B77" s="3" t="str">
        <f>IFERROR(__xludf.DUMMYFUNCTION("""COMPUTED_VALUE"""),"")</f>
        <v/>
      </c>
      <c r="C77" s="6" t="str">
        <f>IFERROR(__xludf.DUMMYFUNCTION("""COMPUTED_VALUE"""),"DSIA")</f>
        <v>DSIA</v>
      </c>
      <c r="D77" s="8" t="str">
        <f>IFERROR(__xludf.DUMMYFUNCTION("""COMPUTED_VALUE"""),"GHIDAGLIA")</f>
        <v>GHIDAGLIA</v>
      </c>
      <c r="E77" s="8" t="str">
        <f>IFERROR(__xludf.DUMMYFUNCTION("""COMPUTED_VALUE"""),"Boris")</f>
        <v>Boris</v>
      </c>
      <c r="F77" s="8" t="str">
        <f>IFERROR(__xludf.DUMMYFUNCTION("""COMPUTED_VALUE"""),"boris.ghidaglia@edu.esiee.fr")</f>
        <v>boris.ghidaglia@edu.esiee.fr</v>
      </c>
      <c r="G77" s="3" t="str">
        <f>IFERROR(__xludf.DUMMYFUNCTION("""COMPUTED_VALUE"""),"Entrepreneuriat/Logiciel Libre")</f>
        <v>Entrepreneuriat/Logiciel Libre</v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IFERROR(__xludf.DUMMYFUNCTION("""COMPUTED_VALUE"""),"Je ne pars pas")</f>
        <v>Je ne pars pas</v>
      </c>
      <c r="R77" s="3" t="str">
        <f>IFERROR(__xludf.DUMMYFUNCTION("""COMPUTED_VALUE"""),"")</f>
        <v/>
      </c>
      <c r="S77" s="11"/>
      <c r="T77" s="3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5">
        <f>IFERROR(__xludf.DUMMYFUNCTION("""COMPUTED_VALUE"""),43360.41851532407)</f>
        <v>43360.41852</v>
      </c>
      <c r="B78" s="16" t="str">
        <f>IFERROR(__xludf.DUMMYFUNCTION("""COMPUTED_VALUE"""),"")</f>
        <v/>
      </c>
      <c r="C78" s="19" t="str">
        <f>IFERROR(__xludf.DUMMYFUNCTION("""COMPUTED_VALUE"""),"ENE")</f>
        <v>ENE</v>
      </c>
      <c r="D78" s="20" t="str">
        <f>IFERROR(__xludf.DUMMYFUNCTION("""COMPUTED_VALUE"""),"GHOZAYEL")</f>
        <v>GHOZAYEL</v>
      </c>
      <c r="E78" s="20" t="str">
        <f>IFERROR(__xludf.DUMMYFUNCTION("""COMPUTED_VALUE"""),"Leyane")</f>
        <v>Leyane</v>
      </c>
      <c r="F78" s="20" t="str">
        <f>IFERROR(__xludf.DUMMYFUNCTION("""COMPUTED_VALUE"""),"leyane.ghozayel@edu.esiee.fr")</f>
        <v>leyane.ghozayel@edu.esiee.fr</v>
      </c>
      <c r="G78" s="22" t="str">
        <f>IFERROR(__xludf.DUMMYFUNCTION("""COMPUTED_VALUE"""),"Entreprise")</f>
        <v>Entreprise</v>
      </c>
      <c r="H78" s="22" t="str">
        <f>IFERROR(__xludf.DUMMYFUNCTION("""COMPUTED_VALUE"""),"E13")</f>
        <v>E13</v>
      </c>
      <c r="I78" s="22" t="str">
        <f>IFERROR(__xludf.DUMMYFUNCTION("""COMPUTED_VALUE"""),"Recherche")</f>
        <v>Recherche</v>
      </c>
      <c r="J78" s="22" t="str">
        <f>IFERROR(__xludf.DUMMYFUNCTION("""COMPUTED_VALUE"""),"R12")</f>
        <v>R12</v>
      </c>
      <c r="K78" s="22" t="str">
        <f>IFERROR(__xludf.DUMMYFUNCTION("""COMPUTED_VALUE"""),"Recherche")</f>
        <v>Recherche</v>
      </c>
      <c r="L78" s="22" t="str">
        <f>IFERROR(__xludf.DUMMYFUNCTION("""COMPUTED_VALUE"""),"R2")</f>
        <v>R2</v>
      </c>
      <c r="M78" s="22" t="str">
        <f>IFERROR(__xludf.DUMMYFUNCTION("""COMPUTED_VALUE"""),"Entreprise")</f>
        <v>Entreprise</v>
      </c>
      <c r="N78" s="22" t="str">
        <f>IFERROR(__xludf.DUMMYFUNCTION("""COMPUTED_VALUE"""),"E14")</f>
        <v>E14</v>
      </c>
      <c r="O78" s="22" t="str">
        <f>IFERROR(__xludf.DUMMYFUNCTION("""COMPUTED_VALUE"""),"Entreprise")</f>
        <v>Entreprise</v>
      </c>
      <c r="P78" s="22" t="str">
        <f>IFERROR(__xludf.DUMMYFUNCTION("""COMPUTED_VALUE"""),"E17")</f>
        <v>E17</v>
      </c>
      <c r="Q78" s="22" t="str">
        <f>IFERROR(__xludf.DUMMYFUNCTION("""COMPUTED_VALUE"""),"Je pars au semestre 1")</f>
        <v>Je pars au semestre 1</v>
      </c>
      <c r="R78" s="16" t="str">
        <f>IFERROR(__xludf.DUMMYFUNCTION("""COMPUTED_VALUE"""),"")</f>
        <v/>
      </c>
      <c r="S78" s="24"/>
      <c r="T78" s="19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25">
        <f>IFERROR(__xludf.DUMMYFUNCTION("""COMPUTED_VALUE"""),43360.45501769676)</f>
        <v>43360.45502</v>
      </c>
      <c r="B79" s="3" t="str">
        <f>IFERROR(__xludf.DUMMYFUNCTION("""COMPUTED_VALUE"""),"")</f>
        <v/>
      </c>
      <c r="C79" s="6" t="str">
        <f>IFERROR(__xludf.DUMMYFUNCTION("""COMPUTED_VALUE"""),"GI")</f>
        <v>GI</v>
      </c>
      <c r="D79" s="8" t="str">
        <f>IFERROR(__xludf.DUMMYFUNCTION("""COMPUTED_VALUE"""),"GIVAUDAN")</f>
        <v>GIVAUDAN</v>
      </c>
      <c r="E79" s="8" t="str">
        <f>IFERROR(__xludf.DUMMYFUNCTION("""COMPUTED_VALUE"""),"Mathilde")</f>
        <v>Mathilde</v>
      </c>
      <c r="F79" s="8" t="str">
        <f>IFERROR(__xludf.DUMMYFUNCTION("""COMPUTED_VALUE"""),"mathilde.givaudan@edu.esiee.fr")</f>
        <v>mathilde.givaudan@edu.esiee.fr</v>
      </c>
      <c r="G79" s="3" t="str">
        <f>IFERROR(__xludf.DUMMYFUNCTION("""COMPUTED_VALUE"""),"Recherche")</f>
        <v>Recherche</v>
      </c>
      <c r="H79" s="3" t="str">
        <f>IFERROR(__xludf.DUMMYFUNCTION("""COMPUTED_VALUE"""),"R24")</f>
        <v>R24</v>
      </c>
      <c r="I79" s="3" t="str">
        <f>IFERROR(__xludf.DUMMYFUNCTION("""COMPUTED_VALUE"""),"Recherche")</f>
        <v>Recherche</v>
      </c>
      <c r="J79" s="3" t="str">
        <f>IFERROR(__xludf.DUMMYFUNCTION("""COMPUTED_VALUE"""),"R24")</f>
        <v>R24</v>
      </c>
      <c r="K79" s="3" t="str">
        <f>IFERROR(__xludf.DUMMYFUNCTION("""COMPUTED_VALUE"""),"Recherche")</f>
        <v>Recherche</v>
      </c>
      <c r="L79" s="3" t="str">
        <f>IFERROR(__xludf.DUMMYFUNCTION("""COMPUTED_VALUE"""),"R32")</f>
        <v>R32</v>
      </c>
      <c r="M79" s="3" t="str">
        <f>IFERROR(__xludf.DUMMYFUNCTION("""COMPUTED_VALUE"""),"Recherche")</f>
        <v>Recherche</v>
      </c>
      <c r="N79" s="3" t="str">
        <f>IFERROR(__xludf.DUMMYFUNCTION("""COMPUTED_VALUE"""),"R32")</f>
        <v>R32</v>
      </c>
      <c r="O79" s="3" t="str">
        <f>IFERROR(__xludf.DUMMYFUNCTION("""COMPUTED_VALUE"""),"Recherche")</f>
        <v>Recherche</v>
      </c>
      <c r="P79" s="3" t="str">
        <f>IFERROR(__xludf.DUMMYFUNCTION("""COMPUTED_VALUE"""),"R31")</f>
        <v>R31</v>
      </c>
      <c r="Q79" s="3" t="str">
        <f>IFERROR(__xludf.DUMMYFUNCTION("""COMPUTED_VALUE"""),"Je pars au semestre 1")</f>
        <v>Je pars au semestre 1</v>
      </c>
      <c r="R79" s="3" t="str">
        <f>IFERROR(__xludf.DUMMYFUNCTION("""COMPUTED_VALUE"""),"")</f>
        <v/>
      </c>
      <c r="S79" s="11"/>
      <c r="T79" s="3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5">
        <f>IFERROR(__xludf.DUMMYFUNCTION("""COMPUTED_VALUE"""),43362.00696584491)</f>
        <v>43362.00697</v>
      </c>
      <c r="B80" s="16" t="str">
        <f>IFERROR(__xludf.DUMMYFUNCTION("""COMPUTED_VALUE"""),"")</f>
        <v/>
      </c>
      <c r="C80" s="19" t="str">
        <f>IFERROR(__xludf.DUMMYFUNCTION("""COMPUTED_VALUE"""),"IME")</f>
        <v>IME</v>
      </c>
      <c r="D80" s="20" t="str">
        <f>IFERROR(__xludf.DUMMYFUNCTION("""COMPUTED_VALUE"""),"GNANAMANI")</f>
        <v>GNANAMANI</v>
      </c>
      <c r="E80" s="20" t="str">
        <f>IFERROR(__xludf.DUMMYFUNCTION("""COMPUTED_VALUE"""),"Risab")</f>
        <v>Risab</v>
      </c>
      <c r="F80" s="20" t="str">
        <f>IFERROR(__xludf.DUMMYFUNCTION("""COMPUTED_VALUE"""),"risab.gnanamani@edu.esiee.fr")</f>
        <v>risab.gnanamani@edu.esiee.fr</v>
      </c>
      <c r="G80" s="22" t="str">
        <f>IFERROR(__xludf.DUMMYFUNCTION("""COMPUTED_VALUE"""),"Recherche")</f>
        <v>Recherche</v>
      </c>
      <c r="H80" s="22" t="str">
        <f>IFERROR(__xludf.DUMMYFUNCTION("""COMPUTED_VALUE"""),"R16")</f>
        <v>R16</v>
      </c>
      <c r="I80" s="22" t="str">
        <f>IFERROR(__xludf.DUMMYFUNCTION("""COMPUTED_VALUE"""),"Concours")</f>
        <v>Concours</v>
      </c>
      <c r="J80" s="22" t="str">
        <f>IFERROR(__xludf.DUMMYFUNCTION("""COMPUTED_VALUE"""),"C3")</f>
        <v>C3</v>
      </c>
      <c r="K80" s="22" t="str">
        <f>IFERROR(__xludf.DUMMYFUNCTION("""COMPUTED_VALUE"""),"Entreprise")</f>
        <v>Entreprise</v>
      </c>
      <c r="L80" s="22" t="str">
        <f>IFERROR(__xludf.DUMMYFUNCTION("""COMPUTED_VALUE"""),"E20")</f>
        <v>E20</v>
      </c>
      <c r="M80" s="22" t="str">
        <f>IFERROR(__xludf.DUMMYFUNCTION("""COMPUTED_VALUE"""),"Recherche")</f>
        <v>Recherche</v>
      </c>
      <c r="N80" s="22" t="str">
        <f>IFERROR(__xludf.DUMMYFUNCTION("""COMPUTED_VALUE"""),"R22")</f>
        <v>R22</v>
      </c>
      <c r="O80" s="22" t="str">
        <f>IFERROR(__xludf.DUMMYFUNCTION("""COMPUTED_VALUE"""),"Entreprise")</f>
        <v>Entreprise</v>
      </c>
      <c r="P80" s="22" t="str">
        <f>IFERROR(__xludf.DUMMYFUNCTION("""COMPUTED_VALUE"""),"E4")</f>
        <v>E4</v>
      </c>
      <c r="Q80" s="22" t="str">
        <f>IFERROR(__xludf.DUMMYFUNCTION("""COMPUTED_VALUE"""),"Je ne pars pas")</f>
        <v>Je ne pars pas</v>
      </c>
      <c r="R80" s="16" t="str">
        <f>IFERROR(__xludf.DUMMYFUNCTION("""COMPUTED_VALUE"""),"")</f>
        <v/>
      </c>
      <c r="S80" s="24"/>
      <c r="T80" s="19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25">
        <f>IFERROR(__xludf.DUMMYFUNCTION("""COMPUTED_VALUE"""),43360.42042430556)</f>
        <v>43360.42042</v>
      </c>
      <c r="B81" s="3" t="str">
        <f>IFERROR(__xludf.DUMMYFUNCTION("""COMPUTED_VALUE"""),"")</f>
        <v/>
      </c>
      <c r="C81" s="6" t="str">
        <f>IFERROR(__xludf.DUMMYFUNCTION("""COMPUTED_VALUE"""),"SE")</f>
        <v>SE</v>
      </c>
      <c r="D81" s="8" t="str">
        <f>IFERROR(__xludf.DUMMYFUNCTION("""COMPUTED_VALUE"""),"GOEURIOT")</f>
        <v>GOEURIOT</v>
      </c>
      <c r="E81" s="8" t="str">
        <f>IFERROR(__xludf.DUMMYFUNCTION("""COMPUTED_VALUE"""),"Damien")</f>
        <v>Damien</v>
      </c>
      <c r="F81" s="8" t="str">
        <f>IFERROR(__xludf.DUMMYFUNCTION("""COMPUTED_VALUE"""),"damien.goeuriot@edu.esiee.fr")</f>
        <v>damien.goeuriot@edu.esiee.fr</v>
      </c>
      <c r="G81" s="3" t="str">
        <f>IFERROR(__xludf.DUMMYFUNCTION("""COMPUTED_VALUE"""),"Recherche")</f>
        <v>Recherche</v>
      </c>
      <c r="H81" s="3" t="str">
        <f>IFERROR(__xludf.DUMMYFUNCTION("""COMPUTED_VALUE"""),"R17")</f>
        <v>R17</v>
      </c>
      <c r="I81" s="3" t="str">
        <f>IFERROR(__xludf.DUMMYFUNCTION("""COMPUTED_VALUE"""),"Concours")</f>
        <v>Concours</v>
      </c>
      <c r="J81" s="3" t="str">
        <f>IFERROR(__xludf.DUMMYFUNCTION("""COMPUTED_VALUE"""),"C1")</f>
        <v>C1</v>
      </c>
      <c r="K81" s="3" t="str">
        <f>IFERROR(__xludf.DUMMYFUNCTION("""COMPUTED_VALUE"""),"Entreprise")</f>
        <v>Entreprise</v>
      </c>
      <c r="L81" s="3" t="str">
        <f>IFERROR(__xludf.DUMMYFUNCTION("""COMPUTED_VALUE"""),"E16")</f>
        <v>E16</v>
      </c>
      <c r="M81" s="3" t="str">
        <f>IFERROR(__xludf.DUMMYFUNCTION("""COMPUTED_VALUE"""),"Concours")</f>
        <v>Concours</v>
      </c>
      <c r="N81" s="3" t="str">
        <f>IFERROR(__xludf.DUMMYFUNCTION("""COMPUTED_VALUE"""),"C2")</f>
        <v>C2</v>
      </c>
      <c r="O81" s="3" t="str">
        <f>IFERROR(__xludf.DUMMYFUNCTION("""COMPUTED_VALUE"""),"Entreprise")</f>
        <v>Entreprise</v>
      </c>
      <c r="P81" s="3" t="str">
        <f>IFERROR(__xludf.DUMMYFUNCTION("""COMPUTED_VALUE"""),"E3")</f>
        <v>E3</v>
      </c>
      <c r="Q81" s="3" t="str">
        <f>IFERROR(__xludf.DUMMYFUNCTION("""COMPUTED_VALUE"""),"Je pars au semestre 2")</f>
        <v>Je pars au semestre 2</v>
      </c>
      <c r="R81" s="3" t="str">
        <f>IFERROR(__xludf.DUMMYFUNCTION("""COMPUTED_VALUE"""),"")</f>
        <v/>
      </c>
      <c r="S81" s="11"/>
      <c r="T81" s="3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5">
        <f>IFERROR(__xludf.DUMMYFUNCTION("""COMPUTED_VALUE"""),43360.5090509838)</f>
        <v>43360.50905</v>
      </c>
      <c r="B82" s="16" t="str">
        <f>IFERROR(__xludf.DUMMYFUNCTION("""COMPUTED_VALUE"""),"")</f>
        <v/>
      </c>
      <c r="C82" s="19" t="str">
        <f>IFERROR(__xludf.DUMMYFUNCTION("""COMPUTED_VALUE"""),"GI")</f>
        <v>GI</v>
      </c>
      <c r="D82" s="20" t="str">
        <f>IFERROR(__xludf.DUMMYFUNCTION("""COMPUTED_VALUE"""),"GOMES FRANCISCO")</f>
        <v>GOMES FRANCISCO</v>
      </c>
      <c r="E82" s="20" t="str">
        <f>IFERROR(__xludf.DUMMYFUNCTION("""COMPUTED_VALUE"""),"Georges")</f>
        <v>Georges</v>
      </c>
      <c r="F82" s="20" t="str">
        <f>IFERROR(__xludf.DUMMYFUNCTION("""COMPUTED_VALUE"""),"georges.gomesfrancisco@edu.esiee.fr")</f>
        <v>georges.gomesfrancisco@edu.esiee.fr</v>
      </c>
      <c r="G82" s="22" t="str">
        <f>IFERROR(__xludf.DUMMYFUNCTION("""COMPUTED_VALUE"""),"Entrepreneuriat/Logiciel Libre")</f>
        <v>Entrepreneuriat/Logiciel Libre</v>
      </c>
      <c r="H82" s="22" t="str">
        <f>IFERROR(__xludf.DUMMYFUNCTION("""COMPUTED_VALUE"""),"")</f>
        <v/>
      </c>
      <c r="I82" s="22" t="str">
        <f>IFERROR(__xludf.DUMMYFUNCTION("""COMPUTED_VALUE"""),"")</f>
        <v/>
      </c>
      <c r="J82" s="22" t="str">
        <f>IFERROR(__xludf.DUMMYFUNCTION("""COMPUTED_VALUE"""),"")</f>
        <v/>
      </c>
      <c r="K82" s="22" t="str">
        <f>IFERROR(__xludf.DUMMYFUNCTION("""COMPUTED_VALUE"""),"")</f>
        <v/>
      </c>
      <c r="L82" s="22" t="str">
        <f>IFERROR(__xludf.DUMMYFUNCTION("""COMPUTED_VALUE"""),"")</f>
        <v/>
      </c>
      <c r="M82" s="22" t="str">
        <f>IFERROR(__xludf.DUMMYFUNCTION("""COMPUTED_VALUE"""),"")</f>
        <v/>
      </c>
      <c r="N82" s="22" t="str">
        <f>IFERROR(__xludf.DUMMYFUNCTION("""COMPUTED_VALUE"""),"")</f>
        <v/>
      </c>
      <c r="O82" s="22" t="str">
        <f>IFERROR(__xludf.DUMMYFUNCTION("""COMPUTED_VALUE"""),"")</f>
        <v/>
      </c>
      <c r="P82" s="22" t="str">
        <f>IFERROR(__xludf.DUMMYFUNCTION("""COMPUTED_VALUE"""),"")</f>
        <v/>
      </c>
      <c r="Q82" s="22" t="str">
        <f>IFERROR(__xludf.DUMMYFUNCTION("""COMPUTED_VALUE"""),"Je ne pars pas")</f>
        <v>Je ne pars pas</v>
      </c>
      <c r="R82" s="16" t="str">
        <f>IFERROR(__xludf.DUMMYFUNCTION("""COMPUTED_VALUE"""),"")</f>
        <v/>
      </c>
      <c r="S82" s="24"/>
      <c r="T82" s="19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25">
        <f>IFERROR(__xludf.DUMMYFUNCTION("""COMPUTED_VALUE"""),43360.53241702546)</f>
        <v>43360.53242</v>
      </c>
      <c r="B83" s="3" t="str">
        <f>IFERROR(__xludf.DUMMYFUNCTION("""COMPUTED_VALUE"""),"")</f>
        <v/>
      </c>
      <c r="C83" s="6" t="str">
        <f>IFERROR(__xludf.DUMMYFUNCTION("""COMPUTED_VALUE"""),"CYBER")</f>
        <v>CYBER</v>
      </c>
      <c r="D83" s="8" t="str">
        <f>IFERROR(__xludf.DUMMYFUNCTION("""COMPUTED_VALUE"""),"GONCALVES")</f>
        <v>GONCALVES</v>
      </c>
      <c r="E83" s="8" t="str">
        <f>IFERROR(__xludf.DUMMYFUNCTION("""COMPUTED_VALUE"""),"Alexandre")</f>
        <v>Alexandre</v>
      </c>
      <c r="F83" s="8" t="str">
        <f>IFERROR(__xludf.DUMMYFUNCTION("""COMPUTED_VALUE"""),"alexandre.goncalves@edu.esiee.fr")</f>
        <v>alexandre.goncalves@edu.esiee.fr</v>
      </c>
      <c r="G83" s="3" t="str">
        <f>IFERROR(__xludf.DUMMYFUNCTION("""COMPUTED_VALUE"""),"Recherche")</f>
        <v>Recherche</v>
      </c>
      <c r="H83" s="3" t="str">
        <f>IFERROR(__xludf.DUMMYFUNCTION("""COMPUTED_VALUE"""),"R4")</f>
        <v>R4</v>
      </c>
      <c r="I83" s="3" t="str">
        <f>IFERROR(__xludf.DUMMYFUNCTION("""COMPUTED_VALUE"""),"Recherche")</f>
        <v>Recherche</v>
      </c>
      <c r="J83" s="3" t="str">
        <f>IFERROR(__xludf.DUMMYFUNCTION("""COMPUTED_VALUE"""),"R9")</f>
        <v>R9</v>
      </c>
      <c r="K83" s="3" t="str">
        <f>IFERROR(__xludf.DUMMYFUNCTION("""COMPUTED_VALUE"""),"Recherche")</f>
        <v>Recherche</v>
      </c>
      <c r="L83" s="3" t="str">
        <f>IFERROR(__xludf.DUMMYFUNCTION("""COMPUTED_VALUE"""),"R19")</f>
        <v>R19</v>
      </c>
      <c r="M83" s="3" t="str">
        <f>IFERROR(__xludf.DUMMYFUNCTION("""COMPUTED_VALUE"""),"Recherche")</f>
        <v>Recherche</v>
      </c>
      <c r="N83" s="3" t="str">
        <f>IFERROR(__xludf.DUMMYFUNCTION("""COMPUTED_VALUE"""),"R8")</f>
        <v>R8</v>
      </c>
      <c r="O83" s="3" t="str">
        <f>IFERROR(__xludf.DUMMYFUNCTION("""COMPUTED_VALUE"""),"Entreprise")</f>
        <v>Entreprise</v>
      </c>
      <c r="P83" s="3" t="str">
        <f>IFERROR(__xludf.DUMMYFUNCTION("""COMPUTED_VALUE"""),"E16")</f>
        <v>E16</v>
      </c>
      <c r="Q83" s="3" t="str">
        <f>IFERROR(__xludf.DUMMYFUNCTION("""COMPUTED_VALUE"""),"Je ne pars pas")</f>
        <v>Je ne pars pas</v>
      </c>
      <c r="R83" s="3" t="str">
        <f>IFERROR(__xludf.DUMMYFUNCTION("""COMPUTED_VALUE"""),"")</f>
        <v/>
      </c>
      <c r="S83" s="11"/>
      <c r="T83" s="3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5">
        <f>IFERROR(__xludf.DUMMYFUNCTION("""COMPUTED_VALUE"""),43360.42120329861)</f>
        <v>43360.4212</v>
      </c>
      <c r="B84" s="16" t="str">
        <f>IFERROR(__xludf.DUMMYFUNCTION("""COMPUTED_VALUE"""),"")</f>
        <v/>
      </c>
      <c r="C84" s="19" t="str">
        <f>IFERROR(__xludf.DUMMYFUNCTION("""COMPUTED_VALUE"""),"SE")</f>
        <v>SE</v>
      </c>
      <c r="D84" s="20" t="str">
        <f>IFERROR(__xludf.DUMMYFUNCTION("""COMPUTED_VALUE"""),"GOUEL")</f>
        <v>GOUEL</v>
      </c>
      <c r="E84" s="20" t="str">
        <f>IFERROR(__xludf.DUMMYFUNCTION("""COMPUTED_VALUE"""),"Pierre-Vincent")</f>
        <v>Pierre-Vincent</v>
      </c>
      <c r="F84" s="20" t="str">
        <f>IFERROR(__xludf.DUMMYFUNCTION("""COMPUTED_VALUE"""),"pierre-vincent.gouel@edu.esiee.fr")</f>
        <v>pierre-vincent.gouel@edu.esiee.fr</v>
      </c>
      <c r="G84" s="22" t="str">
        <f>IFERROR(__xludf.DUMMYFUNCTION("""COMPUTED_VALUE"""),"Recherche")</f>
        <v>Recherche</v>
      </c>
      <c r="H84" s="22" t="str">
        <f>IFERROR(__xludf.DUMMYFUNCTION("""COMPUTED_VALUE"""),"R7")</f>
        <v>R7</v>
      </c>
      <c r="I84" s="22" t="str">
        <f>IFERROR(__xludf.DUMMYFUNCTION("""COMPUTED_VALUE"""),"Recherche")</f>
        <v>Recherche</v>
      </c>
      <c r="J84" s="22" t="str">
        <f>IFERROR(__xludf.DUMMYFUNCTION("""COMPUTED_VALUE"""),"R3")</f>
        <v>R3</v>
      </c>
      <c r="K84" s="22" t="str">
        <f>IFERROR(__xludf.DUMMYFUNCTION("""COMPUTED_VALUE"""),"Entreprise")</f>
        <v>Entreprise</v>
      </c>
      <c r="L84" s="22" t="str">
        <f>IFERROR(__xludf.DUMMYFUNCTION("""COMPUTED_VALUE"""),"E16")</f>
        <v>E16</v>
      </c>
      <c r="M84" s="22" t="str">
        <f>IFERROR(__xludf.DUMMYFUNCTION("""COMPUTED_VALUE"""),"Entreprise")</f>
        <v>Entreprise</v>
      </c>
      <c r="N84" s="22" t="str">
        <f>IFERROR(__xludf.DUMMYFUNCTION("""COMPUTED_VALUE"""),"E21")</f>
        <v>E21</v>
      </c>
      <c r="O84" s="22" t="str">
        <f>IFERROR(__xludf.DUMMYFUNCTION("""COMPUTED_VALUE"""),"Entreprise")</f>
        <v>Entreprise</v>
      </c>
      <c r="P84" s="22" t="str">
        <f>IFERROR(__xludf.DUMMYFUNCTION("""COMPUTED_VALUE"""),"E26")</f>
        <v>E26</v>
      </c>
      <c r="Q84" s="22" t="str">
        <f>IFERROR(__xludf.DUMMYFUNCTION("""COMPUTED_VALUE"""),"Je ne pars pas")</f>
        <v>Je ne pars pas</v>
      </c>
      <c r="R84" s="16" t="str">
        <f>IFERROR(__xludf.DUMMYFUNCTION("""COMPUTED_VALUE"""),"")</f>
        <v/>
      </c>
      <c r="S84" s="24"/>
      <c r="T84" s="19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25">
        <f>IFERROR(__xludf.DUMMYFUNCTION("""COMPUTED_VALUE"""),43360.527113923614)</f>
        <v>43360.52711</v>
      </c>
      <c r="B85" s="3" t="str">
        <f>IFERROR(__xludf.DUMMYFUNCTION("""COMPUTED_VALUE"""),"")</f>
        <v/>
      </c>
      <c r="C85" s="6" t="str">
        <f>IFERROR(__xludf.DUMMYFUNCTION("""COMPUTED_VALUE"""),"IMC")</f>
        <v>IMC</v>
      </c>
      <c r="D85" s="8" t="str">
        <f>IFERROR(__xludf.DUMMYFUNCTION("""COMPUTED_VALUE"""),"GRARE")</f>
        <v>GRARE</v>
      </c>
      <c r="E85" s="8" t="str">
        <f>IFERROR(__xludf.DUMMYFUNCTION("""COMPUTED_VALUE"""),"Laura")</f>
        <v>Laura</v>
      </c>
      <c r="F85" s="8" t="str">
        <f>IFERROR(__xludf.DUMMYFUNCTION("""COMPUTED_VALUE"""),"laura.grare@edu.esiee.fr")</f>
        <v>laura.grare@edu.esiee.fr</v>
      </c>
      <c r="G85" s="3" t="str">
        <f>IFERROR(__xludf.DUMMYFUNCTION("""COMPUTED_VALUE"""),"Entrepreneuriat/Logiciel Libre")</f>
        <v>Entrepreneuriat/Logiciel Libre</v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IFERROR(__xludf.DUMMYFUNCTION("""COMPUTED_VALUE"""),"Je ne pars pas")</f>
        <v>Je ne pars pas</v>
      </c>
      <c r="R85" s="3" t="str">
        <f>IFERROR(__xludf.DUMMYFUNCTION("""COMPUTED_VALUE"""),"")</f>
        <v/>
      </c>
      <c r="S85" s="11"/>
      <c r="T85" s="3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5">
        <f>IFERROR(__xludf.DUMMYFUNCTION("""COMPUTED_VALUE"""),43360.45858608796)</f>
        <v>43360.45859</v>
      </c>
      <c r="B86" s="16" t="str">
        <f>IFERROR(__xludf.DUMMYFUNCTION("""COMPUTED_VALUE"""),"")</f>
        <v/>
      </c>
      <c r="C86" s="19" t="str">
        <f>IFERROR(__xludf.DUMMYFUNCTION("""COMPUTED_VALUE"""),"ENE")</f>
        <v>ENE</v>
      </c>
      <c r="D86" s="20" t="str">
        <f>IFERROR(__xludf.DUMMYFUNCTION("""COMPUTED_VALUE"""),"GRIRA")</f>
        <v>GRIRA</v>
      </c>
      <c r="E86" s="20" t="str">
        <f>IFERROR(__xludf.DUMMYFUNCTION("""COMPUTED_VALUE"""),"Salem")</f>
        <v>Salem</v>
      </c>
      <c r="F86" s="20" t="str">
        <f>IFERROR(__xludf.DUMMYFUNCTION("""COMPUTED_VALUE"""),"salem.grira@edu.esiee.fr")</f>
        <v>salem.grira@edu.esiee.fr</v>
      </c>
      <c r="G86" s="22" t="str">
        <f>IFERROR(__xludf.DUMMYFUNCTION("""COMPUTED_VALUE"""),"Recherche")</f>
        <v>Recherche</v>
      </c>
      <c r="H86" s="22" t="str">
        <f>IFERROR(__xludf.DUMMYFUNCTION("""COMPUTED_VALUE"""),"R12")</f>
        <v>R12</v>
      </c>
      <c r="I86" s="22" t="str">
        <f>IFERROR(__xludf.DUMMYFUNCTION("""COMPUTED_VALUE"""),"Recherche")</f>
        <v>Recherche</v>
      </c>
      <c r="J86" s="22" t="str">
        <f>IFERROR(__xludf.DUMMYFUNCTION("""COMPUTED_VALUE"""),"R1")</f>
        <v>R1</v>
      </c>
      <c r="K86" s="22" t="str">
        <f>IFERROR(__xludf.DUMMYFUNCTION("""COMPUTED_VALUE"""),"Entreprise")</f>
        <v>Entreprise</v>
      </c>
      <c r="L86" s="22" t="str">
        <f>IFERROR(__xludf.DUMMYFUNCTION("""COMPUTED_VALUE"""),"E14")</f>
        <v>E14</v>
      </c>
      <c r="M86" s="22" t="str">
        <f>IFERROR(__xludf.DUMMYFUNCTION("""COMPUTED_VALUE"""),"Entreprise")</f>
        <v>Entreprise</v>
      </c>
      <c r="N86" s="22" t="str">
        <f>IFERROR(__xludf.DUMMYFUNCTION("""COMPUTED_VALUE"""),"E13")</f>
        <v>E13</v>
      </c>
      <c r="O86" s="22" t="str">
        <f>IFERROR(__xludf.DUMMYFUNCTION("""COMPUTED_VALUE"""),"Recherche")</f>
        <v>Recherche</v>
      </c>
      <c r="P86" s="22" t="str">
        <f>IFERROR(__xludf.DUMMYFUNCTION("""COMPUTED_VALUE"""),"R23")</f>
        <v>R23</v>
      </c>
      <c r="Q86" s="22" t="str">
        <f>IFERROR(__xludf.DUMMYFUNCTION("""COMPUTED_VALUE"""),"Je ne pars pas")</f>
        <v>Je ne pars pas</v>
      </c>
      <c r="R86" s="16" t="str">
        <f>IFERROR(__xludf.DUMMYFUNCTION("""COMPUTED_VALUE"""),"")</f>
        <v/>
      </c>
      <c r="S86" s="24"/>
      <c r="T86" s="19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25">
        <f>IFERROR(__xludf.DUMMYFUNCTION("""COMPUTED_VALUE"""),43362.41953305555)</f>
        <v>43362.41953</v>
      </c>
      <c r="B87" s="3" t="str">
        <f>IFERROR(__xludf.DUMMYFUNCTION("""COMPUTED_VALUE"""),"")</f>
        <v/>
      </c>
      <c r="C87" s="6" t="str">
        <f>IFERROR(__xludf.DUMMYFUNCTION("""COMPUTED_VALUE"""),"IMC")</f>
        <v>IMC</v>
      </c>
      <c r="D87" s="8" t="str">
        <f>IFERROR(__xludf.DUMMYFUNCTION("""COMPUTED_VALUE"""),"GUILLEMIN")</f>
        <v>GUILLEMIN</v>
      </c>
      <c r="E87" s="8" t="str">
        <f>IFERROR(__xludf.DUMMYFUNCTION("""COMPUTED_VALUE"""),"Eloi")</f>
        <v>Eloi</v>
      </c>
      <c r="F87" s="8" t="str">
        <f>IFERROR(__xludf.DUMMYFUNCTION("""COMPUTED_VALUE"""),"eloi.guillemin@edu.esiee.fr")</f>
        <v>eloi.guillemin@edu.esiee.fr</v>
      </c>
      <c r="G87" s="3" t="str">
        <f>IFERROR(__xludf.DUMMYFUNCTION("""COMPUTED_VALUE"""),"Recherche")</f>
        <v>Recherche</v>
      </c>
      <c r="H87" s="3" t="str">
        <f>IFERROR(__xludf.DUMMYFUNCTION("""COMPUTED_VALUE"""),"R11")</f>
        <v>R11</v>
      </c>
      <c r="I87" s="3" t="str">
        <f>IFERROR(__xludf.DUMMYFUNCTION("""COMPUTED_VALUE"""),"Entreprise")</f>
        <v>Entreprise</v>
      </c>
      <c r="J87" s="3" t="str">
        <f>IFERROR(__xludf.DUMMYFUNCTION("""COMPUTED_VALUE"""),"E23")</f>
        <v>E23</v>
      </c>
      <c r="K87" s="3" t="str">
        <f>IFERROR(__xludf.DUMMYFUNCTION("""COMPUTED_VALUE"""),"Entreprise")</f>
        <v>Entreprise</v>
      </c>
      <c r="L87" s="3" t="str">
        <f>IFERROR(__xludf.DUMMYFUNCTION("""COMPUTED_VALUE"""),"E22")</f>
        <v>E22</v>
      </c>
      <c r="M87" s="3" t="str">
        <f>IFERROR(__xludf.DUMMYFUNCTION("""COMPUTED_VALUE"""),"Entreprise")</f>
        <v>Entreprise</v>
      </c>
      <c r="N87" s="3" t="str">
        <f>IFERROR(__xludf.DUMMYFUNCTION("""COMPUTED_VALUE"""),"E24")</f>
        <v>E24</v>
      </c>
      <c r="O87" s="3" t="str">
        <f>IFERROR(__xludf.DUMMYFUNCTION("""COMPUTED_VALUE"""),"Recherche")</f>
        <v>Recherche</v>
      </c>
      <c r="P87" s="3" t="str">
        <f>IFERROR(__xludf.DUMMYFUNCTION("""COMPUTED_VALUE"""),"R5")</f>
        <v>R5</v>
      </c>
      <c r="Q87" s="3" t="str">
        <f>IFERROR(__xludf.DUMMYFUNCTION("""COMPUTED_VALUE"""),"Je pars au semestre 2")</f>
        <v>Je pars au semestre 2</v>
      </c>
      <c r="R87" s="3" t="str">
        <f>IFERROR(__xludf.DUMMYFUNCTION("""COMPUTED_VALUE"""),"")</f>
        <v/>
      </c>
      <c r="S87" s="11"/>
      <c r="T87" s="3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5">
        <f>IFERROR(__xludf.DUMMYFUNCTION("""COMPUTED_VALUE"""),43360.4220753125)</f>
        <v>43360.42208</v>
      </c>
      <c r="B88" s="16" t="str">
        <f>IFERROR(__xludf.DUMMYFUNCTION("""COMPUTED_VALUE"""),"")</f>
        <v/>
      </c>
      <c r="C88" s="19" t="str">
        <f>IFERROR(__xludf.DUMMYFUNCTION("""COMPUTED_VALUE"""),"SE")</f>
        <v>SE</v>
      </c>
      <c r="D88" s="20" t="str">
        <f>IFERROR(__xludf.DUMMYFUNCTION("""COMPUTED_VALUE"""),"GUINET")</f>
        <v>GUINET</v>
      </c>
      <c r="E88" s="20" t="str">
        <f>IFERROR(__xludf.DUMMYFUNCTION("""COMPUTED_VALUE"""),"Charles")</f>
        <v>Charles</v>
      </c>
      <c r="F88" s="20" t="str">
        <f>IFERROR(__xludf.DUMMYFUNCTION("""COMPUTED_VALUE"""),"charles.guinet@edu.esiee.fr")</f>
        <v>charles.guinet@edu.esiee.fr</v>
      </c>
      <c r="G88" s="22" t="str">
        <f>IFERROR(__xludf.DUMMYFUNCTION("""COMPUTED_VALUE"""),"Recherche")</f>
        <v>Recherche</v>
      </c>
      <c r="H88" s="22" t="str">
        <f>IFERROR(__xludf.DUMMYFUNCTION("""COMPUTED_VALUE"""),"R6")</f>
        <v>R6</v>
      </c>
      <c r="I88" s="22" t="str">
        <f>IFERROR(__xludf.DUMMYFUNCTION("""COMPUTED_VALUE"""),"Recherche")</f>
        <v>Recherche</v>
      </c>
      <c r="J88" s="22" t="str">
        <f>IFERROR(__xludf.DUMMYFUNCTION("""COMPUTED_VALUE"""),"R7")</f>
        <v>R7</v>
      </c>
      <c r="K88" s="22" t="str">
        <f>IFERROR(__xludf.DUMMYFUNCTION("""COMPUTED_VALUE"""),"Concours")</f>
        <v>Concours</v>
      </c>
      <c r="L88" s="22" t="str">
        <f>IFERROR(__xludf.DUMMYFUNCTION("""COMPUTED_VALUE"""),"C2")</f>
        <v>C2</v>
      </c>
      <c r="M88" s="22" t="str">
        <f>IFERROR(__xludf.DUMMYFUNCTION("""COMPUTED_VALUE"""),"Recherche")</f>
        <v>Recherche</v>
      </c>
      <c r="N88" s="22" t="str">
        <f>IFERROR(__xludf.DUMMYFUNCTION("""COMPUTED_VALUE"""),"R11")</f>
        <v>R11</v>
      </c>
      <c r="O88" s="22" t="str">
        <f>IFERROR(__xludf.DUMMYFUNCTION("""COMPUTED_VALUE"""),"Concours")</f>
        <v>Concours</v>
      </c>
      <c r="P88" s="22" t="str">
        <f>IFERROR(__xludf.DUMMYFUNCTION("""COMPUTED_VALUE"""),"C1")</f>
        <v>C1</v>
      </c>
      <c r="Q88" s="22" t="str">
        <f>IFERROR(__xludf.DUMMYFUNCTION("""COMPUTED_VALUE"""),"Je ne pars pas")</f>
        <v>Je ne pars pas</v>
      </c>
      <c r="R88" s="16" t="str">
        <f>IFERROR(__xludf.DUMMYFUNCTION("""COMPUTED_VALUE"""),"")</f>
        <v/>
      </c>
      <c r="S88" s="24"/>
      <c r="T88" s="19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25">
        <f>IFERROR(__xludf.DUMMYFUNCTION("""COMPUTED_VALUE"""),43360.42302667824)</f>
        <v>43360.42303</v>
      </c>
      <c r="B89" s="3" t="str">
        <f>IFERROR(__xludf.DUMMYFUNCTION("""COMPUTED_VALUE"""),"")</f>
        <v/>
      </c>
      <c r="C89" s="6" t="str">
        <f>IFERROR(__xludf.DUMMYFUNCTION("""COMPUTED_VALUE"""),"SE")</f>
        <v>SE</v>
      </c>
      <c r="D89" s="8" t="str">
        <f>IFERROR(__xludf.DUMMYFUNCTION("""COMPUTED_VALUE"""),"GUMILA")</f>
        <v>GUMILA</v>
      </c>
      <c r="E89" s="8" t="str">
        <f>IFERROR(__xludf.DUMMYFUNCTION("""COMPUTED_VALUE"""),"Pierre")</f>
        <v>Pierre</v>
      </c>
      <c r="F89" s="8" t="str">
        <f>IFERROR(__xludf.DUMMYFUNCTION("""COMPUTED_VALUE"""),"pierre.gumila@edu.esiee.fr")</f>
        <v>pierre.gumila@edu.esiee.fr</v>
      </c>
      <c r="G89" s="3" t="str">
        <f>IFERROR(__xludf.DUMMYFUNCTION("""COMPUTED_VALUE"""),"Entreprise")</f>
        <v>Entreprise</v>
      </c>
      <c r="H89" s="3" t="str">
        <f>IFERROR(__xludf.DUMMYFUNCTION("""COMPUTED_VALUE"""),"E16")</f>
        <v>E16</v>
      </c>
      <c r="I89" s="3" t="str">
        <f>IFERROR(__xludf.DUMMYFUNCTION("""COMPUTED_VALUE"""),"Recherche")</f>
        <v>Recherche</v>
      </c>
      <c r="J89" s="3" t="str">
        <f>IFERROR(__xludf.DUMMYFUNCTION("""COMPUTED_VALUE"""),"R13")</f>
        <v>R13</v>
      </c>
      <c r="K89" s="3" t="str">
        <f>IFERROR(__xludf.DUMMYFUNCTION("""COMPUTED_VALUE"""),"Recherche")</f>
        <v>Recherche</v>
      </c>
      <c r="L89" s="3" t="str">
        <f>IFERROR(__xludf.DUMMYFUNCTION("""COMPUTED_VALUE"""),"R5")</f>
        <v>R5</v>
      </c>
      <c r="M89" s="3" t="str">
        <f>IFERROR(__xludf.DUMMYFUNCTION("""COMPUTED_VALUE"""),"Recherche")</f>
        <v>Recherche</v>
      </c>
      <c r="N89" s="3" t="str">
        <f>IFERROR(__xludf.DUMMYFUNCTION("""COMPUTED_VALUE"""),"R3")</f>
        <v>R3</v>
      </c>
      <c r="O89" s="3" t="str">
        <f>IFERROR(__xludf.DUMMYFUNCTION("""COMPUTED_VALUE"""),"Entreprise")</f>
        <v>Entreprise</v>
      </c>
      <c r="P89" s="3" t="str">
        <f>IFERROR(__xludf.DUMMYFUNCTION("""COMPUTED_VALUE"""),"E3")</f>
        <v>E3</v>
      </c>
      <c r="Q89" s="3" t="str">
        <f>IFERROR(__xludf.DUMMYFUNCTION("""COMPUTED_VALUE"""),"Je ne pars pas")</f>
        <v>Je ne pars pas</v>
      </c>
      <c r="R89" s="3" t="str">
        <f>IFERROR(__xludf.DUMMYFUNCTION("""COMPUTED_VALUE"""),"")</f>
        <v/>
      </c>
      <c r="S89" s="11"/>
      <c r="T89" s="3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5">
        <f>IFERROR(__xludf.DUMMYFUNCTION("""COMPUTED_VALUE"""),43361.454137824076)</f>
        <v>43361.45414</v>
      </c>
      <c r="B90" s="16" t="str">
        <f>IFERROR(__xludf.DUMMYFUNCTION("""COMPUTED_VALUE"""),"")</f>
        <v/>
      </c>
      <c r="C90" s="19" t="str">
        <f>IFERROR(__xludf.DUMMYFUNCTION("""COMPUTED_VALUE"""),"IME")</f>
        <v>IME</v>
      </c>
      <c r="D90" s="20" t="str">
        <f>IFERROR(__xludf.DUMMYFUNCTION("""COMPUTED_VALUE"""),"HABIB")</f>
        <v>HABIB</v>
      </c>
      <c r="E90" s="20" t="str">
        <f>IFERROR(__xludf.DUMMYFUNCTION("""COMPUTED_VALUE"""),"Jimmy")</f>
        <v>Jimmy</v>
      </c>
      <c r="F90" s="20" t="str">
        <f>IFERROR(__xludf.DUMMYFUNCTION("""COMPUTED_VALUE"""),"jimmy.habib@edu.esiee.fr")</f>
        <v>jimmy.habib@edu.esiee.fr</v>
      </c>
      <c r="G90" s="22" t="str">
        <f>IFERROR(__xludf.DUMMYFUNCTION("""COMPUTED_VALUE"""),"Recherche")</f>
        <v>Recherche</v>
      </c>
      <c r="H90" s="22" t="str">
        <f>IFERROR(__xludf.DUMMYFUNCTION("""COMPUTED_VALUE"""),"R22")</f>
        <v>R22</v>
      </c>
      <c r="I90" s="22" t="str">
        <f>IFERROR(__xludf.DUMMYFUNCTION("""COMPUTED_VALUE"""),"Entreprise")</f>
        <v>Entreprise</v>
      </c>
      <c r="J90" s="22" t="str">
        <f>IFERROR(__xludf.DUMMYFUNCTION("""COMPUTED_VALUE"""),"E26")</f>
        <v>E26</v>
      </c>
      <c r="K90" s="22" t="str">
        <f>IFERROR(__xludf.DUMMYFUNCTION("""COMPUTED_VALUE"""),"Concours")</f>
        <v>Concours</v>
      </c>
      <c r="L90" s="22" t="str">
        <f>IFERROR(__xludf.DUMMYFUNCTION("""COMPUTED_VALUE"""),"C3")</f>
        <v>C3</v>
      </c>
      <c r="M90" s="22" t="str">
        <f>IFERROR(__xludf.DUMMYFUNCTION("""COMPUTED_VALUE"""),"Recherche")</f>
        <v>Recherche</v>
      </c>
      <c r="N90" s="22" t="str">
        <f>IFERROR(__xludf.DUMMYFUNCTION("""COMPUTED_VALUE"""),"R18")</f>
        <v>R18</v>
      </c>
      <c r="O90" s="22" t="str">
        <f>IFERROR(__xludf.DUMMYFUNCTION("""COMPUTED_VALUE"""),"Recherche")</f>
        <v>Recherche</v>
      </c>
      <c r="P90" s="22" t="str">
        <f>IFERROR(__xludf.DUMMYFUNCTION("""COMPUTED_VALUE"""),"R5")</f>
        <v>R5</v>
      </c>
      <c r="Q90" s="22" t="str">
        <f>IFERROR(__xludf.DUMMYFUNCTION("""COMPUTED_VALUE"""),"Je pars au semestre 1")</f>
        <v>Je pars au semestre 1</v>
      </c>
      <c r="R90" s="16" t="str">
        <f>IFERROR(__xludf.DUMMYFUNCTION("""COMPUTED_VALUE"""),"")</f>
        <v/>
      </c>
      <c r="S90" s="24"/>
      <c r="T90" s="19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25">
        <f>IFERROR(__xludf.DUMMYFUNCTION("""COMPUTED_VALUE"""),43360.576304594906)</f>
        <v>43360.5763</v>
      </c>
      <c r="B91" s="3" t="str">
        <f>IFERROR(__xludf.DUMMYFUNCTION("""COMPUTED_VALUE"""),"")</f>
        <v/>
      </c>
      <c r="C91" s="6" t="str">
        <f>IFERROR(__xludf.DUMMYFUNCTION("""COMPUTED_VALUE"""),"DSIA")</f>
        <v>DSIA</v>
      </c>
      <c r="D91" s="8" t="str">
        <f>IFERROR(__xludf.DUMMYFUNCTION("""COMPUTED_VALUE"""),"HAIOUN")</f>
        <v>HAIOUN</v>
      </c>
      <c r="E91" s="8" t="str">
        <f>IFERROR(__xludf.DUMMYFUNCTION("""COMPUTED_VALUE"""),"Jérémie")</f>
        <v>Jérémie</v>
      </c>
      <c r="F91" s="8" t="str">
        <f>IFERROR(__xludf.DUMMYFUNCTION("""COMPUTED_VALUE"""),"jeremie.haioun@edu.esiee.fr")</f>
        <v>jeremie.haioun@edu.esiee.fr</v>
      </c>
      <c r="G91" s="3" t="str">
        <f>IFERROR(__xludf.DUMMYFUNCTION("""COMPUTED_VALUE"""),"Concours")</f>
        <v>Concours</v>
      </c>
      <c r="H91" s="3" t="str">
        <f>IFERROR(__xludf.DUMMYFUNCTION("""COMPUTED_VALUE"""),"C4")</f>
        <v>C4</v>
      </c>
      <c r="I91" s="3" t="str">
        <f>IFERROR(__xludf.DUMMYFUNCTION("""COMPUTED_VALUE"""),"Entreprise")</f>
        <v>Entreprise</v>
      </c>
      <c r="J91" s="3" t="str">
        <f>IFERROR(__xludf.DUMMYFUNCTION("""COMPUTED_VALUE"""),"E7")</f>
        <v>E7</v>
      </c>
      <c r="K91" s="3" t="str">
        <f>IFERROR(__xludf.DUMMYFUNCTION("""COMPUTED_VALUE"""),"Entreprise")</f>
        <v>Entreprise</v>
      </c>
      <c r="L91" s="3" t="str">
        <f>IFERROR(__xludf.DUMMYFUNCTION("""COMPUTED_VALUE"""),"E4")</f>
        <v>E4</v>
      </c>
      <c r="M91" s="3" t="str">
        <f>IFERROR(__xludf.DUMMYFUNCTION("""COMPUTED_VALUE"""),"Recherche")</f>
        <v>Recherche</v>
      </c>
      <c r="N91" s="3" t="str">
        <f>IFERROR(__xludf.DUMMYFUNCTION("""COMPUTED_VALUE"""),"R25")</f>
        <v>R25</v>
      </c>
      <c r="O91" s="3" t="str">
        <f>IFERROR(__xludf.DUMMYFUNCTION("""COMPUTED_VALUE"""),"Entreprise")</f>
        <v>Entreprise</v>
      </c>
      <c r="P91" s="3" t="str">
        <f>IFERROR(__xludf.DUMMYFUNCTION("""COMPUTED_VALUE"""),"E24")</f>
        <v>E24</v>
      </c>
      <c r="Q91" s="3" t="str">
        <f>IFERROR(__xludf.DUMMYFUNCTION("""COMPUTED_VALUE"""),"Je pars au semestre 2")</f>
        <v>Je pars au semestre 2</v>
      </c>
      <c r="R91" s="3" t="str">
        <f>IFERROR(__xludf.DUMMYFUNCTION("""COMPUTED_VALUE"""),"")</f>
        <v/>
      </c>
      <c r="S91" s="11"/>
      <c r="T91" s="3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29">
        <f>IFERROR(__xludf.DUMMYFUNCTION("""COMPUTED_VALUE"""),43360.41780388889)</f>
        <v>43360.4178</v>
      </c>
      <c r="B92" s="16" t="str">
        <f>IFERROR(__xludf.DUMMYFUNCTION("""COMPUTED_VALUE"""),"")</f>
        <v/>
      </c>
      <c r="C92" s="19" t="str">
        <f>IFERROR(__xludf.DUMMYFUNCTION("""COMPUTED_VALUE"""),"DSIA")</f>
        <v>DSIA</v>
      </c>
      <c r="D92" s="20" t="str">
        <f>IFERROR(__xludf.DUMMYFUNCTION("""COMPUTED_VALUE"""),"HAMANI")</f>
        <v>HAMANI</v>
      </c>
      <c r="E92" s="20" t="str">
        <f>IFERROR(__xludf.DUMMYFUNCTION("""COMPUTED_VALUE"""),"Chams")</f>
        <v>Chams</v>
      </c>
      <c r="F92" s="20" t="str">
        <f>IFERROR(__xludf.DUMMYFUNCTION("""COMPUTED_VALUE"""),"chams.hamami@edu.esiee.fr")</f>
        <v>chams.hamami@edu.esiee.fr</v>
      </c>
      <c r="G92" s="22" t="str">
        <f>IFERROR(__xludf.DUMMYFUNCTION("""COMPUTED_VALUE"""),"Entreprise")</f>
        <v>Entreprise</v>
      </c>
      <c r="H92" s="22" t="str">
        <f>IFERROR(__xludf.DUMMYFUNCTION("""COMPUTED_VALUE"""),"E24")</f>
        <v>E24</v>
      </c>
      <c r="I92" s="22" t="str">
        <f>IFERROR(__xludf.DUMMYFUNCTION("""COMPUTED_VALUE"""),"Entreprise")</f>
        <v>Entreprise</v>
      </c>
      <c r="J92" s="22" t="str">
        <f>IFERROR(__xludf.DUMMYFUNCTION("""COMPUTED_VALUE"""),"E21")</f>
        <v>E21</v>
      </c>
      <c r="K92" s="22" t="str">
        <f>IFERROR(__xludf.DUMMYFUNCTION("""COMPUTED_VALUE"""),"Entreprise")</f>
        <v>Entreprise</v>
      </c>
      <c r="L92" s="22" t="str">
        <f>IFERROR(__xludf.DUMMYFUNCTION("""COMPUTED_VALUE"""),"E19")</f>
        <v>E19</v>
      </c>
      <c r="M92" s="22" t="str">
        <f>IFERROR(__xludf.DUMMYFUNCTION("""COMPUTED_VALUE"""),"Entreprise")</f>
        <v>Entreprise</v>
      </c>
      <c r="N92" s="22" t="str">
        <f>IFERROR(__xludf.DUMMYFUNCTION("""COMPUTED_VALUE"""),"E7")</f>
        <v>E7</v>
      </c>
      <c r="O92" s="22" t="str">
        <f>IFERROR(__xludf.DUMMYFUNCTION("""COMPUTED_VALUE"""),"Recherche")</f>
        <v>Recherche</v>
      </c>
      <c r="P92" s="22" t="str">
        <f>IFERROR(__xludf.DUMMYFUNCTION("""COMPUTED_VALUE"""),"R13")</f>
        <v>R13</v>
      </c>
      <c r="Q92" s="22" t="str">
        <f>IFERROR(__xludf.DUMMYFUNCTION("""COMPUTED_VALUE"""),"Je ne pars pas")</f>
        <v>Je ne pars pas</v>
      </c>
      <c r="R92" s="16" t="str">
        <f>IFERROR(__xludf.DUMMYFUNCTION("""COMPUTED_VALUE"""),"")</f>
        <v/>
      </c>
      <c r="S92" s="24"/>
      <c r="T92" s="19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25" t="str">
        <f>IFERROR(__xludf.DUMMYFUNCTION("""COMPUTED_VALUE"""),"")</f>
        <v/>
      </c>
      <c r="B93" s="3" t="str">
        <f>IFERROR(__xludf.DUMMYFUNCTION("""COMPUTED_VALUE"""),"")</f>
        <v/>
      </c>
      <c r="C93" s="6" t="str">
        <f>IFERROR(__xludf.DUMMYFUNCTION("""COMPUTED_VALUE"""),"BIO")</f>
        <v>BIO</v>
      </c>
      <c r="D93" s="8" t="str">
        <f>IFERROR(__xludf.DUMMYFUNCTION("""COMPUTED_VALUE"""),"HAMDANE")</f>
        <v>HAMDANE</v>
      </c>
      <c r="E93" s="8" t="str">
        <f>IFERROR(__xludf.DUMMYFUNCTION("""COMPUTED_VALUE"""),"Cinda")</f>
        <v>Cinda</v>
      </c>
      <c r="F93" s="8" t="str">
        <f>IFERROR(__xludf.DUMMYFUNCTION("""COMPUTED_VALUE"""),"cinda.hamdane@edu.esiee.fr")</f>
        <v>cinda.hamdane@edu.esiee.fr</v>
      </c>
      <c r="G93" s="3" t="str">
        <f>IFERROR(__xludf.DUMMYFUNCTION("""COMPUTED_VALUE"""),"entreprise")</f>
        <v>entreprise</v>
      </c>
      <c r="H93" s="3" t="str">
        <f>IFERROR(__xludf.DUMMYFUNCTION("""COMPUTED_VALUE"""),"E1")</f>
        <v>E1</v>
      </c>
      <c r="I93" s="3" t="str">
        <f>IFERROR(__xludf.DUMMYFUNCTION("""COMPUTED_VALUE"""),"recherche")</f>
        <v>recherche</v>
      </c>
      <c r="J93" s="3" t="str">
        <f>IFERROR(__xludf.DUMMYFUNCTION("""COMPUTED_VALUE"""),"R24")</f>
        <v>R24</v>
      </c>
      <c r="K93" s="3" t="str">
        <f>IFERROR(__xludf.DUMMYFUNCTION("""COMPUTED_VALUE"""),"recherche")</f>
        <v>recherche</v>
      </c>
      <c r="L93" s="3" t="str">
        <f>IFERROR(__xludf.DUMMYFUNCTION("""COMPUTED_VALUE"""),"R2")</f>
        <v>R2</v>
      </c>
      <c r="M93" s="3" t="str">
        <f>IFERROR(__xludf.DUMMYFUNCTION("""COMPUTED_VALUE"""),"entreprise")</f>
        <v>entreprise</v>
      </c>
      <c r="N93" s="3" t="str">
        <f>IFERROR(__xludf.DUMMYFUNCTION("""COMPUTED_VALUE"""),"E15")</f>
        <v>E15</v>
      </c>
      <c r="O93" s="3" t="str">
        <f>IFERROR(__xludf.DUMMYFUNCTION("""COMPUTED_VALUE"""),"recherche")</f>
        <v>recherche</v>
      </c>
      <c r="P93" s="3" t="str">
        <f>IFERROR(__xludf.DUMMYFUNCTION("""COMPUTED_VALUE"""),"R3")</f>
        <v>R3</v>
      </c>
      <c r="Q93" s="3" t="str">
        <f>IFERROR(__xludf.DUMMYFUNCTION("""COMPUTED_VALUE"""),"Je ne pars pas")</f>
        <v>Je ne pars pas</v>
      </c>
      <c r="R93" s="3" t="str">
        <f>IFERROR(__xludf.DUMMYFUNCTION("""COMPUTED_VALUE"""),"")</f>
        <v/>
      </c>
      <c r="S93" s="11"/>
      <c r="T93" s="3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5">
        <f>IFERROR(__xludf.DUMMYFUNCTION("""COMPUTED_VALUE"""),43360.523169340275)</f>
        <v>43360.52317</v>
      </c>
      <c r="B94" s="16" t="str">
        <f>IFERROR(__xludf.DUMMYFUNCTION("""COMPUTED_VALUE"""),"")</f>
        <v/>
      </c>
      <c r="C94" s="19" t="str">
        <f>IFERROR(__xludf.DUMMYFUNCTION("""COMPUTED_VALUE"""),"GI")</f>
        <v>GI</v>
      </c>
      <c r="D94" s="20" t="str">
        <f>IFERROR(__xludf.DUMMYFUNCTION("""COMPUTED_VALUE"""),"HAMOURI")</f>
        <v>HAMOURI</v>
      </c>
      <c r="E94" s="20" t="str">
        <f>IFERROR(__xludf.DUMMYFUNCTION("""COMPUTED_VALUE"""),"Morad")</f>
        <v>Morad</v>
      </c>
      <c r="F94" s="20" t="str">
        <f>IFERROR(__xludf.DUMMYFUNCTION("""COMPUTED_VALUE"""),"morad.hamouri@edu.esiee.fr")</f>
        <v>morad.hamouri@edu.esiee.fr</v>
      </c>
      <c r="G94" s="22" t="str">
        <f>IFERROR(__xludf.DUMMYFUNCTION("""COMPUTED_VALUE"""),"Recherche")</f>
        <v>Recherche</v>
      </c>
      <c r="H94" s="22" t="str">
        <f>IFERROR(__xludf.DUMMYFUNCTION("""COMPUTED_VALUE"""),"R32")</f>
        <v>R32</v>
      </c>
      <c r="I94" s="22" t="str">
        <f>IFERROR(__xludf.DUMMYFUNCTION("""COMPUTED_VALUE"""),"Entreprise")</f>
        <v>Entreprise</v>
      </c>
      <c r="J94" s="22" t="str">
        <f>IFERROR(__xludf.DUMMYFUNCTION("""COMPUTED_VALUE"""),"E10")</f>
        <v>E10</v>
      </c>
      <c r="K94" s="22" t="str">
        <f>IFERROR(__xludf.DUMMYFUNCTION("""COMPUTED_VALUE"""),"Recherche")</f>
        <v>Recherche</v>
      </c>
      <c r="L94" s="22" t="str">
        <f>IFERROR(__xludf.DUMMYFUNCTION("""COMPUTED_VALUE"""),"R24")</f>
        <v>R24</v>
      </c>
      <c r="M94" s="22" t="str">
        <f>IFERROR(__xludf.DUMMYFUNCTION("""COMPUTED_VALUE"""),"Recherche")</f>
        <v>Recherche</v>
      </c>
      <c r="N94" s="22" t="str">
        <f>IFERROR(__xludf.DUMMYFUNCTION("""COMPUTED_VALUE"""),"R31")</f>
        <v>R31</v>
      </c>
      <c r="O94" s="22" t="str">
        <f>IFERROR(__xludf.DUMMYFUNCTION("""COMPUTED_VALUE"""),"Concours")</f>
        <v>Concours</v>
      </c>
      <c r="P94" s="22" t="str">
        <f>IFERROR(__xludf.DUMMYFUNCTION("""COMPUTED_VALUE"""),"C1")</f>
        <v>C1</v>
      </c>
      <c r="Q94" s="22" t="str">
        <f>IFERROR(__xludf.DUMMYFUNCTION("""COMPUTED_VALUE"""),"Je ne pars pas")</f>
        <v>Je ne pars pas</v>
      </c>
      <c r="R94" s="16" t="str">
        <f>IFERROR(__xludf.DUMMYFUNCTION("""COMPUTED_VALUE"""),"")</f>
        <v/>
      </c>
      <c r="S94" s="24"/>
      <c r="T94" s="19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25">
        <f>IFERROR(__xludf.DUMMYFUNCTION("""COMPUTED_VALUE"""),43360.434397164354)</f>
        <v>43360.4344</v>
      </c>
      <c r="B95" s="3" t="str">
        <f>IFERROR(__xludf.DUMMYFUNCTION("""COMPUTED_VALUE"""),"")</f>
        <v/>
      </c>
      <c r="C95" s="6" t="str">
        <f>IFERROR(__xludf.DUMMYFUNCTION("""COMPUTED_VALUE"""),"INF")</f>
        <v>INF</v>
      </c>
      <c r="D95" s="8" t="str">
        <f>IFERROR(__xludf.DUMMYFUNCTION("""COMPUTED_VALUE"""),"HEURTEBIZE")</f>
        <v>HEURTEBIZE</v>
      </c>
      <c r="E95" s="8" t="str">
        <f>IFERROR(__xludf.DUMMYFUNCTION("""COMPUTED_VALUE"""),"Théo")</f>
        <v>Théo</v>
      </c>
      <c r="F95" s="8" t="str">
        <f>IFERROR(__xludf.DUMMYFUNCTION("""COMPUTED_VALUE"""),"theo.heurtebize@edu.esiee.fr")</f>
        <v>theo.heurtebize@edu.esiee.fr</v>
      </c>
      <c r="G95" s="3" t="str">
        <f>IFERROR(__xludf.DUMMYFUNCTION("""COMPUTED_VALUE"""),"Entreprise")</f>
        <v>Entreprise</v>
      </c>
      <c r="H95" s="3" t="str">
        <f>IFERROR(__xludf.DUMMYFUNCTION("""COMPUTED_VALUE"""),"E16")</f>
        <v>E16</v>
      </c>
      <c r="I95" s="3" t="str">
        <f>IFERROR(__xludf.DUMMYFUNCTION("""COMPUTED_VALUE"""),"Recherche")</f>
        <v>Recherche</v>
      </c>
      <c r="J95" s="3" t="str">
        <f>IFERROR(__xludf.DUMMYFUNCTION("""COMPUTED_VALUE"""),"R13")</f>
        <v>R13</v>
      </c>
      <c r="K95" s="3" t="str">
        <f>IFERROR(__xludf.DUMMYFUNCTION("""COMPUTED_VALUE"""),"Entreprise")</f>
        <v>Entreprise</v>
      </c>
      <c r="L95" s="3" t="str">
        <f>IFERROR(__xludf.DUMMYFUNCTION("""COMPUTED_VALUE"""),"E2")</f>
        <v>E2</v>
      </c>
      <c r="M95" s="3" t="str">
        <f>IFERROR(__xludf.DUMMYFUNCTION("""COMPUTED_VALUE"""),"Recherche")</f>
        <v>Recherche</v>
      </c>
      <c r="N95" s="3" t="str">
        <f>IFERROR(__xludf.DUMMYFUNCTION("""COMPUTED_VALUE"""),"R25")</f>
        <v>R25</v>
      </c>
      <c r="O95" s="3" t="str">
        <f>IFERROR(__xludf.DUMMYFUNCTION("""COMPUTED_VALUE"""),"Entreprise")</f>
        <v>Entreprise</v>
      </c>
      <c r="P95" s="3" t="str">
        <f>IFERROR(__xludf.DUMMYFUNCTION("""COMPUTED_VALUE"""),"E5")</f>
        <v>E5</v>
      </c>
      <c r="Q95" s="3" t="str">
        <f>IFERROR(__xludf.DUMMYFUNCTION("""COMPUTED_VALUE"""),"Je pars au semestre 1")</f>
        <v>Je pars au semestre 1</v>
      </c>
      <c r="R95" s="3" t="str">
        <f>IFERROR(__xludf.DUMMYFUNCTION("""COMPUTED_VALUE"""),"")</f>
        <v/>
      </c>
      <c r="S95" s="11"/>
      <c r="T95" s="3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5">
        <f>IFERROR(__xludf.DUMMYFUNCTION("""COMPUTED_VALUE"""),43362.41922334491)</f>
        <v>43362.41922</v>
      </c>
      <c r="B96" s="16" t="str">
        <f>IFERROR(__xludf.DUMMYFUNCTION("""COMPUTED_VALUE"""),"")</f>
        <v/>
      </c>
      <c r="C96" s="19" t="str">
        <f>IFERROR(__xludf.DUMMYFUNCTION("""COMPUTED_VALUE"""),"IMC")</f>
        <v>IMC</v>
      </c>
      <c r="D96" s="20" t="str">
        <f>IFERROR(__xludf.DUMMYFUNCTION("""COMPUTED_VALUE"""),"HOSSEINI")</f>
        <v>HOSSEINI</v>
      </c>
      <c r="E96" s="20" t="str">
        <f>IFERROR(__xludf.DUMMYFUNCTION("""COMPUTED_VALUE"""),"Sahar")</f>
        <v>Sahar</v>
      </c>
      <c r="F96" s="20" t="str">
        <f>IFERROR(__xludf.DUMMYFUNCTION("""COMPUTED_VALUE"""),"sahar.hosseini@edu.esiee.fr")</f>
        <v>sahar.hosseini@edu.esiee.fr</v>
      </c>
      <c r="G96" s="22" t="str">
        <f>IFERROR(__xludf.DUMMYFUNCTION("""COMPUTED_VALUE"""),"Recherche")</f>
        <v>Recherche</v>
      </c>
      <c r="H96" s="22" t="str">
        <f>IFERROR(__xludf.DUMMYFUNCTION("""COMPUTED_VALUE"""),"LL1")</f>
        <v>LL1</v>
      </c>
      <c r="I96" s="22" t="str">
        <f>IFERROR(__xludf.DUMMYFUNCTION("""COMPUTED_VALUE"""),"Recherche")</f>
        <v>Recherche</v>
      </c>
      <c r="J96" s="22" t="str">
        <f>IFERROR(__xludf.DUMMYFUNCTION("""COMPUTED_VALUE"""),"R27")</f>
        <v>R27</v>
      </c>
      <c r="K96" s="22" t="str">
        <f>IFERROR(__xludf.DUMMYFUNCTION("""COMPUTED_VALUE"""),"Recherche")</f>
        <v>Recherche</v>
      </c>
      <c r="L96" s="22" t="str">
        <f>IFERROR(__xludf.DUMMYFUNCTION("""COMPUTED_VALUE"""),"R28")</f>
        <v>R28</v>
      </c>
      <c r="M96" s="22" t="str">
        <f>IFERROR(__xludf.DUMMYFUNCTION("""COMPUTED_VALUE"""),"Recherche")</f>
        <v>Recherche</v>
      </c>
      <c r="N96" s="22" t="str">
        <f>IFERROR(__xludf.DUMMYFUNCTION("""COMPUTED_VALUE"""),"R29")</f>
        <v>R29</v>
      </c>
      <c r="O96" s="22" t="str">
        <f>IFERROR(__xludf.DUMMYFUNCTION("""COMPUTED_VALUE"""),"Recherche")</f>
        <v>Recherche</v>
      </c>
      <c r="P96" s="22" t="str">
        <f>IFERROR(__xludf.DUMMYFUNCTION("""COMPUTED_VALUE"""),"R30")</f>
        <v>R30</v>
      </c>
      <c r="Q96" s="22" t="str">
        <f>IFERROR(__xludf.DUMMYFUNCTION("""COMPUTED_VALUE"""),"Je ne pars pas")</f>
        <v>Je ne pars pas</v>
      </c>
      <c r="R96" s="16" t="str">
        <f>IFERROR(__xludf.DUMMYFUNCTION("""COMPUTED_VALUE"""),"")</f>
        <v/>
      </c>
      <c r="S96" s="24"/>
      <c r="T96" s="19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25">
        <f>IFERROR(__xludf.DUMMYFUNCTION("""COMPUTED_VALUE"""),43360.576213611115)</f>
        <v>43360.57621</v>
      </c>
      <c r="B97" s="3" t="str">
        <f>IFERROR(__xludf.DUMMYFUNCTION("""COMPUTED_VALUE"""),"")</f>
        <v/>
      </c>
      <c r="C97" s="6" t="str">
        <f>IFERROR(__xludf.DUMMYFUNCTION("""COMPUTED_VALUE"""),"DSIA")</f>
        <v>DSIA</v>
      </c>
      <c r="D97" s="8" t="str">
        <f>IFERROR(__xludf.DUMMYFUNCTION("""COMPUTED_VALUE"""),"HULIN")</f>
        <v>HULIN</v>
      </c>
      <c r="E97" s="8" t="str">
        <f>IFERROR(__xludf.DUMMYFUNCTION("""COMPUTED_VALUE"""),"Baptiste")</f>
        <v>Baptiste</v>
      </c>
      <c r="F97" s="8" t="str">
        <f>IFERROR(__xludf.DUMMYFUNCTION("""COMPUTED_VALUE"""),"baptiste.hulin@edu.esiee.fr")</f>
        <v>baptiste.hulin@edu.esiee.fr</v>
      </c>
      <c r="G97" s="3" t="str">
        <f>IFERROR(__xludf.DUMMYFUNCTION("""COMPUTED_VALUE"""),"Concours")</f>
        <v>Concours</v>
      </c>
      <c r="H97" s="3" t="str">
        <f>IFERROR(__xludf.DUMMYFUNCTION("""COMPUTED_VALUE"""),"C4")</f>
        <v>C4</v>
      </c>
      <c r="I97" s="3" t="str">
        <f>IFERROR(__xludf.DUMMYFUNCTION("""COMPUTED_VALUE"""),"Entreprise")</f>
        <v>Entreprise</v>
      </c>
      <c r="J97" s="3" t="str">
        <f>IFERROR(__xludf.DUMMYFUNCTION("""COMPUTED_VALUE"""),"E7")</f>
        <v>E7</v>
      </c>
      <c r="K97" s="3" t="str">
        <f>IFERROR(__xludf.DUMMYFUNCTION("""COMPUTED_VALUE"""),"Entreprise")</f>
        <v>Entreprise</v>
      </c>
      <c r="L97" s="3" t="str">
        <f>IFERROR(__xludf.DUMMYFUNCTION("""COMPUTED_VALUE"""),"E4")</f>
        <v>E4</v>
      </c>
      <c r="M97" s="3" t="str">
        <f>IFERROR(__xludf.DUMMYFUNCTION("""COMPUTED_VALUE"""),"Recherche")</f>
        <v>Recherche</v>
      </c>
      <c r="N97" s="3" t="str">
        <f>IFERROR(__xludf.DUMMYFUNCTION("""COMPUTED_VALUE"""),"R25")</f>
        <v>R25</v>
      </c>
      <c r="O97" s="3" t="str">
        <f>IFERROR(__xludf.DUMMYFUNCTION("""COMPUTED_VALUE"""),"Entreprise")</f>
        <v>Entreprise</v>
      </c>
      <c r="P97" s="3" t="str">
        <f>IFERROR(__xludf.DUMMYFUNCTION("""COMPUTED_VALUE"""),"E24")</f>
        <v>E24</v>
      </c>
      <c r="Q97" s="3" t="str">
        <f>IFERROR(__xludf.DUMMYFUNCTION("""COMPUTED_VALUE"""),"Je pars au semestre 2")</f>
        <v>Je pars au semestre 2</v>
      </c>
      <c r="R97" s="3" t="str">
        <f>IFERROR(__xludf.DUMMYFUNCTION("""COMPUTED_VALUE"""),"")</f>
        <v/>
      </c>
      <c r="S97" s="11"/>
      <c r="T97" s="3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5">
        <f>IFERROR(__xludf.DUMMYFUNCTION("""COMPUTED_VALUE"""),43360.58038670139)</f>
        <v>43360.58039</v>
      </c>
      <c r="B98" s="16" t="str">
        <f>IFERROR(__xludf.DUMMYFUNCTION("""COMPUTED_VALUE"""),"")</f>
        <v/>
      </c>
      <c r="C98" s="19" t="str">
        <f>IFERROR(__xludf.DUMMYFUNCTION("""COMPUTED_VALUE"""),"BIO")</f>
        <v>BIO</v>
      </c>
      <c r="D98" s="20" t="str">
        <f>IFERROR(__xludf.DUMMYFUNCTION("""COMPUTED_VALUE"""),"IAKIMOV")</f>
        <v>IAKIMOV</v>
      </c>
      <c r="E98" s="20" t="str">
        <f>IFERROR(__xludf.DUMMYFUNCTION("""COMPUTED_VALUE"""),"Valentino")</f>
        <v>Valentino</v>
      </c>
      <c r="F98" s="20" t="str">
        <f>IFERROR(__xludf.DUMMYFUNCTION("""COMPUTED_VALUE"""),"valentino.iakimov@edu.esiee.fr")</f>
        <v>valentino.iakimov@edu.esiee.fr</v>
      </c>
      <c r="G98" s="22" t="str">
        <f>IFERROR(__xludf.DUMMYFUNCTION("""COMPUTED_VALUE"""),"Entrepreneuriat/Logiciel Libre")</f>
        <v>Entrepreneuriat/Logiciel Libre</v>
      </c>
      <c r="H98" s="22" t="str">
        <f>IFERROR(__xludf.DUMMYFUNCTION("""COMPUTED_VALUE"""),"")</f>
        <v/>
      </c>
      <c r="I98" s="22" t="str">
        <f>IFERROR(__xludf.DUMMYFUNCTION("""COMPUTED_VALUE"""),"")</f>
        <v/>
      </c>
      <c r="J98" s="22" t="str">
        <f>IFERROR(__xludf.DUMMYFUNCTION("""COMPUTED_VALUE"""),"")</f>
        <v/>
      </c>
      <c r="K98" s="22" t="str">
        <f>IFERROR(__xludf.DUMMYFUNCTION("""COMPUTED_VALUE"""),"")</f>
        <v/>
      </c>
      <c r="L98" s="22" t="str">
        <f>IFERROR(__xludf.DUMMYFUNCTION("""COMPUTED_VALUE"""),"")</f>
        <v/>
      </c>
      <c r="M98" s="22" t="str">
        <f>IFERROR(__xludf.DUMMYFUNCTION("""COMPUTED_VALUE"""),"")</f>
        <v/>
      </c>
      <c r="N98" s="22" t="str">
        <f>IFERROR(__xludf.DUMMYFUNCTION("""COMPUTED_VALUE"""),"")</f>
        <v/>
      </c>
      <c r="O98" s="22" t="str">
        <f>IFERROR(__xludf.DUMMYFUNCTION("""COMPUTED_VALUE"""),"")</f>
        <v/>
      </c>
      <c r="P98" s="22" t="str">
        <f>IFERROR(__xludf.DUMMYFUNCTION("""COMPUTED_VALUE"""),"")</f>
        <v/>
      </c>
      <c r="Q98" s="22" t="str">
        <f>IFERROR(__xludf.DUMMYFUNCTION("""COMPUTED_VALUE"""),"Je ne pars pas")</f>
        <v>Je ne pars pas</v>
      </c>
      <c r="R98" s="16" t="str">
        <f>IFERROR(__xludf.DUMMYFUNCTION("""COMPUTED_VALUE"""),"")</f>
        <v/>
      </c>
      <c r="S98" s="24"/>
      <c r="T98" s="19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25">
        <f>IFERROR(__xludf.DUMMYFUNCTION("""COMPUTED_VALUE"""),43361.08938765046)</f>
        <v>43361.08939</v>
      </c>
      <c r="B99" s="3" t="str">
        <f>IFERROR(__xludf.DUMMYFUNCTION("""COMPUTED_VALUE"""),"")</f>
        <v/>
      </c>
      <c r="C99" s="6" t="str">
        <f>IFERROR(__xludf.DUMMYFUNCTION("""COMPUTED_VALUE"""),"INF")</f>
        <v>INF</v>
      </c>
      <c r="D99" s="8" t="str">
        <f>IFERROR(__xludf.DUMMYFUNCTION("""COMPUTED_VALUE"""),"JOLY")</f>
        <v>JOLY</v>
      </c>
      <c r="E99" s="8" t="str">
        <f>IFERROR(__xludf.DUMMYFUNCTION("""COMPUTED_VALUE"""),"Morgane Marie Catherine")</f>
        <v>Morgane Marie Catherine</v>
      </c>
      <c r="F99" s="8" t="str">
        <f>IFERROR(__xludf.DUMMYFUNCTION("""COMPUTED_VALUE"""),"morganemariecatherine.joly@edu.esiee.fr")</f>
        <v>morganemariecatherine.joly@edu.esiee.fr</v>
      </c>
      <c r="G99" s="3" t="str">
        <f>IFERROR(__xludf.DUMMYFUNCTION("""COMPUTED_VALUE"""),"Recherche")</f>
        <v>Recherche</v>
      </c>
      <c r="H99" s="3" t="str">
        <f>IFERROR(__xludf.DUMMYFUNCTION("""COMPUTED_VALUE"""),"R5")</f>
        <v>R5</v>
      </c>
      <c r="I99" s="3" t="str">
        <f>IFERROR(__xludf.DUMMYFUNCTION("""COMPUTED_VALUE"""),"Recherche")</f>
        <v>Recherche</v>
      </c>
      <c r="J99" s="3" t="str">
        <f>IFERROR(__xludf.DUMMYFUNCTION("""COMPUTED_VALUE"""),"R2")</f>
        <v>R2</v>
      </c>
      <c r="K99" s="3" t="str">
        <f>IFERROR(__xludf.DUMMYFUNCTION("""COMPUTED_VALUE"""),"Entreprise")</f>
        <v>Entreprise</v>
      </c>
      <c r="L99" s="3" t="str">
        <f>IFERROR(__xludf.DUMMYFUNCTION("""COMPUTED_VALUE"""),"E1")</f>
        <v>E1</v>
      </c>
      <c r="M99" s="3" t="str">
        <f>IFERROR(__xludf.DUMMYFUNCTION("""COMPUTED_VALUE"""),"Entreprise")</f>
        <v>Entreprise</v>
      </c>
      <c r="N99" s="3" t="str">
        <f>IFERROR(__xludf.DUMMYFUNCTION("""COMPUTED_VALUE"""),"E11")</f>
        <v>E11</v>
      </c>
      <c r="O99" s="3" t="str">
        <f>IFERROR(__xludf.DUMMYFUNCTION("""COMPUTED_VALUE"""),"Recherche")</f>
        <v>Recherche</v>
      </c>
      <c r="P99" s="3" t="str">
        <f>IFERROR(__xludf.DUMMYFUNCTION("""COMPUTED_VALUE"""),"R9")</f>
        <v>R9</v>
      </c>
      <c r="Q99" s="3" t="str">
        <f>IFERROR(__xludf.DUMMYFUNCTION("""COMPUTED_VALUE"""),"Je pars au semestre 1")</f>
        <v>Je pars au semestre 1</v>
      </c>
      <c r="R99" s="3" t="str">
        <f>IFERROR(__xludf.DUMMYFUNCTION("""COMPUTED_VALUE"""),"")</f>
        <v/>
      </c>
      <c r="S99" s="11"/>
      <c r="T99" s="3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5">
        <f>IFERROR(__xludf.DUMMYFUNCTION("""COMPUTED_VALUE"""),43360.41755143518)</f>
        <v>43360.41755</v>
      </c>
      <c r="B100" s="16" t="str">
        <f>IFERROR(__xludf.DUMMYFUNCTION("""COMPUTED_VALUE"""),"")</f>
        <v/>
      </c>
      <c r="C100" s="19" t="str">
        <f>IFERROR(__xludf.DUMMYFUNCTION("""COMPUTED_VALUE"""),"SE")</f>
        <v>SE</v>
      </c>
      <c r="D100" s="20" t="str">
        <f>IFERROR(__xludf.DUMMYFUNCTION("""COMPUTED_VALUE"""),"JOUNIAUX")</f>
        <v>JOUNIAUX</v>
      </c>
      <c r="E100" s="20" t="str">
        <f>IFERROR(__xludf.DUMMYFUNCTION("""COMPUTED_VALUE"""),"Colin")</f>
        <v>Colin</v>
      </c>
      <c r="F100" s="20" t="str">
        <f>IFERROR(__xludf.DUMMYFUNCTION("""COMPUTED_VALUE"""),"colin.jouniaux@edu.esiee.fr")</f>
        <v>colin.jouniaux@edu.esiee.fr</v>
      </c>
      <c r="G100" s="22" t="str">
        <f>IFERROR(__xludf.DUMMYFUNCTION("""COMPUTED_VALUE"""),"Concours")</f>
        <v>Concours</v>
      </c>
      <c r="H100" s="22" t="str">
        <f>IFERROR(__xludf.DUMMYFUNCTION("""COMPUTED_VALUE"""),"C1")</f>
        <v>C1</v>
      </c>
      <c r="I100" s="22" t="str">
        <f>IFERROR(__xludf.DUMMYFUNCTION("""COMPUTED_VALUE"""),"Concours")</f>
        <v>Concours</v>
      </c>
      <c r="J100" s="22" t="str">
        <f>IFERROR(__xludf.DUMMYFUNCTION("""COMPUTED_VALUE"""),"C2")</f>
        <v>C2</v>
      </c>
      <c r="K100" s="22" t="str">
        <f>IFERROR(__xludf.DUMMYFUNCTION("""COMPUTED_VALUE"""),"Recherche")</f>
        <v>Recherche</v>
      </c>
      <c r="L100" s="22" t="str">
        <f>IFERROR(__xludf.DUMMYFUNCTION("""COMPUTED_VALUE"""),"R7")</f>
        <v>R7</v>
      </c>
      <c r="M100" s="22" t="str">
        <f>IFERROR(__xludf.DUMMYFUNCTION("""COMPUTED_VALUE"""),"Recherche")</f>
        <v>Recherche</v>
      </c>
      <c r="N100" s="22" t="str">
        <f>IFERROR(__xludf.DUMMYFUNCTION("""COMPUTED_VALUE"""),"R11")</f>
        <v>R11</v>
      </c>
      <c r="O100" s="22" t="str">
        <f>IFERROR(__xludf.DUMMYFUNCTION("""COMPUTED_VALUE"""),"Recherche")</f>
        <v>Recherche</v>
      </c>
      <c r="P100" s="22" t="str">
        <f>IFERROR(__xludf.DUMMYFUNCTION("""COMPUTED_VALUE"""),"R5")</f>
        <v>R5</v>
      </c>
      <c r="Q100" s="22" t="str">
        <f>IFERROR(__xludf.DUMMYFUNCTION("""COMPUTED_VALUE"""),"Je ne pars pas")</f>
        <v>Je ne pars pas</v>
      </c>
      <c r="R100" s="16" t="str">
        <f>IFERROR(__xludf.DUMMYFUNCTION("""COMPUTED_VALUE"""),"")</f>
        <v/>
      </c>
      <c r="S100" s="24"/>
      <c r="T100" s="19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25">
        <f>IFERROR(__xludf.DUMMYFUNCTION("""COMPUTED_VALUE"""),43360.417928634255)</f>
        <v>43360.41793</v>
      </c>
      <c r="B101" s="3" t="str">
        <f>IFERROR(__xludf.DUMMYFUNCTION("""COMPUTED_VALUE"""),"")</f>
        <v/>
      </c>
      <c r="C101" s="6" t="str">
        <f>IFERROR(__xludf.DUMMYFUNCTION("""COMPUTED_VALUE"""),"DSIA")</f>
        <v>DSIA</v>
      </c>
      <c r="D101" s="8" t="str">
        <f>IFERROR(__xludf.DUMMYFUNCTION("""COMPUTED_VALUE"""),"JUSTIN")</f>
        <v>JUSTIN</v>
      </c>
      <c r="E101" s="8" t="str">
        <f>IFERROR(__xludf.DUMMYFUNCTION("""COMPUTED_VALUE"""),"Romain")</f>
        <v>Romain</v>
      </c>
      <c r="F101" s="8" t="str">
        <f>IFERROR(__xludf.DUMMYFUNCTION("""COMPUTED_VALUE"""),"romain.justin@edu.esiee.fr")</f>
        <v>romain.justin@edu.esiee.fr</v>
      </c>
      <c r="G101" s="3" t="str">
        <f>IFERROR(__xludf.DUMMYFUNCTION("""COMPUTED_VALUE"""),"Entreprise")</f>
        <v>Entreprise</v>
      </c>
      <c r="H101" s="3" t="str">
        <f>IFERROR(__xludf.DUMMYFUNCTION("""COMPUTED_VALUE"""),"E7")</f>
        <v>E7</v>
      </c>
      <c r="I101" s="3" t="str">
        <f>IFERROR(__xludf.DUMMYFUNCTION("""COMPUTED_VALUE"""),"Entreprise")</f>
        <v>Entreprise</v>
      </c>
      <c r="J101" s="3" t="str">
        <f>IFERROR(__xludf.DUMMYFUNCTION("""COMPUTED_VALUE"""),"E4")</f>
        <v>E4</v>
      </c>
      <c r="K101" s="3" t="str">
        <f>IFERROR(__xludf.DUMMYFUNCTION("""COMPUTED_VALUE"""),"Recherche")</f>
        <v>Recherche</v>
      </c>
      <c r="L101" s="3" t="str">
        <f>IFERROR(__xludf.DUMMYFUNCTION("""COMPUTED_VALUE"""),"R15")</f>
        <v>R15</v>
      </c>
      <c r="M101" s="3" t="str">
        <f>IFERROR(__xludf.DUMMYFUNCTION("""COMPUTED_VALUE"""),"Entreprise")</f>
        <v>Entreprise</v>
      </c>
      <c r="N101" s="3" t="str">
        <f>IFERROR(__xludf.DUMMYFUNCTION("""COMPUTED_VALUE"""),"E24")</f>
        <v>E24</v>
      </c>
      <c r="O101" s="3" t="str">
        <f>IFERROR(__xludf.DUMMYFUNCTION("""COMPUTED_VALUE"""),"Recherche")</f>
        <v>Recherche</v>
      </c>
      <c r="P101" s="3" t="str">
        <f>IFERROR(__xludf.DUMMYFUNCTION("""COMPUTED_VALUE"""),"R9")</f>
        <v>R9</v>
      </c>
      <c r="Q101" s="3" t="str">
        <f>IFERROR(__xludf.DUMMYFUNCTION("""COMPUTED_VALUE"""),"Je ne pars pas")</f>
        <v>Je ne pars pas</v>
      </c>
      <c r="R101" s="3" t="str">
        <f>IFERROR(__xludf.DUMMYFUNCTION("""COMPUTED_VALUE"""),"")</f>
        <v/>
      </c>
      <c r="S101" s="11"/>
      <c r="T101" s="3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5">
        <f>IFERROR(__xludf.DUMMYFUNCTION("""COMPUTED_VALUE"""),43360.4447669213)</f>
        <v>43360.44477</v>
      </c>
      <c r="B102" s="16" t="str">
        <f>IFERROR(__xludf.DUMMYFUNCTION("""COMPUTED_VALUE"""),"")</f>
        <v/>
      </c>
      <c r="C102" s="19" t="str">
        <f>IFERROR(__xludf.DUMMYFUNCTION("""COMPUTED_VALUE"""),"ENE")</f>
        <v>ENE</v>
      </c>
      <c r="D102" s="20" t="str">
        <f>IFERROR(__xludf.DUMMYFUNCTION("""COMPUTED_VALUE"""),"KA")</f>
        <v>KA</v>
      </c>
      <c r="E102" s="20" t="str">
        <f>IFERROR(__xludf.DUMMYFUNCTION("""COMPUTED_VALUE"""),"Alexandre")</f>
        <v>Alexandre</v>
      </c>
      <c r="F102" s="20" t="str">
        <f>IFERROR(__xludf.DUMMYFUNCTION("""COMPUTED_VALUE"""),"alexandre.ka@edu.esiee.fr")</f>
        <v>alexandre.ka@edu.esiee.fr</v>
      </c>
      <c r="G102" s="22" t="str">
        <f>IFERROR(__xludf.DUMMYFUNCTION("""COMPUTED_VALUE"""),"Recherche")</f>
        <v>Recherche</v>
      </c>
      <c r="H102" s="22" t="str">
        <f>IFERROR(__xludf.DUMMYFUNCTION("""COMPUTED_VALUE"""),"R12")</f>
        <v>R12</v>
      </c>
      <c r="I102" s="22" t="str">
        <f>IFERROR(__xludf.DUMMYFUNCTION("""COMPUTED_VALUE"""),"Recherche")</f>
        <v>Recherche</v>
      </c>
      <c r="J102" s="22" t="str">
        <f>IFERROR(__xludf.DUMMYFUNCTION("""COMPUTED_VALUE"""),"R1")</f>
        <v>R1</v>
      </c>
      <c r="K102" s="22" t="str">
        <f>IFERROR(__xludf.DUMMYFUNCTION("""COMPUTED_VALUE"""),"Entreprise")</f>
        <v>Entreprise</v>
      </c>
      <c r="L102" s="22" t="str">
        <f>IFERROR(__xludf.DUMMYFUNCTION("""COMPUTED_VALUE"""),"E14")</f>
        <v>E14</v>
      </c>
      <c r="M102" s="22" t="str">
        <f>IFERROR(__xludf.DUMMYFUNCTION("""COMPUTED_VALUE"""),"Entreprise")</f>
        <v>Entreprise</v>
      </c>
      <c r="N102" s="22" t="str">
        <f>IFERROR(__xludf.DUMMYFUNCTION("""COMPUTED_VALUE"""),"E13")</f>
        <v>E13</v>
      </c>
      <c r="O102" s="22" t="str">
        <f>IFERROR(__xludf.DUMMYFUNCTION("""COMPUTED_VALUE"""),"Recherche")</f>
        <v>Recherche</v>
      </c>
      <c r="P102" s="22" t="str">
        <f>IFERROR(__xludf.DUMMYFUNCTION("""COMPUTED_VALUE"""),"R23")</f>
        <v>R23</v>
      </c>
      <c r="Q102" s="22" t="str">
        <f>IFERROR(__xludf.DUMMYFUNCTION("""COMPUTED_VALUE"""),"Je ne pars pas")</f>
        <v>Je ne pars pas</v>
      </c>
      <c r="R102" s="16" t="str">
        <f>IFERROR(__xludf.DUMMYFUNCTION("""COMPUTED_VALUE"""),"")</f>
        <v/>
      </c>
      <c r="S102" s="24"/>
      <c r="T102" s="19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25">
        <f>IFERROR(__xludf.DUMMYFUNCTION("""COMPUTED_VALUE"""),43361.39729767361)</f>
        <v>43361.3973</v>
      </c>
      <c r="B103" s="3" t="str">
        <f>IFERROR(__xludf.DUMMYFUNCTION("""COMPUTED_VALUE"""),"")</f>
        <v/>
      </c>
      <c r="C103" s="6" t="str">
        <f>IFERROR(__xludf.DUMMYFUNCTION("""COMPUTED_VALUE"""),"IMC")</f>
        <v>IMC</v>
      </c>
      <c r="D103" s="8" t="str">
        <f>IFERROR(__xludf.DUMMYFUNCTION("""COMPUTED_VALUE"""),"KHERAJ VANNAPHAPHONH")</f>
        <v>KHERAJ VANNAPHAPHONH</v>
      </c>
      <c r="E103" s="8" t="str">
        <f>IFERROR(__xludf.DUMMYFUNCTION("""COMPUTED_VALUE"""),"Viktoria")</f>
        <v>Viktoria</v>
      </c>
      <c r="F103" s="8" t="str">
        <f>IFERROR(__xludf.DUMMYFUNCTION("""COMPUTED_VALUE"""),"viktoria.kherajvannaphaphonh@edu.esiee.fr")</f>
        <v>viktoria.kherajvannaphaphonh@edu.esiee.fr</v>
      </c>
      <c r="G103" s="3" t="str">
        <f>IFERROR(__xludf.DUMMYFUNCTION("""COMPUTED_VALUE"""),"Entrepreneuriat/Logiciel Libre")</f>
        <v>Entrepreneuriat/Logiciel Libre</v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IFERROR(__xludf.DUMMYFUNCTION("""COMPUTED_VALUE"""),"Je ne pars pas")</f>
        <v>Je ne pars pas</v>
      </c>
      <c r="R103" s="3" t="str">
        <f>IFERROR(__xludf.DUMMYFUNCTION("""COMPUTED_VALUE"""),"")</f>
        <v/>
      </c>
      <c r="S103" s="11"/>
      <c r="T103" s="3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5">
        <f>IFERROR(__xludf.DUMMYFUNCTION("""COMPUTED_VALUE"""),43360.47087133102)</f>
        <v>43360.47087</v>
      </c>
      <c r="B104" s="16" t="str">
        <f>IFERROR(__xludf.DUMMYFUNCTION("""COMPUTED_VALUE"""),"")</f>
        <v/>
      </c>
      <c r="C104" s="19" t="str">
        <f>IFERROR(__xludf.DUMMYFUNCTION("""COMPUTED_VALUE"""),"CYBER")</f>
        <v>CYBER</v>
      </c>
      <c r="D104" s="20" t="str">
        <f>IFERROR(__xludf.DUMMYFUNCTION("""COMPUTED_VALUE"""),"KHIN")</f>
        <v>KHIN</v>
      </c>
      <c r="E104" s="20" t="str">
        <f>IFERROR(__xludf.DUMMYFUNCTION("""COMPUTED_VALUE"""),"Rithy")</f>
        <v>Rithy</v>
      </c>
      <c r="F104" s="20" t="str">
        <f>IFERROR(__xludf.DUMMYFUNCTION("""COMPUTED_VALUE"""),"rithy.khin@edu.esiee.fr")</f>
        <v>rithy.khin@edu.esiee.fr</v>
      </c>
      <c r="G104" s="22" t="str">
        <f>IFERROR(__xludf.DUMMYFUNCTION("""COMPUTED_VALUE"""),"Recherche")</f>
        <v>Recherche</v>
      </c>
      <c r="H104" s="22" t="str">
        <f>IFERROR(__xludf.DUMMYFUNCTION("""COMPUTED_VALUE"""),"R8")</f>
        <v>R8</v>
      </c>
      <c r="I104" s="22" t="str">
        <f>IFERROR(__xludf.DUMMYFUNCTION("""COMPUTED_VALUE"""),"Recherche")</f>
        <v>Recherche</v>
      </c>
      <c r="J104" s="22" t="str">
        <f>IFERROR(__xludf.DUMMYFUNCTION("""COMPUTED_VALUE"""),"R9")</f>
        <v>R9</v>
      </c>
      <c r="K104" s="22" t="str">
        <f>IFERROR(__xludf.DUMMYFUNCTION("""COMPUTED_VALUE"""),"Recherche")</f>
        <v>Recherche</v>
      </c>
      <c r="L104" s="22" t="str">
        <f>IFERROR(__xludf.DUMMYFUNCTION("""COMPUTED_VALUE"""),"R4")</f>
        <v>R4</v>
      </c>
      <c r="M104" s="22" t="str">
        <f>IFERROR(__xludf.DUMMYFUNCTION("""COMPUTED_VALUE"""),"Entreprise")</f>
        <v>Entreprise</v>
      </c>
      <c r="N104" s="22" t="str">
        <f>IFERROR(__xludf.DUMMYFUNCTION("""COMPUTED_VALUE"""),"E10")</f>
        <v>E10</v>
      </c>
      <c r="O104" s="22" t="str">
        <f>IFERROR(__xludf.DUMMYFUNCTION("""COMPUTED_VALUE"""),"Recherche")</f>
        <v>Recherche</v>
      </c>
      <c r="P104" s="22" t="str">
        <f>IFERROR(__xludf.DUMMYFUNCTION("""COMPUTED_VALUE"""),"R31")</f>
        <v>R31</v>
      </c>
      <c r="Q104" s="22" t="str">
        <f>IFERROR(__xludf.DUMMYFUNCTION("""COMPUTED_VALUE"""),"Je ne pars pas")</f>
        <v>Je ne pars pas</v>
      </c>
      <c r="R104" s="16" t="str">
        <f>IFERROR(__xludf.DUMMYFUNCTION("""COMPUTED_VALUE"""),"")</f>
        <v/>
      </c>
      <c r="S104" s="24"/>
      <c r="T104" s="19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25">
        <f>IFERROR(__xludf.DUMMYFUNCTION("""COMPUTED_VALUE"""),43361.43433072917)</f>
        <v>43361.43433</v>
      </c>
      <c r="B105" s="3" t="str">
        <f>IFERROR(__xludf.DUMMYFUNCTION("""COMPUTED_VALUE"""),"")</f>
        <v/>
      </c>
      <c r="C105" s="6" t="str">
        <f>IFERROR(__xludf.DUMMYFUNCTION("""COMPUTED_VALUE"""),"DSIA")</f>
        <v>DSIA</v>
      </c>
      <c r="D105" s="8" t="str">
        <f>IFERROR(__xludf.DUMMYFUNCTION("""COMPUTED_VALUE"""),"KUHLMANN")</f>
        <v>KUHLMANN</v>
      </c>
      <c r="E105" s="8" t="str">
        <f>IFERROR(__xludf.DUMMYFUNCTION("""COMPUTED_VALUE"""),"Florian")</f>
        <v>Florian</v>
      </c>
      <c r="F105" s="8" t="str">
        <f>IFERROR(__xludf.DUMMYFUNCTION("""COMPUTED_VALUE"""),"florian.kuhlmann@edu.esiee.fr")</f>
        <v>florian.kuhlmann@edu.esiee.fr</v>
      </c>
      <c r="G105" s="3" t="str">
        <f>IFERROR(__xludf.DUMMYFUNCTION("""COMPUTED_VALUE"""),"Entreprise")</f>
        <v>Entreprise</v>
      </c>
      <c r="H105" s="3" t="str">
        <f>IFERROR(__xludf.DUMMYFUNCTION("""COMPUTED_VALUE"""),"E4")</f>
        <v>E4</v>
      </c>
      <c r="I105" s="3" t="str">
        <f>IFERROR(__xludf.DUMMYFUNCTION("""COMPUTED_VALUE"""),"Entreprise")</f>
        <v>Entreprise</v>
      </c>
      <c r="J105" s="3" t="str">
        <f>IFERROR(__xludf.DUMMYFUNCTION("""COMPUTED_VALUE"""),"E6")</f>
        <v>E6</v>
      </c>
      <c r="K105" s="3" t="str">
        <f>IFERROR(__xludf.DUMMYFUNCTION("""COMPUTED_VALUE"""),"Entreprise")</f>
        <v>Entreprise</v>
      </c>
      <c r="L105" s="3" t="str">
        <f>IFERROR(__xludf.DUMMYFUNCTION("""COMPUTED_VALUE"""),"E5")</f>
        <v>E5</v>
      </c>
      <c r="M105" s="3" t="str">
        <f>IFERROR(__xludf.DUMMYFUNCTION("""COMPUTED_VALUE"""),"Recherche")</f>
        <v>Recherche</v>
      </c>
      <c r="N105" s="3" t="str">
        <f>IFERROR(__xludf.DUMMYFUNCTION("""COMPUTED_VALUE"""),"R25")</f>
        <v>R25</v>
      </c>
      <c r="O105" s="3" t="str">
        <f>IFERROR(__xludf.DUMMYFUNCTION("""COMPUTED_VALUE"""),"Entreprise")</f>
        <v>Entreprise</v>
      </c>
      <c r="P105" s="3" t="str">
        <f>IFERROR(__xludf.DUMMYFUNCTION("""COMPUTED_VALUE"""),"E2")</f>
        <v>E2</v>
      </c>
      <c r="Q105" s="3" t="str">
        <f>IFERROR(__xludf.DUMMYFUNCTION("""COMPUTED_VALUE"""),"Je pars au semestre 1")</f>
        <v>Je pars au semestre 1</v>
      </c>
      <c r="R105" s="3" t="str">
        <f>IFERROR(__xludf.DUMMYFUNCTION("""COMPUTED_VALUE"""),"")</f>
        <v/>
      </c>
      <c r="S105" s="11"/>
      <c r="T105" s="3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5">
        <f>IFERROR(__xludf.DUMMYFUNCTION("""COMPUTED_VALUE"""),43360.46778712963)</f>
        <v>43360.46779</v>
      </c>
      <c r="B106" s="16" t="str">
        <f>IFERROR(__xludf.DUMMYFUNCTION("""COMPUTED_VALUE"""),"")</f>
        <v/>
      </c>
      <c r="C106" s="19" t="str">
        <f>IFERROR(__xludf.DUMMYFUNCTION("""COMPUTED_VALUE"""),"INF")</f>
        <v>INF</v>
      </c>
      <c r="D106" s="20" t="str">
        <f>IFERROR(__xludf.DUMMYFUNCTION("""COMPUTED_VALUE"""),"LACLAUTRE")</f>
        <v>LACLAUTRE</v>
      </c>
      <c r="E106" s="20" t="str">
        <f>IFERROR(__xludf.DUMMYFUNCTION("""COMPUTED_VALUE"""),"Solène")</f>
        <v>Solène</v>
      </c>
      <c r="F106" s="20" t="str">
        <f>IFERROR(__xludf.DUMMYFUNCTION("""COMPUTED_VALUE"""),"solene.laclautre@edu.esiee.fr")</f>
        <v>solene.laclautre@edu.esiee.fr</v>
      </c>
      <c r="G106" s="22" t="str">
        <f>IFERROR(__xludf.DUMMYFUNCTION("""COMPUTED_VALUE"""),"Entrepreneuriat/Logiciel Libre")</f>
        <v>Entrepreneuriat/Logiciel Libre</v>
      </c>
      <c r="H106" s="22" t="str">
        <f>IFERROR(__xludf.DUMMYFUNCTION("""COMPUTED_VALUE"""),"")</f>
        <v/>
      </c>
      <c r="I106" s="22" t="str">
        <f>IFERROR(__xludf.DUMMYFUNCTION("""COMPUTED_VALUE"""),"")</f>
        <v/>
      </c>
      <c r="J106" s="22" t="str">
        <f>IFERROR(__xludf.DUMMYFUNCTION("""COMPUTED_VALUE"""),"")</f>
        <v/>
      </c>
      <c r="K106" s="22" t="str">
        <f>IFERROR(__xludf.DUMMYFUNCTION("""COMPUTED_VALUE"""),"")</f>
        <v/>
      </c>
      <c r="L106" s="22" t="str">
        <f>IFERROR(__xludf.DUMMYFUNCTION("""COMPUTED_VALUE"""),"")</f>
        <v/>
      </c>
      <c r="M106" s="22" t="str">
        <f>IFERROR(__xludf.DUMMYFUNCTION("""COMPUTED_VALUE"""),"")</f>
        <v/>
      </c>
      <c r="N106" s="22" t="str">
        <f>IFERROR(__xludf.DUMMYFUNCTION("""COMPUTED_VALUE"""),"")</f>
        <v/>
      </c>
      <c r="O106" s="22" t="str">
        <f>IFERROR(__xludf.DUMMYFUNCTION("""COMPUTED_VALUE"""),"")</f>
        <v/>
      </c>
      <c r="P106" s="22" t="str">
        <f>IFERROR(__xludf.DUMMYFUNCTION("""COMPUTED_VALUE"""),"")</f>
        <v/>
      </c>
      <c r="Q106" s="22" t="str">
        <f>IFERROR(__xludf.DUMMYFUNCTION("""COMPUTED_VALUE"""),"Je ne pars pas")</f>
        <v>Je ne pars pas</v>
      </c>
      <c r="R106" s="16" t="str">
        <f>IFERROR(__xludf.DUMMYFUNCTION("""COMPUTED_VALUE"""),"")</f>
        <v/>
      </c>
      <c r="S106" s="24"/>
      <c r="T106" s="19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25">
        <f>IFERROR(__xludf.DUMMYFUNCTION("""COMPUTED_VALUE"""),43360.53672640046)</f>
        <v>43360.53673</v>
      </c>
      <c r="B107" s="3" t="str">
        <f>IFERROR(__xludf.DUMMYFUNCTION("""COMPUTED_VALUE"""),"")</f>
        <v/>
      </c>
      <c r="C107" s="6" t="str">
        <f>IFERROR(__xludf.DUMMYFUNCTION("""COMPUTED_VALUE"""),"GI")</f>
        <v>GI</v>
      </c>
      <c r="D107" s="8" t="str">
        <f>IFERROR(__xludf.DUMMYFUNCTION("""COMPUTED_VALUE"""),"LAM")</f>
        <v>LAM</v>
      </c>
      <c r="E107" s="8" t="str">
        <f>IFERROR(__xludf.DUMMYFUNCTION("""COMPUTED_VALUE"""),"Minh-Thong")</f>
        <v>Minh-Thong</v>
      </c>
      <c r="F107" s="8" t="str">
        <f>IFERROR(__xludf.DUMMYFUNCTION("""COMPUTED_VALUE"""),"minh-thong.lam@edu.esiee.fr")</f>
        <v>minh-thong.lam@edu.esiee.fr</v>
      </c>
      <c r="G107" s="3" t="str">
        <f>IFERROR(__xludf.DUMMYFUNCTION("""COMPUTED_VALUE"""),"Recherche")</f>
        <v>Recherche</v>
      </c>
      <c r="H107" s="3" t="str">
        <f>IFERROR(__xludf.DUMMYFUNCTION("""COMPUTED_VALUE"""),"R32")</f>
        <v>R32</v>
      </c>
      <c r="I107" s="3" t="str">
        <f>IFERROR(__xludf.DUMMYFUNCTION("""COMPUTED_VALUE"""),"Recherche")</f>
        <v>Recherche</v>
      </c>
      <c r="J107" s="3" t="str">
        <f>IFERROR(__xludf.DUMMYFUNCTION("""COMPUTED_VALUE"""),"R24")</f>
        <v>R24</v>
      </c>
      <c r="K107" s="3" t="str">
        <f>IFERROR(__xludf.DUMMYFUNCTION("""COMPUTED_VALUE"""),"Recherche")</f>
        <v>Recherche</v>
      </c>
      <c r="L107" s="3" t="str">
        <f>IFERROR(__xludf.DUMMYFUNCTION("""COMPUTED_VALUE"""),"R31")</f>
        <v>R31</v>
      </c>
      <c r="M107" s="3" t="str">
        <f>IFERROR(__xludf.DUMMYFUNCTION("""COMPUTED_VALUE"""),"Recherche")</f>
        <v>Recherche</v>
      </c>
      <c r="N107" s="3" t="str">
        <f>IFERROR(__xludf.DUMMYFUNCTION("""COMPUTED_VALUE"""),"R12")</f>
        <v>R12</v>
      </c>
      <c r="O107" s="3" t="str">
        <f>IFERROR(__xludf.DUMMYFUNCTION("""COMPUTED_VALUE"""),"Entreprise")</f>
        <v>Entreprise</v>
      </c>
      <c r="P107" s="3" t="str">
        <f>IFERROR(__xludf.DUMMYFUNCTION("""COMPUTED_VALUE"""),"E10")</f>
        <v>E10</v>
      </c>
      <c r="Q107" s="3" t="str">
        <f>IFERROR(__xludf.DUMMYFUNCTION("""COMPUTED_VALUE"""),"Je ne pars pas")</f>
        <v>Je ne pars pas</v>
      </c>
      <c r="R107" s="3" t="str">
        <f>IFERROR(__xludf.DUMMYFUNCTION("""COMPUTED_VALUE"""),"")</f>
        <v/>
      </c>
      <c r="S107" s="11"/>
      <c r="T107" s="3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5">
        <f>IFERROR(__xludf.DUMMYFUNCTION("""COMPUTED_VALUE"""),43362.12552027778)</f>
        <v>43362.12552</v>
      </c>
      <c r="B108" s="16" t="str">
        <f>IFERROR(__xludf.DUMMYFUNCTION("""COMPUTED_VALUE"""),"")</f>
        <v/>
      </c>
      <c r="C108" s="19" t="str">
        <f>IFERROR(__xludf.DUMMYFUNCTION("""COMPUTED_VALUE"""),"SE")</f>
        <v>SE</v>
      </c>
      <c r="D108" s="20" t="str">
        <f>IFERROR(__xludf.DUMMYFUNCTION("""COMPUTED_VALUE"""),"LATRE")</f>
        <v>LATRE</v>
      </c>
      <c r="E108" s="20" t="str">
        <f>IFERROR(__xludf.DUMMYFUNCTION("""COMPUTED_VALUE"""),"Ryan")</f>
        <v>Ryan</v>
      </c>
      <c r="F108" s="20" t="str">
        <f>IFERROR(__xludf.DUMMYFUNCTION("""COMPUTED_VALUE"""),"ryan.latre@edu.esiee.fr")</f>
        <v>ryan.latre@edu.esiee.fr</v>
      </c>
      <c r="G108" s="22" t="str">
        <f>IFERROR(__xludf.DUMMYFUNCTION("""COMPUTED_VALUE"""),"Entreprise")</f>
        <v>Entreprise</v>
      </c>
      <c r="H108" s="22" t="str">
        <f>IFERROR(__xludf.DUMMYFUNCTION("""COMPUTED_VALUE"""),"E16")</f>
        <v>E16</v>
      </c>
      <c r="I108" s="22" t="str">
        <f>IFERROR(__xludf.DUMMYFUNCTION("""COMPUTED_VALUE"""),"Recherche")</f>
        <v>Recherche</v>
      </c>
      <c r="J108" s="22" t="str">
        <f>IFERROR(__xludf.DUMMYFUNCTION("""COMPUTED_VALUE"""),"R7")</f>
        <v>R7</v>
      </c>
      <c r="K108" s="22" t="str">
        <f>IFERROR(__xludf.DUMMYFUNCTION("""COMPUTED_VALUE"""),"Recherche")</f>
        <v>Recherche</v>
      </c>
      <c r="L108" s="22" t="str">
        <f>IFERROR(__xludf.DUMMYFUNCTION("""COMPUTED_VALUE"""),"R18")</f>
        <v>R18</v>
      </c>
      <c r="M108" s="22" t="str">
        <f>IFERROR(__xludf.DUMMYFUNCTION("""COMPUTED_VALUE"""),"Entreprise")</f>
        <v>Entreprise</v>
      </c>
      <c r="N108" s="22" t="str">
        <f>IFERROR(__xludf.DUMMYFUNCTION("""COMPUTED_VALUE"""),"E18")</f>
        <v>E18</v>
      </c>
      <c r="O108" s="22" t="str">
        <f>IFERROR(__xludf.DUMMYFUNCTION("""COMPUTED_VALUE"""),"Concours")</f>
        <v>Concours</v>
      </c>
      <c r="P108" s="22" t="str">
        <f>IFERROR(__xludf.DUMMYFUNCTION("""COMPUTED_VALUE"""),"C1")</f>
        <v>C1</v>
      </c>
      <c r="Q108" s="22" t="str">
        <f>IFERROR(__xludf.DUMMYFUNCTION("""COMPUTED_VALUE"""),"Je pars au semestre 2")</f>
        <v>Je pars au semestre 2</v>
      </c>
      <c r="R108" s="16" t="str">
        <f>IFERROR(__xludf.DUMMYFUNCTION("""COMPUTED_VALUE"""),"")</f>
        <v/>
      </c>
      <c r="S108" s="24"/>
      <c r="T108" s="19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25">
        <f>IFERROR(__xludf.DUMMYFUNCTION("""COMPUTED_VALUE"""),43361.42088579861)</f>
        <v>43361.42089</v>
      </c>
      <c r="B109" s="3" t="str">
        <f>IFERROR(__xludf.DUMMYFUNCTION("""COMPUTED_VALUE"""),"")</f>
        <v/>
      </c>
      <c r="C109" s="6" t="str">
        <f>IFERROR(__xludf.DUMMYFUNCTION("""COMPUTED_VALUE"""),"GI")</f>
        <v>GI</v>
      </c>
      <c r="D109" s="8" t="str">
        <f>IFERROR(__xludf.DUMMYFUNCTION("""COMPUTED_VALUE"""),"LE GALL")</f>
        <v>LE GALL</v>
      </c>
      <c r="E109" s="8" t="str">
        <f>IFERROR(__xludf.DUMMYFUNCTION("""COMPUTED_VALUE"""),"Aymerig")</f>
        <v>Aymerig</v>
      </c>
      <c r="F109" s="8" t="str">
        <f>IFERROR(__xludf.DUMMYFUNCTION("""COMPUTED_VALUE"""),"aymerig.legall@edu.esiee.fr")</f>
        <v>aymerig.legall@edu.esiee.fr</v>
      </c>
      <c r="G109" s="3" t="str">
        <f>IFERROR(__xludf.DUMMYFUNCTION("""COMPUTED_VALUE"""),"Recherche")</f>
        <v>Recherche</v>
      </c>
      <c r="H109" s="3" t="str">
        <f>IFERROR(__xludf.DUMMYFUNCTION("""COMPUTED_VALUE"""),"R24")</f>
        <v>R24</v>
      </c>
      <c r="I109" s="3" t="str">
        <f>IFERROR(__xludf.DUMMYFUNCTION("""COMPUTED_VALUE"""),"Entreprise")</f>
        <v>Entreprise</v>
      </c>
      <c r="J109" s="3" t="str">
        <f>IFERROR(__xludf.DUMMYFUNCTION("""COMPUTED_VALUE"""),"E10")</f>
        <v>E10</v>
      </c>
      <c r="K109" s="3" t="str">
        <f>IFERROR(__xludf.DUMMYFUNCTION("""COMPUTED_VALUE"""),"Recherche")</f>
        <v>Recherche</v>
      </c>
      <c r="L109" s="3" t="str">
        <f>IFERROR(__xludf.DUMMYFUNCTION("""COMPUTED_VALUE"""),"R31")</f>
        <v>R31</v>
      </c>
      <c r="M109" s="3" t="str">
        <f>IFERROR(__xludf.DUMMYFUNCTION("""COMPUTED_VALUE"""),"Recherche")</f>
        <v>Recherche</v>
      </c>
      <c r="N109" s="3" t="str">
        <f>IFERROR(__xludf.DUMMYFUNCTION("""COMPUTED_VALUE"""),"R5")</f>
        <v>R5</v>
      </c>
      <c r="O109" s="3" t="str">
        <f>IFERROR(__xludf.DUMMYFUNCTION("""COMPUTED_VALUE"""),"Entreprise")</f>
        <v>Entreprise</v>
      </c>
      <c r="P109" s="3" t="str">
        <f>IFERROR(__xludf.DUMMYFUNCTION("""COMPUTED_VALUE"""),"E6")</f>
        <v>E6</v>
      </c>
      <c r="Q109" s="3" t="str">
        <f>IFERROR(__xludf.DUMMYFUNCTION("""COMPUTED_VALUE"""),"Je ne pars pas")</f>
        <v>Je ne pars pas</v>
      </c>
      <c r="R109" s="3" t="str">
        <f>IFERROR(__xludf.DUMMYFUNCTION("""COMPUTED_VALUE"""),"")</f>
        <v/>
      </c>
      <c r="S109" s="11"/>
      <c r="T109" s="3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5">
        <f>IFERROR(__xludf.DUMMYFUNCTION("""COMPUTED_VALUE"""),43362.17470461805)</f>
        <v>43362.1747</v>
      </c>
      <c r="B110" s="44" t="str">
        <f>IFERROR(__xludf.DUMMYFUNCTION("""COMPUTED_VALUE"""),"")</f>
        <v/>
      </c>
      <c r="C110" s="19" t="str">
        <f>IFERROR(__xludf.DUMMYFUNCTION("""COMPUTED_VALUE"""),"CYBER")</f>
        <v>CYBER</v>
      </c>
      <c r="D110" s="20" t="str">
        <f>IFERROR(__xludf.DUMMYFUNCTION("""COMPUTED_VALUE"""),"LE VEN")</f>
        <v>LE VEN</v>
      </c>
      <c r="E110" s="20" t="str">
        <f>IFERROR(__xludf.DUMMYFUNCTION("""COMPUTED_VALUE"""),"Simon")</f>
        <v>Simon</v>
      </c>
      <c r="F110" s="20" t="str">
        <f>IFERROR(__xludf.DUMMYFUNCTION("""COMPUTED_VALUE"""),"simon.leven@edu.esiee.fr")</f>
        <v>simon.leven@edu.esiee.fr</v>
      </c>
      <c r="G110" s="22" t="str">
        <f>IFERROR(__xludf.DUMMYFUNCTION("""COMPUTED_VALUE"""),"Recherche")</f>
        <v>Recherche</v>
      </c>
      <c r="H110" s="22" t="str">
        <f>IFERROR(__xludf.DUMMYFUNCTION("""COMPUTED_VALUE"""),"R9")</f>
        <v>R9</v>
      </c>
      <c r="I110" s="22" t="str">
        <f>IFERROR(__xludf.DUMMYFUNCTION("""COMPUTED_VALUE"""),"Recherche")</f>
        <v>Recherche</v>
      </c>
      <c r="J110" s="22" t="str">
        <f>IFERROR(__xludf.DUMMYFUNCTION("""COMPUTED_VALUE"""),"R8")</f>
        <v>R8</v>
      </c>
      <c r="K110" s="22" t="str">
        <f>IFERROR(__xludf.DUMMYFUNCTION("""COMPUTED_VALUE"""),"Entreprise")</f>
        <v>Entreprise</v>
      </c>
      <c r="L110" s="22" t="str">
        <f>IFERROR(__xludf.DUMMYFUNCTION("""COMPUTED_VALUE"""),"E24")</f>
        <v>E24</v>
      </c>
      <c r="M110" s="22" t="str">
        <f>IFERROR(__xludf.DUMMYFUNCTION("""COMPUTED_VALUE"""),"Recherche")</f>
        <v>Recherche</v>
      </c>
      <c r="N110" s="22" t="str">
        <f>IFERROR(__xludf.DUMMYFUNCTION("""COMPUTED_VALUE"""),"R9")</f>
        <v>R9</v>
      </c>
      <c r="O110" s="22" t="str">
        <f>IFERROR(__xludf.DUMMYFUNCTION("""COMPUTED_VALUE"""),"Recherche")</f>
        <v>Recherche</v>
      </c>
      <c r="P110" s="22" t="str">
        <f>IFERROR(__xludf.DUMMYFUNCTION("""COMPUTED_VALUE"""),"R8")</f>
        <v>R8</v>
      </c>
      <c r="Q110" s="22" t="str">
        <f>IFERROR(__xludf.DUMMYFUNCTION("""COMPUTED_VALUE"""),"Je ne pars pas")</f>
        <v>Je ne pars pas</v>
      </c>
      <c r="R110" s="16" t="str">
        <f>IFERROR(__xludf.DUMMYFUNCTION("""COMPUTED_VALUE"""),"")</f>
        <v/>
      </c>
      <c r="S110" s="24"/>
      <c r="T110" s="19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25">
        <f>IFERROR(__xludf.DUMMYFUNCTION("""COMPUTED_VALUE"""),43360.419077638886)</f>
        <v>43360.41908</v>
      </c>
      <c r="B111" s="3" t="str">
        <f>IFERROR(__xludf.DUMMYFUNCTION("""COMPUTED_VALUE"""),"")</f>
        <v/>
      </c>
      <c r="C111" s="6" t="str">
        <f>IFERROR(__xludf.DUMMYFUNCTION("""COMPUTED_VALUE"""),"ENE")</f>
        <v>ENE</v>
      </c>
      <c r="D111" s="8" t="str">
        <f>IFERROR(__xludf.DUMMYFUNCTION("""COMPUTED_VALUE"""),"LEAS")</f>
        <v>LEAS</v>
      </c>
      <c r="E111" s="8" t="str">
        <f>IFERROR(__xludf.DUMMYFUNCTION("""COMPUTED_VALUE"""),"Sokbora")</f>
        <v>Sokbora</v>
      </c>
      <c r="F111" s="45" t="str">
        <f>IFERROR(__xludf.DUMMYFUNCTION("""COMPUTED_VALUE"""),"sokbora.leas@edu.esiee.fr")</f>
        <v>sokbora.leas@edu.esiee.fr</v>
      </c>
      <c r="G111" s="3" t="str">
        <f>IFERROR(__xludf.DUMMYFUNCTION("""COMPUTED_VALUE"""),"Recherche")</f>
        <v>Recherche</v>
      </c>
      <c r="H111" s="3" t="str">
        <f>IFERROR(__xludf.DUMMYFUNCTION("""COMPUTED_VALUE"""),"R12")</f>
        <v>R12</v>
      </c>
      <c r="I111" s="3" t="str">
        <f>IFERROR(__xludf.DUMMYFUNCTION("""COMPUTED_VALUE"""),"Recherche")</f>
        <v>Recherche</v>
      </c>
      <c r="J111" s="3" t="str">
        <f>IFERROR(__xludf.DUMMYFUNCTION("""COMPUTED_VALUE"""),"R1")</f>
        <v>R1</v>
      </c>
      <c r="K111" s="3" t="str">
        <f>IFERROR(__xludf.DUMMYFUNCTION("""COMPUTED_VALUE"""),"Entreprise")</f>
        <v>Entreprise</v>
      </c>
      <c r="L111" s="3" t="str">
        <f>IFERROR(__xludf.DUMMYFUNCTION("""COMPUTED_VALUE"""),"E14")</f>
        <v>E14</v>
      </c>
      <c r="M111" s="3" t="str">
        <f>IFERROR(__xludf.DUMMYFUNCTION("""COMPUTED_VALUE"""),"Entreprise")</f>
        <v>Entreprise</v>
      </c>
      <c r="N111" s="3" t="str">
        <f>IFERROR(__xludf.DUMMYFUNCTION("""COMPUTED_VALUE"""),"E13")</f>
        <v>E13</v>
      </c>
      <c r="O111" s="3" t="str">
        <f>IFERROR(__xludf.DUMMYFUNCTION("""COMPUTED_VALUE"""),"Recherche")</f>
        <v>Recherche</v>
      </c>
      <c r="P111" s="3" t="str">
        <f>IFERROR(__xludf.DUMMYFUNCTION("""COMPUTED_VALUE"""),"R23")</f>
        <v>R23</v>
      </c>
      <c r="Q111" s="3" t="str">
        <f>IFERROR(__xludf.DUMMYFUNCTION("""COMPUTED_VALUE"""),"Je ne pars pas")</f>
        <v>Je ne pars pas</v>
      </c>
      <c r="R111" s="3" t="str">
        <f>IFERROR(__xludf.DUMMYFUNCTION("""COMPUTED_VALUE"""),"")</f>
        <v/>
      </c>
      <c r="S111" s="11"/>
      <c r="T111" s="3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5">
        <f>IFERROR(__xludf.DUMMYFUNCTION("""COMPUTED_VALUE"""),43362.508885821764)</f>
        <v>43362.50889</v>
      </c>
      <c r="B112" s="16" t="str">
        <f>IFERROR(__xludf.DUMMYFUNCTION("""COMPUTED_VALUE"""),"")</f>
        <v/>
      </c>
      <c r="C112" s="19" t="str">
        <f>IFERROR(__xludf.DUMMYFUNCTION("""COMPUTED_VALUE"""),"DSIA")</f>
        <v>DSIA</v>
      </c>
      <c r="D112" s="20" t="str">
        <f>IFERROR(__xludf.DUMMYFUNCTION("""COMPUTED_VALUE"""),"LECERT")</f>
        <v>LECERT</v>
      </c>
      <c r="E112" s="20" t="str">
        <f>IFERROR(__xludf.DUMMYFUNCTION("""COMPUTED_VALUE"""),"Arthur")</f>
        <v>Arthur</v>
      </c>
      <c r="F112" s="20" t="str">
        <f>IFERROR(__xludf.DUMMYFUNCTION("""COMPUTED_VALUE"""),"arthur.lecert@edu.esiee.fr")</f>
        <v>arthur.lecert@edu.esiee.fr</v>
      </c>
      <c r="G112" s="22" t="str">
        <f>IFERROR(__xludf.DUMMYFUNCTION("""COMPUTED_VALUE"""),"Entreprise")</f>
        <v>Entreprise</v>
      </c>
      <c r="H112" s="22" t="str">
        <f>IFERROR(__xludf.DUMMYFUNCTION("""COMPUTED_VALUE"""),"E7")</f>
        <v>E7</v>
      </c>
      <c r="I112" s="22" t="str">
        <f>IFERROR(__xludf.DUMMYFUNCTION("""COMPUTED_VALUE"""),"Entreprise")</f>
        <v>Entreprise</v>
      </c>
      <c r="J112" s="22" t="str">
        <f>IFERROR(__xludf.DUMMYFUNCTION("""COMPUTED_VALUE"""),"E4")</f>
        <v>E4</v>
      </c>
      <c r="K112" s="22" t="str">
        <f>IFERROR(__xludf.DUMMYFUNCTION("""COMPUTED_VALUE"""),"Entreprise")</f>
        <v>Entreprise</v>
      </c>
      <c r="L112" s="22" t="str">
        <f>IFERROR(__xludf.DUMMYFUNCTION("""COMPUTED_VALUE"""),"E24")</f>
        <v>E24</v>
      </c>
      <c r="M112" s="22" t="str">
        <f>IFERROR(__xludf.DUMMYFUNCTION("""COMPUTED_VALUE"""),"Recherche")</f>
        <v>Recherche</v>
      </c>
      <c r="N112" s="22" t="str">
        <f>IFERROR(__xludf.DUMMYFUNCTION("""COMPUTED_VALUE"""),"R9")</f>
        <v>R9</v>
      </c>
      <c r="O112" s="22" t="str">
        <f>IFERROR(__xludf.DUMMYFUNCTION("""COMPUTED_VALUE"""),"Logiciel libre")</f>
        <v>Logiciel libre</v>
      </c>
      <c r="P112" s="22" t="str">
        <f>IFERROR(__xludf.DUMMYFUNCTION("""COMPUTED_VALUE"""),"LL1")</f>
        <v>LL1</v>
      </c>
      <c r="Q112" s="22" t="str">
        <f>IFERROR(__xludf.DUMMYFUNCTION("""COMPUTED_VALUE"""),"Je pars au semestre 1")</f>
        <v>Je pars au semestre 1</v>
      </c>
      <c r="R112" s="16" t="str">
        <f>IFERROR(__xludf.DUMMYFUNCTION("""COMPUTED_VALUE"""),"")</f>
        <v/>
      </c>
      <c r="S112" s="24"/>
      <c r="T112" s="19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25">
        <f>IFERROR(__xludf.DUMMYFUNCTION("""COMPUTED_VALUE"""),43360.52826648148)</f>
        <v>43360.52827</v>
      </c>
      <c r="B113" s="3" t="str">
        <f>IFERROR(__xludf.DUMMYFUNCTION("""COMPUTED_VALUE"""),"")</f>
        <v/>
      </c>
      <c r="C113" s="6" t="str">
        <f>IFERROR(__xludf.DUMMYFUNCTION("""COMPUTED_VALUE"""),"SE")</f>
        <v>SE</v>
      </c>
      <c r="D113" s="8" t="str">
        <f>IFERROR(__xludf.DUMMYFUNCTION("""COMPUTED_VALUE"""),"LEITE RIBEIRO")</f>
        <v>LEITE RIBEIRO</v>
      </c>
      <c r="E113" s="8" t="str">
        <f>IFERROR(__xludf.DUMMYFUNCTION("""COMPUTED_VALUE"""),"Daniel")</f>
        <v>Daniel</v>
      </c>
      <c r="F113" s="8" t="str">
        <f>IFERROR(__xludf.DUMMYFUNCTION("""COMPUTED_VALUE"""),"daniel.leiteribeiro@edu.esiee.fr")</f>
        <v>daniel.leiteribeiro@edu.esiee.fr</v>
      </c>
      <c r="G113" s="3" t="str">
        <f>IFERROR(__xludf.DUMMYFUNCTION("""COMPUTED_VALUE"""),"Recherche")</f>
        <v>Recherche</v>
      </c>
      <c r="H113" s="3" t="str">
        <f>IFERROR(__xludf.DUMMYFUNCTION("""COMPUTED_VALUE"""),"R5")</f>
        <v>R5</v>
      </c>
      <c r="I113" s="3" t="str">
        <f>IFERROR(__xludf.DUMMYFUNCTION("""COMPUTED_VALUE"""),"Entreprise")</f>
        <v>Entreprise</v>
      </c>
      <c r="J113" s="3" t="str">
        <f>IFERROR(__xludf.DUMMYFUNCTION("""COMPUTED_VALUE"""),"E26")</f>
        <v>E26</v>
      </c>
      <c r="K113" s="3" t="str">
        <f>IFERROR(__xludf.DUMMYFUNCTION("""COMPUTED_VALUE"""),"Recherche")</f>
        <v>Recherche</v>
      </c>
      <c r="L113" s="3" t="str">
        <f>IFERROR(__xludf.DUMMYFUNCTION("""COMPUTED_VALUE"""),"R7")</f>
        <v>R7</v>
      </c>
      <c r="M113" s="3" t="str">
        <f>IFERROR(__xludf.DUMMYFUNCTION("""COMPUTED_VALUE"""),"Recherche")</f>
        <v>Recherche</v>
      </c>
      <c r="N113" s="3" t="str">
        <f>IFERROR(__xludf.DUMMYFUNCTION("""COMPUTED_VALUE"""),"R11")</f>
        <v>R11</v>
      </c>
      <c r="O113" s="3" t="str">
        <f>IFERROR(__xludf.DUMMYFUNCTION("""COMPUTED_VALUE"""),"Recherche")</f>
        <v>Recherche</v>
      </c>
      <c r="P113" s="3" t="str">
        <f>IFERROR(__xludf.DUMMYFUNCTION("""COMPUTED_VALUE"""),"R6")</f>
        <v>R6</v>
      </c>
      <c r="Q113" s="3" t="str">
        <f>IFERROR(__xludf.DUMMYFUNCTION("""COMPUTED_VALUE"""),"Je ne pars pas")</f>
        <v>Je ne pars pas</v>
      </c>
      <c r="R113" s="3" t="str">
        <f>IFERROR(__xludf.DUMMYFUNCTION("""COMPUTED_VALUE"""),"")</f>
        <v/>
      </c>
      <c r="S113" s="11"/>
      <c r="T113" s="3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5">
        <f>IFERROR(__xludf.DUMMYFUNCTION("""COMPUTED_VALUE"""),43360.42440458333)</f>
        <v>43360.4244</v>
      </c>
      <c r="B114" s="16" t="str">
        <f>IFERROR(__xludf.DUMMYFUNCTION("""COMPUTED_VALUE"""),"")</f>
        <v/>
      </c>
      <c r="C114" s="19" t="str">
        <f>IFERROR(__xludf.DUMMYFUNCTION("""COMPUTED_VALUE"""),"IME")</f>
        <v>IME</v>
      </c>
      <c r="D114" s="20" t="str">
        <f>IFERROR(__xludf.DUMMYFUNCTION("""COMPUTED_VALUE"""),"LETAILLEUR")</f>
        <v>LETAILLEUR</v>
      </c>
      <c r="E114" s="20" t="str">
        <f>IFERROR(__xludf.DUMMYFUNCTION("""COMPUTED_VALUE"""),"Lucas")</f>
        <v>Lucas</v>
      </c>
      <c r="F114" s="20" t="str">
        <f>IFERROR(__xludf.DUMMYFUNCTION("""COMPUTED_VALUE"""),"lucas.letailleur@edu.esiee.fr")</f>
        <v>lucas.letailleur@edu.esiee.fr</v>
      </c>
      <c r="G114" s="22" t="str">
        <f>IFERROR(__xludf.DUMMYFUNCTION("""COMPUTED_VALUE"""),"Recherche")</f>
        <v>Recherche</v>
      </c>
      <c r="H114" s="22" t="str">
        <f>IFERROR(__xludf.DUMMYFUNCTION("""COMPUTED_VALUE"""),"R3")</f>
        <v>R3</v>
      </c>
      <c r="I114" s="22" t="str">
        <f>IFERROR(__xludf.DUMMYFUNCTION("""COMPUTED_VALUE"""),"Recherche")</f>
        <v>Recherche</v>
      </c>
      <c r="J114" s="22" t="str">
        <f>IFERROR(__xludf.DUMMYFUNCTION("""COMPUTED_VALUE"""),"R11")</f>
        <v>R11</v>
      </c>
      <c r="K114" s="22" t="str">
        <f>IFERROR(__xludf.DUMMYFUNCTION("""COMPUTED_VALUE"""),"Entreprise")</f>
        <v>Entreprise</v>
      </c>
      <c r="L114" s="22" t="str">
        <f>IFERROR(__xludf.DUMMYFUNCTION("""COMPUTED_VALUE"""),"E26")</f>
        <v>E26</v>
      </c>
      <c r="M114" s="22" t="str">
        <f>IFERROR(__xludf.DUMMYFUNCTION("""COMPUTED_VALUE"""),"Recherche")</f>
        <v>Recherche</v>
      </c>
      <c r="N114" s="22" t="str">
        <f>IFERROR(__xludf.DUMMYFUNCTION("""COMPUTED_VALUE"""),"R21")</f>
        <v>R21</v>
      </c>
      <c r="O114" s="22" t="str">
        <f>IFERROR(__xludf.DUMMYFUNCTION("""COMPUTED_VALUE"""),"Entreprise")</f>
        <v>Entreprise</v>
      </c>
      <c r="P114" s="22" t="str">
        <f>IFERROR(__xludf.DUMMYFUNCTION("""COMPUTED_VALUE"""),"E3")</f>
        <v>E3</v>
      </c>
      <c r="Q114" s="22" t="str">
        <f>IFERROR(__xludf.DUMMYFUNCTION("""COMPUTED_VALUE"""),"Je ne pars pas")</f>
        <v>Je ne pars pas</v>
      </c>
      <c r="R114" s="16" t="str">
        <f>IFERROR(__xludf.DUMMYFUNCTION("""COMPUTED_VALUE"""),"")</f>
        <v/>
      </c>
      <c r="S114" s="24"/>
      <c r="T114" s="19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25">
        <f>IFERROR(__xludf.DUMMYFUNCTION("""COMPUTED_VALUE"""),43360.4552234375)</f>
        <v>43360.45522</v>
      </c>
      <c r="B115" s="3" t="str">
        <f>IFERROR(__xludf.DUMMYFUNCTION("""COMPUTED_VALUE"""),"")</f>
        <v/>
      </c>
      <c r="C115" s="6" t="str">
        <f>IFERROR(__xludf.DUMMYFUNCTION("""COMPUTED_VALUE"""),"GI")</f>
        <v>GI</v>
      </c>
      <c r="D115" s="8" t="str">
        <f>IFERROR(__xludf.DUMMYFUNCTION("""COMPUTED_VALUE"""),"LEVY")</f>
        <v>LEVY</v>
      </c>
      <c r="E115" s="8" t="str">
        <f>IFERROR(__xludf.DUMMYFUNCTION("""COMPUTED_VALUE"""),"Coralie")</f>
        <v>Coralie</v>
      </c>
      <c r="F115" s="8" t="str">
        <f>IFERROR(__xludf.DUMMYFUNCTION("""COMPUTED_VALUE"""),"coralie.levy@edu.esiee.fr")</f>
        <v>coralie.levy@edu.esiee.fr</v>
      </c>
      <c r="G115" s="3" t="str">
        <f>IFERROR(__xludf.DUMMYFUNCTION("""COMPUTED_VALUE"""),"Recherche")</f>
        <v>Recherche</v>
      </c>
      <c r="H115" s="3" t="str">
        <f>IFERROR(__xludf.DUMMYFUNCTION("""COMPUTED_VALUE"""),"R32")</f>
        <v>R32</v>
      </c>
      <c r="I115" s="3" t="str">
        <f>IFERROR(__xludf.DUMMYFUNCTION("""COMPUTED_VALUE"""),"Recherche")</f>
        <v>Recherche</v>
      </c>
      <c r="J115" s="3" t="str">
        <f>IFERROR(__xludf.DUMMYFUNCTION("""COMPUTED_VALUE"""),"R32")</f>
        <v>R32</v>
      </c>
      <c r="K115" s="3" t="str">
        <f>IFERROR(__xludf.DUMMYFUNCTION("""COMPUTED_VALUE"""),"Recherche")</f>
        <v>Recherche</v>
      </c>
      <c r="L115" s="3" t="str">
        <f>IFERROR(__xludf.DUMMYFUNCTION("""COMPUTED_VALUE"""),"R24")</f>
        <v>R24</v>
      </c>
      <c r="M115" s="3" t="str">
        <f>IFERROR(__xludf.DUMMYFUNCTION("""COMPUTED_VALUE"""),"Recherche")</f>
        <v>Recherche</v>
      </c>
      <c r="N115" s="3" t="str">
        <f>IFERROR(__xludf.DUMMYFUNCTION("""COMPUTED_VALUE"""),"R24")</f>
        <v>R24</v>
      </c>
      <c r="O115" s="3" t="str">
        <f>IFERROR(__xludf.DUMMYFUNCTION("""COMPUTED_VALUE"""),"Recherche")</f>
        <v>Recherche</v>
      </c>
      <c r="P115" s="3" t="str">
        <f>IFERROR(__xludf.DUMMYFUNCTION("""COMPUTED_VALUE"""),"R31")</f>
        <v>R31</v>
      </c>
      <c r="Q115" s="3" t="str">
        <f>IFERROR(__xludf.DUMMYFUNCTION("""COMPUTED_VALUE"""),"Je pars au semestre 1")</f>
        <v>Je pars au semestre 1</v>
      </c>
      <c r="R115" s="3" t="str">
        <f>IFERROR(__xludf.DUMMYFUNCTION("""COMPUTED_VALUE"""),"")</f>
        <v/>
      </c>
      <c r="S115" s="11"/>
      <c r="T115" s="3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5">
        <f>IFERROR(__xludf.DUMMYFUNCTION("""COMPUTED_VALUE"""),43361.71954582176)</f>
        <v>43361.71955</v>
      </c>
      <c r="B116" s="16" t="str">
        <f>IFERROR(__xludf.DUMMYFUNCTION("""COMPUTED_VALUE"""),"")</f>
        <v/>
      </c>
      <c r="C116" s="19" t="str">
        <f>IFERROR(__xludf.DUMMYFUNCTION("""COMPUTED_VALUE"""),"SE")</f>
        <v>SE</v>
      </c>
      <c r="D116" s="20" t="str">
        <f>IFERROR(__xludf.DUMMYFUNCTION("""COMPUTED_VALUE"""),"LIBERT")</f>
        <v>LIBERT</v>
      </c>
      <c r="E116" s="20" t="str">
        <f>IFERROR(__xludf.DUMMYFUNCTION("""COMPUTED_VALUE"""),"Thomas")</f>
        <v>Thomas</v>
      </c>
      <c r="F116" s="20" t="str">
        <f>IFERROR(__xludf.DUMMYFUNCTION("""COMPUTED_VALUE"""),"thomas.libert@edu.esiee.fr")</f>
        <v>thomas.libert@edu.esiee.fr</v>
      </c>
      <c r="G116" s="22" t="str">
        <f>IFERROR(__xludf.DUMMYFUNCTION("""COMPUTED_VALUE"""),"Recherche")</f>
        <v>Recherche</v>
      </c>
      <c r="H116" s="22" t="str">
        <f>IFERROR(__xludf.DUMMYFUNCTION("""COMPUTED_VALUE"""),"R18")</f>
        <v>R18</v>
      </c>
      <c r="I116" s="22" t="str">
        <f>IFERROR(__xludf.DUMMYFUNCTION("""COMPUTED_VALUE"""),"Recherche")</f>
        <v>Recherche</v>
      </c>
      <c r="J116" s="22" t="str">
        <f>IFERROR(__xludf.DUMMYFUNCTION("""COMPUTED_VALUE"""),"R3")</f>
        <v>R3</v>
      </c>
      <c r="K116" s="22" t="str">
        <f>IFERROR(__xludf.DUMMYFUNCTION("""COMPUTED_VALUE"""),"Recherche")</f>
        <v>Recherche</v>
      </c>
      <c r="L116" s="22" t="str">
        <f>IFERROR(__xludf.DUMMYFUNCTION("""COMPUTED_VALUE"""),"R6")</f>
        <v>R6</v>
      </c>
      <c r="M116" s="22" t="str">
        <f>IFERROR(__xludf.DUMMYFUNCTION("""COMPUTED_VALUE"""),"Recherche")</f>
        <v>Recherche</v>
      </c>
      <c r="N116" s="22" t="str">
        <f>IFERROR(__xludf.DUMMYFUNCTION("""COMPUTED_VALUE"""),"R13")</f>
        <v>R13</v>
      </c>
      <c r="O116" s="22" t="str">
        <f>IFERROR(__xludf.DUMMYFUNCTION("""COMPUTED_VALUE"""),"Entreprise")</f>
        <v>Entreprise</v>
      </c>
      <c r="P116" s="22" t="str">
        <f>IFERROR(__xludf.DUMMYFUNCTION("""COMPUTED_VALUE"""),"E16")</f>
        <v>E16</v>
      </c>
      <c r="Q116" s="22" t="str">
        <f>IFERROR(__xludf.DUMMYFUNCTION("""COMPUTED_VALUE"""),"Je pars au semestre 1")</f>
        <v>Je pars au semestre 1</v>
      </c>
      <c r="R116" s="16" t="str">
        <f>IFERROR(__xludf.DUMMYFUNCTION("""COMPUTED_VALUE"""),"")</f>
        <v/>
      </c>
      <c r="S116" s="24"/>
      <c r="T116" s="19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">
        <f>IFERROR(__xludf.DUMMYFUNCTION("""COMPUTED_VALUE"""),43362.93214467593)</f>
        <v>43362.93214</v>
      </c>
      <c r="B117" s="3" t="str">
        <f>IFERROR(__xludf.DUMMYFUNCTION("""COMPUTED_VALUE"""),"")</f>
        <v/>
      </c>
      <c r="C117" s="6" t="str">
        <f>IFERROR(__xludf.DUMMYFUNCTION("""COMPUTED_VALUE"""),"ELE")</f>
        <v>ELE</v>
      </c>
      <c r="D117" s="8" t="str">
        <f>IFERROR(__xludf.DUMMYFUNCTION("""COMPUTED_VALUE"""),"LIU")</f>
        <v>LIU</v>
      </c>
      <c r="E117" s="8" t="str">
        <f>IFERROR(__xludf.DUMMYFUNCTION("""COMPUTED_VALUE"""),"Wei")</f>
        <v>Wei</v>
      </c>
      <c r="F117" s="8" t="str">
        <f>IFERROR(__xludf.DUMMYFUNCTION("""COMPUTED_VALUE"""),"wei.liu@edu.esiee.fr")</f>
        <v>wei.liu@edu.esiee.fr</v>
      </c>
      <c r="G117" s="3" t="str">
        <f>IFERROR(__xludf.DUMMYFUNCTION("""COMPUTED_VALUE"""),"Recherche")</f>
        <v>Recherche</v>
      </c>
      <c r="H117" s="3" t="str">
        <f>IFERROR(__xludf.DUMMYFUNCTION("""COMPUTED_VALUE"""),"R29")</f>
        <v>R29</v>
      </c>
      <c r="I117" s="3" t="str">
        <f>IFERROR(__xludf.DUMMYFUNCTION("""COMPUTED_VALUE"""),"Recherche")</f>
        <v>Recherche</v>
      </c>
      <c r="J117" s="3" t="str">
        <f>IFERROR(__xludf.DUMMYFUNCTION("""COMPUTED_VALUE"""),"R28")</f>
        <v>R28</v>
      </c>
      <c r="K117" s="3" t="str">
        <f>IFERROR(__xludf.DUMMYFUNCTION("""COMPUTED_VALUE"""),"Recherche")</f>
        <v>Recherche</v>
      </c>
      <c r="L117" s="3" t="str">
        <f>IFERROR(__xludf.DUMMYFUNCTION("""COMPUTED_VALUE"""),"R30")</f>
        <v>R30</v>
      </c>
      <c r="M117" s="3" t="str">
        <f>IFERROR(__xludf.DUMMYFUNCTION("""COMPUTED_VALUE"""),"Recherche")</f>
        <v>Recherche</v>
      </c>
      <c r="N117" s="3" t="str">
        <f>IFERROR(__xludf.DUMMYFUNCTION("""COMPUTED_VALUE"""),"R27")</f>
        <v>R27</v>
      </c>
      <c r="O117" s="3" t="str">
        <f>IFERROR(__xludf.DUMMYFUNCTION("""COMPUTED_VALUE"""),"Recherche")</f>
        <v>Recherche</v>
      </c>
      <c r="P117" s="3" t="str">
        <f>IFERROR(__xludf.DUMMYFUNCTION("""COMPUTED_VALUE"""),"R22")</f>
        <v>R22</v>
      </c>
      <c r="Q117" s="3" t="str">
        <f>IFERROR(__xludf.DUMMYFUNCTION("""COMPUTED_VALUE"""),"Je ne pars pas")</f>
        <v>Je ne pars pas</v>
      </c>
      <c r="R117" s="3" t="str">
        <f>IFERROR(__xludf.DUMMYFUNCTION("""COMPUTED_VALUE"""),"")</f>
        <v/>
      </c>
      <c r="S117" s="11"/>
      <c r="T117" s="3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5" t="str">
        <f>IFERROR(__xludf.DUMMYFUNCTION("""COMPUTED_VALUE"""),"")</f>
        <v/>
      </c>
      <c r="B118" s="16" t="str">
        <f>IFERROR(__xludf.DUMMYFUNCTION("""COMPUTED_VALUE"""),"")</f>
        <v/>
      </c>
      <c r="C118" s="19" t="str">
        <f>IFERROR(__xludf.DUMMYFUNCTION("""COMPUTED_VALUE"""),"")</f>
        <v/>
      </c>
      <c r="D118" s="20" t="str">
        <f>IFERROR(__xludf.DUMMYFUNCTION("""COMPUTED_VALUE"""),"LONG")</f>
        <v>LONG</v>
      </c>
      <c r="E118" s="20" t="str">
        <f>IFERROR(__xludf.DUMMYFUNCTION("""COMPUTED_VALUE"""),"Quan")</f>
        <v>Quan</v>
      </c>
      <c r="F118" s="20" t="str">
        <f>IFERROR(__xludf.DUMMYFUNCTION("""COMPUTED_VALUE"""),"quan.long@edu.esiee.fr")</f>
        <v>quan.long@edu.esiee.fr</v>
      </c>
      <c r="G118" s="22" t="str">
        <f>IFERROR(__xludf.DUMMYFUNCTION("""COMPUTED_VALUE"""),"")</f>
        <v/>
      </c>
      <c r="H118" s="22" t="str">
        <f>IFERROR(__xludf.DUMMYFUNCTION("""COMPUTED_VALUE"""),"")</f>
        <v/>
      </c>
      <c r="I118" s="22" t="str">
        <f>IFERROR(__xludf.DUMMYFUNCTION("""COMPUTED_VALUE"""),"")</f>
        <v/>
      </c>
      <c r="J118" s="22" t="str">
        <f>IFERROR(__xludf.DUMMYFUNCTION("""COMPUTED_VALUE"""),"")</f>
        <v/>
      </c>
      <c r="K118" s="22" t="str">
        <f>IFERROR(__xludf.DUMMYFUNCTION("""COMPUTED_VALUE"""),"")</f>
        <v/>
      </c>
      <c r="L118" s="22" t="str">
        <f>IFERROR(__xludf.DUMMYFUNCTION("""COMPUTED_VALUE"""),"")</f>
        <v/>
      </c>
      <c r="M118" s="22" t="str">
        <f>IFERROR(__xludf.DUMMYFUNCTION("""COMPUTED_VALUE"""),"")</f>
        <v/>
      </c>
      <c r="N118" s="22" t="str">
        <f>IFERROR(__xludf.DUMMYFUNCTION("""COMPUTED_VALUE"""),"")</f>
        <v/>
      </c>
      <c r="O118" s="22" t="str">
        <f>IFERROR(__xludf.DUMMYFUNCTION("""COMPUTED_VALUE"""),"")</f>
        <v/>
      </c>
      <c r="P118" s="22" t="str">
        <f>IFERROR(__xludf.DUMMYFUNCTION("""COMPUTED_VALUE"""),"")</f>
        <v/>
      </c>
      <c r="Q118" s="22" t="str">
        <f>IFERROR(__xludf.DUMMYFUNCTION("""COMPUTED_VALUE"""),"")</f>
        <v/>
      </c>
      <c r="R118" s="16" t="str">
        <f>IFERROR(__xludf.DUMMYFUNCTION("""COMPUTED_VALUE"""),"")</f>
        <v/>
      </c>
      <c r="S118" s="24"/>
      <c r="T118" s="19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25">
        <f>IFERROR(__xludf.DUMMYFUNCTION("""COMPUTED_VALUE"""),43360.42156038195)</f>
        <v>43360.42156</v>
      </c>
      <c r="B119" s="3" t="str">
        <f>IFERROR(__xludf.DUMMYFUNCTION("""COMPUTED_VALUE"""),"")</f>
        <v/>
      </c>
      <c r="C119" s="6" t="str">
        <f>IFERROR(__xludf.DUMMYFUNCTION("""COMPUTED_VALUE"""),"INF")</f>
        <v>INF</v>
      </c>
      <c r="D119" s="8" t="str">
        <f>IFERROR(__xludf.DUMMYFUNCTION("""COMPUTED_VALUE"""),"LY")</f>
        <v>LY</v>
      </c>
      <c r="E119" s="8" t="str">
        <f>IFERROR(__xludf.DUMMYFUNCTION("""COMPUTED_VALUE"""),"Eddy")</f>
        <v>Eddy</v>
      </c>
      <c r="F119" s="8" t="str">
        <f>IFERROR(__xludf.DUMMYFUNCTION("""COMPUTED_VALUE"""),"eddy.ly@edu.esiee.fr")</f>
        <v>eddy.ly@edu.esiee.fr</v>
      </c>
      <c r="G119" s="3" t="str">
        <f>IFERROR(__xludf.DUMMYFUNCTION("""COMPUTED_VALUE"""),"Recherche")</f>
        <v>Recherche</v>
      </c>
      <c r="H119" s="3" t="str">
        <f>IFERROR(__xludf.DUMMYFUNCTION("""COMPUTED_VALUE"""),"R11")</f>
        <v>R11</v>
      </c>
      <c r="I119" s="3" t="str">
        <f>IFERROR(__xludf.DUMMYFUNCTION("""COMPUTED_VALUE"""),"Entreprise")</f>
        <v>Entreprise</v>
      </c>
      <c r="J119" s="3" t="str">
        <f>IFERROR(__xludf.DUMMYFUNCTION("""COMPUTED_VALUE"""),"E2")</f>
        <v>E2</v>
      </c>
      <c r="K119" s="3" t="str">
        <f>IFERROR(__xludf.DUMMYFUNCTION("""COMPUTED_VALUE"""),"Recherche")</f>
        <v>Recherche</v>
      </c>
      <c r="L119" s="3" t="str">
        <f>IFERROR(__xludf.DUMMYFUNCTION("""COMPUTED_VALUE"""),"R7")</f>
        <v>R7</v>
      </c>
      <c r="M119" s="3" t="str">
        <f>IFERROR(__xludf.DUMMYFUNCTION("""COMPUTED_VALUE"""),"Recherche")</f>
        <v>Recherche</v>
      </c>
      <c r="N119" s="3" t="str">
        <f>IFERROR(__xludf.DUMMYFUNCTION("""COMPUTED_VALUE"""),"R25")</f>
        <v>R25</v>
      </c>
      <c r="O119" s="3" t="str">
        <f>IFERROR(__xludf.DUMMYFUNCTION("""COMPUTED_VALUE"""),"Recherche")</f>
        <v>Recherche</v>
      </c>
      <c r="P119" s="3" t="str">
        <f>IFERROR(__xludf.DUMMYFUNCTION("""COMPUTED_VALUE"""),"R27")</f>
        <v>R27</v>
      </c>
      <c r="Q119" s="3" t="str">
        <f>IFERROR(__xludf.DUMMYFUNCTION("""COMPUTED_VALUE"""),"Je pars au semestre 1")</f>
        <v>Je pars au semestre 1</v>
      </c>
      <c r="R119" s="3" t="str">
        <f>IFERROR(__xludf.DUMMYFUNCTION("""COMPUTED_VALUE"""),"")</f>
        <v/>
      </c>
      <c r="S119" s="11"/>
      <c r="T119" s="3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5">
        <f>IFERROR(__xludf.DUMMYFUNCTION("""COMPUTED_VALUE"""),43362.15578047454)</f>
        <v>43362.15578</v>
      </c>
      <c r="B120" s="16" t="str">
        <f>IFERROR(__xludf.DUMMYFUNCTION("""COMPUTED_VALUE"""),"")</f>
        <v/>
      </c>
      <c r="C120" s="19" t="str">
        <f>IFERROR(__xludf.DUMMYFUNCTION("""COMPUTED_VALUE"""),"CYBER")</f>
        <v>CYBER</v>
      </c>
      <c r="D120" s="20" t="str">
        <f>IFERROR(__xludf.DUMMYFUNCTION("""COMPUTED_VALUE"""),"LY")</f>
        <v>LY</v>
      </c>
      <c r="E120" s="20" t="str">
        <f>IFERROR(__xludf.DUMMYFUNCTION("""COMPUTED_VALUE"""),"Jimmy")</f>
        <v>Jimmy</v>
      </c>
      <c r="F120" s="20" t="str">
        <f>IFERROR(__xludf.DUMMYFUNCTION("""COMPUTED_VALUE"""),"jimmy.ly@edu.esiee.fr")</f>
        <v>jimmy.ly@edu.esiee.fr</v>
      </c>
      <c r="G120" s="22" t="str">
        <f>IFERROR(__xludf.DUMMYFUNCTION("""COMPUTED_VALUE"""),"Entreprise")</f>
        <v>Entreprise</v>
      </c>
      <c r="H120" s="22" t="str">
        <f>IFERROR(__xludf.DUMMYFUNCTION("""COMPUTED_VALUE"""),"E23")</f>
        <v>E23</v>
      </c>
      <c r="I120" s="22" t="str">
        <f>IFERROR(__xludf.DUMMYFUNCTION("""COMPUTED_VALUE"""),"Entreprise")</f>
        <v>Entreprise</v>
      </c>
      <c r="J120" s="22" t="str">
        <f>IFERROR(__xludf.DUMMYFUNCTION("""COMPUTED_VALUE"""),"E22")</f>
        <v>E22</v>
      </c>
      <c r="K120" s="22" t="str">
        <f>IFERROR(__xludf.DUMMYFUNCTION("""COMPUTED_VALUE"""),"Entreprise")</f>
        <v>Entreprise</v>
      </c>
      <c r="L120" s="22" t="str">
        <f>IFERROR(__xludf.DUMMYFUNCTION("""COMPUTED_VALUE"""),"E24")</f>
        <v>E24</v>
      </c>
      <c r="M120" s="22" t="str">
        <f>IFERROR(__xludf.DUMMYFUNCTION("""COMPUTED_VALUE"""),"Entreprise")</f>
        <v>Entreprise</v>
      </c>
      <c r="N120" s="22" t="str">
        <f>IFERROR(__xludf.DUMMYFUNCTION("""COMPUTED_VALUE"""),"E11")</f>
        <v>E11</v>
      </c>
      <c r="O120" s="22" t="str">
        <f>IFERROR(__xludf.DUMMYFUNCTION("""COMPUTED_VALUE"""),"Entreprise")</f>
        <v>Entreprise</v>
      </c>
      <c r="P120" s="22" t="str">
        <f>IFERROR(__xludf.DUMMYFUNCTION("""COMPUTED_VALUE"""),"E2")</f>
        <v>E2</v>
      </c>
      <c r="Q120" s="22" t="str">
        <f>IFERROR(__xludf.DUMMYFUNCTION("""COMPUTED_VALUE"""),"Je ne pars pas")</f>
        <v>Je ne pars pas</v>
      </c>
      <c r="R120" s="16" t="str">
        <f>IFERROR(__xludf.DUMMYFUNCTION("""COMPUTED_VALUE"""),"")</f>
        <v/>
      </c>
      <c r="S120" s="24"/>
      <c r="T120" s="19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25">
        <f>IFERROR(__xludf.DUMMYFUNCTION("""COMPUTED_VALUE"""),43362.663797500005)</f>
        <v>43362.6638</v>
      </c>
      <c r="B121" s="3" t="str">
        <f>IFERROR(__xludf.DUMMYFUNCTION("""COMPUTED_VALUE"""),"")</f>
        <v/>
      </c>
      <c r="C121" s="6" t="str">
        <f>IFERROR(__xludf.DUMMYFUNCTION("""COMPUTED_VALUE"""),"INF")</f>
        <v>INF</v>
      </c>
      <c r="D121" s="8" t="str">
        <f>IFERROR(__xludf.DUMMYFUNCTION("""COMPUTED_VALUE"""),"MAILHARRO")</f>
        <v>MAILHARRO</v>
      </c>
      <c r="E121" s="8" t="str">
        <f>IFERROR(__xludf.DUMMYFUNCTION("""COMPUTED_VALUE"""),"Erwan")</f>
        <v>Erwan</v>
      </c>
      <c r="F121" s="8" t="str">
        <f>IFERROR(__xludf.DUMMYFUNCTION("""COMPUTED_VALUE"""),"erwan.mailharro@edu.esiee.fr")</f>
        <v>erwan.mailharro@edu.esiee.fr</v>
      </c>
      <c r="G121" s="3" t="str">
        <f>IFERROR(__xludf.DUMMYFUNCTION("""COMPUTED_VALUE"""),"Recherche")</f>
        <v>Recherche</v>
      </c>
      <c r="H121" s="3" t="str">
        <f>IFERROR(__xludf.DUMMYFUNCTION("""COMPUTED_VALUE"""),"R25")</f>
        <v>R25</v>
      </c>
      <c r="I121" s="3" t="str">
        <f>IFERROR(__xludf.DUMMYFUNCTION("""COMPUTED_VALUE"""),"Recherche")</f>
        <v>Recherche</v>
      </c>
      <c r="J121" s="3" t="str">
        <f>IFERROR(__xludf.DUMMYFUNCTION("""COMPUTED_VALUE"""),"R21")</f>
        <v>R21</v>
      </c>
      <c r="K121" s="3" t="str">
        <f>IFERROR(__xludf.DUMMYFUNCTION("""COMPUTED_VALUE"""),"Recherche")</f>
        <v>Recherche</v>
      </c>
      <c r="L121" s="3" t="str">
        <f>IFERROR(__xludf.DUMMYFUNCTION("""COMPUTED_VALUE"""),"R11")</f>
        <v>R11</v>
      </c>
      <c r="M121" s="3" t="str">
        <f>IFERROR(__xludf.DUMMYFUNCTION("""COMPUTED_VALUE"""),"Recherche")</f>
        <v>Recherche</v>
      </c>
      <c r="N121" s="3" t="str">
        <f>IFERROR(__xludf.DUMMYFUNCTION("""COMPUTED_VALUE"""),"R27")</f>
        <v>R27</v>
      </c>
      <c r="O121" s="3" t="str">
        <f>IFERROR(__xludf.DUMMYFUNCTION("""COMPUTED_VALUE"""),"Logiciel libre")</f>
        <v>Logiciel libre</v>
      </c>
      <c r="P121" s="3" t="str">
        <f>IFERROR(__xludf.DUMMYFUNCTION("""COMPUTED_VALUE"""),"LL1")</f>
        <v>LL1</v>
      </c>
      <c r="Q121" s="3" t="str">
        <f>IFERROR(__xludf.DUMMYFUNCTION("""COMPUTED_VALUE"""),"Je pars au semestre 1")</f>
        <v>Je pars au semestre 1</v>
      </c>
      <c r="R121" s="3" t="str">
        <f>IFERROR(__xludf.DUMMYFUNCTION("""COMPUTED_VALUE"""),"")</f>
        <v/>
      </c>
      <c r="S121" s="11"/>
      <c r="T121" s="3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5">
        <f>IFERROR(__xludf.DUMMYFUNCTION("""COMPUTED_VALUE"""),43360.5309483912)</f>
        <v>43360.53095</v>
      </c>
      <c r="B122" s="16" t="str">
        <f>IFERROR(__xludf.DUMMYFUNCTION("""COMPUTED_VALUE"""),"")</f>
        <v/>
      </c>
      <c r="C122" s="19" t="str">
        <f>IFERROR(__xludf.DUMMYFUNCTION("""COMPUTED_VALUE"""),"ELE")</f>
        <v>ELE</v>
      </c>
      <c r="D122" s="20" t="str">
        <f>IFERROR(__xludf.DUMMYFUNCTION("""COMPUTED_VALUE"""),"MALOEUVRE")</f>
        <v>MALOEUVRE</v>
      </c>
      <c r="E122" s="20" t="str">
        <f>IFERROR(__xludf.DUMMYFUNCTION("""COMPUTED_VALUE"""),"Julie")</f>
        <v>Julie</v>
      </c>
      <c r="F122" s="20" t="str">
        <f>IFERROR(__xludf.DUMMYFUNCTION("""COMPUTED_VALUE"""),"julie.maloeuvre@edu.esiee.fr")</f>
        <v>julie.maloeuvre@edu.esiee.fr</v>
      </c>
      <c r="G122" s="22" t="str">
        <f>IFERROR(__xludf.DUMMYFUNCTION("""COMPUTED_VALUE"""),"Concours")</f>
        <v>Concours</v>
      </c>
      <c r="H122" s="22" t="str">
        <f>IFERROR(__xludf.DUMMYFUNCTION("""COMPUTED_VALUE"""),"C3")</f>
        <v>C3</v>
      </c>
      <c r="I122" s="22" t="str">
        <f>IFERROR(__xludf.DUMMYFUNCTION("""COMPUTED_VALUE"""),"Recherche")</f>
        <v>Recherche</v>
      </c>
      <c r="J122" s="22" t="str">
        <f>IFERROR(__xludf.DUMMYFUNCTION("""COMPUTED_VALUE"""),"R26")</f>
        <v>R26</v>
      </c>
      <c r="K122" s="22" t="str">
        <f>IFERROR(__xludf.DUMMYFUNCTION("""COMPUTED_VALUE"""),"Recherche")</f>
        <v>Recherche</v>
      </c>
      <c r="L122" s="22" t="str">
        <f>IFERROR(__xludf.DUMMYFUNCTION("""COMPUTED_VALUE"""),"R18")</f>
        <v>R18</v>
      </c>
      <c r="M122" s="22" t="str">
        <f>IFERROR(__xludf.DUMMYFUNCTION("""COMPUTED_VALUE"""),"Recherche")</f>
        <v>Recherche</v>
      </c>
      <c r="N122" s="22" t="str">
        <f>IFERROR(__xludf.DUMMYFUNCTION("""COMPUTED_VALUE"""),"R13")</f>
        <v>R13</v>
      </c>
      <c r="O122" s="22" t="str">
        <f>IFERROR(__xludf.DUMMYFUNCTION("""COMPUTED_VALUE"""),"Entreprise")</f>
        <v>Entreprise</v>
      </c>
      <c r="P122" s="22" t="str">
        <f>IFERROR(__xludf.DUMMYFUNCTION("""COMPUTED_VALUE"""),"E26")</f>
        <v>E26</v>
      </c>
      <c r="Q122" s="22" t="str">
        <f>IFERROR(__xludf.DUMMYFUNCTION("""COMPUTED_VALUE"""),"Je ne pars pas")</f>
        <v>Je ne pars pas</v>
      </c>
      <c r="R122" s="16" t="str">
        <f>IFERROR(__xludf.DUMMYFUNCTION("""COMPUTED_VALUE"""),"")</f>
        <v/>
      </c>
      <c r="S122" s="24"/>
      <c r="T122" s="19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25">
        <f>IFERROR(__xludf.DUMMYFUNCTION("""COMPUTED_VALUE"""),43360.515487743054)</f>
        <v>43360.51549</v>
      </c>
      <c r="B123" s="3" t="str">
        <f>IFERROR(__xludf.DUMMYFUNCTION("""COMPUTED_VALUE"""),"")</f>
        <v/>
      </c>
      <c r="C123" s="6" t="str">
        <f>IFERROR(__xludf.DUMMYFUNCTION("""COMPUTED_VALUE"""),"ENE")</f>
        <v>ENE</v>
      </c>
      <c r="D123" s="8" t="str">
        <f>IFERROR(__xludf.DUMMYFUNCTION("""COMPUTED_VALUE"""),"MARCHAND")</f>
        <v>MARCHAND</v>
      </c>
      <c r="E123" s="8" t="str">
        <f>IFERROR(__xludf.DUMMYFUNCTION("""COMPUTED_VALUE"""),"Sébastien")</f>
        <v>Sébastien</v>
      </c>
      <c r="F123" s="8" t="str">
        <f>IFERROR(__xludf.DUMMYFUNCTION("""COMPUTED_VALUE"""),"sebastien.marchand@edu.esiee.fr")</f>
        <v>sebastien.marchand@edu.esiee.fr</v>
      </c>
      <c r="G123" s="3" t="str">
        <f>IFERROR(__xludf.DUMMYFUNCTION("""COMPUTED_VALUE"""),"Entrepreneuriat/Logiciel Libre")</f>
        <v>Entrepreneuriat/Logiciel Libre</v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IFERROR(__xludf.DUMMYFUNCTION("""COMPUTED_VALUE"""),"Je ne pars pas")</f>
        <v>Je ne pars pas</v>
      </c>
      <c r="R123" s="3" t="str">
        <f>IFERROR(__xludf.DUMMYFUNCTION("""COMPUTED_VALUE"""),"")</f>
        <v/>
      </c>
      <c r="S123" s="11"/>
      <c r="T123" s="3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5">
        <f>IFERROR(__xludf.DUMMYFUNCTION("""COMPUTED_VALUE"""),43360.43366497685)</f>
        <v>43360.43366</v>
      </c>
      <c r="B124" s="16" t="str">
        <f>IFERROR(__xludf.DUMMYFUNCTION("""COMPUTED_VALUE"""),"")</f>
        <v/>
      </c>
      <c r="C124" s="19" t="str">
        <f>IFERROR(__xludf.DUMMYFUNCTION("""COMPUTED_VALUE"""),"BIO")</f>
        <v>BIO</v>
      </c>
      <c r="D124" s="20" t="str">
        <f>IFERROR(__xludf.DUMMYFUNCTION("""COMPUTED_VALUE"""),"MASCREZ")</f>
        <v>MASCREZ</v>
      </c>
      <c r="E124" s="20" t="str">
        <f>IFERROR(__xludf.DUMMYFUNCTION("""COMPUTED_VALUE"""),"Marjorie")</f>
        <v>Marjorie</v>
      </c>
      <c r="F124" s="20" t="str">
        <f>IFERROR(__xludf.DUMMYFUNCTION("""COMPUTED_VALUE"""),"marjorie.mascrez@edu.esiee.fr")</f>
        <v>marjorie.mascrez@edu.esiee.fr</v>
      </c>
      <c r="G124" s="22" t="str">
        <f>IFERROR(__xludf.DUMMYFUNCTION("""COMPUTED_VALUE"""),"Recherche")</f>
        <v>Recherche</v>
      </c>
      <c r="H124" s="22" t="str">
        <f>IFERROR(__xludf.DUMMYFUNCTION("""COMPUTED_VALUE"""),"R3")</f>
        <v>R3</v>
      </c>
      <c r="I124" s="22" t="str">
        <f>IFERROR(__xludf.DUMMYFUNCTION("""COMPUTED_VALUE"""),"Recherche")</f>
        <v>Recherche</v>
      </c>
      <c r="J124" s="22" t="str">
        <f>IFERROR(__xludf.DUMMYFUNCTION("""COMPUTED_VALUE"""),"R24")</f>
        <v>R24</v>
      </c>
      <c r="K124" s="22" t="str">
        <f>IFERROR(__xludf.DUMMYFUNCTION("""COMPUTED_VALUE"""),"Entreprise")</f>
        <v>Entreprise</v>
      </c>
      <c r="L124" s="22" t="str">
        <f>IFERROR(__xludf.DUMMYFUNCTION("""COMPUTED_VALUE"""),"E1")</f>
        <v>E1</v>
      </c>
      <c r="M124" s="22" t="str">
        <f>IFERROR(__xludf.DUMMYFUNCTION("""COMPUTED_VALUE"""),"Entreprise")</f>
        <v>Entreprise</v>
      </c>
      <c r="N124" s="22" t="str">
        <f>IFERROR(__xludf.DUMMYFUNCTION("""COMPUTED_VALUE"""),"E20")</f>
        <v>E20</v>
      </c>
      <c r="O124" s="22" t="str">
        <f>IFERROR(__xludf.DUMMYFUNCTION("""COMPUTED_VALUE"""),"Recherche")</f>
        <v>Recherche</v>
      </c>
      <c r="P124" s="22" t="str">
        <f>IFERROR(__xludf.DUMMYFUNCTION("""COMPUTED_VALUE"""),"R2")</f>
        <v>R2</v>
      </c>
      <c r="Q124" s="22" t="str">
        <f>IFERROR(__xludf.DUMMYFUNCTION("""COMPUTED_VALUE"""),"Je ne pars pas")</f>
        <v>Je ne pars pas</v>
      </c>
      <c r="R124" s="16" t="str">
        <f>IFERROR(__xludf.DUMMYFUNCTION("""COMPUTED_VALUE"""),"")</f>
        <v/>
      </c>
      <c r="S124" s="24"/>
      <c r="T124" s="19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25">
        <f>IFERROR(__xludf.DUMMYFUNCTION("""COMPUTED_VALUE"""),43361.39739783565)</f>
        <v>43361.3974</v>
      </c>
      <c r="B125" s="3" t="str">
        <f>IFERROR(__xludf.DUMMYFUNCTION("""COMPUTED_VALUE"""),"")</f>
        <v/>
      </c>
      <c r="C125" s="6" t="str">
        <f>IFERROR(__xludf.DUMMYFUNCTION("""COMPUTED_VALUE"""),"DSIA")</f>
        <v>DSIA</v>
      </c>
      <c r="D125" s="8" t="str">
        <f>IFERROR(__xludf.DUMMYFUNCTION("""COMPUTED_VALUE"""),"MAVOUNGOU")</f>
        <v>MAVOUNGOU</v>
      </c>
      <c r="E125" s="8" t="str">
        <f>IFERROR(__xludf.DUMMYFUNCTION("""COMPUTED_VALUE"""),"Steven")</f>
        <v>Steven</v>
      </c>
      <c r="F125" s="8" t="str">
        <f>IFERROR(__xludf.DUMMYFUNCTION("""COMPUTED_VALUE"""),"steven.mavoungou@edu.esiee.fr")</f>
        <v>steven.mavoungou@edu.esiee.fr</v>
      </c>
      <c r="G125" s="3" t="str">
        <f>IFERROR(__xludf.DUMMYFUNCTION("""COMPUTED_VALUE"""),"Entreprise")</f>
        <v>Entreprise</v>
      </c>
      <c r="H125" s="3" t="str">
        <f>IFERROR(__xludf.DUMMYFUNCTION("""COMPUTED_VALUE"""),"E5")</f>
        <v>E5</v>
      </c>
      <c r="I125" s="3" t="str">
        <f>IFERROR(__xludf.DUMMYFUNCTION("""COMPUTED_VALUE"""),"Entreprise")</f>
        <v>Entreprise</v>
      </c>
      <c r="J125" s="3" t="str">
        <f>IFERROR(__xludf.DUMMYFUNCTION("""COMPUTED_VALUE"""),"E21")</f>
        <v>E21</v>
      </c>
      <c r="K125" s="3" t="str">
        <f>IFERROR(__xludf.DUMMYFUNCTION("""COMPUTED_VALUE"""),"Entreprise")</f>
        <v>Entreprise</v>
      </c>
      <c r="L125" s="3" t="str">
        <f>IFERROR(__xludf.DUMMYFUNCTION("""COMPUTED_VALUE"""),"E19")</f>
        <v>E19</v>
      </c>
      <c r="M125" s="3" t="str">
        <f>IFERROR(__xludf.DUMMYFUNCTION("""COMPUTED_VALUE"""),"Entreprise")</f>
        <v>Entreprise</v>
      </c>
      <c r="N125" s="3" t="str">
        <f>IFERROR(__xludf.DUMMYFUNCTION("""COMPUTED_VALUE"""),"E24")</f>
        <v>E24</v>
      </c>
      <c r="O125" s="3" t="str">
        <f>IFERROR(__xludf.DUMMYFUNCTION("""COMPUTED_VALUE"""),"Entreprise")</f>
        <v>Entreprise</v>
      </c>
      <c r="P125" s="3" t="str">
        <f>IFERROR(__xludf.DUMMYFUNCTION("""COMPUTED_VALUE"""),"E10")</f>
        <v>E10</v>
      </c>
      <c r="Q125" s="3" t="str">
        <f>IFERROR(__xludf.DUMMYFUNCTION("""COMPUTED_VALUE"""),"Je ne pars pas")</f>
        <v>Je ne pars pas</v>
      </c>
      <c r="R125" s="3" t="str">
        <f>IFERROR(__xludf.DUMMYFUNCTION("""COMPUTED_VALUE"""),"")</f>
        <v/>
      </c>
      <c r="S125" s="11"/>
      <c r="T125" s="3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5">
        <f>IFERROR(__xludf.DUMMYFUNCTION("""COMPUTED_VALUE"""),43360.567445555556)</f>
        <v>43360.56745</v>
      </c>
      <c r="B126" s="16" t="str">
        <f>IFERROR(__xludf.DUMMYFUNCTION("""COMPUTED_VALUE"""),"")</f>
        <v/>
      </c>
      <c r="C126" s="19" t="str">
        <f>IFERROR(__xludf.DUMMYFUNCTION("""COMPUTED_VALUE"""),"SE")</f>
        <v>SE</v>
      </c>
      <c r="D126" s="20" t="str">
        <f>IFERROR(__xludf.DUMMYFUNCTION("""COMPUTED_VALUE"""),"MEMMO")</f>
        <v>MEMMO</v>
      </c>
      <c r="E126" s="20" t="str">
        <f>IFERROR(__xludf.DUMMYFUNCTION("""COMPUTED_VALUE"""),"Kevin")</f>
        <v>Kevin</v>
      </c>
      <c r="F126" s="20" t="str">
        <f>IFERROR(__xludf.DUMMYFUNCTION("""COMPUTED_VALUE"""),"kevin.memmo@edu.esiee.fr")</f>
        <v>kevin.memmo@edu.esiee.fr</v>
      </c>
      <c r="G126" s="22" t="str">
        <f>IFERROR(__xludf.DUMMYFUNCTION("""COMPUTED_VALUE"""),"Concours")</f>
        <v>Concours</v>
      </c>
      <c r="H126" s="22" t="str">
        <f>IFERROR(__xludf.DUMMYFUNCTION("""COMPUTED_VALUE"""),"C2")</f>
        <v>C2</v>
      </c>
      <c r="I126" s="22" t="str">
        <f>IFERROR(__xludf.DUMMYFUNCTION("""COMPUTED_VALUE"""),"Concours")</f>
        <v>Concours</v>
      </c>
      <c r="J126" s="22" t="str">
        <f>IFERROR(__xludf.DUMMYFUNCTION("""COMPUTED_VALUE"""),"C1")</f>
        <v>C1</v>
      </c>
      <c r="K126" s="22" t="str">
        <f>IFERROR(__xludf.DUMMYFUNCTION("""COMPUTED_VALUE"""),"Recherche")</f>
        <v>Recherche</v>
      </c>
      <c r="L126" s="22" t="str">
        <f>IFERROR(__xludf.DUMMYFUNCTION("""COMPUTED_VALUE"""),"R18")</f>
        <v>R18</v>
      </c>
      <c r="M126" s="22" t="str">
        <f>IFERROR(__xludf.DUMMYFUNCTION("""COMPUTED_VALUE"""),"Entreprise")</f>
        <v>Entreprise</v>
      </c>
      <c r="N126" s="22" t="str">
        <f>IFERROR(__xludf.DUMMYFUNCTION("""COMPUTED_VALUE"""),"E16")</f>
        <v>E16</v>
      </c>
      <c r="O126" s="22" t="str">
        <f>IFERROR(__xludf.DUMMYFUNCTION("""COMPUTED_VALUE"""),"Entreprise")</f>
        <v>Entreprise</v>
      </c>
      <c r="P126" s="22" t="str">
        <f>IFERROR(__xludf.DUMMYFUNCTION("""COMPUTED_VALUE"""),"E26")</f>
        <v>E26</v>
      </c>
      <c r="Q126" s="22" t="str">
        <f>IFERROR(__xludf.DUMMYFUNCTION("""COMPUTED_VALUE"""),"Je ne pars pas")</f>
        <v>Je ne pars pas</v>
      </c>
      <c r="R126" s="16" t="str">
        <f>IFERROR(__xludf.DUMMYFUNCTION("""COMPUTED_VALUE"""),"")</f>
        <v/>
      </c>
      <c r="S126" s="24"/>
      <c r="T126" s="19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25">
        <f>IFERROR(__xludf.DUMMYFUNCTION("""COMPUTED_VALUE"""),43362.358735092595)</f>
        <v>43362.35874</v>
      </c>
      <c r="B127" s="3" t="str">
        <f>IFERROR(__xludf.DUMMYFUNCTION("""COMPUTED_VALUE"""),"")</f>
        <v/>
      </c>
      <c r="C127" s="6" t="str">
        <f>IFERROR(__xludf.DUMMYFUNCTION("""COMPUTED_VALUE"""),"SE")</f>
        <v>SE</v>
      </c>
      <c r="D127" s="8" t="str">
        <f>IFERROR(__xludf.DUMMYFUNCTION("""COMPUTED_VALUE"""),"MENAUD")</f>
        <v>MENAUD</v>
      </c>
      <c r="E127" s="8" t="str">
        <f>IFERROR(__xludf.DUMMYFUNCTION("""COMPUTED_VALUE"""),"Adrien")</f>
        <v>Adrien</v>
      </c>
      <c r="F127" s="8" t="str">
        <f>IFERROR(__xludf.DUMMYFUNCTION("""COMPUTED_VALUE"""),"adrien.menaud@edu.esiee.fr")</f>
        <v>adrien.menaud@edu.esiee.fr</v>
      </c>
      <c r="G127" s="3" t="str">
        <f>IFERROR(__xludf.DUMMYFUNCTION("""COMPUTED_VALUE"""),"Entrepreneuriat/Logiciel Libre")</f>
        <v>Entrepreneuriat/Logiciel Libre</v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IFERROR(__xludf.DUMMYFUNCTION("""COMPUTED_VALUE"""),"Je pars au semestre 1")</f>
        <v>Je pars au semestre 1</v>
      </c>
      <c r="R127" s="3" t="str">
        <f>IFERROR(__xludf.DUMMYFUNCTION("""COMPUTED_VALUE"""),"")</f>
        <v/>
      </c>
      <c r="S127" s="11"/>
      <c r="T127" s="3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5">
        <f>IFERROR(__xludf.DUMMYFUNCTION("""COMPUTED_VALUE"""),43360.446765636574)</f>
        <v>43360.44677</v>
      </c>
      <c r="B128" s="16" t="str">
        <f>IFERROR(__xludf.DUMMYFUNCTION("""COMPUTED_VALUE"""),"")</f>
        <v/>
      </c>
      <c r="C128" s="19" t="str">
        <f>IFERROR(__xludf.DUMMYFUNCTION("""COMPUTED_VALUE"""),"GI")</f>
        <v>GI</v>
      </c>
      <c r="D128" s="20" t="str">
        <f>IFERROR(__xludf.DUMMYFUNCTION("""COMPUTED_VALUE"""),"MENERET")</f>
        <v>MENERET</v>
      </c>
      <c r="E128" s="20" t="str">
        <f>IFERROR(__xludf.DUMMYFUNCTION("""COMPUTED_VALUE"""),"Léa")</f>
        <v>Léa</v>
      </c>
      <c r="F128" s="20" t="str">
        <f>IFERROR(__xludf.DUMMYFUNCTION("""COMPUTED_VALUE"""),"lea.meneret@edu.esiee.fr")</f>
        <v>lea.meneret@edu.esiee.fr</v>
      </c>
      <c r="G128" s="22" t="str">
        <f>IFERROR(__xludf.DUMMYFUNCTION("""COMPUTED_VALUE"""),"Recherche")</f>
        <v>Recherche</v>
      </c>
      <c r="H128" s="22" t="str">
        <f>IFERROR(__xludf.DUMMYFUNCTION("""COMPUTED_VALUE"""),"R32")</f>
        <v>R32</v>
      </c>
      <c r="I128" s="22" t="str">
        <f>IFERROR(__xludf.DUMMYFUNCTION("""COMPUTED_VALUE"""),"Recherche")</f>
        <v>Recherche</v>
      </c>
      <c r="J128" s="22" t="str">
        <f>IFERROR(__xludf.DUMMYFUNCTION("""COMPUTED_VALUE"""),"R24")</f>
        <v>R24</v>
      </c>
      <c r="K128" s="22" t="str">
        <f>IFERROR(__xludf.DUMMYFUNCTION("""COMPUTED_VALUE"""),"Entreprise")</f>
        <v>Entreprise</v>
      </c>
      <c r="L128" s="22" t="str">
        <f>IFERROR(__xludf.DUMMYFUNCTION("""COMPUTED_VALUE"""),"E20")</f>
        <v>E20</v>
      </c>
      <c r="M128" s="22" t="str">
        <f>IFERROR(__xludf.DUMMYFUNCTION("""COMPUTED_VALUE"""),"Entreprise")</f>
        <v>Entreprise</v>
      </c>
      <c r="N128" s="22" t="str">
        <f>IFERROR(__xludf.DUMMYFUNCTION("""COMPUTED_VALUE"""),"E10")</f>
        <v>E10</v>
      </c>
      <c r="O128" s="22" t="str">
        <f>IFERROR(__xludf.DUMMYFUNCTION("""COMPUTED_VALUE"""),"Recherche")</f>
        <v>Recherche</v>
      </c>
      <c r="P128" s="22" t="str">
        <f>IFERROR(__xludf.DUMMYFUNCTION("""COMPUTED_VALUE"""),"R23")</f>
        <v>R23</v>
      </c>
      <c r="Q128" s="22" t="str">
        <f>IFERROR(__xludf.DUMMYFUNCTION("""COMPUTED_VALUE"""),"Je ne pars pas")</f>
        <v>Je ne pars pas</v>
      </c>
      <c r="R128" s="16" t="str">
        <f>IFERROR(__xludf.DUMMYFUNCTION("""COMPUTED_VALUE"""),"")</f>
        <v/>
      </c>
      <c r="S128" s="24"/>
      <c r="T128" s="19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25">
        <f>IFERROR(__xludf.DUMMYFUNCTION("""COMPUTED_VALUE"""),43361.01353009259)</f>
        <v>43361.01353</v>
      </c>
      <c r="B129" s="3" t="str">
        <f>IFERROR(__xludf.DUMMYFUNCTION("""COMPUTED_VALUE"""),"")</f>
        <v/>
      </c>
      <c r="C129" s="6" t="str">
        <f>IFERROR(__xludf.DUMMYFUNCTION("""COMPUTED_VALUE"""),"INF")</f>
        <v>INF</v>
      </c>
      <c r="D129" s="8" t="str">
        <f>IFERROR(__xludf.DUMMYFUNCTION("""COMPUTED_VALUE"""),"MERKITOU")</f>
        <v>MERKITOU</v>
      </c>
      <c r="E129" s="8" t="str">
        <f>IFERROR(__xludf.DUMMYFUNCTION("""COMPUTED_VALUE"""),"Sabrina")</f>
        <v>Sabrina</v>
      </c>
      <c r="F129" s="8" t="str">
        <f>IFERROR(__xludf.DUMMYFUNCTION("""COMPUTED_VALUE"""),"sabrina.merkitou@edu.esiee.fr")</f>
        <v>sabrina.merkitou@edu.esiee.fr</v>
      </c>
      <c r="G129" s="3" t="str">
        <f>IFERROR(__xludf.DUMMYFUNCTION("""COMPUTED_VALUE"""),"Entrepreneuriat/Logiciel Libre")</f>
        <v>Entrepreneuriat/Logiciel Libre</v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IFERROR(__xludf.DUMMYFUNCTION("""COMPUTED_VALUE"""),"Je ne pars pas")</f>
        <v>Je ne pars pas</v>
      </c>
      <c r="R129" s="3" t="str">
        <f>IFERROR(__xludf.DUMMYFUNCTION("""COMPUTED_VALUE"""),"")</f>
        <v/>
      </c>
      <c r="S129" s="11"/>
      <c r="T129" s="3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5">
        <f>IFERROR(__xludf.DUMMYFUNCTION("""COMPUTED_VALUE"""),43360.440440439816)</f>
        <v>43360.44044</v>
      </c>
      <c r="B130" s="16" t="str">
        <f>IFERROR(__xludf.DUMMYFUNCTION("""COMPUTED_VALUE"""),"")</f>
        <v/>
      </c>
      <c r="C130" s="19" t="str">
        <f>IFERROR(__xludf.DUMMYFUNCTION("""COMPUTED_VALUE"""),"GI")</f>
        <v>GI</v>
      </c>
      <c r="D130" s="20" t="str">
        <f>IFERROR(__xludf.DUMMYFUNCTION("""COMPUTED_VALUE"""),"MESLAY")</f>
        <v>MESLAY</v>
      </c>
      <c r="E130" s="20" t="str">
        <f>IFERROR(__xludf.DUMMYFUNCTION("""COMPUTED_VALUE"""),"Dorian")</f>
        <v>Dorian</v>
      </c>
      <c r="F130" s="20" t="str">
        <f>IFERROR(__xludf.DUMMYFUNCTION("""COMPUTED_VALUE"""),"dorian.meslay@edu.esiee.fr")</f>
        <v>dorian.meslay@edu.esiee.fr</v>
      </c>
      <c r="G130" s="22" t="str">
        <f>IFERROR(__xludf.DUMMYFUNCTION("""COMPUTED_VALUE"""),"Recherche")</f>
        <v>Recherche</v>
      </c>
      <c r="H130" s="22" t="str">
        <f>IFERROR(__xludf.DUMMYFUNCTION("""COMPUTED_VALUE"""),"R32")</f>
        <v>R32</v>
      </c>
      <c r="I130" s="22" t="str">
        <f>IFERROR(__xludf.DUMMYFUNCTION("""COMPUTED_VALUE"""),"Recherche")</f>
        <v>Recherche</v>
      </c>
      <c r="J130" s="22" t="str">
        <f>IFERROR(__xludf.DUMMYFUNCTION("""COMPUTED_VALUE"""),"R31")</f>
        <v>R31</v>
      </c>
      <c r="K130" s="22" t="str">
        <f>IFERROR(__xludf.DUMMYFUNCTION("""COMPUTED_VALUE"""),"Recherche")</f>
        <v>Recherche</v>
      </c>
      <c r="L130" s="22" t="str">
        <f>IFERROR(__xludf.DUMMYFUNCTION("""COMPUTED_VALUE"""),"R24")</f>
        <v>R24</v>
      </c>
      <c r="M130" s="22" t="str">
        <f>IFERROR(__xludf.DUMMYFUNCTION("""COMPUTED_VALUE"""),"Recherche")</f>
        <v>Recherche</v>
      </c>
      <c r="N130" s="22" t="str">
        <f>IFERROR(__xludf.DUMMYFUNCTION("""COMPUTED_VALUE"""),"E10")</f>
        <v>E10</v>
      </c>
      <c r="O130" s="22" t="str">
        <f>IFERROR(__xludf.DUMMYFUNCTION("""COMPUTED_VALUE"""),"Concours")</f>
        <v>Concours</v>
      </c>
      <c r="P130" s="22" t="str">
        <f>IFERROR(__xludf.DUMMYFUNCTION("""COMPUTED_VALUE"""),"C1")</f>
        <v>C1</v>
      </c>
      <c r="Q130" s="22" t="str">
        <f>IFERROR(__xludf.DUMMYFUNCTION("""COMPUTED_VALUE"""),"Je pars au semestre 1")</f>
        <v>Je pars au semestre 1</v>
      </c>
      <c r="R130" s="16" t="str">
        <f>IFERROR(__xludf.DUMMYFUNCTION("""COMPUTED_VALUE"""),"")</f>
        <v/>
      </c>
      <c r="S130" s="24"/>
      <c r="T130" s="19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25">
        <f>IFERROR(__xludf.DUMMYFUNCTION("""COMPUTED_VALUE"""),43360.442430104165)</f>
        <v>43360.44243</v>
      </c>
      <c r="B131" s="3" t="str">
        <f>IFERROR(__xludf.DUMMYFUNCTION("""COMPUTED_VALUE"""),"")</f>
        <v/>
      </c>
      <c r="C131" s="6" t="str">
        <f>IFERROR(__xludf.DUMMYFUNCTION("""COMPUTED_VALUE"""),"ENE")</f>
        <v>ENE</v>
      </c>
      <c r="D131" s="8" t="str">
        <f>IFERROR(__xludf.DUMMYFUNCTION("""COMPUTED_VALUE"""),"MEZRHAB")</f>
        <v>MEZRHAB</v>
      </c>
      <c r="E131" s="8" t="str">
        <f>IFERROR(__xludf.DUMMYFUNCTION("""COMPUTED_VALUE"""),"Brahim")</f>
        <v>Brahim</v>
      </c>
      <c r="F131" s="8" t="str">
        <f>IFERROR(__xludf.DUMMYFUNCTION("""COMPUTED_VALUE"""),"brahim.mezrhab@edu.esiee.fr")</f>
        <v>brahim.mezrhab@edu.esiee.fr</v>
      </c>
      <c r="G131" s="3" t="str">
        <f>IFERROR(__xludf.DUMMYFUNCTION("""COMPUTED_VALUE"""),"Recherche")</f>
        <v>Recherche</v>
      </c>
      <c r="H131" s="3" t="str">
        <f>IFERROR(__xludf.DUMMYFUNCTION("""COMPUTED_VALUE"""),"R1")</f>
        <v>R1</v>
      </c>
      <c r="I131" s="3" t="str">
        <f>IFERROR(__xludf.DUMMYFUNCTION("""COMPUTED_VALUE"""),"Recherche")</f>
        <v>Recherche</v>
      </c>
      <c r="J131" s="3" t="str">
        <f>IFERROR(__xludf.DUMMYFUNCTION("""COMPUTED_VALUE"""),"R12")</f>
        <v>R12</v>
      </c>
      <c r="K131" s="3" t="str">
        <f>IFERROR(__xludf.DUMMYFUNCTION("""COMPUTED_VALUE"""),"Entreprise")</f>
        <v>Entreprise</v>
      </c>
      <c r="L131" s="3" t="str">
        <f>IFERROR(__xludf.DUMMYFUNCTION("""COMPUTED_VALUE"""),"E13")</f>
        <v>E13</v>
      </c>
      <c r="M131" s="3" t="str">
        <f>IFERROR(__xludf.DUMMYFUNCTION("""COMPUTED_VALUE"""),"Recherche")</f>
        <v>Recherche</v>
      </c>
      <c r="N131" s="3" t="str">
        <f>IFERROR(__xludf.DUMMYFUNCTION("""COMPUTED_VALUE"""),"R23")</f>
        <v>R23</v>
      </c>
      <c r="O131" s="3" t="str">
        <f>IFERROR(__xludf.DUMMYFUNCTION("""COMPUTED_VALUE"""),"Entreprise")</f>
        <v>Entreprise</v>
      </c>
      <c r="P131" s="3" t="str">
        <f>IFERROR(__xludf.DUMMYFUNCTION("""COMPUTED_VALUE"""),"E14")</f>
        <v>E14</v>
      </c>
      <c r="Q131" s="3" t="str">
        <f>IFERROR(__xludf.DUMMYFUNCTION("""COMPUTED_VALUE"""),"Je pars au semestre 2")</f>
        <v>Je pars au semestre 2</v>
      </c>
      <c r="R131" s="3" t="str">
        <f>IFERROR(__xludf.DUMMYFUNCTION("""COMPUTED_VALUE"""),"")</f>
        <v/>
      </c>
      <c r="S131" s="11"/>
      <c r="T131" s="3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5">
        <f>IFERROR(__xludf.DUMMYFUNCTION("""COMPUTED_VALUE"""),43362.5672934375)</f>
        <v>43362.56729</v>
      </c>
      <c r="B132" s="16" t="str">
        <f>IFERROR(__xludf.DUMMYFUNCTION("""COMPUTED_VALUE"""),"")</f>
        <v/>
      </c>
      <c r="C132" s="19" t="str">
        <f>IFERROR(__xludf.DUMMYFUNCTION("""COMPUTED_VALUE"""),"CYBER")</f>
        <v>CYBER</v>
      </c>
      <c r="D132" s="20" t="str">
        <f>IFERROR(__xludf.DUMMYFUNCTION("""COMPUTED_VALUE"""),"MICHAUD")</f>
        <v>MICHAUD</v>
      </c>
      <c r="E132" s="20" t="str">
        <f>IFERROR(__xludf.DUMMYFUNCTION("""COMPUTED_VALUE"""),"Alexandre")</f>
        <v>Alexandre</v>
      </c>
      <c r="F132" s="20" t="str">
        <f>IFERROR(__xludf.DUMMYFUNCTION("""COMPUTED_VALUE"""),"alexandre.michaud@edu.esiee.fr")</f>
        <v>alexandre.michaud@edu.esiee.fr</v>
      </c>
      <c r="G132" s="22" t="str">
        <f>IFERROR(__xludf.DUMMYFUNCTION("""COMPUTED_VALUE"""),"Recherche")</f>
        <v>Recherche</v>
      </c>
      <c r="H132" s="22" t="str">
        <f>IFERROR(__xludf.DUMMYFUNCTION("""COMPUTED_VALUE"""),"R9")</f>
        <v>R9</v>
      </c>
      <c r="I132" s="22" t="str">
        <f>IFERROR(__xludf.DUMMYFUNCTION("""COMPUTED_VALUE"""),"Recherche")</f>
        <v>Recherche</v>
      </c>
      <c r="J132" s="22" t="str">
        <f>IFERROR(__xludf.DUMMYFUNCTION("""COMPUTED_VALUE"""),"R8")</f>
        <v>R8</v>
      </c>
      <c r="K132" s="22" t="str">
        <f>IFERROR(__xludf.DUMMYFUNCTION("""COMPUTED_VALUE"""),"Recherche")</f>
        <v>Recherche</v>
      </c>
      <c r="L132" s="22" t="str">
        <f>IFERROR(__xludf.DUMMYFUNCTION("""COMPUTED_VALUE"""),"r19")</f>
        <v>r19</v>
      </c>
      <c r="M132" s="22" t="str">
        <f>IFERROR(__xludf.DUMMYFUNCTION("""COMPUTED_VALUE"""),"Entreprise")</f>
        <v>Entreprise</v>
      </c>
      <c r="N132" s="22" t="str">
        <f>IFERROR(__xludf.DUMMYFUNCTION("""COMPUTED_VALUE"""),"E7")</f>
        <v>E7</v>
      </c>
      <c r="O132" s="22" t="str">
        <f>IFERROR(__xludf.DUMMYFUNCTION("""COMPUTED_VALUE"""),"Recherche")</f>
        <v>Recherche</v>
      </c>
      <c r="P132" s="22" t="str">
        <f>IFERROR(__xludf.DUMMYFUNCTION("""COMPUTED_VALUE"""),"r18")</f>
        <v>r18</v>
      </c>
      <c r="Q132" s="22" t="str">
        <f>IFERROR(__xludf.DUMMYFUNCTION("""COMPUTED_VALUE"""),"Je pars au semestre 1")</f>
        <v>Je pars au semestre 1</v>
      </c>
      <c r="R132" s="16" t="str">
        <f>IFERROR(__xludf.DUMMYFUNCTION("""COMPUTED_VALUE"""),"")</f>
        <v/>
      </c>
      <c r="S132" s="24"/>
      <c r="T132" s="19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25">
        <f>IFERROR(__xludf.DUMMYFUNCTION("""COMPUTED_VALUE"""),43360.56551238426)</f>
        <v>43360.56551</v>
      </c>
      <c r="B133" s="3" t="str">
        <f>IFERROR(__xludf.DUMMYFUNCTION("""COMPUTED_VALUE"""),"")</f>
        <v/>
      </c>
      <c r="C133" s="6" t="str">
        <f>IFERROR(__xludf.DUMMYFUNCTION("""COMPUTED_VALUE"""),"SE")</f>
        <v>SE</v>
      </c>
      <c r="D133" s="8" t="str">
        <f>IFERROR(__xludf.DUMMYFUNCTION("""COMPUTED_VALUE"""),"MICHEL")</f>
        <v>MICHEL</v>
      </c>
      <c r="E133" s="8" t="str">
        <f>IFERROR(__xludf.DUMMYFUNCTION("""COMPUTED_VALUE"""),"Sébastien")</f>
        <v>Sébastien</v>
      </c>
      <c r="F133" s="8" t="str">
        <f>IFERROR(__xludf.DUMMYFUNCTION("""COMPUTED_VALUE"""),"sebastien.michel@edu.esiee.fr")</f>
        <v>sebastien.michel@edu.esiee.fr</v>
      </c>
      <c r="G133" s="3" t="str">
        <f>IFERROR(__xludf.DUMMYFUNCTION("""COMPUTED_VALUE"""),"Entreprise")</f>
        <v>Entreprise</v>
      </c>
      <c r="H133" s="3" t="str">
        <f>IFERROR(__xludf.DUMMYFUNCTION("""COMPUTED_VALUE"""),"E16")</f>
        <v>E16</v>
      </c>
      <c r="I133" s="3" t="str">
        <f>IFERROR(__xludf.DUMMYFUNCTION("""COMPUTED_VALUE"""),"Recherche")</f>
        <v>Recherche</v>
      </c>
      <c r="J133" s="3" t="str">
        <f>IFERROR(__xludf.DUMMYFUNCTION("""COMPUTED_VALUE"""),"R13")</f>
        <v>R13</v>
      </c>
      <c r="K133" s="3" t="str">
        <f>IFERROR(__xludf.DUMMYFUNCTION("""COMPUTED_VALUE"""),"Recherche")</f>
        <v>Recherche</v>
      </c>
      <c r="L133" s="3" t="str">
        <f>IFERROR(__xludf.DUMMYFUNCTION("""COMPUTED_VALUE"""),"R7")</f>
        <v>R7</v>
      </c>
      <c r="M133" s="3" t="str">
        <f>IFERROR(__xludf.DUMMYFUNCTION("""COMPUTED_VALUE"""),"Entreprise")</f>
        <v>Entreprise</v>
      </c>
      <c r="N133" s="3" t="str">
        <f>IFERROR(__xludf.DUMMYFUNCTION("""COMPUTED_VALUE"""),"E3")</f>
        <v>E3</v>
      </c>
      <c r="O133" s="3" t="str">
        <f>IFERROR(__xludf.DUMMYFUNCTION("""COMPUTED_VALUE"""),"Recherche")</f>
        <v>Recherche</v>
      </c>
      <c r="P133" s="3" t="str">
        <f>IFERROR(__xludf.DUMMYFUNCTION("""COMPUTED_VALUE"""),"R6")</f>
        <v>R6</v>
      </c>
      <c r="Q133" s="3" t="str">
        <f>IFERROR(__xludf.DUMMYFUNCTION("""COMPUTED_VALUE"""),"Je ne pars pas")</f>
        <v>Je ne pars pas</v>
      </c>
      <c r="R133" s="3" t="str">
        <f>IFERROR(__xludf.DUMMYFUNCTION("""COMPUTED_VALUE"""),"")</f>
        <v/>
      </c>
      <c r="S133" s="11"/>
      <c r="T133" s="3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5">
        <f>IFERROR(__xludf.DUMMYFUNCTION("""COMPUTED_VALUE"""),43361.40951164352)</f>
        <v>43361.40951</v>
      </c>
      <c r="B134" s="16" t="str">
        <f>IFERROR(__xludf.DUMMYFUNCTION("""COMPUTED_VALUE"""),"")</f>
        <v/>
      </c>
      <c r="C134" s="19" t="str">
        <f>IFERROR(__xludf.DUMMYFUNCTION("""COMPUTED_VALUE"""),"DSIA")</f>
        <v>DSIA</v>
      </c>
      <c r="D134" s="20" t="str">
        <f>IFERROR(__xludf.DUMMYFUNCTION("""COMPUTED_VALUE"""),"MOHAMMAD")</f>
        <v>MOHAMMAD</v>
      </c>
      <c r="E134" s="20" t="str">
        <f>IFERROR(__xludf.DUMMYFUNCTION("""COMPUTED_VALUE"""),"Sohaibe")</f>
        <v>Sohaibe</v>
      </c>
      <c r="F134" s="20" t="str">
        <f>IFERROR(__xludf.DUMMYFUNCTION("""COMPUTED_VALUE"""),"sohaibe.mohammad@edu.esiee.fr")</f>
        <v>sohaibe.mohammad@edu.esiee.fr</v>
      </c>
      <c r="G134" s="22" t="str">
        <f>IFERROR(__xludf.DUMMYFUNCTION("""COMPUTED_VALUE"""),"Entreprise")</f>
        <v>Entreprise</v>
      </c>
      <c r="H134" s="22" t="str">
        <f>IFERROR(__xludf.DUMMYFUNCTION("""COMPUTED_VALUE"""),"E24")</f>
        <v>E24</v>
      </c>
      <c r="I134" s="22" t="str">
        <f>IFERROR(__xludf.DUMMYFUNCTION("""COMPUTED_VALUE"""),"Entreprise")</f>
        <v>Entreprise</v>
      </c>
      <c r="J134" s="22" t="str">
        <f>IFERROR(__xludf.DUMMYFUNCTION("""COMPUTED_VALUE"""),"E8")</f>
        <v>E8</v>
      </c>
      <c r="K134" s="22" t="str">
        <f>IFERROR(__xludf.DUMMYFUNCTION("""COMPUTED_VALUE"""),"Entreprise")</f>
        <v>Entreprise</v>
      </c>
      <c r="L134" s="22" t="str">
        <f>IFERROR(__xludf.DUMMYFUNCTION("""COMPUTED_VALUE"""),"E6")</f>
        <v>E6</v>
      </c>
      <c r="M134" s="22" t="str">
        <f>IFERROR(__xludf.DUMMYFUNCTION("""COMPUTED_VALUE"""),"Entreprise")</f>
        <v>Entreprise</v>
      </c>
      <c r="N134" s="22" t="str">
        <f>IFERROR(__xludf.DUMMYFUNCTION("""COMPUTED_VALUE"""),"E9")</f>
        <v>E9</v>
      </c>
      <c r="O134" s="22" t="str">
        <f>IFERROR(__xludf.DUMMYFUNCTION("""COMPUTED_VALUE"""),"Entreprise")</f>
        <v>Entreprise</v>
      </c>
      <c r="P134" s="22" t="str">
        <f>IFERROR(__xludf.DUMMYFUNCTION("""COMPUTED_VALUE"""),"E10")</f>
        <v>E10</v>
      </c>
      <c r="Q134" s="22" t="str">
        <f>IFERROR(__xludf.DUMMYFUNCTION("""COMPUTED_VALUE"""),"Je ne pars pas")</f>
        <v>Je ne pars pas</v>
      </c>
      <c r="R134" s="16" t="str">
        <f>IFERROR(__xludf.DUMMYFUNCTION("""COMPUTED_VALUE"""),"")</f>
        <v/>
      </c>
      <c r="S134" s="24"/>
      <c r="T134" s="19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25">
        <f>IFERROR(__xludf.DUMMYFUNCTION("""COMPUTED_VALUE"""),43361.38580449074)</f>
        <v>43361.3858</v>
      </c>
      <c r="B135" s="3" t="str">
        <f>IFERROR(__xludf.DUMMYFUNCTION("""COMPUTED_VALUE"""),"")</f>
        <v/>
      </c>
      <c r="C135" s="6" t="str">
        <f>IFERROR(__xludf.DUMMYFUNCTION("""COMPUTED_VALUE"""),"ENE")</f>
        <v>ENE</v>
      </c>
      <c r="D135" s="8" t="str">
        <f>IFERROR(__xludf.DUMMYFUNCTION("""COMPUTED_VALUE"""),"MOLA")</f>
        <v>MOLA</v>
      </c>
      <c r="E135" s="8" t="str">
        <f>IFERROR(__xludf.DUMMYFUNCTION("""COMPUTED_VALUE"""),"Steffi")</f>
        <v>Steffi</v>
      </c>
      <c r="F135" s="8" t="str">
        <f>IFERROR(__xludf.DUMMYFUNCTION("""COMPUTED_VALUE"""),"steffi.mola@edu.esiee.fr")</f>
        <v>steffi.mola@edu.esiee.fr</v>
      </c>
      <c r="G135" s="3" t="str">
        <f>IFERROR(__xludf.DUMMYFUNCTION("""COMPUTED_VALUE"""),"Recherche")</f>
        <v>Recherche</v>
      </c>
      <c r="H135" s="3" t="str">
        <f>IFERROR(__xludf.DUMMYFUNCTION("""COMPUTED_VALUE"""),"R12")</f>
        <v>R12</v>
      </c>
      <c r="I135" s="3" t="str">
        <f>IFERROR(__xludf.DUMMYFUNCTION("""COMPUTED_VALUE"""),"Recherche")</f>
        <v>Recherche</v>
      </c>
      <c r="J135" s="3" t="str">
        <f>IFERROR(__xludf.DUMMYFUNCTION("""COMPUTED_VALUE"""),"R17")</f>
        <v>R17</v>
      </c>
      <c r="K135" s="3" t="str">
        <f>IFERROR(__xludf.DUMMYFUNCTION("""COMPUTED_VALUE"""),"Recherche")</f>
        <v>Recherche</v>
      </c>
      <c r="L135" s="3" t="str">
        <f>IFERROR(__xludf.DUMMYFUNCTION("""COMPUTED_VALUE"""),"R16")</f>
        <v>R16</v>
      </c>
      <c r="M135" s="3" t="str">
        <f>IFERROR(__xludf.DUMMYFUNCTION("""COMPUTED_VALUE"""),"Recherche")</f>
        <v>Recherche</v>
      </c>
      <c r="N135" s="3" t="str">
        <f>IFERROR(__xludf.DUMMYFUNCTION("""COMPUTED_VALUE"""),"R1")</f>
        <v>R1</v>
      </c>
      <c r="O135" s="3" t="str">
        <f>IFERROR(__xludf.DUMMYFUNCTION("""COMPUTED_VALUE"""),"Entreprise")</f>
        <v>Entreprise</v>
      </c>
      <c r="P135" s="3" t="str">
        <f>IFERROR(__xludf.DUMMYFUNCTION("""COMPUTED_VALUE"""),"R12")</f>
        <v>R12</v>
      </c>
      <c r="Q135" s="3" t="str">
        <f>IFERROR(__xludf.DUMMYFUNCTION("""COMPUTED_VALUE"""),"Je ne pars pas")</f>
        <v>Je ne pars pas</v>
      </c>
      <c r="R135" s="3" t="str">
        <f>IFERROR(__xludf.DUMMYFUNCTION("""COMPUTED_VALUE"""),"")</f>
        <v/>
      </c>
      <c r="S135" s="11"/>
      <c r="T135" s="3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5">
        <f>IFERROR(__xludf.DUMMYFUNCTION("""COMPUTED_VALUE"""),43360.522718865745)</f>
        <v>43360.52272</v>
      </c>
      <c r="B136" s="16" t="str">
        <f>IFERROR(__xludf.DUMMYFUNCTION("""COMPUTED_VALUE"""),"")</f>
        <v/>
      </c>
      <c r="C136" s="19" t="str">
        <f>IFERROR(__xludf.DUMMYFUNCTION("""COMPUTED_VALUE"""),"SE")</f>
        <v>SE</v>
      </c>
      <c r="D136" s="20" t="str">
        <f>IFERROR(__xludf.DUMMYFUNCTION("""COMPUTED_VALUE"""),"NASSER")</f>
        <v>NASSER</v>
      </c>
      <c r="E136" s="20" t="str">
        <f>IFERROR(__xludf.DUMMYFUNCTION("""COMPUTED_VALUE"""),"Abdulmajid")</f>
        <v>Abdulmajid</v>
      </c>
      <c r="F136" s="20" t="str">
        <f>IFERROR(__xludf.DUMMYFUNCTION("""COMPUTED_VALUE"""),"abdulmajid.nasser@edu.esiee.fr")</f>
        <v>abdulmajid.nasser@edu.esiee.fr</v>
      </c>
      <c r="G136" s="22" t="str">
        <f>IFERROR(__xludf.DUMMYFUNCTION("""COMPUTED_VALUE"""),"Recherche")</f>
        <v>Recherche</v>
      </c>
      <c r="H136" s="22" t="str">
        <f>IFERROR(__xludf.DUMMYFUNCTION("""COMPUTED_VALUE"""),"R7")</f>
        <v>R7</v>
      </c>
      <c r="I136" s="22" t="str">
        <f>IFERROR(__xludf.DUMMYFUNCTION("""COMPUTED_VALUE"""),"Recherche")</f>
        <v>Recherche</v>
      </c>
      <c r="J136" s="22" t="str">
        <f>IFERROR(__xludf.DUMMYFUNCTION("""COMPUTED_VALUE"""),"R7")</f>
        <v>R7</v>
      </c>
      <c r="K136" s="22" t="str">
        <f>IFERROR(__xludf.DUMMYFUNCTION("""COMPUTED_VALUE"""),"Recherche")</f>
        <v>Recherche</v>
      </c>
      <c r="L136" s="22" t="str">
        <f>IFERROR(__xludf.DUMMYFUNCTION("""COMPUTED_VALUE"""),"R7")</f>
        <v>R7</v>
      </c>
      <c r="M136" s="22" t="str">
        <f>IFERROR(__xludf.DUMMYFUNCTION("""COMPUTED_VALUE"""),"Recherche")</f>
        <v>Recherche</v>
      </c>
      <c r="N136" s="22" t="str">
        <f>IFERROR(__xludf.DUMMYFUNCTION("""COMPUTED_VALUE"""),"R7")</f>
        <v>R7</v>
      </c>
      <c r="O136" s="22" t="str">
        <f>IFERROR(__xludf.DUMMYFUNCTION("""COMPUTED_VALUE"""),"Recherche")</f>
        <v>Recherche</v>
      </c>
      <c r="P136" s="22" t="str">
        <f>IFERROR(__xludf.DUMMYFUNCTION("""COMPUTED_VALUE"""),"R7")</f>
        <v>R7</v>
      </c>
      <c r="Q136" s="22" t="str">
        <f>IFERROR(__xludf.DUMMYFUNCTION("""COMPUTED_VALUE"""),"Je pars au semestre 2")</f>
        <v>Je pars au semestre 2</v>
      </c>
      <c r="R136" s="16" t="str">
        <f>IFERROR(__xludf.DUMMYFUNCTION("""COMPUTED_VALUE"""),"")</f>
        <v/>
      </c>
      <c r="S136" s="24"/>
      <c r="T136" s="19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25">
        <f>IFERROR(__xludf.DUMMYFUNCTION("""COMPUTED_VALUE"""),43360.42042039352)</f>
        <v>43360.42042</v>
      </c>
      <c r="B137" s="3" t="str">
        <f>IFERROR(__xludf.DUMMYFUNCTION("""COMPUTED_VALUE"""),"")</f>
        <v/>
      </c>
      <c r="C137" s="6" t="str">
        <f>IFERROR(__xludf.DUMMYFUNCTION("""COMPUTED_VALUE"""),"GI")</f>
        <v>GI</v>
      </c>
      <c r="D137" s="8" t="str">
        <f>IFERROR(__xludf.DUMMYFUNCTION("""COMPUTED_VALUE"""),"NATKUNARAJAH")</f>
        <v>NATKUNARAJAH</v>
      </c>
      <c r="E137" s="8" t="str">
        <f>IFERROR(__xludf.DUMMYFUNCTION("""COMPUTED_VALUE"""),"Ninthija")</f>
        <v>Ninthija</v>
      </c>
      <c r="F137" s="8" t="str">
        <f>IFERROR(__xludf.DUMMYFUNCTION("""COMPUTED_VALUE"""),"ninthija.natkunarajah@edu.esiee.fr")</f>
        <v>ninthija.natkunarajah@edu.esiee.fr</v>
      </c>
      <c r="G137" s="3" t="str">
        <f>IFERROR(__xludf.DUMMYFUNCTION("""COMPUTED_VALUE"""),"Recherche")</f>
        <v>Recherche</v>
      </c>
      <c r="H137" s="3" t="str">
        <f>IFERROR(__xludf.DUMMYFUNCTION("""COMPUTED_VALUE"""),"R32")</f>
        <v>R32</v>
      </c>
      <c r="I137" s="3" t="str">
        <f>IFERROR(__xludf.DUMMYFUNCTION("""COMPUTED_VALUE"""),"Recherche")</f>
        <v>Recherche</v>
      </c>
      <c r="J137" s="3" t="str">
        <f>IFERROR(__xludf.DUMMYFUNCTION("""COMPUTED_VALUE"""),"R24")</f>
        <v>R24</v>
      </c>
      <c r="K137" s="3" t="str">
        <f>IFERROR(__xludf.DUMMYFUNCTION("""COMPUTED_VALUE"""),"Concours")</f>
        <v>Concours</v>
      </c>
      <c r="L137" s="3" t="str">
        <f>IFERROR(__xludf.DUMMYFUNCTION("""COMPUTED_VALUE"""),"C1")</f>
        <v>C1</v>
      </c>
      <c r="M137" s="3" t="str">
        <f>IFERROR(__xludf.DUMMYFUNCTION("""COMPUTED_VALUE"""),"Entreprise")</f>
        <v>Entreprise</v>
      </c>
      <c r="N137" s="3" t="str">
        <f>IFERROR(__xludf.DUMMYFUNCTION("""COMPUTED_VALUE"""),"E10")</f>
        <v>E10</v>
      </c>
      <c r="O137" s="3" t="str">
        <f>IFERROR(__xludf.DUMMYFUNCTION("""COMPUTED_VALUE"""),"Recherche")</f>
        <v>Recherche</v>
      </c>
      <c r="P137" s="3" t="str">
        <f>IFERROR(__xludf.DUMMYFUNCTION("""COMPUTED_VALUE"""),"R31")</f>
        <v>R31</v>
      </c>
      <c r="Q137" s="3" t="str">
        <f>IFERROR(__xludf.DUMMYFUNCTION("""COMPUTED_VALUE"""),"Je ne pars pas")</f>
        <v>Je ne pars pas</v>
      </c>
      <c r="R137" s="3" t="str">
        <f>IFERROR(__xludf.DUMMYFUNCTION("""COMPUTED_VALUE"""),"")</f>
        <v/>
      </c>
      <c r="S137" s="11"/>
      <c r="T137" s="3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5">
        <f>IFERROR(__xludf.DUMMYFUNCTION("""COMPUTED_VALUE"""),43360.42051898148)</f>
        <v>43360.42052</v>
      </c>
      <c r="B138" s="16" t="str">
        <f>IFERROR(__xludf.DUMMYFUNCTION("""COMPUTED_VALUE"""),"")</f>
        <v/>
      </c>
      <c r="C138" s="19" t="str">
        <f>IFERROR(__xludf.DUMMYFUNCTION("""COMPUTED_VALUE"""),"INF")</f>
        <v>INF</v>
      </c>
      <c r="D138" s="20" t="str">
        <f>IFERROR(__xludf.DUMMYFUNCTION("""COMPUTED_VALUE"""),"NEGHNAGH-CHENAVAS")</f>
        <v>NEGHNAGH-CHENAVAS</v>
      </c>
      <c r="E138" s="20" t="str">
        <f>IFERROR(__xludf.DUMMYFUNCTION("""COMPUTED_VALUE"""),"Jules")</f>
        <v>Jules</v>
      </c>
      <c r="F138" s="20" t="str">
        <f>IFERROR(__xludf.DUMMYFUNCTION("""COMPUTED_VALUE"""),"jules.neghnagh-chenavas@edu.esiee.fr")</f>
        <v>jules.neghnagh-chenavas@edu.esiee.fr</v>
      </c>
      <c r="G138" s="22" t="str">
        <f>IFERROR(__xludf.DUMMYFUNCTION("""COMPUTED_VALUE"""),"Recherche")</f>
        <v>Recherche</v>
      </c>
      <c r="H138" s="22" t="str">
        <f>IFERROR(__xludf.DUMMYFUNCTION("""COMPUTED_VALUE"""),"R25")</f>
        <v>R25</v>
      </c>
      <c r="I138" s="22" t="str">
        <f>IFERROR(__xludf.DUMMYFUNCTION("""COMPUTED_VALUE"""),"Recherche")</f>
        <v>Recherche</v>
      </c>
      <c r="J138" s="22" t="str">
        <f>IFERROR(__xludf.DUMMYFUNCTION("""COMPUTED_VALUE"""),"R20")</f>
        <v>R20</v>
      </c>
      <c r="K138" s="22" t="str">
        <f>IFERROR(__xludf.DUMMYFUNCTION("""COMPUTED_VALUE"""),"Recherche")</f>
        <v>Recherche</v>
      </c>
      <c r="L138" s="22" t="str">
        <f>IFERROR(__xludf.DUMMYFUNCTION("""COMPUTED_VALUE"""),"R21")</f>
        <v>R21</v>
      </c>
      <c r="M138" s="22" t="str">
        <f>IFERROR(__xludf.DUMMYFUNCTION("""COMPUTED_VALUE"""),"Recherche")</f>
        <v>Recherche</v>
      </c>
      <c r="N138" s="22" t="str">
        <f>IFERROR(__xludf.DUMMYFUNCTION("""COMPUTED_VALUE"""),"R25")</f>
        <v>R25</v>
      </c>
      <c r="O138" s="22" t="str">
        <f>IFERROR(__xludf.DUMMYFUNCTION("""COMPUTED_VALUE"""),"Recherche")</f>
        <v>Recherche</v>
      </c>
      <c r="P138" s="22" t="str">
        <f>IFERROR(__xludf.DUMMYFUNCTION("""COMPUTED_VALUE"""),"R21")</f>
        <v>R21</v>
      </c>
      <c r="Q138" s="22" t="str">
        <f>IFERROR(__xludf.DUMMYFUNCTION("""COMPUTED_VALUE"""),"Je ne pars pas")</f>
        <v>Je ne pars pas</v>
      </c>
      <c r="R138" s="16" t="str">
        <f>IFERROR(__xludf.DUMMYFUNCTION("""COMPUTED_VALUE"""),"")</f>
        <v/>
      </c>
      <c r="S138" s="24"/>
      <c r="T138" s="19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25">
        <f>IFERROR(__xludf.DUMMYFUNCTION("""COMPUTED_VALUE"""),43360.54094503472)</f>
        <v>43360.54095</v>
      </c>
      <c r="B139" s="3" t="str">
        <f>IFERROR(__xludf.DUMMYFUNCTION("""COMPUTED_VALUE"""),"")</f>
        <v/>
      </c>
      <c r="C139" s="6" t="str">
        <f>IFERROR(__xludf.DUMMYFUNCTION("""COMPUTED_VALUE"""),"IME")</f>
        <v>IME</v>
      </c>
      <c r="D139" s="8" t="str">
        <f>IFERROR(__xludf.DUMMYFUNCTION("""COMPUTED_VALUE"""),"NEGI")</f>
        <v>NEGI</v>
      </c>
      <c r="E139" s="8" t="str">
        <f>IFERROR(__xludf.DUMMYFUNCTION("""COMPUTED_VALUE"""),"Shriya")</f>
        <v>Shriya</v>
      </c>
      <c r="F139" s="8" t="str">
        <f>IFERROR(__xludf.DUMMYFUNCTION("""COMPUTED_VALUE"""),"shriya.negi@edu.esiee.fr")</f>
        <v>shriya.negi@edu.esiee.fr</v>
      </c>
      <c r="G139" s="3" t="str">
        <f>IFERROR(__xludf.DUMMYFUNCTION("""COMPUTED_VALUE"""),"Entreprise")</f>
        <v>Entreprise</v>
      </c>
      <c r="H139" s="3" t="str">
        <f>IFERROR(__xludf.DUMMYFUNCTION("""COMPUTED_VALUE"""),"E20")</f>
        <v>E20</v>
      </c>
      <c r="I139" s="3" t="str">
        <f>IFERROR(__xludf.DUMMYFUNCTION("""COMPUTED_VALUE"""),"Entreprise")</f>
        <v>Entreprise</v>
      </c>
      <c r="J139" s="3" t="str">
        <f>IFERROR(__xludf.DUMMYFUNCTION("""COMPUTED_VALUE"""),"E26")</f>
        <v>E26</v>
      </c>
      <c r="K139" s="3" t="str">
        <f>IFERROR(__xludf.DUMMYFUNCTION("""COMPUTED_VALUE"""),"Recherche")</f>
        <v>Recherche</v>
      </c>
      <c r="L139" s="3" t="str">
        <f>IFERROR(__xludf.DUMMYFUNCTION("""COMPUTED_VALUE"""),"R22")</f>
        <v>R22</v>
      </c>
      <c r="M139" s="3" t="str">
        <f>IFERROR(__xludf.DUMMYFUNCTION("""COMPUTED_VALUE"""),"Recherche")</f>
        <v>Recherche</v>
      </c>
      <c r="N139" s="3" t="str">
        <f>IFERROR(__xludf.DUMMYFUNCTION("""COMPUTED_VALUE"""),"R28")</f>
        <v>R28</v>
      </c>
      <c r="O139" s="3" t="str">
        <f>IFERROR(__xludf.DUMMYFUNCTION("""COMPUTED_VALUE"""),"Recherche")</f>
        <v>Recherche</v>
      </c>
      <c r="P139" s="3" t="str">
        <f>IFERROR(__xludf.DUMMYFUNCTION("""COMPUTED_VALUE"""),"R29")</f>
        <v>R29</v>
      </c>
      <c r="Q139" s="3" t="str">
        <f>IFERROR(__xludf.DUMMYFUNCTION("""COMPUTED_VALUE"""),"Je ne pars pas")</f>
        <v>Je ne pars pas</v>
      </c>
      <c r="R139" s="3" t="str">
        <f>IFERROR(__xludf.DUMMYFUNCTION("""COMPUTED_VALUE"""),"")</f>
        <v/>
      </c>
      <c r="S139" s="11"/>
      <c r="T139" s="3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5">
        <f>IFERROR(__xludf.DUMMYFUNCTION("""COMPUTED_VALUE"""),43360.57638828704)</f>
        <v>43360.57639</v>
      </c>
      <c r="B140" s="16" t="str">
        <f>IFERROR(__xludf.DUMMYFUNCTION("""COMPUTED_VALUE"""),"")</f>
        <v/>
      </c>
      <c r="C140" s="19" t="str">
        <f>IFERROR(__xludf.DUMMYFUNCTION("""COMPUTED_VALUE"""),"CYBER")</f>
        <v>CYBER</v>
      </c>
      <c r="D140" s="20" t="str">
        <f>IFERROR(__xludf.DUMMYFUNCTION("""COMPUTED_VALUE"""),"NGALLE EDELL")</f>
        <v>NGALLE EDELL</v>
      </c>
      <c r="E140" s="20" t="str">
        <f>IFERROR(__xludf.DUMMYFUNCTION("""COMPUTED_VALUE"""),"Diandra")</f>
        <v>Diandra</v>
      </c>
      <c r="F140" s="20" t="str">
        <f>IFERROR(__xludf.DUMMYFUNCTION("""COMPUTED_VALUE"""),"diandra.ngalleedell@edu.esiee.fr")</f>
        <v>diandra.ngalleedell@edu.esiee.fr</v>
      </c>
      <c r="G140" s="22" t="str">
        <f>IFERROR(__xludf.DUMMYFUNCTION("""COMPUTED_VALUE"""),"Entreprise")</f>
        <v>Entreprise</v>
      </c>
      <c r="H140" s="22" t="str">
        <f>IFERROR(__xludf.DUMMYFUNCTION("""COMPUTED_VALUE"""),"E4")</f>
        <v>E4</v>
      </c>
      <c r="I140" s="22" t="str">
        <f>IFERROR(__xludf.DUMMYFUNCTION("""COMPUTED_VALUE"""),"Entreprise")</f>
        <v>Entreprise</v>
      </c>
      <c r="J140" s="22" t="str">
        <f>IFERROR(__xludf.DUMMYFUNCTION("""COMPUTED_VALUE"""),"E11")</f>
        <v>E11</v>
      </c>
      <c r="K140" s="22" t="str">
        <f>IFERROR(__xludf.DUMMYFUNCTION("""COMPUTED_VALUE"""),"Recherche")</f>
        <v>Recherche</v>
      </c>
      <c r="L140" s="22" t="str">
        <f>IFERROR(__xludf.DUMMYFUNCTION("""COMPUTED_VALUE"""),"R8")</f>
        <v>R8</v>
      </c>
      <c r="M140" s="22" t="str">
        <f>IFERROR(__xludf.DUMMYFUNCTION("""COMPUTED_VALUE"""),"Entreprise")</f>
        <v>Entreprise</v>
      </c>
      <c r="N140" s="22" t="str">
        <f>IFERROR(__xludf.DUMMYFUNCTION("""COMPUTED_VALUE"""),"E7")</f>
        <v>E7</v>
      </c>
      <c r="O140" s="22" t="str">
        <f>IFERROR(__xludf.DUMMYFUNCTION("""COMPUTED_VALUE"""),"Recherche")</f>
        <v>Recherche</v>
      </c>
      <c r="P140" s="22" t="str">
        <f>IFERROR(__xludf.DUMMYFUNCTION("""COMPUTED_VALUE"""),"R15")</f>
        <v>R15</v>
      </c>
      <c r="Q140" s="22" t="str">
        <f>IFERROR(__xludf.DUMMYFUNCTION("""COMPUTED_VALUE"""),"Je ne pars pas")</f>
        <v>Je ne pars pas</v>
      </c>
      <c r="R140" s="16" t="str">
        <f>IFERROR(__xludf.DUMMYFUNCTION("""COMPUTED_VALUE"""),"")</f>
        <v/>
      </c>
      <c r="S140" s="24"/>
      <c r="T140" s="19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25">
        <f>IFERROR(__xludf.DUMMYFUNCTION("""COMPUTED_VALUE"""),43362.6025562037)</f>
        <v>43362.60256</v>
      </c>
      <c r="B141" s="3" t="str">
        <f>IFERROR(__xludf.DUMMYFUNCTION("""COMPUTED_VALUE"""),"")</f>
        <v/>
      </c>
      <c r="C141" s="6" t="str">
        <f>IFERROR(__xludf.DUMMYFUNCTION("""COMPUTED_VALUE"""),"DSIA")</f>
        <v>DSIA</v>
      </c>
      <c r="D141" s="8" t="str">
        <f>IFERROR(__xludf.DUMMYFUNCTION("""COMPUTED_VALUE"""),"NGOUANSAVANH")</f>
        <v>NGOUANSAVANH</v>
      </c>
      <c r="E141" s="8" t="str">
        <f>IFERROR(__xludf.DUMMYFUNCTION("""COMPUTED_VALUE"""),"Cléa")</f>
        <v>Cléa</v>
      </c>
      <c r="F141" s="8" t="str">
        <f>IFERROR(__xludf.DUMMYFUNCTION("""COMPUTED_VALUE"""),"clea.ngouansavanh@edu.esiee.fr")</f>
        <v>clea.ngouansavanh@edu.esiee.fr</v>
      </c>
      <c r="G141" s="3" t="str">
        <f>IFERROR(__xludf.DUMMYFUNCTION("""COMPUTED_VALUE"""),"Entreprise")</f>
        <v>Entreprise</v>
      </c>
      <c r="H141" s="3" t="str">
        <f>IFERROR(__xludf.DUMMYFUNCTION("""COMPUTED_VALUE"""),"E7")</f>
        <v>E7</v>
      </c>
      <c r="I141" s="3" t="str">
        <f>IFERROR(__xludf.DUMMYFUNCTION("""COMPUTED_VALUE"""),"Entreprise")</f>
        <v>Entreprise</v>
      </c>
      <c r="J141" s="3" t="str">
        <f>IFERROR(__xludf.DUMMYFUNCTION("""COMPUTED_VALUE"""),"E4")</f>
        <v>E4</v>
      </c>
      <c r="K141" s="3" t="str">
        <f>IFERROR(__xludf.DUMMYFUNCTION("""COMPUTED_VALUE"""),"Entreprise")</f>
        <v>Entreprise</v>
      </c>
      <c r="L141" s="3" t="str">
        <f>IFERROR(__xludf.DUMMYFUNCTION("""COMPUTED_VALUE"""),"E24")</f>
        <v>E24</v>
      </c>
      <c r="M141" s="3" t="str">
        <f>IFERROR(__xludf.DUMMYFUNCTION("""COMPUTED_VALUE"""),"Recherche")</f>
        <v>Recherche</v>
      </c>
      <c r="N141" s="3" t="str">
        <f>IFERROR(__xludf.DUMMYFUNCTION("""COMPUTED_VALUE"""),"R27")</f>
        <v>R27</v>
      </c>
      <c r="O141" s="3" t="str">
        <f>IFERROR(__xludf.DUMMYFUNCTION("""COMPUTED_VALUE"""),"Logiciel libre")</f>
        <v>Logiciel libre</v>
      </c>
      <c r="P141" s="3" t="str">
        <f>IFERROR(__xludf.DUMMYFUNCTION("""COMPUTED_VALUE"""),"LL1")</f>
        <v>LL1</v>
      </c>
      <c r="Q141" s="3" t="str">
        <f>IFERROR(__xludf.DUMMYFUNCTION("""COMPUTED_VALUE"""),"Je pars au semestre 1")</f>
        <v>Je pars au semestre 1</v>
      </c>
      <c r="R141" s="3" t="str">
        <f>IFERROR(__xludf.DUMMYFUNCTION("""COMPUTED_VALUE"""),"")</f>
        <v/>
      </c>
      <c r="S141" s="11"/>
      <c r="T141" s="3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5">
        <f>IFERROR(__xludf.DUMMYFUNCTION("""COMPUTED_VALUE"""),43362.003488159724)</f>
        <v>43362.00349</v>
      </c>
      <c r="B142" s="16" t="str">
        <f>IFERROR(__xludf.DUMMYFUNCTION("""COMPUTED_VALUE"""),"")</f>
        <v/>
      </c>
      <c r="C142" s="19" t="str">
        <f>IFERROR(__xludf.DUMMYFUNCTION("""COMPUTED_VALUE"""),"DSIA")</f>
        <v>DSIA</v>
      </c>
      <c r="D142" s="20" t="str">
        <f>IFERROR(__xludf.DUMMYFUNCTION("""COMPUTED_VALUE"""),"N'GUELA")</f>
        <v>N'GUELA</v>
      </c>
      <c r="E142" s="20" t="str">
        <f>IFERROR(__xludf.DUMMYFUNCTION("""COMPUTED_VALUE"""),"Janique")</f>
        <v>Janique</v>
      </c>
      <c r="F142" s="20" t="str">
        <f>IFERROR(__xludf.DUMMYFUNCTION("""COMPUTED_VALUE"""),"janique.nguela@edu.esiee.fr")</f>
        <v>janique.nguela@edu.esiee.fr</v>
      </c>
      <c r="G142" s="22" t="str">
        <f>IFERROR(__xludf.DUMMYFUNCTION("""COMPUTED_VALUE"""),"Entreprise")</f>
        <v>Entreprise</v>
      </c>
      <c r="H142" s="22" t="str">
        <f>IFERROR(__xludf.DUMMYFUNCTION("""COMPUTED_VALUE"""),"E7")</f>
        <v>E7</v>
      </c>
      <c r="I142" s="22" t="str">
        <f>IFERROR(__xludf.DUMMYFUNCTION("""COMPUTED_VALUE"""),"Recherche")</f>
        <v>Recherche</v>
      </c>
      <c r="J142" s="22" t="str">
        <f>IFERROR(__xludf.DUMMYFUNCTION("""COMPUTED_VALUE"""),"R13")</f>
        <v>R13</v>
      </c>
      <c r="K142" s="22" t="str">
        <f>IFERROR(__xludf.DUMMYFUNCTION("""COMPUTED_VALUE"""),"Entreprise")</f>
        <v>Entreprise</v>
      </c>
      <c r="L142" s="22" t="str">
        <f>IFERROR(__xludf.DUMMYFUNCTION("""COMPUTED_VALUE"""),"E17")</f>
        <v>E17</v>
      </c>
      <c r="M142" s="22" t="str">
        <f>IFERROR(__xludf.DUMMYFUNCTION("""COMPUTED_VALUE"""),"Recherche")</f>
        <v>Recherche</v>
      </c>
      <c r="N142" s="22" t="str">
        <f>IFERROR(__xludf.DUMMYFUNCTION("""COMPUTED_VALUE"""),"R25")</f>
        <v>R25</v>
      </c>
      <c r="O142" s="22" t="str">
        <f>IFERROR(__xludf.DUMMYFUNCTION("""COMPUTED_VALUE"""),"Entreprise")</f>
        <v>Entreprise</v>
      </c>
      <c r="P142" s="22" t="str">
        <f>IFERROR(__xludf.DUMMYFUNCTION("""COMPUTED_VALUE"""),"E10")</f>
        <v>E10</v>
      </c>
      <c r="Q142" s="22" t="str">
        <f>IFERROR(__xludf.DUMMYFUNCTION("""COMPUTED_VALUE"""),"Je ne pars pas")</f>
        <v>Je ne pars pas</v>
      </c>
      <c r="R142" s="16" t="str">
        <f>IFERROR(__xludf.DUMMYFUNCTION("""COMPUTED_VALUE"""),"")</f>
        <v/>
      </c>
      <c r="S142" s="24"/>
      <c r="T142" s="19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25">
        <f>IFERROR(__xludf.DUMMYFUNCTION("""COMPUTED_VALUE"""),43362.019556886575)</f>
        <v>43362.01956</v>
      </c>
      <c r="B143" s="3" t="str">
        <f>IFERROR(__xludf.DUMMYFUNCTION("""COMPUTED_VALUE"""),"")</f>
        <v/>
      </c>
      <c r="C143" s="6" t="str">
        <f>IFERROR(__xludf.DUMMYFUNCTION("""COMPUTED_VALUE"""),"DSIA")</f>
        <v>DSIA</v>
      </c>
      <c r="D143" s="8" t="str">
        <f>IFERROR(__xludf.DUMMYFUNCTION("""COMPUTED_VALUE"""),"NGUYEN")</f>
        <v>NGUYEN</v>
      </c>
      <c r="E143" s="8" t="str">
        <f>IFERROR(__xludf.DUMMYFUNCTION("""COMPUTED_VALUE"""),"Lucas - Thien-Nhan")</f>
        <v>Lucas - Thien-Nhan</v>
      </c>
      <c r="F143" s="8" t="str">
        <f>IFERROR(__xludf.DUMMYFUNCTION("""COMPUTED_VALUE"""),"lucas-thien-nhan.nguyen@edu.esiee.fr")</f>
        <v>lucas-thien-nhan.nguyen@edu.esiee.fr</v>
      </c>
      <c r="G143" s="3" t="str">
        <f>IFERROR(__xludf.DUMMYFUNCTION("""COMPUTED_VALUE"""),"Entreprise")</f>
        <v>Entreprise</v>
      </c>
      <c r="H143" s="3" t="str">
        <f>IFERROR(__xludf.DUMMYFUNCTION("""COMPUTED_VALUE"""),"E5")</f>
        <v>E5</v>
      </c>
      <c r="I143" s="3" t="str">
        <f>IFERROR(__xludf.DUMMYFUNCTION("""COMPUTED_VALUE"""),"Entreprise")</f>
        <v>Entreprise</v>
      </c>
      <c r="J143" s="3" t="str">
        <f>IFERROR(__xludf.DUMMYFUNCTION("""COMPUTED_VALUE"""),"E21")</f>
        <v>E21</v>
      </c>
      <c r="K143" s="3" t="str">
        <f>IFERROR(__xludf.DUMMYFUNCTION("""COMPUTED_VALUE"""),"Entreprise")</f>
        <v>Entreprise</v>
      </c>
      <c r="L143" s="3" t="str">
        <f>IFERROR(__xludf.DUMMYFUNCTION("""COMPUTED_VALUE"""),"E19")</f>
        <v>E19</v>
      </c>
      <c r="M143" s="3" t="str">
        <f>IFERROR(__xludf.DUMMYFUNCTION("""COMPUTED_VALUE"""),"Entreprise")</f>
        <v>Entreprise</v>
      </c>
      <c r="N143" s="3" t="str">
        <f>IFERROR(__xludf.DUMMYFUNCTION("""COMPUTED_VALUE"""),"E24")</f>
        <v>E24</v>
      </c>
      <c r="O143" s="3" t="str">
        <f>IFERROR(__xludf.DUMMYFUNCTION("""COMPUTED_VALUE"""),"Entreprise")</f>
        <v>Entreprise</v>
      </c>
      <c r="P143" s="3" t="str">
        <f>IFERROR(__xludf.DUMMYFUNCTION("""COMPUTED_VALUE"""),"E10")</f>
        <v>E10</v>
      </c>
      <c r="Q143" s="3" t="str">
        <f>IFERROR(__xludf.DUMMYFUNCTION("""COMPUTED_VALUE"""),"Je ne pars pas")</f>
        <v>Je ne pars pas</v>
      </c>
      <c r="R143" s="3" t="str">
        <f>IFERROR(__xludf.DUMMYFUNCTION("""COMPUTED_VALUE"""),"")</f>
        <v/>
      </c>
      <c r="S143" s="11"/>
      <c r="T143" s="3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5">
        <f>IFERROR(__xludf.DUMMYFUNCTION("""COMPUTED_VALUE"""),43362.308961030096)</f>
        <v>43362.30896</v>
      </c>
      <c r="B144" s="16" t="str">
        <f>IFERROR(__xludf.DUMMYFUNCTION("""COMPUTED_VALUE"""),"")</f>
        <v/>
      </c>
      <c r="C144" s="19" t="str">
        <f>IFERROR(__xludf.DUMMYFUNCTION("""COMPUTED_VALUE"""),"ENE")</f>
        <v>ENE</v>
      </c>
      <c r="D144" s="20" t="str">
        <f>IFERROR(__xludf.DUMMYFUNCTION("""COMPUTED_VALUE"""),"NOURI")</f>
        <v>NOURI</v>
      </c>
      <c r="E144" s="20" t="str">
        <f>IFERROR(__xludf.DUMMYFUNCTION("""COMPUTED_VALUE"""),"Sarah")</f>
        <v>Sarah</v>
      </c>
      <c r="F144" s="20" t="str">
        <f>IFERROR(__xludf.DUMMYFUNCTION("""COMPUTED_VALUE"""),"sarah.nouri@edu.esiee.fr")</f>
        <v>sarah.nouri@edu.esiee.fr</v>
      </c>
      <c r="G144" s="22" t="str">
        <f>IFERROR(__xludf.DUMMYFUNCTION("""COMPUTED_VALUE"""),"Recherche")</f>
        <v>Recherche</v>
      </c>
      <c r="H144" s="22" t="str">
        <f>IFERROR(__xludf.DUMMYFUNCTION("""COMPUTED_VALUE"""),"R16 ")</f>
        <v>R16 </v>
      </c>
      <c r="I144" s="22" t="str">
        <f>IFERROR(__xludf.DUMMYFUNCTION("""COMPUTED_VALUE"""),"Recherche")</f>
        <v>Recherche</v>
      </c>
      <c r="J144" s="22" t="str">
        <f>IFERROR(__xludf.DUMMYFUNCTION("""COMPUTED_VALUE"""),"R23")</f>
        <v>R23</v>
      </c>
      <c r="K144" s="22" t="str">
        <f>IFERROR(__xludf.DUMMYFUNCTION("""COMPUTED_VALUE"""),"Recherche")</f>
        <v>Recherche</v>
      </c>
      <c r="L144" s="22" t="str">
        <f>IFERROR(__xludf.DUMMYFUNCTION("""COMPUTED_VALUE"""),"R24")</f>
        <v>R24</v>
      </c>
      <c r="M144" s="22" t="str">
        <f>IFERROR(__xludf.DUMMYFUNCTION("""COMPUTED_VALUE"""),"Recherche")</f>
        <v>Recherche</v>
      </c>
      <c r="N144" s="22" t="str">
        <f>IFERROR(__xludf.DUMMYFUNCTION("""COMPUTED_VALUE"""),"R16")</f>
        <v>R16</v>
      </c>
      <c r="O144" s="22" t="str">
        <f>IFERROR(__xludf.DUMMYFUNCTION("""COMPUTED_VALUE"""),"Recherche")</f>
        <v>Recherche</v>
      </c>
      <c r="P144" s="22" t="str">
        <f>IFERROR(__xludf.DUMMYFUNCTION("""COMPUTED_VALUE"""),"R16 ")</f>
        <v>R16 </v>
      </c>
      <c r="Q144" s="22" t="str">
        <f>IFERROR(__xludf.DUMMYFUNCTION("""COMPUTED_VALUE"""),"Je ne pars pas")</f>
        <v>Je ne pars pas</v>
      </c>
      <c r="R144" s="16" t="str">
        <f>IFERROR(__xludf.DUMMYFUNCTION("""COMPUTED_VALUE"""),"")</f>
        <v/>
      </c>
      <c r="S144" s="24"/>
      <c r="T144" s="19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25">
        <f>IFERROR(__xludf.DUMMYFUNCTION("""COMPUTED_VALUE"""),43362.48123068287)</f>
        <v>43362.48123</v>
      </c>
      <c r="B145" s="3" t="str">
        <f>IFERROR(__xludf.DUMMYFUNCTION("""COMPUTED_VALUE"""),"")</f>
        <v/>
      </c>
      <c r="C145" s="6" t="str">
        <f>IFERROR(__xludf.DUMMYFUNCTION("""COMPUTED_VALUE"""),"ENE")</f>
        <v>ENE</v>
      </c>
      <c r="D145" s="8" t="str">
        <f>IFERROR(__xludf.DUMMYFUNCTION("""COMPUTED_VALUE"""),"OGBI")</f>
        <v>OGBI</v>
      </c>
      <c r="E145" s="8" t="str">
        <f>IFERROR(__xludf.DUMMYFUNCTION("""COMPUTED_VALUE"""),"Lucas")</f>
        <v>Lucas</v>
      </c>
      <c r="F145" s="8" t="str">
        <f>IFERROR(__xludf.DUMMYFUNCTION("""COMPUTED_VALUE"""),"lucas.ogbi@edu.esiee.fr")</f>
        <v>lucas.ogbi@edu.esiee.fr</v>
      </c>
      <c r="G145" s="3" t="str">
        <f>IFERROR(__xludf.DUMMYFUNCTION("""COMPUTED_VALUE"""),"Entreprise")</f>
        <v>Entreprise</v>
      </c>
      <c r="H145" s="3" t="str">
        <f>IFERROR(__xludf.DUMMYFUNCTION("""COMPUTED_VALUE"""),"E13")</f>
        <v>E13</v>
      </c>
      <c r="I145" s="3" t="str">
        <f>IFERROR(__xludf.DUMMYFUNCTION("""COMPUTED_VALUE"""),"Recherche")</f>
        <v>Recherche</v>
      </c>
      <c r="J145" s="3" t="str">
        <f>IFERROR(__xludf.DUMMYFUNCTION("""COMPUTED_VALUE"""),"R1")</f>
        <v>R1</v>
      </c>
      <c r="K145" s="3" t="str">
        <f>IFERROR(__xludf.DUMMYFUNCTION("""COMPUTED_VALUE"""),"Recherche")</f>
        <v>Recherche</v>
      </c>
      <c r="L145" s="3" t="str">
        <f>IFERROR(__xludf.DUMMYFUNCTION("""COMPUTED_VALUE"""),"R12")</f>
        <v>R12</v>
      </c>
      <c r="M145" s="3" t="str">
        <f>IFERROR(__xludf.DUMMYFUNCTION("""COMPUTED_VALUE"""),"Recherche")</f>
        <v>Recherche</v>
      </c>
      <c r="N145" s="3" t="str">
        <f>IFERROR(__xludf.DUMMYFUNCTION("""COMPUTED_VALUE"""),"R2")</f>
        <v>R2</v>
      </c>
      <c r="O145" s="3" t="str">
        <f>IFERROR(__xludf.DUMMYFUNCTION("""COMPUTED_VALUE"""),"Recherche")</f>
        <v>Recherche</v>
      </c>
      <c r="P145" s="3" t="str">
        <f>IFERROR(__xludf.DUMMYFUNCTION("""COMPUTED_VALUE"""),"R23")</f>
        <v>R23</v>
      </c>
      <c r="Q145" s="3" t="str">
        <f>IFERROR(__xludf.DUMMYFUNCTION("""COMPUTED_VALUE"""),"Je pars au semestre 1")</f>
        <v>Je pars au semestre 1</v>
      </c>
      <c r="R145" s="3" t="str">
        <f>IFERROR(__xludf.DUMMYFUNCTION("""COMPUTED_VALUE"""),"")</f>
        <v/>
      </c>
      <c r="S145" s="11"/>
      <c r="T145" s="3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5">
        <f>IFERROR(__xludf.DUMMYFUNCTION("""COMPUTED_VALUE"""),43360.43625701389)</f>
        <v>43360.43626</v>
      </c>
      <c r="B146" s="16" t="str">
        <f>IFERROR(__xludf.DUMMYFUNCTION("""COMPUTED_VALUE"""),"")</f>
        <v/>
      </c>
      <c r="C146" s="19" t="str">
        <f>IFERROR(__xludf.DUMMYFUNCTION("""COMPUTED_VALUE"""),"GI")</f>
        <v>GI</v>
      </c>
      <c r="D146" s="20" t="str">
        <f>IFERROR(__xludf.DUMMYFUNCTION("""COMPUTED_VALUE"""),"ORANGER")</f>
        <v>ORANGER</v>
      </c>
      <c r="E146" s="20" t="str">
        <f>IFERROR(__xludf.DUMMYFUNCTION("""COMPUTED_VALUE"""),"Raphaël")</f>
        <v>Raphaël</v>
      </c>
      <c r="F146" s="20" t="str">
        <f>IFERROR(__xludf.DUMMYFUNCTION("""COMPUTED_VALUE"""),"raphael.oranger@edu.esiee.fr")</f>
        <v>raphael.oranger@edu.esiee.fr</v>
      </c>
      <c r="G146" s="22" t="str">
        <f>IFERROR(__xludf.DUMMYFUNCTION("""COMPUTED_VALUE"""),"Entreprise")</f>
        <v>Entreprise</v>
      </c>
      <c r="H146" s="22" t="str">
        <f>IFERROR(__xludf.DUMMYFUNCTION("""COMPUTED_VALUE"""),"E25")</f>
        <v>E25</v>
      </c>
      <c r="I146" s="22" t="str">
        <f>IFERROR(__xludf.DUMMYFUNCTION("""COMPUTED_VALUE"""),"Concours")</f>
        <v>Concours</v>
      </c>
      <c r="J146" s="22" t="str">
        <f>IFERROR(__xludf.DUMMYFUNCTION("""COMPUTED_VALUE"""),"C1")</f>
        <v>C1</v>
      </c>
      <c r="K146" s="22" t="str">
        <f>IFERROR(__xludf.DUMMYFUNCTION("""COMPUTED_VALUE"""),"Recherche")</f>
        <v>Recherche</v>
      </c>
      <c r="L146" s="22" t="str">
        <f>IFERROR(__xludf.DUMMYFUNCTION("""COMPUTED_VALUE"""),"R24")</f>
        <v>R24</v>
      </c>
      <c r="M146" s="22" t="str">
        <f>IFERROR(__xludf.DUMMYFUNCTION("""COMPUTED_VALUE"""),"Recherche")</f>
        <v>Recherche</v>
      </c>
      <c r="N146" s="22" t="str">
        <f>IFERROR(__xludf.DUMMYFUNCTION("""COMPUTED_VALUE"""),"R31")</f>
        <v>R31</v>
      </c>
      <c r="O146" s="22" t="str">
        <f>IFERROR(__xludf.DUMMYFUNCTION("""COMPUTED_VALUE"""),"Entreprise")</f>
        <v>Entreprise</v>
      </c>
      <c r="P146" s="22" t="str">
        <f>IFERROR(__xludf.DUMMYFUNCTION("""COMPUTED_VALUE"""),"E10")</f>
        <v>E10</v>
      </c>
      <c r="Q146" s="22" t="str">
        <f>IFERROR(__xludf.DUMMYFUNCTION("""COMPUTED_VALUE"""),"Je ne pars pas")</f>
        <v>Je ne pars pas</v>
      </c>
      <c r="R146" s="16" t="str">
        <f>IFERROR(__xludf.DUMMYFUNCTION("""COMPUTED_VALUE"""),"")</f>
        <v/>
      </c>
      <c r="S146" s="24"/>
      <c r="T146" s="19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25">
        <f>IFERROR(__xludf.DUMMYFUNCTION("""COMPUTED_VALUE"""),43360.51908005787)</f>
        <v>43360.51908</v>
      </c>
      <c r="B147" s="3" t="str">
        <f>IFERROR(__xludf.DUMMYFUNCTION("""COMPUTED_VALUE"""),"")</f>
        <v/>
      </c>
      <c r="C147" s="6" t="str">
        <f>IFERROR(__xludf.DUMMYFUNCTION("""COMPUTED_VALUE"""),"SE")</f>
        <v>SE</v>
      </c>
      <c r="D147" s="8" t="str">
        <f>IFERROR(__xludf.DUMMYFUNCTION("""COMPUTED_VALUE"""),"OTSUKA PETERLEVITZ FRIGERIO")</f>
        <v>OTSUKA PETERLEVITZ FRIGERIO</v>
      </c>
      <c r="E147" s="8" t="str">
        <f>IFERROR(__xludf.DUMMYFUNCTION("""COMPUTED_VALUE"""),"Larissa")</f>
        <v>Larissa</v>
      </c>
      <c r="F147" s="8" t="str">
        <f>IFERROR(__xludf.DUMMYFUNCTION("""COMPUTED_VALUE"""),"larissa.otsukapeterlevitzfrigerio@edu.esiee.fr")</f>
        <v>larissa.otsukapeterlevitzfrigerio@edu.esiee.fr</v>
      </c>
      <c r="G147" s="3" t="str">
        <f>IFERROR(__xludf.DUMMYFUNCTION("""COMPUTED_VALUE"""),"Entreprise")</f>
        <v>Entreprise</v>
      </c>
      <c r="H147" s="3" t="str">
        <f>IFERROR(__xludf.DUMMYFUNCTION("""COMPUTED_VALUE"""),"E25")</f>
        <v>E25</v>
      </c>
      <c r="I147" s="3" t="str">
        <f>IFERROR(__xludf.DUMMYFUNCTION("""COMPUTED_VALUE"""),"Entreprise")</f>
        <v>Entreprise</v>
      </c>
      <c r="J147" s="3" t="str">
        <f>IFERROR(__xludf.DUMMYFUNCTION("""COMPUTED_VALUE"""),"R14")</f>
        <v>R14</v>
      </c>
      <c r="K147" s="3" t="str">
        <f>IFERROR(__xludf.DUMMYFUNCTION("""COMPUTED_VALUE"""),"Recherche")</f>
        <v>Recherche</v>
      </c>
      <c r="L147" s="3" t="str">
        <f>IFERROR(__xludf.DUMMYFUNCTION("""COMPUTED_VALUE"""),"R3")</f>
        <v>R3</v>
      </c>
      <c r="M147" s="3" t="str">
        <f>IFERROR(__xludf.DUMMYFUNCTION("""COMPUTED_VALUE"""),"Recherche")</f>
        <v>Recherche</v>
      </c>
      <c r="N147" s="3" t="str">
        <f>IFERROR(__xludf.DUMMYFUNCTION("""COMPUTED_VALUE"""),"R5")</f>
        <v>R5</v>
      </c>
      <c r="O147" s="3" t="str">
        <f>IFERROR(__xludf.DUMMYFUNCTION("""COMPUTED_VALUE"""),"Recherche")</f>
        <v>Recherche</v>
      </c>
      <c r="P147" s="3" t="str">
        <f>IFERROR(__xludf.DUMMYFUNCTION("""COMPUTED_VALUE"""),"R11")</f>
        <v>R11</v>
      </c>
      <c r="Q147" s="3" t="str">
        <f>IFERROR(__xludf.DUMMYFUNCTION("""COMPUTED_VALUE"""),"Je ne pars pas")</f>
        <v>Je ne pars pas</v>
      </c>
      <c r="R147" s="3" t="str">
        <f>IFERROR(__xludf.DUMMYFUNCTION("""COMPUTED_VALUE"""),"")</f>
        <v/>
      </c>
      <c r="S147" s="11"/>
      <c r="T147" s="3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29">
        <f>IFERROR(__xludf.DUMMYFUNCTION("""COMPUTED_VALUE"""),43361.02052896991)</f>
        <v>43361.02053</v>
      </c>
      <c r="B148" s="16" t="str">
        <f>IFERROR(__xludf.DUMMYFUNCTION("""COMPUTED_VALUE"""),"")</f>
        <v/>
      </c>
      <c r="C148" s="19" t="str">
        <f>IFERROR(__xludf.DUMMYFUNCTION("""COMPUTED_VALUE"""),"CYBER")</f>
        <v>CYBER</v>
      </c>
      <c r="D148" s="20" t="str">
        <f>IFERROR(__xludf.DUMMYFUNCTION("""COMPUTED_VALUE"""),"OUCH")</f>
        <v>OUCH</v>
      </c>
      <c r="E148" s="20" t="str">
        <f>IFERROR(__xludf.DUMMYFUNCTION("""COMPUTED_VALUE"""),"Chan-Prettivy")</f>
        <v>Chan-Prettivy</v>
      </c>
      <c r="F148" s="20" t="str">
        <f>IFERROR(__xludf.DUMMYFUNCTION("""COMPUTED_VALUE"""),"chan-prettivy.ouch@edu.esiee.fr")</f>
        <v>chan-prettivy.ouch@edu.esiee.fr</v>
      </c>
      <c r="G148" s="22" t="str">
        <f>IFERROR(__xludf.DUMMYFUNCTION("""COMPUTED_VALUE"""),"Recherche")</f>
        <v>Recherche</v>
      </c>
      <c r="H148" s="22" t="str">
        <f>IFERROR(__xludf.DUMMYFUNCTION("""COMPUTED_VALUE"""),"R9")</f>
        <v>R9</v>
      </c>
      <c r="I148" s="22" t="str">
        <f>IFERROR(__xludf.DUMMYFUNCTION("""COMPUTED_VALUE"""),"Recherche")</f>
        <v>Recherche</v>
      </c>
      <c r="J148" s="22" t="str">
        <f>IFERROR(__xludf.DUMMYFUNCTION("""COMPUTED_VALUE"""),"R8")</f>
        <v>R8</v>
      </c>
      <c r="K148" s="22" t="str">
        <f>IFERROR(__xludf.DUMMYFUNCTION("""COMPUTED_VALUE"""),"Entreprise")</f>
        <v>Entreprise</v>
      </c>
      <c r="L148" s="22" t="str">
        <f>IFERROR(__xludf.DUMMYFUNCTION("""COMPUTED_VALUE"""),"E16")</f>
        <v>E16</v>
      </c>
      <c r="M148" s="22" t="str">
        <f>IFERROR(__xludf.DUMMYFUNCTION("""COMPUTED_VALUE"""),"Recherche")</f>
        <v>Recherche</v>
      </c>
      <c r="N148" s="22" t="str">
        <f>IFERROR(__xludf.DUMMYFUNCTION("""COMPUTED_VALUE"""),"R19")</f>
        <v>R19</v>
      </c>
      <c r="O148" s="22" t="str">
        <f>IFERROR(__xludf.DUMMYFUNCTION("""COMPUTED_VALUE"""),"Concours")</f>
        <v>Concours</v>
      </c>
      <c r="P148" s="22" t="str">
        <f>IFERROR(__xludf.DUMMYFUNCTION("""COMPUTED_VALUE"""),"C1")</f>
        <v>C1</v>
      </c>
      <c r="Q148" s="22" t="str">
        <f>IFERROR(__xludf.DUMMYFUNCTION("""COMPUTED_VALUE"""),"Je ne pars pas")</f>
        <v>Je ne pars pas</v>
      </c>
      <c r="R148" s="16" t="str">
        <f>IFERROR(__xludf.DUMMYFUNCTION("""COMPUTED_VALUE"""),"")</f>
        <v/>
      </c>
      <c r="S148" s="24"/>
      <c r="T148" s="19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25" t="str">
        <f>IFERROR(__xludf.DUMMYFUNCTION("""COMPUTED_VALUE"""),"")</f>
        <v/>
      </c>
      <c r="B149" s="3" t="str">
        <f>IFERROR(__xludf.DUMMYFUNCTION("""COMPUTED_VALUE"""),"")</f>
        <v/>
      </c>
      <c r="C149" s="6" t="str">
        <f>IFERROR(__xludf.DUMMYFUNCTION("""COMPUTED_VALUE"""),"")</f>
        <v/>
      </c>
      <c r="D149" s="8" t="str">
        <f>IFERROR(__xludf.DUMMYFUNCTION("""COMPUTED_VALUE"""),"OUKACI")</f>
        <v>OUKACI</v>
      </c>
      <c r="E149" s="8" t="str">
        <f>IFERROR(__xludf.DUMMYFUNCTION("""COMPUTED_VALUE"""),"Nawfel")</f>
        <v>Nawfel</v>
      </c>
      <c r="F149" s="8" t="str">
        <f>IFERROR(__xludf.DUMMYFUNCTION("""COMPUTED_VALUE"""),"nawfel.oukaci@edu.esiee.fr")</f>
        <v>nawfel.oukaci@edu.esiee.fr</v>
      </c>
      <c r="G149" s="3" t="str">
        <f>IFERROR(__xludf.DUMMYFUNCTION("""COMPUTED_VALUE"""),"")</f>
        <v/>
      </c>
      <c r="H149" s="3" t="str">
        <f>IFERROR(__xludf.DUMMYFUNCTION("""COMPUTED_VALUE"""),"R8")</f>
        <v>R8</v>
      </c>
      <c r="I149" s="3" t="str">
        <f>IFERROR(__xludf.DUMMYFUNCTION("""COMPUTED_VALUE"""),"")</f>
        <v/>
      </c>
      <c r="J149" s="3" t="str">
        <f>IFERROR(__xludf.DUMMYFUNCTION("""COMPUTED_VALUE"""),"R9")</f>
        <v>R9</v>
      </c>
      <c r="K149" s="3" t="str">
        <f>IFERROR(__xludf.DUMMYFUNCTION("""COMPUTED_VALUE"""),"")</f>
        <v/>
      </c>
      <c r="L149" s="3" t="str">
        <f>IFERROR(__xludf.DUMMYFUNCTION("""COMPUTED_VALUE"""),"R4")</f>
        <v>R4</v>
      </c>
      <c r="M149" s="3" t="str">
        <f>IFERROR(__xludf.DUMMYFUNCTION("""COMPUTED_VALUE"""),"")</f>
        <v/>
      </c>
      <c r="N149" s="3" t="str">
        <f>IFERROR(__xludf.DUMMYFUNCTION("""COMPUTED_VALUE"""),"")</f>
        <v/>
      </c>
      <c r="O149" s="3" t="str">
        <f>IFERROR(__xludf.DUMMYFUNCTION("""COMPUTED_VALUE"""),"")</f>
        <v/>
      </c>
      <c r="P149" s="3" t="str">
        <f>IFERROR(__xludf.DUMMYFUNCTION("""COMPUTED_VALUE"""),"")</f>
        <v/>
      </c>
      <c r="Q149" s="3" t="str">
        <f>IFERROR(__xludf.DUMMYFUNCTION("""COMPUTED_VALUE"""),"Je pars au semestre 1")</f>
        <v>Je pars au semestre 1</v>
      </c>
      <c r="R149" s="3" t="str">
        <f>IFERROR(__xludf.DUMMYFUNCTION("""COMPUTED_VALUE"""),"")</f>
        <v/>
      </c>
      <c r="S149" s="11"/>
      <c r="T149" s="3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5">
        <f>IFERROR(__xludf.DUMMYFUNCTION("""COMPUTED_VALUE"""),43362.50646167824)</f>
        <v>43362.50646</v>
      </c>
      <c r="B150" s="16" t="str">
        <f>IFERROR(__xludf.DUMMYFUNCTION("""COMPUTED_VALUE"""),"")</f>
        <v/>
      </c>
      <c r="C150" s="19" t="str">
        <f>IFERROR(__xludf.DUMMYFUNCTION("""COMPUTED_VALUE"""),"SE")</f>
        <v>SE</v>
      </c>
      <c r="D150" s="20" t="str">
        <f>IFERROR(__xludf.DUMMYFUNCTION("""COMPUTED_VALUE"""),"OUVRARD")</f>
        <v>OUVRARD</v>
      </c>
      <c r="E150" s="20" t="str">
        <f>IFERROR(__xludf.DUMMYFUNCTION("""COMPUTED_VALUE"""),"Thomas")</f>
        <v>Thomas</v>
      </c>
      <c r="F150" s="20" t="str">
        <f>IFERROR(__xludf.DUMMYFUNCTION("""COMPUTED_VALUE"""),"thomas.ouvrard@edu.esiee.fr")</f>
        <v>thomas.ouvrard@edu.esiee.fr</v>
      </c>
      <c r="G150" s="22" t="str">
        <f>IFERROR(__xludf.DUMMYFUNCTION("""COMPUTED_VALUE"""),"Recherche")</f>
        <v>Recherche</v>
      </c>
      <c r="H150" s="22" t="str">
        <f>IFERROR(__xludf.DUMMYFUNCTION("""COMPUTED_VALUE"""),"R5")</f>
        <v>R5</v>
      </c>
      <c r="I150" s="22" t="str">
        <f>IFERROR(__xludf.DUMMYFUNCTION("""COMPUTED_VALUE"""),"Entreprise")</f>
        <v>Entreprise</v>
      </c>
      <c r="J150" s="22" t="str">
        <f>IFERROR(__xludf.DUMMYFUNCTION("""COMPUTED_VALUE"""),"E16")</f>
        <v>E16</v>
      </c>
      <c r="K150" s="22" t="str">
        <f>IFERROR(__xludf.DUMMYFUNCTION("""COMPUTED_VALUE"""),"Recherche")</f>
        <v>Recherche</v>
      </c>
      <c r="L150" s="22" t="str">
        <f>IFERROR(__xludf.DUMMYFUNCTION("""COMPUTED_VALUE"""),"R18")</f>
        <v>R18</v>
      </c>
      <c r="M150" s="22" t="str">
        <f>IFERROR(__xludf.DUMMYFUNCTION("""COMPUTED_VALUE"""),"Recherche")</f>
        <v>Recherche</v>
      </c>
      <c r="N150" s="22" t="str">
        <f>IFERROR(__xludf.DUMMYFUNCTION("""COMPUTED_VALUE"""),"R5")</f>
        <v>R5</v>
      </c>
      <c r="O150" s="22" t="str">
        <f>IFERROR(__xludf.DUMMYFUNCTION("""COMPUTED_VALUE"""),"Recherche")</f>
        <v>Recherche</v>
      </c>
      <c r="P150" s="22" t="str">
        <f>IFERROR(__xludf.DUMMYFUNCTION("""COMPUTED_VALUE"""),"E16")</f>
        <v>E16</v>
      </c>
      <c r="Q150" s="22" t="str">
        <f>IFERROR(__xludf.DUMMYFUNCTION("""COMPUTED_VALUE"""),"Je ne pars pas")</f>
        <v>Je ne pars pas</v>
      </c>
      <c r="R150" s="16" t="str">
        <f>IFERROR(__xludf.DUMMYFUNCTION("""COMPUTED_VALUE"""),"")</f>
        <v/>
      </c>
      <c r="S150" s="24"/>
      <c r="T150" s="19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25">
        <f>IFERROR(__xludf.DUMMYFUNCTION("""COMPUTED_VALUE"""),43362.64725369213)</f>
        <v>43362.64725</v>
      </c>
      <c r="B151" s="3" t="str">
        <f>IFERROR(__xludf.DUMMYFUNCTION("""COMPUTED_VALUE"""),"")</f>
        <v/>
      </c>
      <c r="C151" s="6" t="str">
        <f>IFERROR(__xludf.DUMMYFUNCTION("""COMPUTED_VALUE"""),"GI")</f>
        <v>GI</v>
      </c>
      <c r="D151" s="8" t="str">
        <f>IFERROR(__xludf.DUMMYFUNCTION("""COMPUTED_VALUE"""),"PALMIER")</f>
        <v>PALMIER</v>
      </c>
      <c r="E151" s="8" t="str">
        <f>IFERROR(__xludf.DUMMYFUNCTION("""COMPUTED_VALUE"""),"Boris")</f>
        <v>Boris</v>
      </c>
      <c r="F151" s="8" t="str">
        <f>IFERROR(__xludf.DUMMYFUNCTION("""COMPUTED_VALUE"""),"boris.palmier@edu.esiee.fr")</f>
        <v>boris.palmier@edu.esiee.fr</v>
      </c>
      <c r="G151" s="3" t="str">
        <f>IFERROR(__xludf.DUMMYFUNCTION("""COMPUTED_VALUE"""),"Recherche")</f>
        <v>Recherche</v>
      </c>
      <c r="H151" s="3" t="str">
        <f>IFERROR(__xludf.DUMMYFUNCTION("""COMPUTED_VALUE"""),"R24")</f>
        <v>R24</v>
      </c>
      <c r="I151" s="3" t="str">
        <f>IFERROR(__xludf.DUMMYFUNCTION("""COMPUTED_VALUE"""),"Entreprise")</f>
        <v>Entreprise</v>
      </c>
      <c r="J151" s="3" t="str">
        <f>IFERROR(__xludf.DUMMYFUNCTION("""COMPUTED_VALUE"""),"E10")</f>
        <v>E10</v>
      </c>
      <c r="K151" s="3" t="str">
        <f>IFERROR(__xludf.DUMMYFUNCTION("""COMPUTED_VALUE"""),"Recherche")</f>
        <v>Recherche</v>
      </c>
      <c r="L151" s="3" t="str">
        <f>IFERROR(__xludf.DUMMYFUNCTION("""COMPUTED_VALUE"""),"R31")</f>
        <v>R31</v>
      </c>
      <c r="M151" s="3" t="str">
        <f>IFERROR(__xludf.DUMMYFUNCTION("""COMPUTED_VALUE"""),"Recherche")</f>
        <v>Recherche</v>
      </c>
      <c r="N151" s="3" t="str">
        <f>IFERROR(__xludf.DUMMYFUNCTION("""COMPUTED_VALUE"""),"R32")</f>
        <v>R32</v>
      </c>
      <c r="O151" s="3" t="str">
        <f>IFERROR(__xludf.DUMMYFUNCTION("""COMPUTED_VALUE"""),"Entreprise")</f>
        <v>Entreprise</v>
      </c>
      <c r="P151" s="3" t="str">
        <f>IFERROR(__xludf.DUMMYFUNCTION("""COMPUTED_VALUE"""),"E4")</f>
        <v>E4</v>
      </c>
      <c r="Q151" s="3" t="str">
        <f>IFERROR(__xludf.DUMMYFUNCTION("""COMPUTED_VALUE"""),"Je ne pars pas")</f>
        <v>Je ne pars pas</v>
      </c>
      <c r="R151" s="3" t="str">
        <f>IFERROR(__xludf.DUMMYFUNCTION("""COMPUTED_VALUE"""),"")</f>
        <v/>
      </c>
      <c r="S151" s="11"/>
      <c r="T151" s="3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5">
        <f>IFERROR(__xludf.DUMMYFUNCTION("""COMPUTED_VALUE"""),43360.418840011575)</f>
        <v>43360.41884</v>
      </c>
      <c r="B152" s="16" t="str">
        <f>IFERROR(__xludf.DUMMYFUNCTION("""COMPUTED_VALUE"""),"")</f>
        <v/>
      </c>
      <c r="C152" s="19" t="str">
        <f>IFERROR(__xludf.DUMMYFUNCTION("""COMPUTED_VALUE"""),"CYBER")</f>
        <v>CYBER</v>
      </c>
      <c r="D152" s="20" t="str">
        <f>IFERROR(__xludf.DUMMYFUNCTION("""COMPUTED_VALUE"""),"PANCRAZI")</f>
        <v>PANCRAZI</v>
      </c>
      <c r="E152" s="20" t="str">
        <f>IFERROR(__xludf.DUMMYFUNCTION("""COMPUTED_VALUE"""),"Andrea")</f>
        <v>Andrea</v>
      </c>
      <c r="F152" s="20" t="str">
        <f>IFERROR(__xludf.DUMMYFUNCTION("""COMPUTED_VALUE"""),"andrea.pancrazi@edu.esiee.fr")</f>
        <v>andrea.pancrazi@edu.esiee.fr</v>
      </c>
      <c r="G152" s="22" t="str">
        <f>IFERROR(__xludf.DUMMYFUNCTION("""COMPUTED_VALUE"""),"Recherche")</f>
        <v>Recherche</v>
      </c>
      <c r="H152" s="22" t="str">
        <f>IFERROR(__xludf.DUMMYFUNCTION("""COMPUTED_VALUE"""),"R19")</f>
        <v>R19</v>
      </c>
      <c r="I152" s="22" t="str">
        <f>IFERROR(__xludf.DUMMYFUNCTION("""COMPUTED_VALUE"""),"Recherche")</f>
        <v>Recherche</v>
      </c>
      <c r="J152" s="22" t="str">
        <f>IFERROR(__xludf.DUMMYFUNCTION("""COMPUTED_VALUE"""),"R9")</f>
        <v>R9</v>
      </c>
      <c r="K152" s="22" t="str">
        <f>IFERROR(__xludf.DUMMYFUNCTION("""COMPUTED_VALUE"""),"Entreprise")</f>
        <v>Entreprise</v>
      </c>
      <c r="L152" s="22" t="str">
        <f>IFERROR(__xludf.DUMMYFUNCTION("""COMPUTED_VALUE"""),"E24")</f>
        <v>E24</v>
      </c>
      <c r="M152" s="22" t="str">
        <f>IFERROR(__xludf.DUMMYFUNCTION("""COMPUTED_VALUE"""),"Recherche")</f>
        <v>Recherche</v>
      </c>
      <c r="N152" s="22" t="str">
        <f>IFERROR(__xludf.DUMMYFUNCTION("""COMPUTED_VALUE"""),"R8")</f>
        <v>R8</v>
      </c>
      <c r="O152" s="22" t="str">
        <f>IFERROR(__xludf.DUMMYFUNCTION("""COMPUTED_VALUE"""),"Entreprise")</f>
        <v>Entreprise</v>
      </c>
      <c r="P152" s="22" t="str">
        <f>IFERROR(__xludf.DUMMYFUNCTION("""COMPUTED_VALUE"""),"E6")</f>
        <v>E6</v>
      </c>
      <c r="Q152" s="22" t="str">
        <f>IFERROR(__xludf.DUMMYFUNCTION("""COMPUTED_VALUE"""),"Je ne pars pas")</f>
        <v>Je ne pars pas</v>
      </c>
      <c r="R152" s="16" t="str">
        <f>IFERROR(__xludf.DUMMYFUNCTION("""COMPUTED_VALUE"""),"")</f>
        <v/>
      </c>
      <c r="S152" s="24"/>
      <c r="T152" s="19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25">
        <f>IFERROR(__xludf.DUMMYFUNCTION("""COMPUTED_VALUE"""),43360.41805712963)</f>
        <v>43360.41806</v>
      </c>
      <c r="B153" s="3" t="str">
        <f>IFERROR(__xludf.DUMMYFUNCTION("""COMPUTED_VALUE"""),"")</f>
        <v/>
      </c>
      <c r="C153" s="6" t="str">
        <f>IFERROR(__xludf.DUMMYFUNCTION("""COMPUTED_VALUE"""),"INF")</f>
        <v>INF</v>
      </c>
      <c r="D153" s="8" t="str">
        <f>IFERROR(__xludf.DUMMYFUNCTION("""COMPUTED_VALUE"""),"PARIS")</f>
        <v>PARIS</v>
      </c>
      <c r="E153" s="8" t="str">
        <f>IFERROR(__xludf.DUMMYFUNCTION("""COMPUTED_VALUE"""),"Edouard")</f>
        <v>Edouard</v>
      </c>
      <c r="F153" s="8" t="str">
        <f>IFERROR(__xludf.DUMMYFUNCTION("""COMPUTED_VALUE"""),"edouard.paris@edu.esiee.fr")</f>
        <v>edouard.paris@edu.esiee.fr</v>
      </c>
      <c r="G153" s="3" t="str">
        <f>IFERROR(__xludf.DUMMYFUNCTION("""COMPUTED_VALUE"""),"Recherche")</f>
        <v>Recherche</v>
      </c>
      <c r="H153" s="3" t="str">
        <f>IFERROR(__xludf.DUMMYFUNCTION("""COMPUTED_VALUE"""),"R25")</f>
        <v>R25</v>
      </c>
      <c r="I153" s="3" t="str">
        <f>IFERROR(__xludf.DUMMYFUNCTION("""COMPUTED_VALUE"""),"Entreprise")</f>
        <v>Entreprise</v>
      </c>
      <c r="J153" s="3" t="str">
        <f>IFERROR(__xludf.DUMMYFUNCTION("""COMPUTED_VALUE"""),"E5")</f>
        <v>E5</v>
      </c>
      <c r="K153" s="3" t="str">
        <f>IFERROR(__xludf.DUMMYFUNCTION("""COMPUTED_VALUE"""),"Recherche")</f>
        <v>Recherche</v>
      </c>
      <c r="L153" s="3" t="str">
        <f>IFERROR(__xludf.DUMMYFUNCTION("""COMPUTED_VALUE"""),"R20")</f>
        <v>R20</v>
      </c>
      <c r="M153" s="3" t="str">
        <f>IFERROR(__xludf.DUMMYFUNCTION("""COMPUTED_VALUE"""),"Entreprise")</f>
        <v>Entreprise</v>
      </c>
      <c r="N153" s="3" t="str">
        <f>IFERROR(__xludf.DUMMYFUNCTION("""COMPUTED_VALUE"""),"E7")</f>
        <v>E7</v>
      </c>
      <c r="O153" s="3" t="str">
        <f>IFERROR(__xludf.DUMMYFUNCTION("""COMPUTED_VALUE"""),"Recherche")</f>
        <v>Recherche</v>
      </c>
      <c r="P153" s="3" t="str">
        <f>IFERROR(__xludf.DUMMYFUNCTION("""COMPUTED_VALUE"""),"R1")</f>
        <v>R1</v>
      </c>
      <c r="Q153" s="3" t="str">
        <f>IFERROR(__xludf.DUMMYFUNCTION("""COMPUTED_VALUE"""),"Je pars au semestre 2")</f>
        <v>Je pars au semestre 2</v>
      </c>
      <c r="R153" s="3" t="str">
        <f>IFERROR(__xludf.DUMMYFUNCTION("""COMPUTED_VALUE"""),"")</f>
        <v/>
      </c>
      <c r="S153" s="11"/>
      <c r="T153" s="3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5">
        <f>IFERROR(__xludf.DUMMYFUNCTION("""COMPUTED_VALUE"""),43360.42295912037)</f>
        <v>43360.42296</v>
      </c>
      <c r="B154" s="16" t="str">
        <f>IFERROR(__xludf.DUMMYFUNCTION("""COMPUTED_VALUE"""),"")</f>
        <v/>
      </c>
      <c r="C154" s="19" t="str">
        <f>IFERROR(__xludf.DUMMYFUNCTION("""COMPUTED_VALUE"""),"BIO")</f>
        <v>BIO</v>
      </c>
      <c r="D154" s="20" t="str">
        <f>IFERROR(__xludf.DUMMYFUNCTION("""COMPUTED_VALUE"""),"PARMENTIER")</f>
        <v>PARMENTIER</v>
      </c>
      <c r="E154" s="20" t="str">
        <f>IFERROR(__xludf.DUMMYFUNCTION("""COMPUTED_VALUE"""),"Juliette")</f>
        <v>Juliette</v>
      </c>
      <c r="F154" s="20" t="str">
        <f>IFERROR(__xludf.DUMMYFUNCTION("""COMPUTED_VALUE"""),"juliette.parmentier@edu.esiee.fr")</f>
        <v>juliette.parmentier@edu.esiee.fr</v>
      </c>
      <c r="G154" s="22" t="str">
        <f>IFERROR(__xludf.DUMMYFUNCTION("""COMPUTED_VALUE"""),"Recherche")</f>
        <v>Recherche</v>
      </c>
      <c r="H154" s="22" t="str">
        <f>IFERROR(__xludf.DUMMYFUNCTION("""COMPUTED_VALUE"""),"R2")</f>
        <v>R2</v>
      </c>
      <c r="I154" s="22" t="str">
        <f>IFERROR(__xludf.DUMMYFUNCTION("""COMPUTED_VALUE"""),"Entreprise")</f>
        <v>Entreprise</v>
      </c>
      <c r="J154" s="22" t="str">
        <f>IFERROR(__xludf.DUMMYFUNCTION("""COMPUTED_VALUE"""),"E1")</f>
        <v>E1</v>
      </c>
      <c r="K154" s="22" t="str">
        <f>IFERROR(__xludf.DUMMYFUNCTION("""COMPUTED_VALUE"""),"Recherche")</f>
        <v>Recherche</v>
      </c>
      <c r="L154" s="22" t="str">
        <f>IFERROR(__xludf.DUMMYFUNCTION("""COMPUTED_VALUE"""),"R24")</f>
        <v>R24</v>
      </c>
      <c r="M154" s="22" t="str">
        <f>IFERROR(__xludf.DUMMYFUNCTION("""COMPUTED_VALUE"""),"Recherche")</f>
        <v>Recherche</v>
      </c>
      <c r="N154" s="22" t="str">
        <f>IFERROR(__xludf.DUMMYFUNCTION("""COMPUTED_VALUE"""),"R3")</f>
        <v>R3</v>
      </c>
      <c r="O154" s="22" t="str">
        <f>IFERROR(__xludf.DUMMYFUNCTION("""COMPUTED_VALUE"""),"Entreprise")</f>
        <v>Entreprise</v>
      </c>
      <c r="P154" s="22" t="str">
        <f>IFERROR(__xludf.DUMMYFUNCTION("""COMPUTED_VALUE"""),"E19")</f>
        <v>E19</v>
      </c>
      <c r="Q154" s="22" t="str">
        <f>IFERROR(__xludf.DUMMYFUNCTION("""COMPUTED_VALUE"""),"Je ne pars pas")</f>
        <v>Je ne pars pas</v>
      </c>
      <c r="R154" s="16" t="str">
        <f>IFERROR(__xludf.DUMMYFUNCTION("""COMPUTED_VALUE"""),"")</f>
        <v/>
      </c>
      <c r="S154" s="24"/>
      <c r="T154" s="19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25">
        <f>IFERROR(__xludf.DUMMYFUNCTION("""COMPUTED_VALUE"""),43362.364853067134)</f>
        <v>43362.36485</v>
      </c>
      <c r="B155" s="3" t="str">
        <f>IFERROR(__xludf.DUMMYFUNCTION("""COMPUTED_VALUE"""),"")</f>
        <v/>
      </c>
      <c r="C155" s="6" t="str">
        <f>IFERROR(__xludf.DUMMYFUNCTION("""COMPUTED_VALUE"""),"INF")</f>
        <v>INF</v>
      </c>
      <c r="D155" s="8" t="str">
        <f>IFERROR(__xludf.DUMMYFUNCTION("""COMPUTED_VALUE"""),"PAULIN")</f>
        <v>PAULIN</v>
      </c>
      <c r="E155" s="8" t="str">
        <f>IFERROR(__xludf.DUMMYFUNCTION("""COMPUTED_VALUE"""),"Florian")</f>
        <v>Florian</v>
      </c>
      <c r="F155" s="8" t="str">
        <f>IFERROR(__xludf.DUMMYFUNCTION("""COMPUTED_VALUE"""),"florian.paulin@edu.esiee.fr")</f>
        <v>florian.paulin@edu.esiee.fr</v>
      </c>
      <c r="G155" s="3" t="str">
        <f>IFERROR(__xludf.DUMMYFUNCTION("""COMPUTED_VALUE"""),"Recherche")</f>
        <v>Recherche</v>
      </c>
      <c r="H155" s="3" t="str">
        <f>IFERROR(__xludf.DUMMYFUNCTION("""COMPUTED_VALUE"""),"R25")</f>
        <v>R25</v>
      </c>
      <c r="I155" s="3" t="str">
        <f>IFERROR(__xludf.DUMMYFUNCTION("""COMPUTED_VALUE"""),"Entreprise")</f>
        <v>Entreprise</v>
      </c>
      <c r="J155" s="3" t="str">
        <f>IFERROR(__xludf.DUMMYFUNCTION("""COMPUTED_VALUE"""),"E20")</f>
        <v>E20</v>
      </c>
      <c r="K155" s="3" t="str">
        <f>IFERROR(__xludf.DUMMYFUNCTION("""COMPUTED_VALUE"""),"Entreprise")</f>
        <v>Entreprise</v>
      </c>
      <c r="L155" s="3" t="str">
        <f>IFERROR(__xludf.DUMMYFUNCTION("""COMPUTED_VALUE"""),"E17")</f>
        <v>E17</v>
      </c>
      <c r="M155" s="3" t="str">
        <f>IFERROR(__xludf.DUMMYFUNCTION("""COMPUTED_VALUE"""),"Recherche")</f>
        <v>Recherche</v>
      </c>
      <c r="N155" s="50" t="str">
        <f>IFERROR(__xludf.DUMMYFUNCTION("""COMPUTED_VALUE"""),"R28")</f>
        <v>R28</v>
      </c>
      <c r="O155" s="3" t="str">
        <f>IFERROR(__xludf.DUMMYFUNCTION("""COMPUTED_VALUE"""),"Recherche")</f>
        <v>Recherche</v>
      </c>
      <c r="P155" s="3" t="str">
        <f>IFERROR(__xludf.DUMMYFUNCTION("""COMPUTED_VALUE"""),"R29")</f>
        <v>R29</v>
      </c>
      <c r="Q155" s="3" t="str">
        <f>IFERROR(__xludf.DUMMYFUNCTION("""COMPUTED_VALUE"""),"Je pars au semestre 1")</f>
        <v>Je pars au semestre 1</v>
      </c>
      <c r="R155" s="3" t="str">
        <f>IFERROR(__xludf.DUMMYFUNCTION("""COMPUTED_VALUE"""),"")</f>
        <v/>
      </c>
      <c r="S155" s="11"/>
      <c r="T155" s="3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5">
        <f>IFERROR(__xludf.DUMMYFUNCTION("""COMPUTED_VALUE"""),43360.52488570602)</f>
        <v>43360.52489</v>
      </c>
      <c r="B156" s="16" t="str">
        <f>IFERROR(__xludf.DUMMYFUNCTION("""COMPUTED_VALUE"""),"")</f>
        <v/>
      </c>
      <c r="C156" s="19" t="str">
        <f>IFERROR(__xludf.DUMMYFUNCTION("""COMPUTED_VALUE"""),"SE")</f>
        <v>SE</v>
      </c>
      <c r="D156" s="20" t="str">
        <f>IFERROR(__xludf.DUMMYFUNCTION("""COMPUTED_VALUE"""),"PERERA")</f>
        <v>PERERA</v>
      </c>
      <c r="E156" s="20" t="str">
        <f>IFERROR(__xludf.DUMMYFUNCTION("""COMPUTED_VALUE"""),"Madhushi")</f>
        <v>Madhushi</v>
      </c>
      <c r="F156" s="20" t="str">
        <f>IFERROR(__xludf.DUMMYFUNCTION("""COMPUTED_VALUE"""),"madhushi.perera@edu.esiee.fr")</f>
        <v>madhushi.perera@edu.esiee.fr</v>
      </c>
      <c r="G156" s="22" t="str">
        <f>IFERROR(__xludf.DUMMYFUNCTION("""COMPUTED_VALUE"""),"Entreprise")</f>
        <v>Entreprise</v>
      </c>
      <c r="H156" s="22" t="str">
        <f>IFERROR(__xludf.DUMMYFUNCTION("""COMPUTED_VALUE"""),"E16")</f>
        <v>E16</v>
      </c>
      <c r="I156" s="22" t="str">
        <f>IFERROR(__xludf.DUMMYFUNCTION("""COMPUTED_VALUE"""),"Entreprise")</f>
        <v>Entreprise</v>
      </c>
      <c r="J156" s="22" t="str">
        <f>IFERROR(__xludf.DUMMYFUNCTION("""COMPUTED_VALUE"""),"E20")</f>
        <v>E20</v>
      </c>
      <c r="K156" s="22" t="str">
        <f>IFERROR(__xludf.DUMMYFUNCTION("""COMPUTED_VALUE"""),"Recherche")</f>
        <v>Recherche</v>
      </c>
      <c r="L156" s="22" t="str">
        <f>IFERROR(__xludf.DUMMYFUNCTION("""COMPUTED_VALUE"""),"R6")</f>
        <v>R6</v>
      </c>
      <c r="M156" s="22" t="str">
        <f>IFERROR(__xludf.DUMMYFUNCTION("""COMPUTED_VALUE"""),"Recherche")</f>
        <v>Recherche</v>
      </c>
      <c r="N156" s="22">
        <f>IFERROR(__xludf.DUMMYFUNCTION("""COMPUTED_VALUE"""),14.0)</f>
        <v>14</v>
      </c>
      <c r="O156" s="22" t="str">
        <f>IFERROR(__xludf.DUMMYFUNCTION("""COMPUTED_VALUE"""),"Recherche")</f>
        <v>Recherche</v>
      </c>
      <c r="P156" s="22" t="str">
        <f>IFERROR(__xludf.DUMMYFUNCTION("""COMPUTED_VALUE"""),"R17")</f>
        <v>R17</v>
      </c>
      <c r="Q156" s="22" t="str">
        <f>IFERROR(__xludf.DUMMYFUNCTION("""COMPUTED_VALUE"""),"Je ne pars pas")</f>
        <v>Je ne pars pas</v>
      </c>
      <c r="R156" s="16" t="str">
        <f>IFERROR(__xludf.DUMMYFUNCTION("""COMPUTED_VALUE"""),"")</f>
        <v/>
      </c>
      <c r="S156" s="24"/>
      <c r="T156" s="19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25">
        <f>IFERROR(__xludf.DUMMYFUNCTION("""COMPUTED_VALUE"""),43361.97291512731)</f>
        <v>43361.97292</v>
      </c>
      <c r="B157" s="3" t="str">
        <f>IFERROR(__xludf.DUMMYFUNCTION("""COMPUTED_VALUE"""),"")</f>
        <v/>
      </c>
      <c r="C157" s="6" t="str">
        <f>IFERROR(__xludf.DUMMYFUNCTION("""COMPUTED_VALUE"""),"SE")</f>
        <v>SE</v>
      </c>
      <c r="D157" s="8" t="str">
        <f>IFERROR(__xludf.DUMMYFUNCTION("""COMPUTED_VALUE"""),"PETRAROLI")</f>
        <v>PETRAROLI</v>
      </c>
      <c r="E157" s="8" t="str">
        <f>IFERROR(__xludf.DUMMYFUNCTION("""COMPUTED_VALUE"""),"Romano")</f>
        <v>Romano</v>
      </c>
      <c r="F157" s="8" t="str">
        <f>IFERROR(__xludf.DUMMYFUNCTION("""COMPUTED_VALUE"""),"romano.petraroli@edu.esiee.fr")</f>
        <v>romano.petraroli@edu.esiee.fr</v>
      </c>
      <c r="G157" s="3" t="str">
        <f>IFERROR(__xludf.DUMMYFUNCTION("""COMPUTED_VALUE"""),"Recherche")</f>
        <v>Recherche</v>
      </c>
      <c r="H157" s="3" t="str">
        <f>IFERROR(__xludf.DUMMYFUNCTION("""COMPUTED_VALUE"""),"R5")</f>
        <v>R5</v>
      </c>
      <c r="I157" s="3" t="str">
        <f>IFERROR(__xludf.DUMMYFUNCTION("""COMPUTED_VALUE"""),"Entreprise")</f>
        <v>Entreprise</v>
      </c>
      <c r="J157" s="3" t="str">
        <f>IFERROR(__xludf.DUMMYFUNCTION("""COMPUTED_VALUE"""),"E16")</f>
        <v>E16</v>
      </c>
      <c r="K157" s="3" t="str">
        <f>IFERROR(__xludf.DUMMYFUNCTION("""COMPUTED_VALUE"""),"Recherche")</f>
        <v>Recherche</v>
      </c>
      <c r="L157" s="3" t="str">
        <f>IFERROR(__xludf.DUMMYFUNCTION("""COMPUTED_VALUE"""),"R17")</f>
        <v>R17</v>
      </c>
      <c r="M157" s="3" t="str">
        <f>IFERROR(__xludf.DUMMYFUNCTION("""COMPUTED_VALUE"""),"Recherche")</f>
        <v>Recherche</v>
      </c>
      <c r="N157" s="3" t="str">
        <f>IFERROR(__xludf.DUMMYFUNCTION("""COMPUTED_VALUE"""),"R29")</f>
        <v>R29</v>
      </c>
      <c r="O157" s="3" t="str">
        <f>IFERROR(__xludf.DUMMYFUNCTION("""COMPUTED_VALUE"""),"Recherche")</f>
        <v>Recherche</v>
      </c>
      <c r="P157" s="3" t="str">
        <f>IFERROR(__xludf.DUMMYFUNCTION("""COMPUTED_VALUE"""),"R28")</f>
        <v>R28</v>
      </c>
      <c r="Q157" s="3" t="str">
        <f>IFERROR(__xludf.DUMMYFUNCTION("""COMPUTED_VALUE"""),"Je pars au semestre 1")</f>
        <v>Je pars au semestre 1</v>
      </c>
      <c r="R157" s="3" t="str">
        <f>IFERROR(__xludf.DUMMYFUNCTION("""COMPUTED_VALUE"""),"")</f>
        <v/>
      </c>
      <c r="S157" s="11"/>
      <c r="T157" s="3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5">
        <f>IFERROR(__xludf.DUMMYFUNCTION("""COMPUTED_VALUE"""),43361.76161356481)</f>
        <v>43361.76161</v>
      </c>
      <c r="B158" s="16" t="str">
        <f>IFERROR(__xludf.DUMMYFUNCTION("""COMPUTED_VALUE"""),"")</f>
        <v/>
      </c>
      <c r="C158" s="19" t="str">
        <f>IFERROR(__xludf.DUMMYFUNCTION("""COMPUTED_VALUE"""),"IMC")</f>
        <v>IMC</v>
      </c>
      <c r="D158" s="20" t="str">
        <f>IFERROR(__xludf.DUMMYFUNCTION("""COMPUTED_VALUE"""),"PHAM")</f>
        <v>PHAM</v>
      </c>
      <c r="E158" s="20" t="str">
        <f>IFERROR(__xludf.DUMMYFUNCTION("""COMPUTED_VALUE"""),"Quôc Trung")</f>
        <v>Quôc Trung</v>
      </c>
      <c r="F158" s="20" t="str">
        <f>IFERROR(__xludf.DUMMYFUNCTION("""COMPUTED_VALUE"""),"quoctrung.pham@edu.esiee.fr")</f>
        <v>quoctrung.pham@edu.esiee.fr</v>
      </c>
      <c r="G158" s="22" t="str">
        <f>IFERROR(__xludf.DUMMYFUNCTION("""COMPUTED_VALUE"""),"Recherche")</f>
        <v>Recherche</v>
      </c>
      <c r="H158" s="22" t="str">
        <f>IFERROR(__xludf.DUMMYFUNCTION("""COMPUTED_VALUE"""),"R27")</f>
        <v>R27</v>
      </c>
      <c r="I158" s="22" t="str">
        <f>IFERROR(__xludf.DUMMYFUNCTION("""COMPUTED_VALUE"""),"Recherche")</f>
        <v>Recherche</v>
      </c>
      <c r="J158" s="22" t="str">
        <f>IFERROR(__xludf.DUMMYFUNCTION("""COMPUTED_VALUE"""),"LL1")</f>
        <v>LL1</v>
      </c>
      <c r="K158" s="22" t="str">
        <f>IFERROR(__xludf.DUMMYFUNCTION("""COMPUTED_VALUE"""),"Entreprise")</f>
        <v>Entreprise</v>
      </c>
      <c r="L158" s="22" t="str">
        <f>IFERROR(__xludf.DUMMYFUNCTION("""COMPUTED_VALUE"""),"R32")</f>
        <v>R32</v>
      </c>
      <c r="M158" s="22" t="str">
        <f>IFERROR(__xludf.DUMMYFUNCTION("""COMPUTED_VALUE"""),"Recherche")</f>
        <v>Recherche</v>
      </c>
      <c r="N158" s="22" t="str">
        <f>IFERROR(__xludf.DUMMYFUNCTION("""COMPUTED_VALUE"""),"R25")</f>
        <v>R25</v>
      </c>
      <c r="O158" s="22" t="str">
        <f>IFERROR(__xludf.DUMMYFUNCTION("""COMPUTED_VALUE"""),"Recherche")</f>
        <v>Recherche</v>
      </c>
      <c r="P158" s="22" t="str">
        <f>IFERROR(__xludf.DUMMYFUNCTION("""COMPUTED_VALUE"""),"E27")</f>
        <v>E27</v>
      </c>
      <c r="Q158" s="22" t="str">
        <f>IFERROR(__xludf.DUMMYFUNCTION("""COMPUTED_VALUE"""),"Je ne pars pas")</f>
        <v>Je ne pars pas</v>
      </c>
      <c r="R158" s="16" t="str">
        <f>IFERROR(__xludf.DUMMYFUNCTION("""COMPUTED_VALUE"""),"")</f>
        <v/>
      </c>
      <c r="S158" s="24"/>
      <c r="T158" s="19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25">
        <f>IFERROR(__xludf.DUMMYFUNCTION("""COMPUTED_VALUE"""),43360.433794375)</f>
        <v>43360.43379</v>
      </c>
      <c r="B159" s="3" t="str">
        <f>IFERROR(__xludf.DUMMYFUNCTION("""COMPUTED_VALUE"""),"")</f>
        <v/>
      </c>
      <c r="C159" s="6" t="str">
        <f>IFERROR(__xludf.DUMMYFUNCTION("""COMPUTED_VALUE"""),"GI")</f>
        <v>GI</v>
      </c>
      <c r="D159" s="8" t="str">
        <f>IFERROR(__xludf.DUMMYFUNCTION("""COMPUTED_VALUE"""),"PININGRE")</f>
        <v>PININGRE</v>
      </c>
      <c r="E159" s="8" t="str">
        <f>IFERROR(__xludf.DUMMYFUNCTION("""COMPUTED_VALUE"""),"Alban")</f>
        <v>Alban</v>
      </c>
      <c r="F159" s="8" t="str">
        <f>IFERROR(__xludf.DUMMYFUNCTION("""COMPUTED_VALUE"""),"alban.piningre@edu.esiee.fr")</f>
        <v>alban.piningre@edu.esiee.fr</v>
      </c>
      <c r="G159" s="3" t="str">
        <f>IFERROR(__xludf.DUMMYFUNCTION("""COMPUTED_VALUE"""),"Concours")</f>
        <v>Concours</v>
      </c>
      <c r="H159" s="3" t="str">
        <f>IFERROR(__xludf.DUMMYFUNCTION("""COMPUTED_VALUE"""),"C1")</f>
        <v>C1</v>
      </c>
      <c r="I159" s="3" t="str">
        <f>IFERROR(__xludf.DUMMYFUNCTION("""COMPUTED_VALUE"""),"Recherche")</f>
        <v>Recherche</v>
      </c>
      <c r="J159" s="3" t="str">
        <f>IFERROR(__xludf.DUMMYFUNCTION("""COMPUTED_VALUE"""),"R24")</f>
        <v>R24</v>
      </c>
      <c r="K159" s="3" t="str">
        <f>IFERROR(__xludf.DUMMYFUNCTION("""COMPUTED_VALUE"""),"Entreprise")</f>
        <v>Entreprise</v>
      </c>
      <c r="L159" s="3" t="str">
        <f>IFERROR(__xludf.DUMMYFUNCTION("""COMPUTED_VALUE"""),"E10")</f>
        <v>E10</v>
      </c>
      <c r="M159" s="3" t="str">
        <f>IFERROR(__xludf.DUMMYFUNCTION("""COMPUTED_VALUE"""),"Recherche")</f>
        <v>Recherche</v>
      </c>
      <c r="N159" s="3" t="str">
        <f>IFERROR(__xludf.DUMMYFUNCTION("""COMPUTED_VALUE"""),"R12")</f>
        <v>R12</v>
      </c>
      <c r="O159" s="3" t="str">
        <f>IFERROR(__xludf.DUMMYFUNCTION("""COMPUTED_VALUE"""),"Recherche")</f>
        <v>Recherche</v>
      </c>
      <c r="P159" s="3" t="str">
        <f>IFERROR(__xludf.DUMMYFUNCTION("""COMPUTED_VALUE"""),"R31")</f>
        <v>R31</v>
      </c>
      <c r="Q159" s="3" t="str">
        <f>IFERROR(__xludf.DUMMYFUNCTION("""COMPUTED_VALUE"""),"Je ne pars pas")</f>
        <v>Je ne pars pas</v>
      </c>
      <c r="R159" s="3" t="str">
        <f>IFERROR(__xludf.DUMMYFUNCTION("""COMPUTED_VALUE"""),"")</f>
        <v/>
      </c>
      <c r="S159" s="11"/>
      <c r="T159" s="3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5">
        <f>IFERROR(__xludf.DUMMYFUNCTION("""COMPUTED_VALUE"""),43362.30772305556)</f>
        <v>43362.30772</v>
      </c>
      <c r="B160" s="16" t="str">
        <f>IFERROR(__xludf.DUMMYFUNCTION("""COMPUTED_VALUE"""),"")</f>
        <v/>
      </c>
      <c r="C160" s="19" t="str">
        <f>IFERROR(__xludf.DUMMYFUNCTION("""COMPUTED_VALUE"""),"CYBER")</f>
        <v>CYBER</v>
      </c>
      <c r="D160" s="20" t="str">
        <f>IFERROR(__xludf.DUMMYFUNCTION("""COMPUTED_VALUE"""),"PIQUEE-AUDRAIN")</f>
        <v>PIQUEE-AUDRAIN</v>
      </c>
      <c r="E160" s="20" t="str">
        <f>IFERROR(__xludf.DUMMYFUNCTION("""COMPUTED_VALUE"""),"Arthur")</f>
        <v>Arthur</v>
      </c>
      <c r="F160" s="20" t="str">
        <f>IFERROR(__xludf.DUMMYFUNCTION("""COMPUTED_VALUE"""),"arthur.piquee-audrain@edu.esiee.fr")</f>
        <v>arthur.piquee-audrain@edu.esiee.fr</v>
      </c>
      <c r="G160" s="22" t="str">
        <f>IFERROR(__xludf.DUMMYFUNCTION("""COMPUTED_VALUE"""),"Recherche")</f>
        <v>Recherche</v>
      </c>
      <c r="H160" s="31" t="str">
        <f>IFERROR(__xludf.DUMMYFUNCTION("""COMPUTED_VALUE"""),"R9")</f>
        <v>R9</v>
      </c>
      <c r="I160" s="22" t="str">
        <f>IFERROR(__xludf.DUMMYFUNCTION("""COMPUTED_VALUE"""),"Recherche")</f>
        <v>Recherche</v>
      </c>
      <c r="J160" s="31" t="str">
        <f>IFERROR(__xludf.DUMMYFUNCTION("""COMPUTED_VALUE"""),"R8")</f>
        <v>R8</v>
      </c>
      <c r="K160" s="22" t="str">
        <f>IFERROR(__xludf.DUMMYFUNCTION("""COMPUTED_VALUE"""),"Recherche")</f>
        <v>Recherche</v>
      </c>
      <c r="L160" s="31" t="str">
        <f>IFERROR(__xludf.DUMMYFUNCTION("""COMPUTED_VALUE"""),"R19")</f>
        <v>R19</v>
      </c>
      <c r="M160" s="22" t="str">
        <f>IFERROR(__xludf.DUMMYFUNCTION("""COMPUTED_VALUE"""),"Entreprise")</f>
        <v>Entreprise</v>
      </c>
      <c r="N160" s="31" t="str">
        <f>IFERROR(__xludf.DUMMYFUNCTION("""COMPUTED_VALUE"""),"E6")</f>
        <v>E6</v>
      </c>
      <c r="O160" s="22" t="str">
        <f>IFERROR(__xludf.DUMMYFUNCTION("""COMPUTED_VALUE"""),"Entreprise")</f>
        <v>Entreprise</v>
      </c>
      <c r="P160" s="31" t="str">
        <f>IFERROR(__xludf.DUMMYFUNCTION("""COMPUTED_VALUE"""),"E25")</f>
        <v>E25</v>
      </c>
      <c r="Q160" s="22" t="str">
        <f>IFERROR(__xludf.DUMMYFUNCTION("""COMPUTED_VALUE"""),"Je ne pars pas")</f>
        <v>Je ne pars pas</v>
      </c>
      <c r="R160" s="16" t="str">
        <f>IFERROR(__xludf.DUMMYFUNCTION("""COMPUTED_VALUE"""),"")</f>
        <v/>
      </c>
      <c r="S160" s="24"/>
      <c r="T160" s="19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25">
        <f>IFERROR(__xludf.DUMMYFUNCTION("""COMPUTED_VALUE"""),43362.62424813658)</f>
        <v>43362.62425</v>
      </c>
      <c r="B161" s="3" t="str">
        <f>IFERROR(__xludf.DUMMYFUNCTION("""COMPUTED_VALUE"""),"")</f>
        <v/>
      </c>
      <c r="C161" s="6" t="str">
        <f>IFERROR(__xludf.DUMMYFUNCTION("""COMPUTED_VALUE"""),"DSIA")</f>
        <v>DSIA</v>
      </c>
      <c r="D161" s="8" t="str">
        <f>IFERROR(__xludf.DUMMYFUNCTION("""COMPUTED_VALUE"""),"POULAIN")</f>
        <v>POULAIN</v>
      </c>
      <c r="E161" s="8" t="str">
        <f>IFERROR(__xludf.DUMMYFUNCTION("""COMPUTED_VALUE"""),"Steven")</f>
        <v>Steven</v>
      </c>
      <c r="F161" s="8" t="str">
        <f>IFERROR(__xludf.DUMMYFUNCTION("""COMPUTED_VALUE"""),"steven.poulain@edu.esiee.fr")</f>
        <v>steven.poulain@edu.esiee.fr</v>
      </c>
      <c r="G161" s="3" t="str">
        <f>IFERROR(__xludf.DUMMYFUNCTION("""COMPUTED_VALUE"""),"Entreprise")</f>
        <v>Entreprise</v>
      </c>
      <c r="H161" s="3">
        <f>IFERROR(__xludf.DUMMYFUNCTION("""COMPUTED_VALUE"""),7.0)</f>
        <v>7</v>
      </c>
      <c r="I161" s="3" t="str">
        <f>IFERROR(__xludf.DUMMYFUNCTION("""COMPUTED_VALUE"""),"Entreprise")</f>
        <v>Entreprise</v>
      </c>
      <c r="J161" s="3">
        <f>IFERROR(__xludf.DUMMYFUNCTION("""COMPUTED_VALUE"""),19.0)</f>
        <v>19</v>
      </c>
      <c r="K161" s="3" t="str">
        <f>IFERROR(__xludf.DUMMYFUNCTION("""COMPUTED_VALUE"""),"Entreprise")</f>
        <v>Entreprise</v>
      </c>
      <c r="L161" s="3">
        <f>IFERROR(__xludf.DUMMYFUNCTION("""COMPUTED_VALUE"""),4.0)</f>
        <v>4</v>
      </c>
      <c r="M161" s="3" t="str">
        <f>IFERROR(__xludf.DUMMYFUNCTION("""COMPUTED_VALUE"""),"Recherche")</f>
        <v>Recherche</v>
      </c>
      <c r="N161" s="3">
        <f>IFERROR(__xludf.DUMMYFUNCTION("""COMPUTED_VALUE"""),31.0)</f>
        <v>31</v>
      </c>
      <c r="O161" s="3" t="str">
        <f>IFERROR(__xludf.DUMMYFUNCTION("""COMPUTED_VALUE"""),"Entreprise")</f>
        <v>Entreprise</v>
      </c>
      <c r="P161" s="3">
        <f>IFERROR(__xludf.DUMMYFUNCTION("""COMPUTED_VALUE"""),24.0)</f>
        <v>24</v>
      </c>
      <c r="Q161" s="3" t="str">
        <f>IFERROR(__xludf.DUMMYFUNCTION("""COMPUTED_VALUE"""),"Je ne pars pas")</f>
        <v>Je ne pars pas</v>
      </c>
      <c r="R161" s="3" t="str">
        <f>IFERROR(__xludf.DUMMYFUNCTION("""COMPUTED_VALUE"""),"")</f>
        <v/>
      </c>
      <c r="S161" s="11"/>
      <c r="T161" s="3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5">
        <f>IFERROR(__xludf.DUMMYFUNCTION("""COMPUTED_VALUE"""),43360.41913334491)</f>
        <v>43360.41913</v>
      </c>
      <c r="B162" s="16" t="str">
        <f>IFERROR(__xludf.DUMMYFUNCTION("""COMPUTED_VALUE"""),"")</f>
        <v/>
      </c>
      <c r="C162" s="19" t="str">
        <f>IFERROR(__xludf.DUMMYFUNCTION("""COMPUTED_VALUE"""),"INF")</f>
        <v>INF</v>
      </c>
      <c r="D162" s="20" t="str">
        <f>IFERROR(__xludf.DUMMYFUNCTION("""COMPUTED_VALUE"""),"POURET")</f>
        <v>POURET</v>
      </c>
      <c r="E162" s="20" t="str">
        <f>IFERROR(__xludf.DUMMYFUNCTION("""COMPUTED_VALUE"""),"Valentin")</f>
        <v>Valentin</v>
      </c>
      <c r="F162" s="20" t="str">
        <f>IFERROR(__xludf.DUMMYFUNCTION("""COMPUTED_VALUE"""),"valentin.pouret@edu.esiee.fr")</f>
        <v>valentin.pouret@edu.esiee.fr</v>
      </c>
      <c r="G162" s="22" t="str">
        <f>IFERROR(__xludf.DUMMYFUNCTION("""COMPUTED_VALUE"""),"Recherche")</f>
        <v>Recherche</v>
      </c>
      <c r="H162" s="22" t="str">
        <f>IFERROR(__xludf.DUMMYFUNCTION("""COMPUTED_VALUE"""),"R11")</f>
        <v>R11</v>
      </c>
      <c r="I162" s="22" t="str">
        <f>IFERROR(__xludf.DUMMYFUNCTION("""COMPUTED_VALUE"""),"Entreprise")</f>
        <v>Entreprise</v>
      </c>
      <c r="J162" s="22" t="str">
        <f>IFERROR(__xludf.DUMMYFUNCTION("""COMPUTED_VALUE"""),"E23")</f>
        <v>E23</v>
      </c>
      <c r="K162" s="22" t="str">
        <f>IFERROR(__xludf.DUMMYFUNCTION("""COMPUTED_VALUE"""),"Recherche")</f>
        <v>Recherche</v>
      </c>
      <c r="L162" s="22" t="str">
        <f>IFERROR(__xludf.DUMMYFUNCTION("""COMPUTED_VALUE"""),"R7")</f>
        <v>R7</v>
      </c>
      <c r="M162" s="22" t="str">
        <f>IFERROR(__xludf.DUMMYFUNCTION("""COMPUTED_VALUE"""),"Entreprise")</f>
        <v>Entreprise</v>
      </c>
      <c r="N162" s="22" t="str">
        <f>IFERROR(__xludf.DUMMYFUNCTION("""COMPUTED_VALUE"""),"E2")</f>
        <v>E2</v>
      </c>
      <c r="O162" s="22" t="str">
        <f>IFERROR(__xludf.DUMMYFUNCTION("""COMPUTED_VALUE"""),"Recherche")</f>
        <v>Recherche</v>
      </c>
      <c r="P162" s="22" t="str">
        <f>IFERROR(__xludf.DUMMYFUNCTION("""COMPUTED_VALUE"""),"R9")</f>
        <v>R9</v>
      </c>
      <c r="Q162" s="22" t="str">
        <f>IFERROR(__xludf.DUMMYFUNCTION("""COMPUTED_VALUE"""),"Je ne pars pas")</f>
        <v>Je ne pars pas</v>
      </c>
      <c r="R162" s="16" t="str">
        <f>IFERROR(__xludf.DUMMYFUNCTION("""COMPUTED_VALUE"""),"")</f>
        <v/>
      </c>
      <c r="S162" s="24"/>
      <c r="T162" s="19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25">
        <f>IFERROR(__xludf.DUMMYFUNCTION("""COMPUTED_VALUE"""),43361.37820737268)</f>
        <v>43361.37821</v>
      </c>
      <c r="B163" s="3" t="str">
        <f>IFERROR(__xludf.DUMMYFUNCTION("""COMPUTED_VALUE"""),"")</f>
        <v/>
      </c>
      <c r="C163" s="6" t="str">
        <f>IFERROR(__xludf.DUMMYFUNCTION("""COMPUTED_VALUE"""),"INF")</f>
        <v>INF</v>
      </c>
      <c r="D163" s="8" t="str">
        <f>IFERROR(__xludf.DUMMYFUNCTION("""COMPUTED_VALUE"""),"POV")</f>
        <v>POV</v>
      </c>
      <c r="E163" s="8" t="str">
        <f>IFERROR(__xludf.DUMMYFUNCTION("""COMPUTED_VALUE"""),"Cécile")</f>
        <v>Cécile</v>
      </c>
      <c r="F163" s="8" t="str">
        <f>IFERROR(__xludf.DUMMYFUNCTION("""COMPUTED_VALUE"""),"cecile.pov@edu.esiee.fr")</f>
        <v>cecile.pov@edu.esiee.fr</v>
      </c>
      <c r="G163" s="3" t="str">
        <f>IFERROR(__xludf.DUMMYFUNCTION("""COMPUTED_VALUE"""),"Entrepreneuriat/Logiciel Libre")</f>
        <v>Entrepreneuriat/Logiciel Libre</v>
      </c>
      <c r="H163" s="3" t="str">
        <f>IFERROR(__xludf.DUMMYFUNCTION("""COMPUTED_VALUE"""),"")</f>
        <v/>
      </c>
      <c r="I163" s="3" t="str">
        <f>IFERROR(__xludf.DUMMYFUNCTION("""COMPUTED_VALUE"""),"")</f>
        <v/>
      </c>
      <c r="J163" s="3" t="str">
        <f>IFERROR(__xludf.DUMMYFUNCTION("""COMPUTED_VALUE"""),"")</f>
        <v/>
      </c>
      <c r="K163" s="3" t="str">
        <f>IFERROR(__xludf.DUMMYFUNCTION("""COMPUTED_VALUE"""),"")</f>
        <v/>
      </c>
      <c r="L163" s="3" t="str">
        <f>IFERROR(__xludf.DUMMYFUNCTION("""COMPUTED_VALUE"""),"")</f>
        <v/>
      </c>
      <c r="M163" s="3" t="str">
        <f>IFERROR(__xludf.DUMMYFUNCTION("""COMPUTED_VALUE"""),"")</f>
        <v/>
      </c>
      <c r="N163" s="3" t="str">
        <f>IFERROR(__xludf.DUMMYFUNCTION("""COMPUTED_VALUE"""),"")</f>
        <v/>
      </c>
      <c r="O163" s="3" t="str">
        <f>IFERROR(__xludf.DUMMYFUNCTION("""COMPUTED_VALUE"""),"")</f>
        <v/>
      </c>
      <c r="P163" s="3" t="str">
        <f>IFERROR(__xludf.DUMMYFUNCTION("""COMPUTED_VALUE"""),"")</f>
        <v/>
      </c>
      <c r="Q163" s="3" t="str">
        <f>IFERROR(__xludf.DUMMYFUNCTION("""COMPUTED_VALUE"""),"Je ne pars pas")</f>
        <v>Je ne pars pas</v>
      </c>
      <c r="R163" s="3" t="str">
        <f>IFERROR(__xludf.DUMMYFUNCTION("""COMPUTED_VALUE"""),"")</f>
        <v/>
      </c>
      <c r="S163" s="11"/>
      <c r="T163" s="3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5">
        <f>IFERROR(__xludf.DUMMYFUNCTION("""COMPUTED_VALUE"""),43360.44069841436)</f>
        <v>43360.4407</v>
      </c>
      <c r="B164" s="16" t="str">
        <f>IFERROR(__xludf.DUMMYFUNCTION("""COMPUTED_VALUE"""),"")</f>
        <v/>
      </c>
      <c r="C164" s="19" t="str">
        <f>IFERROR(__xludf.DUMMYFUNCTION("""COMPUTED_VALUE"""),"ELE")</f>
        <v>ELE</v>
      </c>
      <c r="D164" s="20" t="str">
        <f>IFERROR(__xludf.DUMMYFUNCTION("""COMPUTED_VALUE"""),"PRESTAT")</f>
        <v>PRESTAT</v>
      </c>
      <c r="E164" s="20" t="str">
        <f>IFERROR(__xludf.DUMMYFUNCTION("""COMPUTED_VALUE"""),"Edouard")</f>
        <v>Edouard</v>
      </c>
      <c r="F164" s="20" t="str">
        <f>IFERROR(__xludf.DUMMYFUNCTION("""COMPUTED_VALUE"""),"edouard.prestat@edu.esiee.fr")</f>
        <v>edouard.prestat@edu.esiee.fr</v>
      </c>
      <c r="G164" s="22" t="str">
        <f>IFERROR(__xludf.DUMMYFUNCTION("""COMPUTED_VALUE"""),"Concours")</f>
        <v>Concours</v>
      </c>
      <c r="H164" s="22" t="str">
        <f>IFERROR(__xludf.DUMMYFUNCTION("""COMPUTED_VALUE"""),"C3")</f>
        <v>C3</v>
      </c>
      <c r="I164" s="22" t="str">
        <f>IFERROR(__xludf.DUMMYFUNCTION("""COMPUTED_VALUE"""),"Recherche")</f>
        <v>Recherche</v>
      </c>
      <c r="J164" s="22" t="str">
        <f>IFERROR(__xludf.DUMMYFUNCTION("""COMPUTED_VALUE"""),"R26")</f>
        <v>R26</v>
      </c>
      <c r="K164" s="22" t="str">
        <f>IFERROR(__xludf.DUMMYFUNCTION("""COMPUTED_VALUE"""),"Concours")</f>
        <v>Concours</v>
      </c>
      <c r="L164" s="22" t="str">
        <f>IFERROR(__xludf.DUMMYFUNCTION("""COMPUTED_VALUE"""),"C1")</f>
        <v>C1</v>
      </c>
      <c r="M164" s="22" t="str">
        <f>IFERROR(__xludf.DUMMYFUNCTION("""COMPUTED_VALUE"""),"Recherche")</f>
        <v>Recherche</v>
      </c>
      <c r="N164" s="22" t="str">
        <f>IFERROR(__xludf.DUMMYFUNCTION("""COMPUTED_VALUE"""),"R4")</f>
        <v>R4</v>
      </c>
      <c r="O164" s="22" t="str">
        <f>IFERROR(__xludf.DUMMYFUNCTION("""COMPUTED_VALUE"""),"Recherche")</f>
        <v>Recherche</v>
      </c>
      <c r="P164" s="22" t="str">
        <f>IFERROR(__xludf.DUMMYFUNCTION("""COMPUTED_VALUE"""),"R24")</f>
        <v>R24</v>
      </c>
      <c r="Q164" s="22" t="str">
        <f>IFERROR(__xludf.DUMMYFUNCTION("""COMPUTED_VALUE"""),"Je ne pars pas")</f>
        <v>Je ne pars pas</v>
      </c>
      <c r="R164" s="16" t="str">
        <f>IFERROR(__xludf.DUMMYFUNCTION("""COMPUTED_VALUE"""),"")</f>
        <v/>
      </c>
      <c r="S164" s="24"/>
      <c r="T164" s="19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25">
        <f>IFERROR(__xludf.DUMMYFUNCTION("""COMPUTED_VALUE"""),43363.00972284722)</f>
        <v>43363.00972</v>
      </c>
      <c r="B165" s="3" t="str">
        <f>IFERROR(__xludf.DUMMYFUNCTION("""COMPUTED_VALUE"""),"")</f>
        <v/>
      </c>
      <c r="C165" s="6" t="str">
        <f>IFERROR(__xludf.DUMMYFUNCTION("""COMPUTED_VALUE"""),"DSIA")</f>
        <v>DSIA</v>
      </c>
      <c r="D165" s="8" t="str">
        <f>IFERROR(__xludf.DUMMYFUNCTION("""COMPUTED_VALUE"""),"PROLONGEAU")</f>
        <v>PROLONGEAU</v>
      </c>
      <c r="E165" s="8" t="str">
        <f>IFERROR(__xludf.DUMMYFUNCTION("""COMPUTED_VALUE"""),"Augustin")</f>
        <v>Augustin</v>
      </c>
      <c r="F165" s="8" t="str">
        <f>IFERROR(__xludf.DUMMYFUNCTION("""COMPUTED_VALUE"""),"augustin.prolongeau@edu.esiee.fr")</f>
        <v>augustin.prolongeau@edu.esiee.fr</v>
      </c>
      <c r="G165" s="3" t="str">
        <f>IFERROR(__xludf.DUMMYFUNCTION("""COMPUTED_VALUE"""),"Entrepreneuriat/Logiciel Libre")</f>
        <v>Entrepreneuriat/Logiciel Libre</v>
      </c>
      <c r="H165" s="3" t="str">
        <f>IFERROR(__xludf.DUMMYFUNCTION("""COMPUTED_VALUE"""),"")</f>
        <v/>
      </c>
      <c r="I165" s="3" t="str">
        <f>IFERROR(__xludf.DUMMYFUNCTION("""COMPUTED_VALUE"""),"")</f>
        <v/>
      </c>
      <c r="J165" s="3" t="str">
        <f>IFERROR(__xludf.DUMMYFUNCTION("""COMPUTED_VALUE"""),"")</f>
        <v/>
      </c>
      <c r="K165" s="3" t="str">
        <f>IFERROR(__xludf.DUMMYFUNCTION("""COMPUTED_VALUE"""),"")</f>
        <v/>
      </c>
      <c r="L165" s="3" t="str">
        <f>IFERROR(__xludf.DUMMYFUNCTION("""COMPUTED_VALUE"""),"")</f>
        <v/>
      </c>
      <c r="M165" s="3" t="str">
        <f>IFERROR(__xludf.DUMMYFUNCTION("""COMPUTED_VALUE"""),"")</f>
        <v/>
      </c>
      <c r="N165" s="3" t="str">
        <f>IFERROR(__xludf.DUMMYFUNCTION("""COMPUTED_VALUE"""),"")</f>
        <v/>
      </c>
      <c r="O165" s="3" t="str">
        <f>IFERROR(__xludf.DUMMYFUNCTION("""COMPUTED_VALUE"""),"")</f>
        <v/>
      </c>
      <c r="P165" s="3" t="str">
        <f>IFERROR(__xludf.DUMMYFUNCTION("""COMPUTED_VALUE"""),"")</f>
        <v/>
      </c>
      <c r="Q165" s="3" t="str">
        <f>IFERROR(__xludf.DUMMYFUNCTION("""COMPUTED_VALUE"""),"Je ne pars pas")</f>
        <v>Je ne pars pas</v>
      </c>
      <c r="R165" s="3" t="str">
        <f>IFERROR(__xludf.DUMMYFUNCTION("""COMPUTED_VALUE"""),"")</f>
        <v/>
      </c>
      <c r="S165" s="11"/>
      <c r="T165" s="3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5">
        <f>IFERROR(__xludf.DUMMYFUNCTION("""COMPUTED_VALUE"""),43360.42290476852)</f>
        <v>43360.4229</v>
      </c>
      <c r="B166" s="16" t="str">
        <f>IFERROR(__xludf.DUMMYFUNCTION("""COMPUTED_VALUE"""),"")</f>
        <v/>
      </c>
      <c r="C166" s="19" t="str">
        <f>IFERROR(__xludf.DUMMYFUNCTION("""COMPUTED_VALUE"""),"SE")</f>
        <v>SE</v>
      </c>
      <c r="D166" s="20" t="str">
        <f>IFERROR(__xludf.DUMMYFUNCTION("""COMPUTED_VALUE"""),"PROUX")</f>
        <v>PROUX</v>
      </c>
      <c r="E166" s="20" t="str">
        <f>IFERROR(__xludf.DUMMYFUNCTION("""COMPUTED_VALUE"""),"Florian")</f>
        <v>Florian</v>
      </c>
      <c r="F166" s="20" t="str">
        <f>IFERROR(__xludf.DUMMYFUNCTION("""COMPUTED_VALUE"""),"florian.proux@edu.esiee.fr")</f>
        <v>florian.proux@edu.esiee.fr</v>
      </c>
      <c r="G166" s="22" t="str">
        <f>IFERROR(__xludf.DUMMYFUNCTION("""COMPUTED_VALUE"""),"Recherche")</f>
        <v>Recherche</v>
      </c>
      <c r="H166" s="22" t="str">
        <f>IFERROR(__xludf.DUMMYFUNCTION("""COMPUTED_VALUE"""),"R6")</f>
        <v>R6</v>
      </c>
      <c r="I166" s="22" t="str">
        <f>IFERROR(__xludf.DUMMYFUNCTION("""COMPUTED_VALUE"""),"Recherche")</f>
        <v>Recherche</v>
      </c>
      <c r="J166" s="22" t="str">
        <f>IFERROR(__xludf.DUMMYFUNCTION("""COMPUTED_VALUE"""),"R7")</f>
        <v>R7</v>
      </c>
      <c r="K166" s="22" t="str">
        <f>IFERROR(__xludf.DUMMYFUNCTION("""COMPUTED_VALUE"""),"Concours")</f>
        <v>Concours</v>
      </c>
      <c r="L166" s="22" t="str">
        <f>IFERROR(__xludf.DUMMYFUNCTION("""COMPUTED_VALUE"""),"C2")</f>
        <v>C2</v>
      </c>
      <c r="M166" s="22" t="str">
        <f>IFERROR(__xludf.DUMMYFUNCTION("""COMPUTED_VALUE"""),"Recherche")</f>
        <v>Recherche</v>
      </c>
      <c r="N166" s="22" t="str">
        <f>IFERROR(__xludf.DUMMYFUNCTION("""COMPUTED_VALUE"""),"R11")</f>
        <v>R11</v>
      </c>
      <c r="O166" s="22" t="str">
        <f>IFERROR(__xludf.DUMMYFUNCTION("""COMPUTED_VALUE"""),"Recherche")</f>
        <v>Recherche</v>
      </c>
      <c r="P166" s="22" t="str">
        <f>IFERROR(__xludf.DUMMYFUNCTION("""COMPUTED_VALUE"""),"R6")</f>
        <v>R6</v>
      </c>
      <c r="Q166" s="22" t="str">
        <f>IFERROR(__xludf.DUMMYFUNCTION("""COMPUTED_VALUE"""),"Je ne pars pas")</f>
        <v>Je ne pars pas</v>
      </c>
      <c r="R166" s="16" t="str">
        <f>IFERROR(__xludf.DUMMYFUNCTION("""COMPUTED_VALUE"""),"")</f>
        <v/>
      </c>
      <c r="S166" s="24"/>
      <c r="T166" s="19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25">
        <f>IFERROR(__xludf.DUMMYFUNCTION("""COMPUTED_VALUE"""),43360.42528413194)</f>
        <v>43360.42528</v>
      </c>
      <c r="B167" s="3" t="str">
        <f>IFERROR(__xludf.DUMMYFUNCTION("""COMPUTED_VALUE"""),"")</f>
        <v/>
      </c>
      <c r="C167" s="6" t="str">
        <f>IFERROR(__xludf.DUMMYFUNCTION("""COMPUTED_VALUE"""),"BIO")</f>
        <v>BIO</v>
      </c>
      <c r="D167" s="8" t="str">
        <f>IFERROR(__xludf.DUMMYFUNCTION("""COMPUTED_VALUE"""),"QUENTIN")</f>
        <v>QUENTIN</v>
      </c>
      <c r="E167" s="8" t="str">
        <f>IFERROR(__xludf.DUMMYFUNCTION("""COMPUTED_VALUE"""),"Pierre")</f>
        <v>Pierre</v>
      </c>
      <c r="F167" s="8" t="str">
        <f>IFERROR(__xludf.DUMMYFUNCTION("""COMPUTED_VALUE"""),"pierre.quentin@edu.esiee.fr")</f>
        <v>pierre.quentin@edu.esiee.fr</v>
      </c>
      <c r="G167" s="3" t="str">
        <f>IFERROR(__xludf.DUMMYFUNCTION("""COMPUTED_VALUE"""),"Recherche")</f>
        <v>Recherche</v>
      </c>
      <c r="H167" s="3" t="str">
        <f>IFERROR(__xludf.DUMMYFUNCTION("""COMPUTED_VALUE"""),"R2")</f>
        <v>R2</v>
      </c>
      <c r="I167" s="3" t="str">
        <f>IFERROR(__xludf.DUMMYFUNCTION("""COMPUTED_VALUE"""),"Recherche")</f>
        <v>Recherche</v>
      </c>
      <c r="J167" s="3" t="str">
        <f>IFERROR(__xludf.DUMMYFUNCTION("""COMPUTED_VALUE"""),"R24")</f>
        <v>R24</v>
      </c>
      <c r="K167" s="3" t="str">
        <f>IFERROR(__xludf.DUMMYFUNCTION("""COMPUTED_VALUE"""),"Entreprise")</f>
        <v>Entreprise</v>
      </c>
      <c r="L167" s="3" t="str">
        <f>IFERROR(__xludf.DUMMYFUNCTION("""COMPUTED_VALUE"""),"E1")</f>
        <v>E1</v>
      </c>
      <c r="M167" s="3" t="str">
        <f>IFERROR(__xludf.DUMMYFUNCTION("""COMPUTED_VALUE"""),"Entreprise")</f>
        <v>Entreprise</v>
      </c>
      <c r="N167" s="3" t="str">
        <f>IFERROR(__xludf.DUMMYFUNCTION("""COMPUTED_VALUE"""),"E15")</f>
        <v>E15</v>
      </c>
      <c r="O167" s="3" t="str">
        <f>IFERROR(__xludf.DUMMYFUNCTION("""COMPUTED_VALUE"""),"Entreprise")</f>
        <v>Entreprise</v>
      </c>
      <c r="P167" s="3" t="str">
        <f>IFERROR(__xludf.DUMMYFUNCTION("""COMPUTED_VALUE"""),"E17")</f>
        <v>E17</v>
      </c>
      <c r="Q167" s="3" t="str">
        <f>IFERROR(__xludf.DUMMYFUNCTION("""COMPUTED_VALUE"""),"Je ne pars pas")</f>
        <v>Je ne pars pas</v>
      </c>
      <c r="R167" s="3" t="str">
        <f>IFERROR(__xludf.DUMMYFUNCTION("""COMPUTED_VALUE"""),"")</f>
        <v/>
      </c>
      <c r="S167" s="11"/>
      <c r="T167" s="3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5">
        <f>IFERROR(__xludf.DUMMYFUNCTION("""COMPUTED_VALUE"""),43362.32583539352)</f>
        <v>43362.32584</v>
      </c>
      <c r="B168" s="16" t="str">
        <f>IFERROR(__xludf.DUMMYFUNCTION("""COMPUTED_VALUE"""),"")</f>
        <v/>
      </c>
      <c r="C168" s="19" t="str">
        <f>IFERROR(__xludf.DUMMYFUNCTION("""COMPUTED_VALUE"""),"GI")</f>
        <v>GI</v>
      </c>
      <c r="D168" s="20" t="str">
        <f>IFERROR(__xludf.DUMMYFUNCTION("""COMPUTED_VALUE"""),"QUIGNA")</f>
        <v>QUIGNA</v>
      </c>
      <c r="E168" s="20" t="str">
        <f>IFERROR(__xludf.DUMMYFUNCTION("""COMPUTED_VALUE"""),"Marie")</f>
        <v>Marie</v>
      </c>
      <c r="F168" s="20" t="str">
        <f>IFERROR(__xludf.DUMMYFUNCTION("""COMPUTED_VALUE"""),"marie.quigna@edu.esiee.fr")</f>
        <v>marie.quigna@edu.esiee.fr</v>
      </c>
      <c r="G168" s="22" t="str">
        <f>IFERROR(__xludf.DUMMYFUNCTION("""COMPUTED_VALUE"""),"Recherche")</f>
        <v>Recherche</v>
      </c>
      <c r="H168" s="22" t="str">
        <f>IFERROR(__xludf.DUMMYFUNCTION("""COMPUTED_VALUE"""),"R24")</f>
        <v>R24</v>
      </c>
      <c r="I168" s="22" t="str">
        <f>IFERROR(__xludf.DUMMYFUNCTION("""COMPUTED_VALUE"""),"Recherche")</f>
        <v>Recherche</v>
      </c>
      <c r="J168" s="22" t="str">
        <f>IFERROR(__xludf.DUMMYFUNCTION("""COMPUTED_VALUE"""),"R32")</f>
        <v>R32</v>
      </c>
      <c r="K168" s="22" t="str">
        <f>IFERROR(__xludf.DUMMYFUNCTION("""COMPUTED_VALUE"""),"Recherche")</f>
        <v>Recherche</v>
      </c>
      <c r="L168" s="22" t="str">
        <f>IFERROR(__xludf.DUMMYFUNCTION("""COMPUTED_VALUE"""),"R2 ")</f>
        <v>R2 </v>
      </c>
      <c r="M168" s="22" t="str">
        <f>IFERROR(__xludf.DUMMYFUNCTION("""COMPUTED_VALUE"""),"Entreprise")</f>
        <v>Entreprise</v>
      </c>
      <c r="N168" s="22" t="str">
        <f>IFERROR(__xludf.DUMMYFUNCTION("""COMPUTED_VALUE"""),"E15")</f>
        <v>E15</v>
      </c>
      <c r="O168" s="22" t="str">
        <f>IFERROR(__xludf.DUMMYFUNCTION("""COMPUTED_VALUE"""),"Concours")</f>
        <v>Concours</v>
      </c>
      <c r="P168" s="22" t="str">
        <f>IFERROR(__xludf.DUMMYFUNCTION("""COMPUTED_VALUE"""),"C1")</f>
        <v>C1</v>
      </c>
      <c r="Q168" s="22" t="str">
        <f>IFERROR(__xludf.DUMMYFUNCTION("""COMPUTED_VALUE"""),"Je pars au semestre 1")</f>
        <v>Je pars au semestre 1</v>
      </c>
      <c r="R168" s="16" t="str">
        <f>IFERROR(__xludf.DUMMYFUNCTION("""COMPUTED_VALUE"""),"")</f>
        <v/>
      </c>
      <c r="S168" s="24"/>
      <c r="T168" s="19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25">
        <f>IFERROR(__xludf.DUMMYFUNCTION("""COMPUTED_VALUE"""),43360.42453203704)</f>
        <v>43360.42453</v>
      </c>
      <c r="B169" s="3" t="str">
        <f>IFERROR(__xludf.DUMMYFUNCTION("""COMPUTED_VALUE"""),"")</f>
        <v/>
      </c>
      <c r="C169" s="6" t="str">
        <f>IFERROR(__xludf.DUMMYFUNCTION("""COMPUTED_VALUE"""),"BIO")</f>
        <v>BIO</v>
      </c>
      <c r="D169" s="8" t="str">
        <f>IFERROR(__xludf.DUMMYFUNCTION("""COMPUTED_VALUE"""),"RABERGEAU")</f>
        <v>RABERGEAU</v>
      </c>
      <c r="E169" s="8" t="str">
        <f>IFERROR(__xludf.DUMMYFUNCTION("""COMPUTED_VALUE"""),"Loélia")</f>
        <v>Loélia</v>
      </c>
      <c r="F169" s="8" t="str">
        <f>IFERROR(__xludf.DUMMYFUNCTION("""COMPUTED_VALUE"""),"loelia.rabergeau@edu.esiee.fr")</f>
        <v>loelia.rabergeau@edu.esiee.fr</v>
      </c>
      <c r="G169" s="3" t="str">
        <f>IFERROR(__xludf.DUMMYFUNCTION("""COMPUTED_VALUE"""),"Recherche")</f>
        <v>Recherche</v>
      </c>
      <c r="H169" s="3" t="str">
        <f>IFERROR(__xludf.DUMMYFUNCTION("""COMPUTED_VALUE"""),"R24")</f>
        <v>R24</v>
      </c>
      <c r="I169" s="3" t="str">
        <f>IFERROR(__xludf.DUMMYFUNCTION("""COMPUTED_VALUE"""),"Recherche")</f>
        <v>Recherche</v>
      </c>
      <c r="J169" s="3" t="str">
        <f>IFERROR(__xludf.DUMMYFUNCTION("""COMPUTED_VALUE"""),"R2")</f>
        <v>R2</v>
      </c>
      <c r="K169" s="3" t="str">
        <f>IFERROR(__xludf.DUMMYFUNCTION("""COMPUTED_VALUE"""),"Recherche")</f>
        <v>Recherche</v>
      </c>
      <c r="L169" s="3" t="str">
        <f>IFERROR(__xludf.DUMMYFUNCTION("""COMPUTED_VALUE"""),"R3")</f>
        <v>R3</v>
      </c>
      <c r="M169" s="3" t="str">
        <f>IFERROR(__xludf.DUMMYFUNCTION("""COMPUTED_VALUE"""),"Entreprise")</f>
        <v>Entreprise</v>
      </c>
      <c r="N169" s="3" t="str">
        <f>IFERROR(__xludf.DUMMYFUNCTION("""COMPUTED_VALUE"""),"E1")</f>
        <v>E1</v>
      </c>
      <c r="O169" s="3" t="str">
        <f>IFERROR(__xludf.DUMMYFUNCTION("""COMPUTED_VALUE"""),"Entreprise")</f>
        <v>Entreprise</v>
      </c>
      <c r="P169" s="3" t="str">
        <f>IFERROR(__xludf.DUMMYFUNCTION("""COMPUTED_VALUE"""),"E19")</f>
        <v>E19</v>
      </c>
      <c r="Q169" s="3" t="str">
        <f>IFERROR(__xludf.DUMMYFUNCTION("""COMPUTED_VALUE"""),"Je ne pars pas")</f>
        <v>Je ne pars pas</v>
      </c>
      <c r="R169" s="3" t="str">
        <f>IFERROR(__xludf.DUMMYFUNCTION("""COMPUTED_VALUE"""),"")</f>
        <v/>
      </c>
      <c r="S169" s="11"/>
      <c r="T169" s="3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5">
        <f>IFERROR(__xludf.DUMMYFUNCTION("""COMPUTED_VALUE"""),43360.424359375)</f>
        <v>43360.42436</v>
      </c>
      <c r="B170" s="16" t="str">
        <f>IFERROR(__xludf.DUMMYFUNCTION("""COMPUTED_VALUE"""),"")</f>
        <v/>
      </c>
      <c r="C170" s="19" t="str">
        <f>IFERROR(__xludf.DUMMYFUNCTION("""COMPUTED_VALUE"""),"BIO")</f>
        <v>BIO</v>
      </c>
      <c r="D170" s="20" t="str">
        <f>IFERROR(__xludf.DUMMYFUNCTION("""COMPUTED_VALUE"""),"RAHILE")</f>
        <v>RAHILE</v>
      </c>
      <c r="E170" s="20" t="str">
        <f>IFERROR(__xludf.DUMMYFUNCTION("""COMPUTED_VALUE"""),"Chehrazad")</f>
        <v>Chehrazad</v>
      </c>
      <c r="F170" s="20" t="str">
        <f>IFERROR(__xludf.DUMMYFUNCTION("""COMPUTED_VALUE"""),"chehrazad.rahile@edu.esiee.fr")</f>
        <v>chehrazad.rahile@edu.esiee.fr</v>
      </c>
      <c r="G170" s="22" t="str">
        <f>IFERROR(__xludf.DUMMYFUNCTION("""COMPUTED_VALUE"""),"Recherche")</f>
        <v>Recherche</v>
      </c>
      <c r="H170" s="22" t="str">
        <f>IFERROR(__xludf.DUMMYFUNCTION("""COMPUTED_VALUE"""),"R3")</f>
        <v>R3</v>
      </c>
      <c r="I170" s="22" t="str">
        <f>IFERROR(__xludf.DUMMYFUNCTION("""COMPUTED_VALUE"""),"Recherche")</f>
        <v>Recherche</v>
      </c>
      <c r="J170" s="22" t="str">
        <f>IFERROR(__xludf.DUMMYFUNCTION("""COMPUTED_VALUE"""),"R2")</f>
        <v>R2</v>
      </c>
      <c r="K170" s="22" t="str">
        <f>IFERROR(__xludf.DUMMYFUNCTION("""COMPUTED_VALUE"""),"Entreprise")</f>
        <v>Entreprise</v>
      </c>
      <c r="L170" s="22" t="str">
        <f>IFERROR(__xludf.DUMMYFUNCTION("""COMPUTED_VALUE"""),"E1")</f>
        <v>E1</v>
      </c>
      <c r="M170" s="22" t="str">
        <f>IFERROR(__xludf.DUMMYFUNCTION("""COMPUTED_VALUE"""),"Entreprise")</f>
        <v>Entreprise</v>
      </c>
      <c r="N170" s="22" t="str">
        <f>IFERROR(__xludf.DUMMYFUNCTION("""COMPUTED_VALUE"""),"E15")</f>
        <v>E15</v>
      </c>
      <c r="O170" s="22" t="str">
        <f>IFERROR(__xludf.DUMMYFUNCTION("""COMPUTED_VALUE"""),"Recherche")</f>
        <v>Recherche</v>
      </c>
      <c r="P170" s="22" t="str">
        <f>IFERROR(__xludf.DUMMYFUNCTION("""COMPUTED_VALUE"""),"R24")</f>
        <v>R24</v>
      </c>
      <c r="Q170" s="22" t="str">
        <f>IFERROR(__xludf.DUMMYFUNCTION("""COMPUTED_VALUE"""),"Je ne pars pas")</f>
        <v>Je ne pars pas</v>
      </c>
      <c r="R170" s="16" t="str">
        <f>IFERROR(__xludf.DUMMYFUNCTION("""COMPUTED_VALUE"""),"")</f>
        <v/>
      </c>
      <c r="S170" s="24"/>
      <c r="T170" s="19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25">
        <f>IFERROR(__xludf.DUMMYFUNCTION("""COMPUTED_VALUE"""),43361.514942546295)</f>
        <v>43361.51494</v>
      </c>
      <c r="B171" s="3" t="str">
        <f>IFERROR(__xludf.DUMMYFUNCTION("""COMPUTED_VALUE"""),"")</f>
        <v/>
      </c>
      <c r="C171" s="6" t="str">
        <f>IFERROR(__xludf.DUMMYFUNCTION("""COMPUTED_VALUE"""),"IMC")</f>
        <v>IMC</v>
      </c>
      <c r="D171" s="8" t="str">
        <f>IFERROR(__xludf.DUMMYFUNCTION("""COMPUTED_VALUE"""),"RAJPUT")</f>
        <v>RAJPUT</v>
      </c>
      <c r="E171" s="8" t="str">
        <f>IFERROR(__xludf.DUMMYFUNCTION("""COMPUTED_VALUE"""),"Dhanashri")</f>
        <v>Dhanashri</v>
      </c>
      <c r="F171" s="8" t="str">
        <f>IFERROR(__xludf.DUMMYFUNCTION("""COMPUTED_VALUE"""),"dhanashri.rajput@edu.esiee.fr")</f>
        <v>dhanashri.rajput@edu.esiee.fr</v>
      </c>
      <c r="G171" s="3" t="str">
        <f>IFERROR(__xludf.DUMMYFUNCTION("""COMPUTED_VALUE"""),"Recherche")</f>
        <v>Recherche</v>
      </c>
      <c r="H171" s="3" t="str">
        <f>IFERROR(__xludf.DUMMYFUNCTION("""COMPUTED_VALUE"""),"R27")</f>
        <v>R27</v>
      </c>
      <c r="I171" s="3" t="str">
        <f>IFERROR(__xludf.DUMMYFUNCTION("""COMPUTED_VALUE"""),"Entreprise")</f>
        <v>Entreprise</v>
      </c>
      <c r="J171" s="3" t="str">
        <f>IFERROR(__xludf.DUMMYFUNCTION("""COMPUTED_VALUE"""),"LL1")</f>
        <v>LL1</v>
      </c>
      <c r="K171" s="3" t="str">
        <f>IFERROR(__xludf.DUMMYFUNCTION("""COMPUTED_VALUE"""),"Recherche")</f>
        <v>Recherche</v>
      </c>
      <c r="L171" s="3" t="str">
        <f>IFERROR(__xludf.DUMMYFUNCTION("""COMPUTED_VALUE"""),"R4")</f>
        <v>R4</v>
      </c>
      <c r="M171" s="3" t="str">
        <f>IFERROR(__xludf.DUMMYFUNCTION("""COMPUTED_VALUE"""),"Recherche")</f>
        <v>Recherche</v>
      </c>
      <c r="N171" s="3" t="str">
        <f>IFERROR(__xludf.DUMMYFUNCTION("""COMPUTED_VALUE"""),"R3")</f>
        <v>R3</v>
      </c>
      <c r="O171" s="3" t="str">
        <f>IFERROR(__xludf.DUMMYFUNCTION("""COMPUTED_VALUE"""),"Recherche")</f>
        <v>Recherche</v>
      </c>
      <c r="P171" s="3" t="str">
        <f>IFERROR(__xludf.DUMMYFUNCTION("""COMPUTED_VALUE"""),"R5")</f>
        <v>R5</v>
      </c>
      <c r="Q171" s="3" t="str">
        <f>IFERROR(__xludf.DUMMYFUNCTION("""COMPUTED_VALUE"""),"Je ne pars pas")</f>
        <v>Je ne pars pas</v>
      </c>
      <c r="R171" s="3" t="str">
        <f>IFERROR(__xludf.DUMMYFUNCTION("""COMPUTED_VALUE"""),"")</f>
        <v/>
      </c>
      <c r="S171" s="11"/>
      <c r="T171" s="3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5">
        <f>IFERROR(__xludf.DUMMYFUNCTION("""COMPUTED_VALUE"""),43361.205005752316)</f>
        <v>43361.20501</v>
      </c>
      <c r="B172" s="16" t="str">
        <f>IFERROR(__xludf.DUMMYFUNCTION("""COMPUTED_VALUE"""),"")</f>
        <v/>
      </c>
      <c r="C172" s="19" t="str">
        <f>IFERROR(__xludf.DUMMYFUNCTION("""COMPUTED_VALUE"""),"ENE")</f>
        <v>ENE</v>
      </c>
      <c r="D172" s="20" t="str">
        <f>IFERROR(__xludf.DUMMYFUNCTION("""COMPUTED_VALUE"""),"RAMFUL")</f>
        <v>RAMFUL</v>
      </c>
      <c r="E172" s="20" t="str">
        <f>IFERROR(__xludf.DUMMYFUNCTION("""COMPUTED_VALUE"""),"Rochan")</f>
        <v>Rochan</v>
      </c>
      <c r="F172" s="20" t="str">
        <f>IFERROR(__xludf.DUMMYFUNCTION("""COMPUTED_VALUE"""),"rochan.ramful@edu.esiee.fr")</f>
        <v>rochan.ramful@edu.esiee.fr</v>
      </c>
      <c r="G172" s="22" t="str">
        <f>IFERROR(__xludf.DUMMYFUNCTION("""COMPUTED_VALUE"""),"Recherche")</f>
        <v>Recherche</v>
      </c>
      <c r="H172" s="22" t="str">
        <f>IFERROR(__xludf.DUMMYFUNCTION("""COMPUTED_VALUE"""),"R16")</f>
        <v>R16</v>
      </c>
      <c r="I172" s="22" t="str">
        <f>IFERROR(__xludf.DUMMYFUNCTION("""COMPUTED_VALUE"""),"Recherche")</f>
        <v>Recherche</v>
      </c>
      <c r="J172" s="22" t="str">
        <f>IFERROR(__xludf.DUMMYFUNCTION("""COMPUTED_VALUE"""),"R1")</f>
        <v>R1</v>
      </c>
      <c r="K172" s="22" t="str">
        <f>IFERROR(__xludf.DUMMYFUNCTION("""COMPUTED_VALUE"""),"Entreprise")</f>
        <v>Entreprise</v>
      </c>
      <c r="L172" s="22" t="str">
        <f>IFERROR(__xludf.DUMMYFUNCTION("""COMPUTED_VALUE"""),"E14")</f>
        <v>E14</v>
      </c>
      <c r="M172" s="22" t="str">
        <f>IFERROR(__xludf.DUMMYFUNCTION("""COMPUTED_VALUE"""),"Entreprise")</f>
        <v>Entreprise</v>
      </c>
      <c r="N172" s="22" t="str">
        <f>IFERROR(__xludf.DUMMYFUNCTION("""COMPUTED_VALUE"""),"E13")</f>
        <v>E13</v>
      </c>
      <c r="O172" s="22" t="str">
        <f>IFERROR(__xludf.DUMMYFUNCTION("""COMPUTED_VALUE"""),"Recherche")</f>
        <v>Recherche</v>
      </c>
      <c r="P172" s="22" t="str">
        <f>IFERROR(__xludf.DUMMYFUNCTION("""COMPUTED_VALUE"""),"R2")</f>
        <v>R2</v>
      </c>
      <c r="Q172" s="22" t="str">
        <f>IFERROR(__xludf.DUMMYFUNCTION("""COMPUTED_VALUE"""),"Je ne pars pas")</f>
        <v>Je ne pars pas</v>
      </c>
      <c r="R172" s="16" t="str">
        <f>IFERROR(__xludf.DUMMYFUNCTION("""COMPUTED_VALUE"""),"")</f>
        <v/>
      </c>
      <c r="S172" s="24"/>
      <c r="T172" s="19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25">
        <f>IFERROR(__xludf.DUMMYFUNCTION("""COMPUTED_VALUE"""),43361.305651041665)</f>
        <v>43361.30565</v>
      </c>
      <c r="B173" s="3" t="str">
        <f>IFERROR(__xludf.DUMMYFUNCTION("""COMPUTED_VALUE"""),"")</f>
        <v/>
      </c>
      <c r="C173" s="6" t="str">
        <f>IFERROR(__xludf.DUMMYFUNCTION("""COMPUTED_VALUE"""),"IME")</f>
        <v>IME</v>
      </c>
      <c r="D173" s="8" t="str">
        <f>IFERROR(__xludf.DUMMYFUNCTION("""COMPUTED_VALUE"""),"RANA")</f>
        <v>RANA</v>
      </c>
      <c r="E173" s="8" t="str">
        <f>IFERROR(__xludf.DUMMYFUNCTION("""COMPUTED_VALUE"""),"Muhammad Saad")</f>
        <v>Muhammad Saad</v>
      </c>
      <c r="F173" s="8" t="str">
        <f>IFERROR(__xludf.DUMMYFUNCTION("""COMPUTED_VALUE"""),"muhammadsaad.rana@edu.esiee.fr")</f>
        <v>muhammadsaad.rana@edu.esiee.fr</v>
      </c>
      <c r="G173" s="3" t="str">
        <f>IFERROR(__xludf.DUMMYFUNCTION("""COMPUTED_VALUE"""),"Recherche")</f>
        <v>Recherche</v>
      </c>
      <c r="H173" s="3" t="str">
        <f>IFERROR(__xludf.DUMMYFUNCTION("""COMPUTED_VALUE"""),"R28")</f>
        <v>R28</v>
      </c>
      <c r="I173" s="3" t="str">
        <f>IFERROR(__xludf.DUMMYFUNCTION("""COMPUTED_VALUE"""),"Recherche")</f>
        <v>Recherche</v>
      </c>
      <c r="J173" s="3" t="str">
        <f>IFERROR(__xludf.DUMMYFUNCTION("""COMPUTED_VALUE"""),"R29")</f>
        <v>R29</v>
      </c>
      <c r="K173" s="3" t="str">
        <f>IFERROR(__xludf.DUMMYFUNCTION("""COMPUTED_VALUE"""),"Recherche")</f>
        <v>Recherche</v>
      </c>
      <c r="L173" s="3" t="str">
        <f>IFERROR(__xludf.DUMMYFUNCTION("""COMPUTED_VALUE"""),"R22")</f>
        <v>R22</v>
      </c>
      <c r="M173" s="3" t="str">
        <f>IFERROR(__xludf.DUMMYFUNCTION("""COMPUTED_VALUE"""),"Recherche")</f>
        <v>Recherche</v>
      </c>
      <c r="N173" s="3" t="str">
        <f>IFERROR(__xludf.DUMMYFUNCTION("""COMPUTED_VALUE"""),"R30")</f>
        <v>R30</v>
      </c>
      <c r="O173" s="3" t="str">
        <f>IFERROR(__xludf.DUMMYFUNCTION("""COMPUTED_VALUE"""),"Recherche")</f>
        <v>Recherche</v>
      </c>
      <c r="P173" s="3" t="str">
        <f>IFERROR(__xludf.DUMMYFUNCTION("""COMPUTED_VALUE"""),"R17")</f>
        <v>R17</v>
      </c>
      <c r="Q173" s="3" t="str">
        <f>IFERROR(__xludf.DUMMYFUNCTION("""COMPUTED_VALUE"""),"Je ne pars pas")</f>
        <v>Je ne pars pas</v>
      </c>
      <c r="R173" s="3" t="str">
        <f>IFERROR(__xludf.DUMMYFUNCTION("""COMPUTED_VALUE"""),"")</f>
        <v/>
      </c>
      <c r="S173" s="11"/>
      <c r="T173" s="3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5">
        <f>IFERROR(__xludf.DUMMYFUNCTION("""COMPUTED_VALUE"""),43360.64322053241)</f>
        <v>43360.64322</v>
      </c>
      <c r="B174" s="16" t="str">
        <f>IFERROR(__xludf.DUMMYFUNCTION("""COMPUTED_VALUE"""),"")</f>
        <v/>
      </c>
      <c r="C174" s="19" t="str">
        <f>IFERROR(__xludf.DUMMYFUNCTION("""COMPUTED_VALUE"""),"ENE")</f>
        <v>ENE</v>
      </c>
      <c r="D174" s="20" t="str">
        <f>IFERROR(__xludf.DUMMYFUNCTION("""COMPUTED_VALUE"""),"REICHERT")</f>
        <v>REICHERT</v>
      </c>
      <c r="E174" s="20" t="str">
        <f>IFERROR(__xludf.DUMMYFUNCTION("""COMPUTED_VALUE"""),"Alice")</f>
        <v>Alice</v>
      </c>
      <c r="F174" s="20" t="str">
        <f>IFERROR(__xludf.DUMMYFUNCTION("""COMPUTED_VALUE"""),"alice.reichert@edu.esiee.fr")</f>
        <v>alice.reichert@edu.esiee.fr</v>
      </c>
      <c r="G174" s="22" t="str">
        <f>IFERROR(__xludf.DUMMYFUNCTION("""COMPUTED_VALUE"""),"Entreprise")</f>
        <v>Entreprise</v>
      </c>
      <c r="H174" s="22" t="str">
        <f>IFERROR(__xludf.DUMMYFUNCTION("""COMPUTED_VALUE"""),"E13")</f>
        <v>E13</v>
      </c>
      <c r="I174" s="22" t="str">
        <f>IFERROR(__xludf.DUMMYFUNCTION("""COMPUTED_VALUE"""),"Recherche")</f>
        <v>Recherche</v>
      </c>
      <c r="J174" s="22" t="str">
        <f>IFERROR(__xludf.DUMMYFUNCTION("""COMPUTED_VALUE"""),"R1")</f>
        <v>R1</v>
      </c>
      <c r="K174" s="22" t="str">
        <f>IFERROR(__xludf.DUMMYFUNCTION("""COMPUTED_VALUE"""),"Recherche")</f>
        <v>Recherche</v>
      </c>
      <c r="L174" s="22" t="str">
        <f>IFERROR(__xludf.DUMMYFUNCTION("""COMPUTED_VALUE"""),"R12")</f>
        <v>R12</v>
      </c>
      <c r="M174" s="22" t="str">
        <f>IFERROR(__xludf.DUMMYFUNCTION("""COMPUTED_VALUE"""),"Recherche")</f>
        <v>Recherche</v>
      </c>
      <c r="N174" s="22" t="str">
        <f>IFERROR(__xludf.DUMMYFUNCTION("""COMPUTED_VALUE"""),"R16")</f>
        <v>R16</v>
      </c>
      <c r="O174" s="22" t="str">
        <f>IFERROR(__xludf.DUMMYFUNCTION("""COMPUTED_VALUE"""),"Recherche")</f>
        <v>Recherche</v>
      </c>
      <c r="P174" s="22" t="str">
        <f>IFERROR(__xludf.DUMMYFUNCTION("""COMPUTED_VALUE"""),"R4")</f>
        <v>R4</v>
      </c>
      <c r="Q174" s="22" t="str">
        <f>IFERROR(__xludf.DUMMYFUNCTION("""COMPUTED_VALUE"""),"Je pars au semestre 1")</f>
        <v>Je pars au semestre 1</v>
      </c>
      <c r="R174" s="16" t="str">
        <f>IFERROR(__xludf.DUMMYFUNCTION("""COMPUTED_VALUE"""),"")</f>
        <v/>
      </c>
      <c r="S174" s="24"/>
      <c r="T174" s="19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25">
        <f>IFERROR(__xludf.DUMMYFUNCTION("""COMPUTED_VALUE"""),43362.7171364699)</f>
        <v>43362.71714</v>
      </c>
      <c r="B175" s="3" t="str">
        <f>IFERROR(__xludf.DUMMYFUNCTION("""COMPUTED_VALUE"""),"")</f>
        <v/>
      </c>
      <c r="C175" s="6" t="str">
        <f>IFERROR(__xludf.DUMMYFUNCTION("""COMPUTED_VALUE"""),"INF")</f>
        <v>INF</v>
      </c>
      <c r="D175" s="8" t="str">
        <f>IFERROR(__xludf.DUMMYFUNCTION("""COMPUTED_VALUE"""),"REINERT")</f>
        <v>REINERT</v>
      </c>
      <c r="E175" s="8" t="str">
        <f>IFERROR(__xludf.DUMMYFUNCTION("""COMPUTED_VALUE"""),"Thomas")</f>
        <v>Thomas</v>
      </c>
      <c r="F175" s="8" t="str">
        <f>IFERROR(__xludf.DUMMYFUNCTION("""COMPUTED_VALUE"""),"thomas.reinert@edu.esiee.fr")</f>
        <v>thomas.reinert@edu.esiee.fr</v>
      </c>
      <c r="G175" s="3" t="str">
        <f>IFERROR(__xludf.DUMMYFUNCTION("""COMPUTED_VALUE"""),"Recherche")</f>
        <v>Recherche</v>
      </c>
      <c r="H175" s="3" t="str">
        <f>IFERROR(__xludf.DUMMYFUNCTION("""COMPUTED_VALUE"""),"R21")</f>
        <v>R21</v>
      </c>
      <c r="I175" s="3" t="str">
        <f>IFERROR(__xludf.DUMMYFUNCTION("""COMPUTED_VALUE"""),"Recherche")</f>
        <v>Recherche</v>
      </c>
      <c r="J175" s="3" t="str">
        <f>IFERROR(__xludf.DUMMYFUNCTION("""COMPUTED_VALUE"""),"R6")</f>
        <v>R6</v>
      </c>
      <c r="K175" s="3" t="str">
        <f>IFERROR(__xludf.DUMMYFUNCTION("""COMPUTED_VALUE"""),"Entreprise")</f>
        <v>Entreprise</v>
      </c>
      <c r="L175" s="3" t="str">
        <f>IFERROR(__xludf.DUMMYFUNCTION("""COMPUTED_VALUE"""),"E2")</f>
        <v>E2</v>
      </c>
      <c r="M175" s="3" t="str">
        <f>IFERROR(__xludf.DUMMYFUNCTION("""COMPUTED_VALUE"""),"Recherche")</f>
        <v>Recherche</v>
      </c>
      <c r="N175" s="3" t="str">
        <f>IFERROR(__xludf.DUMMYFUNCTION("""COMPUTED_VALUE"""),"R21")</f>
        <v>R21</v>
      </c>
      <c r="O175" s="3" t="str">
        <f>IFERROR(__xludf.DUMMYFUNCTION("""COMPUTED_VALUE"""),"Recherche")</f>
        <v>Recherche</v>
      </c>
      <c r="P175" s="3" t="str">
        <f>IFERROR(__xludf.DUMMYFUNCTION("""COMPUTED_VALUE"""),"R6")</f>
        <v>R6</v>
      </c>
      <c r="Q175" s="3" t="str">
        <f>IFERROR(__xludf.DUMMYFUNCTION("""COMPUTED_VALUE"""),"Je ne pars pas")</f>
        <v>Je ne pars pas</v>
      </c>
      <c r="R175" s="3" t="str">
        <f>IFERROR(__xludf.DUMMYFUNCTION("""COMPUTED_VALUE"""),"")</f>
        <v/>
      </c>
      <c r="S175" s="11"/>
      <c r="T175" s="3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5">
        <f>IFERROR(__xludf.DUMMYFUNCTION("""COMPUTED_VALUE"""),43360.42032777778)</f>
        <v>43360.42033</v>
      </c>
      <c r="B176" s="16" t="str">
        <f>IFERROR(__xludf.DUMMYFUNCTION("""COMPUTED_VALUE"""),"")</f>
        <v/>
      </c>
      <c r="C176" s="19" t="str">
        <f>IFERROR(__xludf.DUMMYFUNCTION("""COMPUTED_VALUE"""),"INF")</f>
        <v>INF</v>
      </c>
      <c r="D176" s="20" t="str">
        <f>IFERROR(__xludf.DUMMYFUNCTION("""COMPUTED_VALUE"""),"ROGER-GORLIN")</f>
        <v>ROGER-GORLIN</v>
      </c>
      <c r="E176" s="20" t="str">
        <f>IFERROR(__xludf.DUMMYFUNCTION("""COMPUTED_VALUE"""),"Edwin")</f>
        <v>Edwin</v>
      </c>
      <c r="F176" s="20" t="str">
        <f>IFERROR(__xludf.DUMMYFUNCTION("""COMPUTED_VALUE"""),"edwin.roger-gorlin@edu.esiee.fr")</f>
        <v>edwin.roger-gorlin@edu.esiee.fr</v>
      </c>
      <c r="G176" s="22" t="str">
        <f>IFERROR(__xludf.DUMMYFUNCTION("""COMPUTED_VALUE"""),"Entreprise")</f>
        <v>Entreprise</v>
      </c>
      <c r="H176" s="22" t="str">
        <f>IFERROR(__xludf.DUMMYFUNCTION("""COMPUTED_VALUE"""),"E23")</f>
        <v>E23</v>
      </c>
      <c r="I176" s="22" t="str">
        <f>IFERROR(__xludf.DUMMYFUNCTION("""COMPUTED_VALUE"""),"Entreprise")</f>
        <v>Entreprise</v>
      </c>
      <c r="J176" s="22" t="str">
        <f>IFERROR(__xludf.DUMMYFUNCTION("""COMPUTED_VALUE"""),"E22")</f>
        <v>E22</v>
      </c>
      <c r="K176" s="22" t="str">
        <f>IFERROR(__xludf.DUMMYFUNCTION("""COMPUTED_VALUE"""),"Entreprise")</f>
        <v>Entreprise</v>
      </c>
      <c r="L176" s="22" t="str">
        <f>IFERROR(__xludf.DUMMYFUNCTION("""COMPUTED_VALUE"""),"E24")</f>
        <v>E24</v>
      </c>
      <c r="M176" s="22" t="str">
        <f>IFERROR(__xludf.DUMMYFUNCTION("""COMPUTED_VALUE"""),"Entreprise")</f>
        <v>Entreprise</v>
      </c>
      <c r="N176" s="22" t="str">
        <f>IFERROR(__xludf.DUMMYFUNCTION("""COMPUTED_VALUE"""),"E5")</f>
        <v>E5</v>
      </c>
      <c r="O176" s="22" t="str">
        <f>IFERROR(__xludf.DUMMYFUNCTION("""COMPUTED_VALUE"""),"Entreprise")</f>
        <v>Entreprise</v>
      </c>
      <c r="P176" s="22" t="str">
        <f>IFERROR(__xludf.DUMMYFUNCTION("""COMPUTED_VALUE"""),"E14")</f>
        <v>E14</v>
      </c>
      <c r="Q176" s="22" t="str">
        <f>IFERROR(__xludf.DUMMYFUNCTION("""COMPUTED_VALUE"""),"Je ne pars pas")</f>
        <v>Je ne pars pas</v>
      </c>
      <c r="R176" s="16" t="str">
        <f>IFERROR(__xludf.DUMMYFUNCTION("""COMPUTED_VALUE"""),"")</f>
        <v/>
      </c>
      <c r="S176" s="24"/>
      <c r="T176" s="19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25">
        <f>IFERROR(__xludf.DUMMYFUNCTION("""COMPUTED_VALUE"""),43361.27516770833)</f>
        <v>43361.27517</v>
      </c>
      <c r="B177" s="3" t="str">
        <f>IFERROR(__xludf.DUMMYFUNCTION("""COMPUTED_VALUE"""),"")</f>
        <v/>
      </c>
      <c r="C177" s="6" t="str">
        <f>IFERROR(__xludf.DUMMYFUNCTION("""COMPUTED_VALUE"""),"GI")</f>
        <v>GI</v>
      </c>
      <c r="D177" s="8" t="str">
        <f>IFERROR(__xludf.DUMMYFUNCTION("""COMPUTED_VALUE"""),"ROGER-GORLIN")</f>
        <v>ROGER-GORLIN</v>
      </c>
      <c r="E177" s="8" t="str">
        <f>IFERROR(__xludf.DUMMYFUNCTION("""COMPUTED_VALUE"""),"Eliott")</f>
        <v>Eliott</v>
      </c>
      <c r="F177" s="8" t="str">
        <f>IFERROR(__xludf.DUMMYFUNCTION("""COMPUTED_VALUE"""),"eliott.roger-gorlin@edu.esiee.fr")</f>
        <v>eliott.roger-gorlin@edu.esiee.fr</v>
      </c>
      <c r="G177" s="3" t="str">
        <f>IFERROR(__xludf.DUMMYFUNCTION("""COMPUTED_VALUE"""),"Recherche")</f>
        <v>Recherche</v>
      </c>
      <c r="H177" s="3" t="str">
        <f>IFERROR(__xludf.DUMMYFUNCTION("""COMPUTED_VALUE"""),"R32")</f>
        <v>R32</v>
      </c>
      <c r="I177" s="3" t="str">
        <f>IFERROR(__xludf.DUMMYFUNCTION("""COMPUTED_VALUE"""),"Entreprise")</f>
        <v>Entreprise</v>
      </c>
      <c r="J177" s="3" t="str">
        <f>IFERROR(__xludf.DUMMYFUNCTION("""COMPUTED_VALUE"""),"E10")</f>
        <v>E10</v>
      </c>
      <c r="K177" s="3" t="str">
        <f>IFERROR(__xludf.DUMMYFUNCTION("""COMPUTED_VALUE"""),"Recherche")</f>
        <v>Recherche</v>
      </c>
      <c r="L177" s="3" t="str">
        <f>IFERROR(__xludf.DUMMYFUNCTION("""COMPUTED_VALUE"""),"R24")</f>
        <v>R24</v>
      </c>
      <c r="M177" s="3" t="str">
        <f>IFERROR(__xludf.DUMMYFUNCTION("""COMPUTED_VALUE"""),"Recherche")</f>
        <v>Recherche</v>
      </c>
      <c r="N177" s="3" t="str">
        <f>IFERROR(__xludf.DUMMYFUNCTION("""COMPUTED_VALUE"""),"R31")</f>
        <v>R31</v>
      </c>
      <c r="O177" s="3" t="str">
        <f>IFERROR(__xludf.DUMMYFUNCTION("""COMPUTED_VALUE"""),"Concours")</f>
        <v>Concours</v>
      </c>
      <c r="P177" s="3" t="str">
        <f>IFERROR(__xludf.DUMMYFUNCTION("""COMPUTED_VALUE"""),"C1")</f>
        <v>C1</v>
      </c>
      <c r="Q177" s="3" t="str">
        <f>IFERROR(__xludf.DUMMYFUNCTION("""COMPUTED_VALUE"""),"Je ne pars pas")</f>
        <v>Je ne pars pas</v>
      </c>
      <c r="R177" s="3" t="str">
        <f>IFERROR(__xludf.DUMMYFUNCTION("""COMPUTED_VALUE"""),"")</f>
        <v/>
      </c>
      <c r="S177" s="11"/>
      <c r="T177" s="3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5">
        <f>IFERROR(__xludf.DUMMYFUNCTION("""COMPUTED_VALUE"""),43362.269151678236)</f>
        <v>43362.26915</v>
      </c>
      <c r="B178" s="16" t="str">
        <f>IFERROR(__xludf.DUMMYFUNCTION("""COMPUTED_VALUE"""),"")</f>
        <v/>
      </c>
      <c r="C178" s="19" t="str">
        <f>IFERROR(__xludf.DUMMYFUNCTION("""COMPUTED_VALUE"""),"ENE")</f>
        <v>ENE</v>
      </c>
      <c r="D178" s="20" t="str">
        <f>IFERROR(__xludf.DUMMYFUNCTION("""COMPUTED_VALUE"""),"ROUBAUD")</f>
        <v>ROUBAUD</v>
      </c>
      <c r="E178" s="20" t="str">
        <f>IFERROR(__xludf.DUMMYFUNCTION("""COMPUTED_VALUE"""),"Nicolas")</f>
        <v>Nicolas</v>
      </c>
      <c r="F178" s="20" t="str">
        <f>IFERROR(__xludf.DUMMYFUNCTION("""COMPUTED_VALUE"""),"nicolas.roubaud@edu.esiee.fr")</f>
        <v>nicolas.roubaud@edu.esiee.fr</v>
      </c>
      <c r="G178" s="22" t="str">
        <f>IFERROR(__xludf.DUMMYFUNCTION("""COMPUTED_VALUE"""),"Recherche")</f>
        <v>Recherche</v>
      </c>
      <c r="H178" s="22" t="str">
        <f>IFERROR(__xludf.DUMMYFUNCTION("""COMPUTED_VALUE"""),"R12")</f>
        <v>R12</v>
      </c>
      <c r="I178" s="22" t="str">
        <f>IFERROR(__xludf.DUMMYFUNCTION("""COMPUTED_VALUE"""),"Recherche")</f>
        <v>Recherche</v>
      </c>
      <c r="J178" s="22" t="str">
        <f>IFERROR(__xludf.DUMMYFUNCTION("""COMPUTED_VALUE"""),"R1")</f>
        <v>R1</v>
      </c>
      <c r="K178" s="22" t="str">
        <f>IFERROR(__xludf.DUMMYFUNCTION("""COMPUTED_VALUE"""),"Entreprise")</f>
        <v>Entreprise</v>
      </c>
      <c r="L178" s="22" t="str">
        <f>IFERROR(__xludf.DUMMYFUNCTION("""COMPUTED_VALUE"""),"E14")</f>
        <v>E14</v>
      </c>
      <c r="M178" s="22" t="str">
        <f>IFERROR(__xludf.DUMMYFUNCTION("""COMPUTED_VALUE"""),"Entreprise")</f>
        <v>Entreprise</v>
      </c>
      <c r="N178" s="22" t="str">
        <f>IFERROR(__xludf.DUMMYFUNCTION("""COMPUTED_VALUE"""),"E13")</f>
        <v>E13</v>
      </c>
      <c r="O178" s="22" t="str">
        <f>IFERROR(__xludf.DUMMYFUNCTION("""COMPUTED_VALUE"""),"Recherche")</f>
        <v>Recherche</v>
      </c>
      <c r="P178" s="22" t="str">
        <f>IFERROR(__xludf.DUMMYFUNCTION("""COMPUTED_VALUE"""),"R23")</f>
        <v>R23</v>
      </c>
      <c r="Q178" s="22" t="str">
        <f>IFERROR(__xludf.DUMMYFUNCTION("""COMPUTED_VALUE"""),"Je ne pars pas")</f>
        <v>Je ne pars pas</v>
      </c>
      <c r="R178" s="16" t="str">
        <f>IFERROR(__xludf.DUMMYFUNCTION("""COMPUTED_VALUE"""),"")</f>
        <v/>
      </c>
      <c r="S178" s="24"/>
      <c r="T178" s="19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25">
        <f>IFERROR(__xludf.DUMMYFUNCTION("""COMPUTED_VALUE"""),43362.17667241898)</f>
        <v>43362.17667</v>
      </c>
      <c r="B179" s="3" t="str">
        <f>IFERROR(__xludf.DUMMYFUNCTION("""COMPUTED_VALUE"""),"")</f>
        <v/>
      </c>
      <c r="C179" s="6" t="str">
        <f>IFERROR(__xludf.DUMMYFUNCTION("""COMPUTED_VALUE"""),"CYBER")</f>
        <v>CYBER</v>
      </c>
      <c r="D179" s="8" t="str">
        <f>IFERROR(__xludf.DUMMYFUNCTION("""COMPUTED_VALUE"""),"ROUICHI")</f>
        <v>ROUICHI</v>
      </c>
      <c r="E179" s="8" t="str">
        <f>IFERROR(__xludf.DUMMYFUNCTION("""COMPUTED_VALUE"""),"Antoine")</f>
        <v>Antoine</v>
      </c>
      <c r="F179" s="8" t="str">
        <f>IFERROR(__xludf.DUMMYFUNCTION("""COMPUTED_VALUE"""),"antoine.rouichi@edu.esiee.fr")</f>
        <v>antoine.rouichi@edu.esiee.fr</v>
      </c>
      <c r="G179" s="3" t="str">
        <f>IFERROR(__xludf.DUMMYFUNCTION("""COMPUTED_VALUE"""),"Recherche")</f>
        <v>Recherche</v>
      </c>
      <c r="H179" s="3" t="str">
        <f>IFERROR(__xludf.DUMMYFUNCTION("""COMPUTED_VALUE"""),"R18")</f>
        <v>R18</v>
      </c>
      <c r="I179" s="3" t="str">
        <f>IFERROR(__xludf.DUMMYFUNCTION("""COMPUTED_VALUE"""),"Recherche")</f>
        <v>Recherche</v>
      </c>
      <c r="J179" s="3" t="str">
        <f>IFERROR(__xludf.DUMMYFUNCTION("""COMPUTED_VALUE"""),"R13")</f>
        <v>R13</v>
      </c>
      <c r="K179" s="3" t="str">
        <f>IFERROR(__xludf.DUMMYFUNCTION("""COMPUTED_VALUE"""),"Recherche")</f>
        <v>Recherche</v>
      </c>
      <c r="L179" s="3" t="str">
        <f>IFERROR(__xludf.DUMMYFUNCTION("""COMPUTED_VALUE"""),"R11")</f>
        <v>R11</v>
      </c>
      <c r="M179" s="3" t="str">
        <f>IFERROR(__xludf.DUMMYFUNCTION("""COMPUTED_VALUE"""),"Recherche")</f>
        <v>Recherche</v>
      </c>
      <c r="N179" s="3" t="str">
        <f>IFERROR(__xludf.DUMMYFUNCTION("""COMPUTED_VALUE"""),"R9")</f>
        <v>R9</v>
      </c>
      <c r="O179" s="3" t="str">
        <f>IFERROR(__xludf.DUMMYFUNCTION("""COMPUTED_VALUE"""),"Recherche")</f>
        <v>Recherche</v>
      </c>
      <c r="P179" s="3" t="str">
        <f>IFERROR(__xludf.DUMMYFUNCTION("""COMPUTED_VALUE"""),"R8")</f>
        <v>R8</v>
      </c>
      <c r="Q179" s="3" t="str">
        <f>IFERROR(__xludf.DUMMYFUNCTION("""COMPUTED_VALUE"""),"Je ne pars pas")</f>
        <v>Je ne pars pas</v>
      </c>
      <c r="R179" s="3" t="str">
        <f>IFERROR(__xludf.DUMMYFUNCTION("""COMPUTED_VALUE"""),"")</f>
        <v/>
      </c>
      <c r="S179" s="11"/>
      <c r="T179" s="3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5">
        <f>IFERROR(__xludf.DUMMYFUNCTION("""COMPUTED_VALUE"""),43360.45152203704)</f>
        <v>43360.45152</v>
      </c>
      <c r="B180" s="16" t="str">
        <f>IFERROR(__xludf.DUMMYFUNCTION("""COMPUTED_VALUE"""),"")</f>
        <v/>
      </c>
      <c r="C180" s="19" t="str">
        <f>IFERROR(__xludf.DUMMYFUNCTION("""COMPUTED_VALUE"""),"GI")</f>
        <v>GI</v>
      </c>
      <c r="D180" s="20" t="str">
        <f>IFERROR(__xludf.DUMMYFUNCTION("""COMPUTED_VALUE"""),"ROUSSEL")</f>
        <v>ROUSSEL</v>
      </c>
      <c r="E180" s="20" t="str">
        <f>IFERROR(__xludf.DUMMYFUNCTION("""COMPUTED_VALUE"""),"Edouard")</f>
        <v>Edouard</v>
      </c>
      <c r="F180" s="20" t="str">
        <f>IFERROR(__xludf.DUMMYFUNCTION("""COMPUTED_VALUE"""),"edouard.roussel@edu.esiee.fr")</f>
        <v>edouard.roussel@edu.esiee.fr</v>
      </c>
      <c r="G180" s="22" t="str">
        <f>IFERROR(__xludf.DUMMYFUNCTION("""COMPUTED_VALUE"""),"Entreprise")</f>
        <v>Entreprise</v>
      </c>
      <c r="H180" s="22" t="str">
        <f>IFERROR(__xludf.DUMMYFUNCTION("""COMPUTED_VALUE"""),"E25")</f>
        <v>E25</v>
      </c>
      <c r="I180" s="22" t="str">
        <f>IFERROR(__xludf.DUMMYFUNCTION("""COMPUTED_VALUE"""),"Recherche")</f>
        <v>Recherche</v>
      </c>
      <c r="J180" s="22" t="str">
        <f>IFERROR(__xludf.DUMMYFUNCTION("""COMPUTED_VALUE"""),"R12")</f>
        <v>R12</v>
      </c>
      <c r="K180" s="22" t="str">
        <f>IFERROR(__xludf.DUMMYFUNCTION("""COMPUTED_VALUE"""),"Recherche")</f>
        <v>Recherche</v>
      </c>
      <c r="L180" s="22" t="str">
        <f>IFERROR(__xludf.DUMMYFUNCTION("""COMPUTED_VALUE"""),"R31")</f>
        <v>R31</v>
      </c>
      <c r="M180" s="22" t="str">
        <f>IFERROR(__xludf.DUMMYFUNCTION("""COMPUTED_VALUE"""),"Recherche")</f>
        <v>Recherche</v>
      </c>
      <c r="N180" s="22" t="str">
        <f>IFERROR(__xludf.DUMMYFUNCTION("""COMPUTED_VALUE"""),"R31")</f>
        <v>R31</v>
      </c>
      <c r="O180" s="22" t="str">
        <f>IFERROR(__xludf.DUMMYFUNCTION("""COMPUTED_VALUE"""),"Entreprise")</f>
        <v>Entreprise</v>
      </c>
      <c r="P180" s="22" t="str">
        <f>IFERROR(__xludf.DUMMYFUNCTION("""COMPUTED_VALUE"""),"R31")</f>
        <v>R31</v>
      </c>
      <c r="Q180" s="22" t="str">
        <f>IFERROR(__xludf.DUMMYFUNCTION("""COMPUTED_VALUE"""),"Je ne pars pas")</f>
        <v>Je ne pars pas</v>
      </c>
      <c r="R180" s="16" t="str">
        <f>IFERROR(__xludf.DUMMYFUNCTION("""COMPUTED_VALUE"""),"")</f>
        <v/>
      </c>
      <c r="S180" s="24"/>
      <c r="T180" s="19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25">
        <f>IFERROR(__xludf.DUMMYFUNCTION("""COMPUTED_VALUE"""),43361.23260152778)</f>
        <v>43361.2326</v>
      </c>
      <c r="B181" s="3" t="str">
        <f>IFERROR(__xludf.DUMMYFUNCTION("""COMPUTED_VALUE"""),"")</f>
        <v/>
      </c>
      <c r="C181" s="6" t="str">
        <f>IFERROR(__xludf.DUMMYFUNCTION("""COMPUTED_VALUE"""),"CYBER")</f>
        <v>CYBER</v>
      </c>
      <c r="D181" s="8" t="str">
        <f>IFERROR(__xludf.DUMMYFUNCTION("""COMPUTED_VALUE"""),"ROUX")</f>
        <v>ROUX</v>
      </c>
      <c r="E181" s="8" t="str">
        <f>IFERROR(__xludf.DUMMYFUNCTION("""COMPUTED_VALUE"""),"Emilie")</f>
        <v>Emilie</v>
      </c>
      <c r="F181" s="8" t="str">
        <f>IFERROR(__xludf.DUMMYFUNCTION("""COMPUTED_VALUE"""),"emilie.roux@edu.esiee.fr")</f>
        <v>emilie.roux@edu.esiee.fr</v>
      </c>
      <c r="G181" s="3" t="str">
        <f>IFERROR(__xludf.DUMMYFUNCTION("""COMPUTED_VALUE"""),"Entrepreneuriat/Logiciel Libre")</f>
        <v>Entrepreneuriat/Logiciel Libre</v>
      </c>
      <c r="H181" s="3" t="str">
        <f>IFERROR(__xludf.DUMMYFUNCTION("""COMPUTED_VALUE"""),"")</f>
        <v/>
      </c>
      <c r="I181" s="3" t="str">
        <f>IFERROR(__xludf.DUMMYFUNCTION("""COMPUTED_VALUE"""),"")</f>
        <v/>
      </c>
      <c r="J181" s="3" t="str">
        <f>IFERROR(__xludf.DUMMYFUNCTION("""COMPUTED_VALUE"""),"")</f>
        <v/>
      </c>
      <c r="K181" s="3" t="str">
        <f>IFERROR(__xludf.DUMMYFUNCTION("""COMPUTED_VALUE"""),"")</f>
        <v/>
      </c>
      <c r="L181" s="3" t="str">
        <f>IFERROR(__xludf.DUMMYFUNCTION("""COMPUTED_VALUE"""),"")</f>
        <v/>
      </c>
      <c r="M181" s="3" t="str">
        <f>IFERROR(__xludf.DUMMYFUNCTION("""COMPUTED_VALUE"""),"")</f>
        <v/>
      </c>
      <c r="N181" s="3" t="str">
        <f>IFERROR(__xludf.DUMMYFUNCTION("""COMPUTED_VALUE"""),"")</f>
        <v/>
      </c>
      <c r="O181" s="3" t="str">
        <f>IFERROR(__xludf.DUMMYFUNCTION("""COMPUTED_VALUE"""),"")</f>
        <v/>
      </c>
      <c r="P181" s="3" t="str">
        <f>IFERROR(__xludf.DUMMYFUNCTION("""COMPUTED_VALUE"""),"")</f>
        <v/>
      </c>
      <c r="Q181" s="3" t="str">
        <f>IFERROR(__xludf.DUMMYFUNCTION("""COMPUTED_VALUE"""),"Je ne pars pas")</f>
        <v>Je ne pars pas</v>
      </c>
      <c r="R181" s="3" t="str">
        <f>IFERROR(__xludf.DUMMYFUNCTION("""COMPUTED_VALUE"""),"")</f>
        <v/>
      </c>
      <c r="S181" s="11"/>
      <c r="T181" s="3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5">
        <f>IFERROR(__xludf.DUMMYFUNCTION("""COMPUTED_VALUE"""),43361.14971891204)</f>
        <v>43361.14972</v>
      </c>
      <c r="B182" s="16" t="str">
        <f>IFERROR(__xludf.DUMMYFUNCTION("""COMPUTED_VALUE"""),"")</f>
        <v/>
      </c>
      <c r="C182" s="19" t="str">
        <f>IFERROR(__xludf.DUMMYFUNCTION("""COMPUTED_VALUE"""),"ENE")</f>
        <v>ENE</v>
      </c>
      <c r="D182" s="20" t="str">
        <f>IFERROR(__xludf.DUMMYFUNCTION("""COMPUTED_VALUE"""),"ROY")</f>
        <v>ROY</v>
      </c>
      <c r="E182" s="20" t="str">
        <f>IFERROR(__xludf.DUMMYFUNCTION("""COMPUTED_VALUE"""),"Antoine")</f>
        <v>Antoine</v>
      </c>
      <c r="F182" s="20" t="str">
        <f>IFERROR(__xludf.DUMMYFUNCTION("""COMPUTED_VALUE"""),"antoine.roy@edu.esiee.fr")</f>
        <v>antoine.roy@edu.esiee.fr</v>
      </c>
      <c r="G182" s="22" t="str">
        <f>IFERROR(__xludf.DUMMYFUNCTION("""COMPUTED_VALUE"""),"Entrepreneuriat/Logiciel Libre")</f>
        <v>Entrepreneuriat/Logiciel Libre</v>
      </c>
      <c r="H182" s="22" t="str">
        <f>IFERROR(__xludf.DUMMYFUNCTION("""COMPUTED_VALUE"""),"")</f>
        <v/>
      </c>
      <c r="I182" s="22" t="str">
        <f>IFERROR(__xludf.DUMMYFUNCTION("""COMPUTED_VALUE"""),"")</f>
        <v/>
      </c>
      <c r="J182" s="22" t="str">
        <f>IFERROR(__xludf.DUMMYFUNCTION("""COMPUTED_VALUE"""),"")</f>
        <v/>
      </c>
      <c r="K182" s="22" t="str">
        <f>IFERROR(__xludf.DUMMYFUNCTION("""COMPUTED_VALUE"""),"")</f>
        <v/>
      </c>
      <c r="L182" s="22" t="str">
        <f>IFERROR(__xludf.DUMMYFUNCTION("""COMPUTED_VALUE"""),"")</f>
        <v/>
      </c>
      <c r="M182" s="22" t="str">
        <f>IFERROR(__xludf.DUMMYFUNCTION("""COMPUTED_VALUE"""),"")</f>
        <v/>
      </c>
      <c r="N182" s="22" t="str">
        <f>IFERROR(__xludf.DUMMYFUNCTION("""COMPUTED_VALUE"""),"")</f>
        <v/>
      </c>
      <c r="O182" s="22" t="str">
        <f>IFERROR(__xludf.DUMMYFUNCTION("""COMPUTED_VALUE"""),"")</f>
        <v/>
      </c>
      <c r="P182" s="22" t="str">
        <f>IFERROR(__xludf.DUMMYFUNCTION("""COMPUTED_VALUE"""),"")</f>
        <v/>
      </c>
      <c r="Q182" s="22" t="str">
        <f>IFERROR(__xludf.DUMMYFUNCTION("""COMPUTED_VALUE"""),"Je pars au semestre 1")</f>
        <v>Je pars au semestre 1</v>
      </c>
      <c r="R182" s="16" t="str">
        <f>IFERROR(__xludf.DUMMYFUNCTION("""COMPUTED_VALUE"""),"")</f>
        <v/>
      </c>
      <c r="S182" s="24"/>
      <c r="T182" s="19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25">
        <f>IFERROR(__xludf.DUMMYFUNCTION("""COMPUTED_VALUE"""),43360.42449572917)</f>
        <v>43360.4245</v>
      </c>
      <c r="B183" s="3" t="str">
        <f>IFERROR(__xludf.DUMMYFUNCTION("""COMPUTED_VALUE"""),"")</f>
        <v/>
      </c>
      <c r="C183" s="6" t="str">
        <f>IFERROR(__xludf.DUMMYFUNCTION("""COMPUTED_VALUE"""),"BIO")</f>
        <v>BIO</v>
      </c>
      <c r="D183" s="8" t="str">
        <f>IFERROR(__xludf.DUMMYFUNCTION("""COMPUTED_VALUE"""),"SAHADATTALY")</f>
        <v>SAHADATTALY</v>
      </c>
      <c r="E183" s="8" t="str">
        <f>IFERROR(__xludf.DUMMYFUNCTION("""COMPUTED_VALUE"""),"Fathima")</f>
        <v>Fathima</v>
      </c>
      <c r="F183" s="8" t="str">
        <f>IFERROR(__xludf.DUMMYFUNCTION("""COMPUTED_VALUE"""),"fathima.sahadattaly@edu.esiee.fr")</f>
        <v>fathima.sahadattaly@edu.esiee.fr</v>
      </c>
      <c r="G183" s="3" t="str">
        <f>IFERROR(__xludf.DUMMYFUNCTION("""COMPUTED_VALUE"""),"Recherche")</f>
        <v>Recherche</v>
      </c>
      <c r="H183" s="3" t="str">
        <f>IFERROR(__xludf.DUMMYFUNCTION("""COMPUTED_VALUE"""),"R24")</f>
        <v>R24</v>
      </c>
      <c r="I183" s="3" t="str">
        <f>IFERROR(__xludf.DUMMYFUNCTION("""COMPUTED_VALUE"""),"Recherche")</f>
        <v>Recherche</v>
      </c>
      <c r="J183" s="3" t="str">
        <f>IFERROR(__xludf.DUMMYFUNCTION("""COMPUTED_VALUE"""),"R2")</f>
        <v>R2</v>
      </c>
      <c r="K183" s="3" t="str">
        <f>IFERROR(__xludf.DUMMYFUNCTION("""COMPUTED_VALUE"""),"Entreprise")</f>
        <v>Entreprise</v>
      </c>
      <c r="L183" s="3" t="str">
        <f>IFERROR(__xludf.DUMMYFUNCTION("""COMPUTED_VALUE"""),"E20")</f>
        <v>E20</v>
      </c>
      <c r="M183" s="3" t="str">
        <f>IFERROR(__xludf.DUMMYFUNCTION("""COMPUTED_VALUE"""),"Recherche")</f>
        <v>Recherche</v>
      </c>
      <c r="N183" s="3" t="str">
        <f>IFERROR(__xludf.DUMMYFUNCTION("""COMPUTED_VALUE"""),"R3")</f>
        <v>R3</v>
      </c>
      <c r="O183" s="3" t="str">
        <f>IFERROR(__xludf.DUMMYFUNCTION("""COMPUTED_VALUE"""),"Entreprise")</f>
        <v>Entreprise</v>
      </c>
      <c r="P183" s="3" t="str">
        <f>IFERROR(__xludf.DUMMYFUNCTION("""COMPUTED_VALUE"""),"E15")</f>
        <v>E15</v>
      </c>
      <c r="Q183" s="3" t="str">
        <f>IFERROR(__xludf.DUMMYFUNCTION("""COMPUTED_VALUE"""),"Je ne pars pas")</f>
        <v>Je ne pars pas</v>
      </c>
      <c r="R183" s="3" t="str">
        <f>IFERROR(__xludf.DUMMYFUNCTION("""COMPUTED_VALUE"""),"")</f>
        <v/>
      </c>
      <c r="S183" s="11"/>
      <c r="T183" s="3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5">
        <f>IFERROR(__xludf.DUMMYFUNCTION("""COMPUTED_VALUE"""),43360.428723854166)</f>
        <v>43360.42872</v>
      </c>
      <c r="B184" s="16" t="str">
        <f>IFERROR(__xludf.DUMMYFUNCTION("""COMPUTED_VALUE"""),"")</f>
        <v/>
      </c>
      <c r="C184" s="19" t="str">
        <f>IFERROR(__xludf.DUMMYFUNCTION("""COMPUTED_VALUE"""),"ELE")</f>
        <v>ELE</v>
      </c>
      <c r="D184" s="20" t="str">
        <f>IFERROR(__xludf.DUMMYFUNCTION("""COMPUTED_VALUE"""),"SAINATI")</f>
        <v>SAINATI</v>
      </c>
      <c r="E184" s="20" t="str">
        <f>IFERROR(__xludf.DUMMYFUNCTION("""COMPUTED_VALUE"""),"Lucas")</f>
        <v>Lucas</v>
      </c>
      <c r="F184" s="20" t="str">
        <f>IFERROR(__xludf.DUMMYFUNCTION("""COMPUTED_VALUE"""),"lucas.sainati@edu.esiee.fr")</f>
        <v>lucas.sainati@edu.esiee.fr</v>
      </c>
      <c r="G184" s="22" t="str">
        <f>IFERROR(__xludf.DUMMYFUNCTION("""COMPUTED_VALUE"""),"Concours")</f>
        <v>Concours</v>
      </c>
      <c r="H184" s="22" t="str">
        <f>IFERROR(__xludf.DUMMYFUNCTION("""COMPUTED_VALUE"""),"C3")</f>
        <v>C3</v>
      </c>
      <c r="I184" s="22" t="str">
        <f>IFERROR(__xludf.DUMMYFUNCTION("""COMPUTED_VALUE"""),"Recherche")</f>
        <v>Recherche</v>
      </c>
      <c r="J184" s="22" t="str">
        <f>IFERROR(__xludf.DUMMYFUNCTION("""COMPUTED_VALUE"""),"R26")</f>
        <v>R26</v>
      </c>
      <c r="K184" s="22" t="str">
        <f>IFERROR(__xludf.DUMMYFUNCTION("""COMPUTED_VALUE"""),"Concours")</f>
        <v>Concours</v>
      </c>
      <c r="L184" s="22" t="str">
        <f>IFERROR(__xludf.DUMMYFUNCTION("""COMPUTED_VALUE"""),"C1")</f>
        <v>C1</v>
      </c>
      <c r="M184" s="22" t="str">
        <f>IFERROR(__xludf.DUMMYFUNCTION("""COMPUTED_VALUE"""),"Entreprise")</f>
        <v>Entreprise</v>
      </c>
      <c r="N184" s="22" t="str">
        <f>IFERROR(__xludf.DUMMYFUNCTION("""COMPUTED_VALUE"""),"E32")</f>
        <v>E32</v>
      </c>
      <c r="O184" s="22" t="str">
        <f>IFERROR(__xludf.DUMMYFUNCTION("""COMPUTED_VALUE"""),"Entreprise")</f>
        <v>Entreprise</v>
      </c>
      <c r="P184" s="22" t="str">
        <f>IFERROR(__xludf.DUMMYFUNCTION("""COMPUTED_VALUE"""),"E20")</f>
        <v>E20</v>
      </c>
      <c r="Q184" s="22" t="str">
        <f>IFERROR(__xludf.DUMMYFUNCTION("""COMPUTED_VALUE"""),"Je pars au semestre 2")</f>
        <v>Je pars au semestre 2</v>
      </c>
      <c r="R184" s="16" t="str">
        <f>IFERROR(__xludf.DUMMYFUNCTION("""COMPUTED_VALUE"""),"")</f>
        <v/>
      </c>
      <c r="S184" s="24"/>
      <c r="T184" s="19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25">
        <f>IFERROR(__xludf.DUMMYFUNCTION("""COMPUTED_VALUE"""),43362.418220127314)</f>
        <v>43362.41822</v>
      </c>
      <c r="B185" s="3" t="str">
        <f>IFERROR(__xludf.DUMMYFUNCTION("""COMPUTED_VALUE"""),"")</f>
        <v/>
      </c>
      <c r="C185" s="6" t="str">
        <f>IFERROR(__xludf.DUMMYFUNCTION("""COMPUTED_VALUE"""),"IME")</f>
        <v>IME</v>
      </c>
      <c r="D185" s="8" t="str">
        <f>IFERROR(__xludf.DUMMYFUNCTION("""COMPUTED_VALUE"""),"SCHMITT")</f>
        <v>SCHMITT</v>
      </c>
      <c r="E185" s="8" t="str">
        <f>IFERROR(__xludf.DUMMYFUNCTION("""COMPUTED_VALUE"""),"Lucas")</f>
        <v>Lucas</v>
      </c>
      <c r="F185" s="8" t="str">
        <f>IFERROR(__xludf.DUMMYFUNCTION("""COMPUTED_VALUE"""),"lucas.schmitt@edu.esiee.fr")</f>
        <v>lucas.schmitt@edu.esiee.fr</v>
      </c>
      <c r="G185" s="3" t="str">
        <f>IFERROR(__xludf.DUMMYFUNCTION("""COMPUTED_VALUE"""),"Entrepreneuriat/Logiciel Libre")</f>
        <v>Entrepreneuriat/Logiciel Libre</v>
      </c>
      <c r="H185" s="3" t="str">
        <f>IFERROR(__xludf.DUMMYFUNCTION("""COMPUTED_VALUE"""),"")</f>
        <v/>
      </c>
      <c r="I185" s="3" t="str">
        <f>IFERROR(__xludf.DUMMYFUNCTION("""COMPUTED_VALUE"""),"")</f>
        <v/>
      </c>
      <c r="J185" s="3" t="str">
        <f>IFERROR(__xludf.DUMMYFUNCTION("""COMPUTED_VALUE"""),"")</f>
        <v/>
      </c>
      <c r="K185" s="3" t="str">
        <f>IFERROR(__xludf.DUMMYFUNCTION("""COMPUTED_VALUE"""),"")</f>
        <v/>
      </c>
      <c r="L185" s="3" t="str">
        <f>IFERROR(__xludf.DUMMYFUNCTION("""COMPUTED_VALUE"""),"")</f>
        <v/>
      </c>
      <c r="M185" s="3" t="str">
        <f>IFERROR(__xludf.DUMMYFUNCTION("""COMPUTED_VALUE"""),"")</f>
        <v/>
      </c>
      <c r="N185" s="3" t="str">
        <f>IFERROR(__xludf.DUMMYFUNCTION("""COMPUTED_VALUE"""),"")</f>
        <v/>
      </c>
      <c r="O185" s="3" t="str">
        <f>IFERROR(__xludf.DUMMYFUNCTION("""COMPUTED_VALUE"""),"")</f>
        <v/>
      </c>
      <c r="P185" s="3" t="str">
        <f>IFERROR(__xludf.DUMMYFUNCTION("""COMPUTED_VALUE"""),"")</f>
        <v/>
      </c>
      <c r="Q185" s="3" t="str">
        <f>IFERROR(__xludf.DUMMYFUNCTION("""COMPUTED_VALUE"""),"Je pars au semestre 1")</f>
        <v>Je pars au semestre 1</v>
      </c>
      <c r="R185" s="3" t="str">
        <f>IFERROR(__xludf.DUMMYFUNCTION("""COMPUTED_VALUE"""),"")</f>
        <v/>
      </c>
      <c r="S185" s="11"/>
      <c r="T185" s="3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29">
        <f>IFERROR(__xludf.DUMMYFUNCTION("""COMPUTED_VALUE"""),43362.37235467593)</f>
        <v>43362.37235</v>
      </c>
      <c r="B186" s="16" t="str">
        <f>IFERROR(__xludf.DUMMYFUNCTION("""COMPUTED_VALUE"""),"")</f>
        <v/>
      </c>
      <c r="C186" s="19" t="str">
        <f>IFERROR(__xludf.DUMMYFUNCTION("""COMPUTED_VALUE"""),"DSIA")</f>
        <v>DSIA</v>
      </c>
      <c r="D186" s="20" t="str">
        <f>IFERROR(__xludf.DUMMYFUNCTION("""COMPUTED_VALUE"""),"SEBAN")</f>
        <v>SEBAN</v>
      </c>
      <c r="E186" s="20" t="str">
        <f>IFERROR(__xludf.DUMMYFUNCTION("""COMPUTED_VALUE"""),"Dan")</f>
        <v>Dan</v>
      </c>
      <c r="F186" s="20" t="str">
        <f>IFERROR(__xludf.DUMMYFUNCTION("""COMPUTED_VALUE"""),"dan.seban@edu.esiee.fr")</f>
        <v>dan.seban@edu.esiee.fr</v>
      </c>
      <c r="G186" s="22" t="str">
        <f>IFERROR(__xludf.DUMMYFUNCTION("""COMPUTED_VALUE"""),"Entreprise")</f>
        <v>Entreprise</v>
      </c>
      <c r="H186" s="22" t="str">
        <f>IFERROR(__xludf.DUMMYFUNCTION("""COMPUTED_VALUE"""),"E7")</f>
        <v>E7</v>
      </c>
      <c r="I186" s="22" t="str">
        <f>IFERROR(__xludf.DUMMYFUNCTION("""COMPUTED_VALUE"""),"Entreprise")</f>
        <v>Entreprise</v>
      </c>
      <c r="J186" s="22" t="str">
        <f>IFERROR(__xludf.DUMMYFUNCTION("""COMPUTED_VALUE"""),"E4")</f>
        <v>E4</v>
      </c>
      <c r="K186" s="22" t="str">
        <f>IFERROR(__xludf.DUMMYFUNCTION("""COMPUTED_VALUE"""),"Entreprise")</f>
        <v>Entreprise</v>
      </c>
      <c r="L186" s="22" t="str">
        <f>IFERROR(__xludf.DUMMYFUNCTION("""COMPUTED_VALUE"""),"E24")</f>
        <v>E24</v>
      </c>
      <c r="M186" s="22" t="str">
        <f>IFERROR(__xludf.DUMMYFUNCTION("""COMPUTED_VALUE"""),"Recherche")</f>
        <v>Recherche</v>
      </c>
      <c r="N186" s="22" t="str">
        <f>IFERROR(__xludf.DUMMYFUNCTION("""COMPUTED_VALUE"""),"R27")</f>
        <v>R27</v>
      </c>
      <c r="O186" s="22" t="str">
        <f>IFERROR(__xludf.DUMMYFUNCTION("""COMPUTED_VALUE"""),"Logiciel libre")</f>
        <v>Logiciel libre</v>
      </c>
      <c r="P186" s="22" t="str">
        <f>IFERROR(__xludf.DUMMYFUNCTION("""COMPUTED_VALUE"""),"LL1")</f>
        <v>LL1</v>
      </c>
      <c r="Q186" s="22" t="str">
        <f>IFERROR(__xludf.DUMMYFUNCTION("""COMPUTED_VALUE"""),"Je pars au semestre 1")</f>
        <v>Je pars au semestre 1</v>
      </c>
      <c r="R186" s="16" t="str">
        <f>IFERROR(__xludf.DUMMYFUNCTION("""COMPUTED_VALUE"""),"")</f>
        <v/>
      </c>
      <c r="S186" s="24"/>
      <c r="T186" s="19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25" t="str">
        <f>IFERROR(__xludf.DUMMYFUNCTION("""COMPUTED_VALUE"""),"")</f>
        <v/>
      </c>
      <c r="B187" s="3" t="str">
        <f>IFERROR(__xludf.DUMMYFUNCTION("""COMPUTED_VALUE"""),"")</f>
        <v/>
      </c>
      <c r="C187" s="6" t="str">
        <f>IFERROR(__xludf.DUMMYFUNCTION("""COMPUTED_VALUE"""),"")</f>
        <v/>
      </c>
      <c r="D187" s="8" t="str">
        <f>IFERROR(__xludf.DUMMYFUNCTION("""COMPUTED_VALUE"""),"SEIFFEDDINE")</f>
        <v>SEIFFEDDINE</v>
      </c>
      <c r="E187" s="8" t="str">
        <f>IFERROR(__xludf.DUMMYFUNCTION("""COMPUTED_VALUE"""),"Wassim")</f>
        <v>Wassim</v>
      </c>
      <c r="F187" s="8" t="str">
        <f>IFERROR(__xludf.DUMMYFUNCTION("""COMPUTED_VALUE"""),"wassim.seifeddine@edu.esiee.fr")</f>
        <v>wassim.seifeddine@edu.esiee.fr</v>
      </c>
      <c r="G187" s="3" t="str">
        <f>IFERROR(__xludf.DUMMYFUNCTION("""COMPUTED_VALUE"""),"")</f>
        <v/>
      </c>
      <c r="H187" s="3" t="str">
        <f>IFERROR(__xludf.DUMMYFUNCTION("""COMPUTED_VALUE"""),"")</f>
        <v/>
      </c>
      <c r="I187" s="3" t="str">
        <f>IFERROR(__xludf.DUMMYFUNCTION("""COMPUTED_VALUE"""),"")</f>
        <v/>
      </c>
      <c r="J187" s="3" t="str">
        <f>IFERROR(__xludf.DUMMYFUNCTION("""COMPUTED_VALUE"""),"")</f>
        <v/>
      </c>
      <c r="K187" s="3" t="str">
        <f>IFERROR(__xludf.DUMMYFUNCTION("""COMPUTED_VALUE"""),"")</f>
        <v/>
      </c>
      <c r="L187" s="3" t="str">
        <f>IFERROR(__xludf.DUMMYFUNCTION("""COMPUTED_VALUE"""),"")</f>
        <v/>
      </c>
      <c r="M187" s="3" t="str">
        <f>IFERROR(__xludf.DUMMYFUNCTION("""COMPUTED_VALUE"""),"")</f>
        <v/>
      </c>
      <c r="N187" s="3" t="str">
        <f>IFERROR(__xludf.DUMMYFUNCTION("""COMPUTED_VALUE"""),"")</f>
        <v/>
      </c>
      <c r="O187" s="3" t="str">
        <f>IFERROR(__xludf.DUMMYFUNCTION("""COMPUTED_VALUE"""),"")</f>
        <v/>
      </c>
      <c r="P187" s="3" t="str">
        <f>IFERROR(__xludf.DUMMYFUNCTION("""COMPUTED_VALUE"""),"")</f>
        <v/>
      </c>
      <c r="Q187" s="3" t="str">
        <f>IFERROR(__xludf.DUMMYFUNCTION("""COMPUTED_VALUE"""),"")</f>
        <v/>
      </c>
      <c r="R187" s="3" t="str">
        <f>IFERROR(__xludf.DUMMYFUNCTION("""COMPUTED_VALUE"""),"")</f>
        <v/>
      </c>
      <c r="S187" s="11"/>
      <c r="T187" s="3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5">
        <f>IFERROR(__xludf.DUMMYFUNCTION("""COMPUTED_VALUE"""),43361.969253564814)</f>
        <v>43361.96925</v>
      </c>
      <c r="B188" s="16" t="str">
        <f>IFERROR(__xludf.DUMMYFUNCTION("""COMPUTED_VALUE"""),"")</f>
        <v/>
      </c>
      <c r="C188" s="19" t="str">
        <f>IFERROR(__xludf.DUMMYFUNCTION("""COMPUTED_VALUE"""),"GI")</f>
        <v>GI</v>
      </c>
      <c r="D188" s="20" t="str">
        <f>IFERROR(__xludf.DUMMYFUNCTION("""COMPUTED_VALUE"""),"SELLEM")</f>
        <v>SELLEM</v>
      </c>
      <c r="E188" s="20" t="str">
        <f>IFERROR(__xludf.DUMMYFUNCTION("""COMPUTED_VALUE"""),"Rubben")</f>
        <v>Rubben</v>
      </c>
      <c r="F188" s="20" t="str">
        <f>IFERROR(__xludf.DUMMYFUNCTION("""COMPUTED_VALUE"""),"rubben.sellem@edu.esiee.fr")</f>
        <v>rubben.sellem@edu.esiee.fr</v>
      </c>
      <c r="G188" s="22" t="str">
        <f>IFERROR(__xludf.DUMMYFUNCTION("""COMPUTED_VALUE"""),"Recherche")</f>
        <v>Recherche</v>
      </c>
      <c r="H188" s="22" t="str">
        <f>IFERROR(__xludf.DUMMYFUNCTION("""COMPUTED_VALUE"""),"R24")</f>
        <v>R24</v>
      </c>
      <c r="I188" s="22" t="str">
        <f>IFERROR(__xludf.DUMMYFUNCTION("""COMPUTED_VALUE"""),"Recherche")</f>
        <v>Recherche</v>
      </c>
      <c r="J188" s="22" t="str">
        <f>IFERROR(__xludf.DUMMYFUNCTION("""COMPUTED_VALUE"""),"R31")</f>
        <v>R31</v>
      </c>
      <c r="K188" s="22" t="str">
        <f>IFERROR(__xludf.DUMMYFUNCTION("""COMPUTED_VALUE"""),"Recherche")</f>
        <v>Recherche</v>
      </c>
      <c r="L188" s="22" t="str">
        <f>IFERROR(__xludf.DUMMYFUNCTION("""COMPUTED_VALUE"""),"R32")</f>
        <v>R32</v>
      </c>
      <c r="M188" s="22" t="str">
        <f>IFERROR(__xludf.DUMMYFUNCTION("""COMPUTED_VALUE"""),"Recherche")</f>
        <v>Recherche</v>
      </c>
      <c r="N188" s="22" t="str">
        <f>IFERROR(__xludf.DUMMYFUNCTION("""COMPUTED_VALUE"""),"R24")</f>
        <v>R24</v>
      </c>
      <c r="O188" s="22" t="str">
        <f>IFERROR(__xludf.DUMMYFUNCTION("""COMPUTED_VALUE"""),"Recherche")</f>
        <v>Recherche</v>
      </c>
      <c r="P188" s="22" t="str">
        <f>IFERROR(__xludf.DUMMYFUNCTION("""COMPUTED_VALUE"""),"R31")</f>
        <v>R31</v>
      </c>
      <c r="Q188" s="22" t="str">
        <f>IFERROR(__xludf.DUMMYFUNCTION("""COMPUTED_VALUE"""),"Je ne pars pas")</f>
        <v>Je ne pars pas</v>
      </c>
      <c r="R188" s="16" t="str">
        <f>IFERROR(__xludf.DUMMYFUNCTION("""COMPUTED_VALUE"""),"")</f>
        <v/>
      </c>
      <c r="S188" s="24"/>
      <c r="T188" s="19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25">
        <f>IFERROR(__xludf.DUMMYFUNCTION("""COMPUTED_VALUE"""),43362.30806144676)</f>
        <v>43362.30806</v>
      </c>
      <c r="B189" s="3" t="str">
        <f>IFERROR(__xludf.DUMMYFUNCTION("""COMPUTED_VALUE"""),"")</f>
        <v/>
      </c>
      <c r="C189" s="6" t="str">
        <f>IFERROR(__xludf.DUMMYFUNCTION("""COMPUTED_VALUE"""),"IME")</f>
        <v>IME</v>
      </c>
      <c r="D189" s="8" t="str">
        <f>IFERROR(__xludf.DUMMYFUNCTION("""COMPUTED_VALUE"""),"SHAH")</f>
        <v>SHAH</v>
      </c>
      <c r="E189" s="8" t="str">
        <f>IFERROR(__xludf.DUMMYFUNCTION("""COMPUTED_VALUE"""),"Dhrumil")</f>
        <v>Dhrumil</v>
      </c>
      <c r="F189" s="8" t="str">
        <f>IFERROR(__xludf.DUMMYFUNCTION("""COMPUTED_VALUE"""),"dhrumil.shah@edu.esiee.fr")</f>
        <v>dhrumil.shah@edu.esiee.fr</v>
      </c>
      <c r="G189" s="3" t="str">
        <f>IFERROR(__xludf.DUMMYFUNCTION("""COMPUTED_VALUE"""),"Recherche")</f>
        <v>Recherche</v>
      </c>
      <c r="H189" s="3" t="str">
        <f>IFERROR(__xludf.DUMMYFUNCTION("""COMPUTED_VALUE"""),"R30")</f>
        <v>R30</v>
      </c>
      <c r="I189" s="3" t="str">
        <f>IFERROR(__xludf.DUMMYFUNCTION("""COMPUTED_VALUE"""),"Recherche")</f>
        <v>Recherche</v>
      </c>
      <c r="J189" s="3" t="str">
        <f>IFERROR(__xludf.DUMMYFUNCTION("""COMPUTED_VALUE"""),"R29")</f>
        <v>R29</v>
      </c>
      <c r="K189" s="3" t="str">
        <f>IFERROR(__xludf.DUMMYFUNCTION("""COMPUTED_VALUE"""),"Recherche")</f>
        <v>Recherche</v>
      </c>
      <c r="L189" s="3" t="str">
        <f>IFERROR(__xludf.DUMMYFUNCTION("""COMPUTED_VALUE"""),"R22")</f>
        <v>R22</v>
      </c>
      <c r="M189" s="3" t="str">
        <f>IFERROR(__xludf.DUMMYFUNCTION("""COMPUTED_VALUE"""),"Recherche")</f>
        <v>Recherche</v>
      </c>
      <c r="N189" s="3" t="str">
        <f>IFERROR(__xludf.DUMMYFUNCTION("""COMPUTED_VALUE"""),"R22")</f>
        <v>R22</v>
      </c>
      <c r="O189" s="3" t="str">
        <f>IFERROR(__xludf.DUMMYFUNCTION("""COMPUTED_VALUE"""),"Entreprise")</f>
        <v>Entreprise</v>
      </c>
      <c r="P189" s="3" t="str">
        <f>IFERROR(__xludf.DUMMYFUNCTION("""COMPUTED_VALUE"""),"E16")</f>
        <v>E16</v>
      </c>
      <c r="Q189" s="3" t="str">
        <f>IFERROR(__xludf.DUMMYFUNCTION("""COMPUTED_VALUE"""),"Je ne pars pas")</f>
        <v>Je ne pars pas</v>
      </c>
      <c r="R189" s="3" t="str">
        <f>IFERROR(__xludf.DUMMYFUNCTION("""COMPUTED_VALUE"""),"")</f>
        <v/>
      </c>
      <c r="S189" s="11"/>
      <c r="T189" s="3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5">
        <f>IFERROR(__xludf.DUMMYFUNCTION("""COMPUTED_VALUE"""),43360.42383005787)</f>
        <v>43360.42383</v>
      </c>
      <c r="B190" s="16" t="str">
        <f>IFERROR(__xludf.DUMMYFUNCTION("""COMPUTED_VALUE"""),"")</f>
        <v/>
      </c>
      <c r="C190" s="19" t="str">
        <f>IFERROR(__xludf.DUMMYFUNCTION("""COMPUTED_VALUE"""),"ENE")</f>
        <v>ENE</v>
      </c>
      <c r="D190" s="20" t="str">
        <f>IFERROR(__xludf.DUMMYFUNCTION("""COMPUTED_VALUE"""),"SINACOLA")</f>
        <v>SINACOLA</v>
      </c>
      <c r="E190" s="20" t="str">
        <f>IFERROR(__xludf.DUMMYFUNCTION("""COMPUTED_VALUE"""),"Vincent")</f>
        <v>Vincent</v>
      </c>
      <c r="F190" s="20" t="str">
        <f>IFERROR(__xludf.DUMMYFUNCTION("""COMPUTED_VALUE"""),"vincent.sinacola@edu.esiee.fr")</f>
        <v>vincent.sinacola@edu.esiee.fr</v>
      </c>
      <c r="G190" s="22" t="str">
        <f>IFERROR(__xludf.DUMMYFUNCTION("""COMPUTED_VALUE"""),"Recherche")</f>
        <v>Recherche</v>
      </c>
      <c r="H190" s="22" t="str">
        <f>IFERROR(__xludf.DUMMYFUNCTION("""COMPUTED_VALUE"""),"R23")</f>
        <v>R23</v>
      </c>
      <c r="I190" s="22" t="str">
        <f>IFERROR(__xludf.DUMMYFUNCTION("""COMPUTED_VALUE"""),"Recherche")</f>
        <v>Recherche</v>
      </c>
      <c r="J190" s="22" t="str">
        <f>IFERROR(__xludf.DUMMYFUNCTION("""COMPUTED_VALUE"""),"R1")</f>
        <v>R1</v>
      </c>
      <c r="K190" s="22" t="str">
        <f>IFERROR(__xludf.DUMMYFUNCTION("""COMPUTED_VALUE"""),"Entreprise")</f>
        <v>Entreprise</v>
      </c>
      <c r="L190" s="22" t="str">
        <f>IFERROR(__xludf.DUMMYFUNCTION("""COMPUTED_VALUE"""),"E13")</f>
        <v>E13</v>
      </c>
      <c r="M190" s="22" t="str">
        <f>IFERROR(__xludf.DUMMYFUNCTION("""COMPUTED_VALUE"""),"Recherche")</f>
        <v>Recherche</v>
      </c>
      <c r="N190" s="22" t="str">
        <f>IFERROR(__xludf.DUMMYFUNCTION("""COMPUTED_VALUE"""),"R12")</f>
        <v>R12</v>
      </c>
      <c r="O190" s="22" t="str">
        <f>IFERROR(__xludf.DUMMYFUNCTION("""COMPUTED_VALUE"""),"Entreprise")</f>
        <v>Entreprise</v>
      </c>
      <c r="P190" s="22" t="str">
        <f>IFERROR(__xludf.DUMMYFUNCTION("""COMPUTED_VALUE"""),"E14")</f>
        <v>E14</v>
      </c>
      <c r="Q190" s="22" t="str">
        <f>IFERROR(__xludf.DUMMYFUNCTION("""COMPUTED_VALUE"""),"Je ne pars pas")</f>
        <v>Je ne pars pas</v>
      </c>
      <c r="R190" s="16" t="str">
        <f>IFERROR(__xludf.DUMMYFUNCTION("""COMPUTED_VALUE"""),"")</f>
        <v/>
      </c>
      <c r="S190" s="24"/>
      <c r="T190" s="19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25">
        <f>IFERROR(__xludf.DUMMYFUNCTION("""COMPUTED_VALUE"""),43360.50924299769)</f>
        <v>43360.50924</v>
      </c>
      <c r="B191" s="3" t="str">
        <f>IFERROR(__xludf.DUMMYFUNCTION("""COMPUTED_VALUE"""),"")</f>
        <v/>
      </c>
      <c r="C191" s="6" t="str">
        <f>IFERROR(__xludf.DUMMYFUNCTION("""COMPUTED_VALUE"""),"SE")</f>
        <v>SE</v>
      </c>
      <c r="D191" s="8" t="str">
        <f>IFERROR(__xludf.DUMMYFUNCTION("""COMPUTED_VALUE"""),"TERRACHER")</f>
        <v>TERRACHER</v>
      </c>
      <c r="E191" s="8" t="str">
        <f>IFERROR(__xludf.DUMMYFUNCTION("""COMPUTED_VALUE"""),"Audrey")</f>
        <v>Audrey</v>
      </c>
      <c r="F191" s="8" t="str">
        <f>IFERROR(__xludf.DUMMYFUNCTION("""COMPUTED_VALUE"""),"audrey.terracher@edu.esiee.fr")</f>
        <v>audrey.terracher@edu.esiee.fr</v>
      </c>
      <c r="G191" s="3" t="str">
        <f>IFERROR(__xludf.DUMMYFUNCTION("""COMPUTED_VALUE"""),"Entrepreneuriat/Logiciel Libre")</f>
        <v>Entrepreneuriat/Logiciel Libre</v>
      </c>
      <c r="H191" s="3" t="str">
        <f>IFERROR(__xludf.DUMMYFUNCTION("""COMPUTED_VALUE"""),"")</f>
        <v/>
      </c>
      <c r="I191" s="3" t="str">
        <f>IFERROR(__xludf.DUMMYFUNCTION("""COMPUTED_VALUE"""),"")</f>
        <v/>
      </c>
      <c r="J191" s="3" t="str">
        <f>IFERROR(__xludf.DUMMYFUNCTION("""COMPUTED_VALUE"""),"")</f>
        <v/>
      </c>
      <c r="K191" s="3" t="str">
        <f>IFERROR(__xludf.DUMMYFUNCTION("""COMPUTED_VALUE"""),"")</f>
        <v/>
      </c>
      <c r="L191" s="3" t="str">
        <f>IFERROR(__xludf.DUMMYFUNCTION("""COMPUTED_VALUE"""),"")</f>
        <v/>
      </c>
      <c r="M191" s="3" t="str">
        <f>IFERROR(__xludf.DUMMYFUNCTION("""COMPUTED_VALUE"""),"")</f>
        <v/>
      </c>
      <c r="N191" s="3" t="str">
        <f>IFERROR(__xludf.DUMMYFUNCTION("""COMPUTED_VALUE"""),"")</f>
        <v/>
      </c>
      <c r="O191" s="3" t="str">
        <f>IFERROR(__xludf.DUMMYFUNCTION("""COMPUTED_VALUE"""),"")</f>
        <v/>
      </c>
      <c r="P191" s="3" t="str">
        <f>IFERROR(__xludf.DUMMYFUNCTION("""COMPUTED_VALUE"""),"")</f>
        <v/>
      </c>
      <c r="Q191" s="3" t="str">
        <f>IFERROR(__xludf.DUMMYFUNCTION("""COMPUTED_VALUE"""),"Je ne pars pas")</f>
        <v>Je ne pars pas</v>
      </c>
      <c r="R191" s="3" t="str">
        <f>IFERROR(__xludf.DUMMYFUNCTION("""COMPUTED_VALUE"""),"")</f>
        <v/>
      </c>
      <c r="S191" s="11"/>
      <c r="T191" s="3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5">
        <f>IFERROR(__xludf.DUMMYFUNCTION("""COMPUTED_VALUE"""),43360.41885526621)</f>
        <v>43360.41886</v>
      </c>
      <c r="B192" s="16" t="str">
        <f>IFERROR(__xludf.DUMMYFUNCTION("""COMPUTED_VALUE"""),"")</f>
        <v/>
      </c>
      <c r="C192" s="19" t="str">
        <f>IFERROR(__xludf.DUMMYFUNCTION("""COMPUTED_VALUE"""),"SE")</f>
        <v>SE</v>
      </c>
      <c r="D192" s="20" t="str">
        <f>IFERROR(__xludf.DUMMYFUNCTION("""COMPUTED_VALUE"""),"THAI")</f>
        <v>THAI</v>
      </c>
      <c r="E192" s="20" t="str">
        <f>IFERROR(__xludf.DUMMYFUNCTION("""COMPUTED_VALUE"""),"Willy")</f>
        <v>Willy</v>
      </c>
      <c r="F192" s="20" t="str">
        <f>IFERROR(__xludf.DUMMYFUNCTION("""COMPUTED_VALUE"""),"willy.thai@edu.esiee.fr")</f>
        <v>willy.thai@edu.esiee.fr</v>
      </c>
      <c r="G192" s="22" t="str">
        <f>IFERROR(__xludf.DUMMYFUNCTION("""COMPUTED_VALUE"""),"Entreprise")</f>
        <v>Entreprise</v>
      </c>
      <c r="H192" s="22" t="str">
        <f>IFERROR(__xludf.DUMMYFUNCTION("""COMPUTED_VALUE"""),"E16")</f>
        <v>E16</v>
      </c>
      <c r="I192" s="22" t="str">
        <f>IFERROR(__xludf.DUMMYFUNCTION("""COMPUTED_VALUE"""),"Recherche")</f>
        <v>Recherche</v>
      </c>
      <c r="J192" s="22" t="str">
        <f>IFERROR(__xludf.DUMMYFUNCTION("""COMPUTED_VALUE"""),"R11")</f>
        <v>R11</v>
      </c>
      <c r="K192" s="22" t="str">
        <f>IFERROR(__xludf.DUMMYFUNCTION("""COMPUTED_VALUE"""),"Entreprise")</f>
        <v>Entreprise</v>
      </c>
      <c r="L192" s="22" t="str">
        <f>IFERROR(__xludf.DUMMYFUNCTION("""COMPUTED_VALUE"""),"E18")</f>
        <v>E18</v>
      </c>
      <c r="M192" s="22" t="str">
        <f>IFERROR(__xludf.DUMMYFUNCTION("""COMPUTED_VALUE"""),"Recherche")</f>
        <v>Recherche</v>
      </c>
      <c r="N192" s="22" t="str">
        <f>IFERROR(__xludf.DUMMYFUNCTION("""COMPUTED_VALUE"""),"R13")</f>
        <v>R13</v>
      </c>
      <c r="O192" s="22" t="str">
        <f>IFERROR(__xludf.DUMMYFUNCTION("""COMPUTED_VALUE"""),"Concours")</f>
        <v>Concours</v>
      </c>
      <c r="P192" s="22" t="str">
        <f>IFERROR(__xludf.DUMMYFUNCTION("""COMPUTED_VALUE"""),"C2")</f>
        <v>C2</v>
      </c>
      <c r="Q192" s="22" t="str">
        <f>IFERROR(__xludf.DUMMYFUNCTION("""COMPUTED_VALUE"""),"Je ne pars pas")</f>
        <v>Je ne pars pas</v>
      </c>
      <c r="R192" s="16" t="str">
        <f>IFERROR(__xludf.DUMMYFUNCTION("""COMPUTED_VALUE"""),"")</f>
        <v/>
      </c>
      <c r="S192" s="24"/>
      <c r="T192" s="19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25">
        <f>IFERROR(__xludf.DUMMYFUNCTION("""COMPUTED_VALUE"""),43360.42531337963)</f>
        <v>43360.42531</v>
      </c>
      <c r="B193" s="3" t="str">
        <f>IFERROR(__xludf.DUMMYFUNCTION("""COMPUTED_VALUE"""),"")</f>
        <v/>
      </c>
      <c r="C193" s="6" t="str">
        <f>IFERROR(__xludf.DUMMYFUNCTION("""COMPUTED_VALUE"""),"SE")</f>
        <v>SE</v>
      </c>
      <c r="D193" s="8" t="str">
        <f>IFERROR(__xludf.DUMMYFUNCTION("""COMPUTED_VALUE"""),"THONG VANH")</f>
        <v>THONG VANH</v>
      </c>
      <c r="E193" s="8" t="str">
        <f>IFERROR(__xludf.DUMMYFUNCTION("""COMPUTED_VALUE"""),"Eva")</f>
        <v>Eva</v>
      </c>
      <c r="F193" s="8" t="str">
        <f>IFERROR(__xludf.DUMMYFUNCTION("""COMPUTED_VALUE"""),"eva.thong-vanh@edu.esiee.fr")</f>
        <v>eva.thong-vanh@edu.esiee.fr</v>
      </c>
      <c r="G193" s="3" t="str">
        <f>IFERROR(__xludf.DUMMYFUNCTION("""COMPUTED_VALUE"""),"Recherche")</f>
        <v>Recherche</v>
      </c>
      <c r="H193" s="3" t="str">
        <f>IFERROR(__xludf.DUMMYFUNCTION("""COMPUTED_VALUE"""),"R17")</f>
        <v>R17</v>
      </c>
      <c r="I193" s="3" t="str">
        <f>IFERROR(__xludf.DUMMYFUNCTION("""COMPUTED_VALUE"""),"Entreprise")</f>
        <v>Entreprise</v>
      </c>
      <c r="J193" s="3" t="str">
        <f>IFERROR(__xludf.DUMMYFUNCTION("""COMPUTED_VALUE"""),"E16")</f>
        <v>E16</v>
      </c>
      <c r="K193" s="3" t="str">
        <f>IFERROR(__xludf.DUMMYFUNCTION("""COMPUTED_VALUE"""),"Recherche")</f>
        <v>Recherche</v>
      </c>
      <c r="L193" s="3" t="str">
        <f>IFERROR(__xludf.DUMMYFUNCTION("""COMPUTED_VALUE"""),"R5")</f>
        <v>R5</v>
      </c>
      <c r="M193" s="3" t="str">
        <f>IFERROR(__xludf.DUMMYFUNCTION("""COMPUTED_VALUE"""),"Entreprise")</f>
        <v>Entreprise</v>
      </c>
      <c r="N193" s="3" t="str">
        <f>IFERROR(__xludf.DUMMYFUNCTION("""COMPUTED_VALUE"""),"E16")</f>
        <v>E16</v>
      </c>
      <c r="O193" s="3" t="str">
        <f>IFERROR(__xludf.DUMMYFUNCTION("""COMPUTED_VALUE"""),"Recherche")</f>
        <v>Recherche</v>
      </c>
      <c r="P193" s="3" t="str">
        <f>IFERROR(__xludf.DUMMYFUNCTION("""COMPUTED_VALUE"""),"R5")</f>
        <v>R5</v>
      </c>
      <c r="Q193" s="3" t="str">
        <f>IFERROR(__xludf.DUMMYFUNCTION("""COMPUTED_VALUE"""),"Je ne pars pas")</f>
        <v>Je ne pars pas</v>
      </c>
      <c r="R193" s="3" t="str">
        <f>IFERROR(__xludf.DUMMYFUNCTION("""COMPUTED_VALUE"""),"")</f>
        <v/>
      </c>
      <c r="S193" s="11"/>
      <c r="T193" s="3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5">
        <f>IFERROR(__xludf.DUMMYFUNCTION("""COMPUTED_VALUE"""),43362.09773256944)</f>
        <v>43362.09773</v>
      </c>
      <c r="B194" s="16" t="str">
        <f>IFERROR(__xludf.DUMMYFUNCTION("""COMPUTED_VALUE"""),"")</f>
        <v/>
      </c>
      <c r="C194" s="19" t="str">
        <f>IFERROR(__xludf.DUMMYFUNCTION("""COMPUTED_VALUE"""),"CYBER")</f>
        <v>CYBER</v>
      </c>
      <c r="D194" s="20" t="str">
        <f>IFERROR(__xludf.DUMMYFUNCTION("""COMPUTED_VALUE"""),"TORCHET-BIANCHI")</f>
        <v>TORCHET-BIANCHI</v>
      </c>
      <c r="E194" s="20" t="str">
        <f>IFERROR(__xludf.DUMMYFUNCTION("""COMPUTED_VALUE"""),"Grégoire")</f>
        <v>Grégoire</v>
      </c>
      <c r="F194" s="20" t="str">
        <f>IFERROR(__xludf.DUMMYFUNCTION("""COMPUTED_VALUE"""),"gregoire.torchet-bianchi@edu.esiee.fr")</f>
        <v>gregoire.torchet-bianchi@edu.esiee.fr</v>
      </c>
      <c r="G194" s="22" t="str">
        <f>IFERROR(__xludf.DUMMYFUNCTION("""COMPUTED_VALUE"""),"Recherche")</f>
        <v>Recherche</v>
      </c>
      <c r="H194" s="22" t="str">
        <f>IFERROR(__xludf.DUMMYFUNCTION("""COMPUTED_VALUE"""),"R9")</f>
        <v>R9</v>
      </c>
      <c r="I194" s="22" t="str">
        <f>IFERROR(__xludf.DUMMYFUNCTION("""COMPUTED_VALUE"""),"Recherche")</f>
        <v>Recherche</v>
      </c>
      <c r="J194" s="22" t="str">
        <f>IFERROR(__xludf.DUMMYFUNCTION("""COMPUTED_VALUE"""),"R8")</f>
        <v>R8</v>
      </c>
      <c r="K194" s="22" t="str">
        <f>IFERROR(__xludf.DUMMYFUNCTION("""COMPUTED_VALUE"""),"Recherche")</f>
        <v>Recherche</v>
      </c>
      <c r="L194" s="22" t="str">
        <f>IFERROR(__xludf.DUMMYFUNCTION("""COMPUTED_VALUE"""),"R4")</f>
        <v>R4</v>
      </c>
      <c r="M194" s="22" t="str">
        <f>IFERROR(__xludf.DUMMYFUNCTION("""COMPUTED_VALUE"""),"Recherche")</f>
        <v>Recherche</v>
      </c>
      <c r="N194" s="22" t="str">
        <f>IFERROR(__xludf.DUMMYFUNCTION("""COMPUTED_VALUE"""),"R9")</f>
        <v>R9</v>
      </c>
      <c r="O194" s="22" t="str">
        <f>IFERROR(__xludf.DUMMYFUNCTION("""COMPUTED_VALUE"""),"Recherche")</f>
        <v>Recherche</v>
      </c>
      <c r="P194" s="22" t="str">
        <f>IFERROR(__xludf.DUMMYFUNCTION("""COMPUTED_VALUE"""),"R8")</f>
        <v>R8</v>
      </c>
      <c r="Q194" s="22" t="str">
        <f>IFERROR(__xludf.DUMMYFUNCTION("""COMPUTED_VALUE"""),"Je ne pars pas")</f>
        <v>Je ne pars pas</v>
      </c>
      <c r="R194" s="16" t="str">
        <f>IFERROR(__xludf.DUMMYFUNCTION("""COMPUTED_VALUE"""),"")</f>
        <v/>
      </c>
      <c r="S194" s="24"/>
      <c r="T194" s="19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">
        <f>IFERROR(__xludf.DUMMYFUNCTION("""COMPUTED_VALUE"""),43360.427131041666)</f>
        <v>43360.42713</v>
      </c>
      <c r="B195" s="3" t="str">
        <f>IFERROR(__xludf.DUMMYFUNCTION("""COMPUTED_VALUE"""),"")</f>
        <v/>
      </c>
      <c r="C195" s="6" t="str">
        <f>IFERROR(__xludf.DUMMYFUNCTION("""COMPUTED_VALUE"""),"ENE")</f>
        <v>ENE</v>
      </c>
      <c r="D195" s="8" t="str">
        <f>IFERROR(__xludf.DUMMYFUNCTION("""COMPUTED_VALUE"""),"TOULASSIDARANE")</f>
        <v>TOULASSIDARANE</v>
      </c>
      <c r="E195" s="8" t="str">
        <f>IFERROR(__xludf.DUMMYFUNCTION("""COMPUTED_VALUE"""),"Cavine")</f>
        <v>Cavine</v>
      </c>
      <c r="F195" s="8" t="str">
        <f>IFERROR(__xludf.DUMMYFUNCTION("""COMPUTED_VALUE"""),"cavine.toulassidarane@edu.esiee.fr")</f>
        <v>cavine.toulassidarane@edu.esiee.fr</v>
      </c>
      <c r="G195" s="3" t="str">
        <f>IFERROR(__xludf.DUMMYFUNCTION("""COMPUTED_VALUE"""),"Recherche")</f>
        <v>Recherche</v>
      </c>
      <c r="H195" s="3" t="str">
        <f>IFERROR(__xludf.DUMMYFUNCTION("""COMPUTED_VALUE"""),"R12")</f>
        <v>R12</v>
      </c>
      <c r="I195" s="3" t="str">
        <f>IFERROR(__xludf.DUMMYFUNCTION("""COMPUTED_VALUE"""),"Entreprise")</f>
        <v>Entreprise</v>
      </c>
      <c r="J195" s="3" t="str">
        <f>IFERROR(__xludf.DUMMYFUNCTION("""COMPUTED_VALUE"""),"E17")</f>
        <v>E17</v>
      </c>
      <c r="K195" s="3" t="str">
        <f>IFERROR(__xludf.DUMMYFUNCTION("""COMPUTED_VALUE"""),"Recherche")</f>
        <v>Recherche</v>
      </c>
      <c r="L195" s="3" t="str">
        <f>IFERROR(__xludf.DUMMYFUNCTION("""COMPUTED_VALUE"""),"R16")</f>
        <v>R16</v>
      </c>
      <c r="M195" s="3" t="str">
        <f>IFERROR(__xludf.DUMMYFUNCTION("""COMPUTED_VALUE"""),"Recherche")</f>
        <v>Recherche</v>
      </c>
      <c r="N195" s="3" t="str">
        <f>IFERROR(__xludf.DUMMYFUNCTION("""COMPUTED_VALUE"""),"R4")</f>
        <v>R4</v>
      </c>
      <c r="O195" s="3" t="str">
        <f>IFERROR(__xludf.DUMMYFUNCTION("""COMPUTED_VALUE"""),"Recherche")</f>
        <v>Recherche</v>
      </c>
      <c r="P195" s="3" t="str">
        <f>IFERROR(__xludf.DUMMYFUNCTION("""COMPUTED_VALUE"""),"R1")</f>
        <v>R1</v>
      </c>
      <c r="Q195" s="3" t="str">
        <f>IFERROR(__xludf.DUMMYFUNCTION("""COMPUTED_VALUE"""),"Je pars au semestre 2")</f>
        <v>Je pars au semestre 2</v>
      </c>
      <c r="R195" s="3" t="str">
        <f>IFERROR(__xludf.DUMMYFUNCTION("""COMPUTED_VALUE"""),"")</f>
        <v/>
      </c>
      <c r="S195" s="11"/>
      <c r="T195" s="3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5" t="str">
        <f>IFERROR(__xludf.DUMMYFUNCTION("""COMPUTED_VALUE"""),"")</f>
        <v/>
      </c>
      <c r="B196" s="16" t="str">
        <f>IFERROR(__xludf.DUMMYFUNCTION("""COMPUTED_VALUE"""),"")</f>
        <v/>
      </c>
      <c r="C196" s="19" t="str">
        <f>IFERROR(__xludf.DUMMYFUNCTION("""COMPUTED_VALUE"""),"DSIA")</f>
        <v>DSIA</v>
      </c>
      <c r="D196" s="20" t="str">
        <f>IFERROR(__xludf.DUMMYFUNCTION("""COMPUTED_VALUE"""),"TRAN")</f>
        <v>TRAN</v>
      </c>
      <c r="E196" s="20" t="str">
        <f>IFERROR(__xludf.DUMMYFUNCTION("""COMPUTED_VALUE"""),"Jérôme")</f>
        <v>Jérôme</v>
      </c>
      <c r="F196" s="20" t="str">
        <f>IFERROR(__xludf.DUMMYFUNCTION("""COMPUTED_VALUE"""),"jerome.tran@edu.esiee.fr")</f>
        <v>jerome.tran@edu.esiee.fr</v>
      </c>
      <c r="G196" s="22" t="str">
        <f>IFERROR(__xludf.DUMMYFUNCTION("""COMPUTED_VALUE"""),"")</f>
        <v/>
      </c>
      <c r="H196" s="22" t="str">
        <f>IFERROR(__xludf.DUMMYFUNCTION("""COMPUTED_VALUE"""),"")</f>
        <v/>
      </c>
      <c r="I196" s="22" t="str">
        <f>IFERROR(__xludf.DUMMYFUNCTION("""COMPUTED_VALUE"""),"")</f>
        <v/>
      </c>
      <c r="J196" s="22" t="str">
        <f>IFERROR(__xludf.DUMMYFUNCTION("""COMPUTED_VALUE"""),"")</f>
        <v/>
      </c>
      <c r="K196" s="22" t="str">
        <f>IFERROR(__xludf.DUMMYFUNCTION("""COMPUTED_VALUE"""),"")</f>
        <v/>
      </c>
      <c r="L196" s="22" t="str">
        <f>IFERROR(__xludf.DUMMYFUNCTION("""COMPUTED_VALUE"""),"")</f>
        <v/>
      </c>
      <c r="M196" s="22" t="str">
        <f>IFERROR(__xludf.DUMMYFUNCTION("""COMPUTED_VALUE"""),"")</f>
        <v/>
      </c>
      <c r="N196" s="22" t="str">
        <f>IFERROR(__xludf.DUMMYFUNCTION("""COMPUTED_VALUE"""),"")</f>
        <v/>
      </c>
      <c r="O196" s="22" t="str">
        <f>IFERROR(__xludf.DUMMYFUNCTION("""COMPUTED_VALUE"""),"")</f>
        <v/>
      </c>
      <c r="P196" s="22" t="str">
        <f>IFERROR(__xludf.DUMMYFUNCTION("""COMPUTED_VALUE"""),"")</f>
        <v/>
      </c>
      <c r="Q196" s="22" t="str">
        <f>IFERROR(__xludf.DUMMYFUNCTION("""COMPUTED_VALUE"""),"")</f>
        <v/>
      </c>
      <c r="R196" s="16" t="str">
        <f>IFERROR(__xludf.DUMMYFUNCTION("""COMPUTED_VALUE"""),"")</f>
        <v/>
      </c>
      <c r="S196" s="24"/>
      <c r="T196" s="19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25">
        <f>IFERROR(__xludf.DUMMYFUNCTION("""COMPUTED_VALUE"""),43362.31130717593)</f>
        <v>43362.31131</v>
      </c>
      <c r="B197" s="3" t="str">
        <f>IFERROR(__xludf.DUMMYFUNCTION("""COMPUTED_VALUE"""),"")</f>
        <v/>
      </c>
      <c r="C197" s="6" t="str">
        <f>IFERROR(__xludf.DUMMYFUNCTION("""COMPUTED_VALUE"""),"CYBER")</f>
        <v>CYBER</v>
      </c>
      <c r="D197" s="8" t="str">
        <f>IFERROR(__xludf.DUMMYFUNCTION("""COMPUTED_VALUE"""),"TRAORE")</f>
        <v>TRAORE</v>
      </c>
      <c r="E197" s="8" t="str">
        <f>IFERROR(__xludf.DUMMYFUNCTION("""COMPUTED_VALUE"""),"Mariam")</f>
        <v>Mariam</v>
      </c>
      <c r="F197" s="8" t="str">
        <f>IFERROR(__xludf.DUMMYFUNCTION("""COMPUTED_VALUE"""),"mariam.traore@edu.esiee.fr")</f>
        <v>mariam.traore@edu.esiee.fr</v>
      </c>
      <c r="G197" s="3" t="str">
        <f>IFERROR(__xludf.DUMMYFUNCTION("""COMPUTED_VALUE"""),"Recherche")</f>
        <v>Recherche</v>
      </c>
      <c r="H197" s="3" t="str">
        <f>IFERROR(__xludf.DUMMYFUNCTION("""COMPUTED_VALUE"""),"R9")</f>
        <v>R9</v>
      </c>
      <c r="I197" s="3" t="str">
        <f>IFERROR(__xludf.DUMMYFUNCTION("""COMPUTED_VALUE"""),"Recherche")</f>
        <v>Recherche</v>
      </c>
      <c r="J197" s="3" t="str">
        <f>IFERROR(__xludf.DUMMYFUNCTION("""COMPUTED_VALUE"""),"R8")</f>
        <v>R8</v>
      </c>
      <c r="K197" s="3" t="str">
        <f>IFERROR(__xludf.DUMMYFUNCTION("""COMPUTED_VALUE"""),"Entreprise")</f>
        <v>Entreprise</v>
      </c>
      <c r="L197" s="3" t="str">
        <f>IFERROR(__xludf.DUMMYFUNCTION("""COMPUTED_VALUE"""),"E11")</f>
        <v>E11</v>
      </c>
      <c r="M197" s="3" t="str">
        <f>IFERROR(__xludf.DUMMYFUNCTION("""COMPUTED_VALUE"""),"Recherche")</f>
        <v>Recherche</v>
      </c>
      <c r="N197" s="3" t="str">
        <f>IFERROR(__xludf.DUMMYFUNCTION("""COMPUTED_VALUE"""),"R4")</f>
        <v>R4</v>
      </c>
      <c r="O197" s="3" t="str">
        <f>IFERROR(__xludf.DUMMYFUNCTION("""COMPUTED_VALUE"""),"Recherche")</f>
        <v>Recherche</v>
      </c>
      <c r="P197" s="3" t="str">
        <f>IFERROR(__xludf.DUMMYFUNCTION("""COMPUTED_VALUE"""),"R9")</f>
        <v>R9</v>
      </c>
      <c r="Q197" s="3" t="str">
        <f>IFERROR(__xludf.DUMMYFUNCTION("""COMPUTED_VALUE"""),"Je ne pars pas")</f>
        <v>Je ne pars pas</v>
      </c>
      <c r="R197" s="3" t="str">
        <f>IFERROR(__xludf.DUMMYFUNCTION("""COMPUTED_VALUE"""),"")</f>
        <v/>
      </c>
      <c r="S197" s="11"/>
      <c r="T197" s="3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5">
        <f>IFERROR(__xludf.DUMMYFUNCTION("""COMPUTED_VALUE"""),43361.50616875)</f>
        <v>43361.50617</v>
      </c>
      <c r="B198" s="16" t="str">
        <f>IFERROR(__xludf.DUMMYFUNCTION("""COMPUTED_VALUE"""),"")</f>
        <v/>
      </c>
      <c r="C198" s="19" t="str">
        <f>IFERROR(__xludf.DUMMYFUNCTION("""COMPUTED_VALUE"""),"CYBER")</f>
        <v>CYBER</v>
      </c>
      <c r="D198" s="20" t="str">
        <f>IFERROR(__xludf.DUMMYFUNCTION("""COMPUTED_VALUE"""),"VALENCE")</f>
        <v>VALENCE</v>
      </c>
      <c r="E198" s="20" t="str">
        <f>IFERROR(__xludf.DUMMYFUNCTION("""COMPUTED_VALUE"""),"Corentin")</f>
        <v>Corentin</v>
      </c>
      <c r="F198" s="20" t="str">
        <f>IFERROR(__xludf.DUMMYFUNCTION("""COMPUTED_VALUE"""),"corentin.valence@edu.esiee.fr")</f>
        <v>corentin.valence@edu.esiee.fr</v>
      </c>
      <c r="G198" s="22" t="str">
        <f>IFERROR(__xludf.DUMMYFUNCTION("""COMPUTED_VALUE"""),"Entreprise")</f>
        <v>Entreprise</v>
      </c>
      <c r="H198" s="22" t="str">
        <f>IFERROR(__xludf.DUMMYFUNCTION("""COMPUTED_VALUE"""),"E23")</f>
        <v>E23</v>
      </c>
      <c r="I198" s="22" t="str">
        <f>IFERROR(__xludf.DUMMYFUNCTION("""COMPUTED_VALUE"""),"Entreprise")</f>
        <v>Entreprise</v>
      </c>
      <c r="J198" s="22" t="str">
        <f>IFERROR(__xludf.DUMMYFUNCTION("""COMPUTED_VALUE"""),"E22")</f>
        <v>E22</v>
      </c>
      <c r="K198" s="22" t="str">
        <f>IFERROR(__xludf.DUMMYFUNCTION("""COMPUTED_VALUE"""),"Recherche")</f>
        <v>Recherche</v>
      </c>
      <c r="L198" s="22" t="str">
        <f>IFERROR(__xludf.DUMMYFUNCTION("""COMPUTED_VALUE"""),"R21")</f>
        <v>R21</v>
      </c>
      <c r="M198" s="22" t="str">
        <f>IFERROR(__xludf.DUMMYFUNCTION("""COMPUTED_VALUE"""),"Entreprise")</f>
        <v>Entreprise</v>
      </c>
      <c r="N198" s="22" t="str">
        <f>IFERROR(__xludf.DUMMYFUNCTION("""COMPUTED_VALUE"""),"E2")</f>
        <v>E2</v>
      </c>
      <c r="O198" s="22" t="str">
        <f>IFERROR(__xludf.DUMMYFUNCTION("""COMPUTED_VALUE"""),"Recherche")</f>
        <v>Recherche</v>
      </c>
      <c r="P198" s="22" t="str">
        <f>IFERROR(__xludf.DUMMYFUNCTION("""COMPUTED_VALUE"""),"R27")</f>
        <v>R27</v>
      </c>
      <c r="Q198" s="22" t="str">
        <f>IFERROR(__xludf.DUMMYFUNCTION("""COMPUTED_VALUE"""),"Je pars au semestre 1")</f>
        <v>Je pars au semestre 1</v>
      </c>
      <c r="R198" s="16" t="str">
        <f>IFERROR(__xludf.DUMMYFUNCTION("""COMPUTED_VALUE"""),"")</f>
        <v/>
      </c>
      <c r="S198" s="24"/>
      <c r="T198" s="19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25">
        <f>IFERROR(__xludf.DUMMYFUNCTION("""COMPUTED_VALUE"""),43362.27725315972)</f>
        <v>43362.27725</v>
      </c>
      <c r="B199" s="3" t="str">
        <f>IFERROR(__xludf.DUMMYFUNCTION("""COMPUTED_VALUE"""),"")</f>
        <v/>
      </c>
      <c r="C199" s="6" t="str">
        <f>IFERROR(__xludf.DUMMYFUNCTION("""COMPUTED_VALUE"""),"BIO")</f>
        <v>BIO</v>
      </c>
      <c r="D199" s="8" t="str">
        <f>IFERROR(__xludf.DUMMYFUNCTION("""COMPUTED_VALUE"""),"VALETTE")</f>
        <v>VALETTE</v>
      </c>
      <c r="E199" s="8" t="str">
        <f>IFERROR(__xludf.DUMMYFUNCTION("""COMPUTED_VALUE"""),"Marion")</f>
        <v>Marion</v>
      </c>
      <c r="F199" s="8" t="str">
        <f>IFERROR(__xludf.DUMMYFUNCTION("""COMPUTED_VALUE"""),"marion.valette@edu.esiee.fr")</f>
        <v>marion.valette@edu.esiee.fr</v>
      </c>
      <c r="G199" s="3" t="str">
        <f>IFERROR(__xludf.DUMMYFUNCTION("""COMPUTED_VALUE"""),"Entreprise")</f>
        <v>Entreprise</v>
      </c>
      <c r="H199" s="3" t="str">
        <f>IFERROR(__xludf.DUMMYFUNCTION("""COMPUTED_VALUE"""),"E15")</f>
        <v>E15</v>
      </c>
      <c r="I199" s="3" t="str">
        <f>IFERROR(__xludf.DUMMYFUNCTION("""COMPUTED_VALUE"""),"Recherche")</f>
        <v>Recherche</v>
      </c>
      <c r="J199" s="3" t="str">
        <f>IFERROR(__xludf.DUMMYFUNCTION("""COMPUTED_VALUE"""),"R24")</f>
        <v>R24</v>
      </c>
      <c r="K199" s="3" t="str">
        <f>IFERROR(__xludf.DUMMYFUNCTION("""COMPUTED_VALUE"""),"Recherche")</f>
        <v>Recherche</v>
      </c>
      <c r="L199" s="3" t="str">
        <f>IFERROR(__xludf.DUMMYFUNCTION("""COMPUTED_VALUE"""),"R15")</f>
        <v>R15</v>
      </c>
      <c r="M199" s="3" t="str">
        <f>IFERROR(__xludf.DUMMYFUNCTION("""COMPUTED_VALUE"""),"Recherche")</f>
        <v>Recherche</v>
      </c>
      <c r="N199" s="3" t="str">
        <f>IFERROR(__xludf.DUMMYFUNCTION("""COMPUTED_VALUE"""),"R27")</f>
        <v>R27</v>
      </c>
      <c r="O199" s="3" t="str">
        <f>IFERROR(__xludf.DUMMYFUNCTION("""COMPUTED_VALUE"""),"Logiciel libre")</f>
        <v>Logiciel libre</v>
      </c>
      <c r="P199" s="3" t="str">
        <f>IFERROR(__xludf.DUMMYFUNCTION("""COMPUTED_VALUE"""),"LL1")</f>
        <v>LL1</v>
      </c>
      <c r="Q199" s="3" t="str">
        <f>IFERROR(__xludf.DUMMYFUNCTION("""COMPUTED_VALUE"""),"Je pars au semestre 1")</f>
        <v>Je pars au semestre 1</v>
      </c>
      <c r="R199" s="3" t="str">
        <f>IFERROR(__xludf.DUMMYFUNCTION("""COMPUTED_VALUE"""),"")</f>
        <v/>
      </c>
      <c r="S199" s="11"/>
      <c r="T199" s="3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5">
        <f>IFERROR(__xludf.DUMMYFUNCTION("""COMPUTED_VALUE"""),43360.656522164354)</f>
        <v>43360.65652</v>
      </c>
      <c r="B200" s="16" t="str">
        <f>IFERROR(__xludf.DUMMYFUNCTION("""COMPUTED_VALUE"""),"")</f>
        <v/>
      </c>
      <c r="C200" s="19" t="str">
        <f>IFERROR(__xludf.DUMMYFUNCTION("""COMPUTED_VALUE"""),"SE")</f>
        <v>SE</v>
      </c>
      <c r="D200" s="20" t="str">
        <f>IFERROR(__xludf.DUMMYFUNCTION("""COMPUTED_VALUE"""),"VANHAESEBROCKE")</f>
        <v>VANHAESEBROCKE</v>
      </c>
      <c r="E200" s="20" t="str">
        <f>IFERROR(__xludf.DUMMYFUNCTION("""COMPUTED_VALUE"""),"Lucas")</f>
        <v>Lucas</v>
      </c>
      <c r="F200" s="20" t="str">
        <f>IFERROR(__xludf.DUMMYFUNCTION("""COMPUTED_VALUE"""),"lucas.vanhaesebrocke@edu.esiee.fr")</f>
        <v>lucas.vanhaesebrocke@edu.esiee.fr</v>
      </c>
      <c r="G200" s="22" t="str">
        <f>IFERROR(__xludf.DUMMYFUNCTION("""COMPUTED_VALUE"""),"Recherche")</f>
        <v>Recherche</v>
      </c>
      <c r="H200" s="22" t="str">
        <f>IFERROR(__xludf.DUMMYFUNCTION("""COMPUTED_VALUE"""),"R7")</f>
        <v>R7</v>
      </c>
      <c r="I200" s="22" t="str">
        <f>IFERROR(__xludf.DUMMYFUNCTION("""COMPUTED_VALUE"""),"Recherche")</f>
        <v>Recherche</v>
      </c>
      <c r="J200" s="22" t="str">
        <f>IFERROR(__xludf.DUMMYFUNCTION("""COMPUTED_VALUE"""),"R28")</f>
        <v>R28</v>
      </c>
      <c r="K200" s="22" t="str">
        <f>IFERROR(__xludf.DUMMYFUNCTION("""COMPUTED_VALUE"""),"Recherche")</f>
        <v>Recherche</v>
      </c>
      <c r="L200" s="22" t="str">
        <f>IFERROR(__xludf.DUMMYFUNCTION("""COMPUTED_VALUE"""),"R22")</f>
        <v>R22</v>
      </c>
      <c r="M200" s="22" t="str">
        <f>IFERROR(__xludf.DUMMYFUNCTION("""COMPUTED_VALUE"""),"Entreprise")</f>
        <v>Entreprise</v>
      </c>
      <c r="N200" s="22" t="str">
        <f>IFERROR(__xludf.DUMMYFUNCTION("""COMPUTED_VALUE"""),"E20")</f>
        <v>E20</v>
      </c>
      <c r="O200" s="22" t="str">
        <f>IFERROR(__xludf.DUMMYFUNCTION("""COMPUTED_VALUE"""),"Entreprise")</f>
        <v>Entreprise</v>
      </c>
      <c r="P200" s="22" t="str">
        <f>IFERROR(__xludf.DUMMYFUNCTION("""COMPUTED_VALUE"""),"E26")</f>
        <v>E26</v>
      </c>
      <c r="Q200" s="22" t="str">
        <f>IFERROR(__xludf.DUMMYFUNCTION("""COMPUTED_VALUE"""),"Je ne pars pas")</f>
        <v>Je ne pars pas</v>
      </c>
      <c r="R200" s="16" t="str">
        <f>IFERROR(__xludf.DUMMYFUNCTION("""COMPUTED_VALUE"""),"")</f>
        <v/>
      </c>
      <c r="S200" s="24"/>
      <c r="T200" s="19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25">
        <f>IFERROR(__xludf.DUMMYFUNCTION("""COMPUTED_VALUE"""),43360.660893078704)</f>
        <v>43360.66089</v>
      </c>
      <c r="B201" s="3" t="str">
        <f>IFERROR(__xludf.DUMMYFUNCTION("""COMPUTED_VALUE"""),"")</f>
        <v/>
      </c>
      <c r="C201" s="6" t="str">
        <f>IFERROR(__xludf.DUMMYFUNCTION("""COMPUTED_VALUE"""),"INF")</f>
        <v>INF</v>
      </c>
      <c r="D201" s="8" t="str">
        <f>IFERROR(__xludf.DUMMYFUNCTION("""COMPUTED_VALUE"""),"VEOPASEUTH")</f>
        <v>VEOPASEUTH</v>
      </c>
      <c r="E201" s="8" t="str">
        <f>IFERROR(__xludf.DUMMYFUNCTION("""COMPUTED_VALUE"""),"Emilie")</f>
        <v>Emilie</v>
      </c>
      <c r="F201" s="8" t="str">
        <f>IFERROR(__xludf.DUMMYFUNCTION("""COMPUTED_VALUE"""),"emilie.veopaseuth@edu.esiee.fr")</f>
        <v>emilie.veopaseuth@edu.esiee.fr</v>
      </c>
      <c r="G201" s="3" t="str">
        <f>IFERROR(__xludf.DUMMYFUNCTION("""COMPUTED_VALUE"""),"Entreprise")</f>
        <v>Entreprise</v>
      </c>
      <c r="H201" s="3" t="str">
        <f>IFERROR(__xludf.DUMMYFUNCTION("""COMPUTED_VALUE"""),"E23")</f>
        <v>E23</v>
      </c>
      <c r="I201" s="3" t="str">
        <f>IFERROR(__xludf.DUMMYFUNCTION("""COMPUTED_VALUE"""),"Entreprise")</f>
        <v>Entreprise</v>
      </c>
      <c r="J201" s="3" t="str">
        <f>IFERROR(__xludf.DUMMYFUNCTION("""COMPUTED_VALUE"""),"E22")</f>
        <v>E22</v>
      </c>
      <c r="K201" s="3" t="str">
        <f>IFERROR(__xludf.DUMMYFUNCTION("""COMPUTED_VALUE"""),"Entreprise")</f>
        <v>Entreprise</v>
      </c>
      <c r="L201" s="3" t="str">
        <f>IFERROR(__xludf.DUMMYFUNCTION("""COMPUTED_VALUE"""),"E2")</f>
        <v>E2</v>
      </c>
      <c r="M201" s="3" t="str">
        <f>IFERROR(__xludf.DUMMYFUNCTION("""COMPUTED_VALUE"""),"Recherche")</f>
        <v>Recherche</v>
      </c>
      <c r="N201" s="3" t="str">
        <f>IFERROR(__xludf.DUMMYFUNCTION("""COMPUTED_VALUE"""),"R6")</f>
        <v>R6</v>
      </c>
      <c r="O201" s="3" t="str">
        <f>IFERROR(__xludf.DUMMYFUNCTION("""COMPUTED_VALUE"""),"Recherche")</f>
        <v>Recherche</v>
      </c>
      <c r="P201" s="3" t="str">
        <f>IFERROR(__xludf.DUMMYFUNCTION("""COMPUTED_VALUE"""),"R7")</f>
        <v>R7</v>
      </c>
      <c r="Q201" s="3" t="str">
        <f>IFERROR(__xludf.DUMMYFUNCTION("""COMPUTED_VALUE"""),"Je pars au semestre 1")</f>
        <v>Je pars au semestre 1</v>
      </c>
      <c r="R201" s="3" t="str">
        <f>IFERROR(__xludf.DUMMYFUNCTION("""COMPUTED_VALUE"""),"")</f>
        <v/>
      </c>
      <c r="S201" s="11"/>
      <c r="T201" s="3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5">
        <f>IFERROR(__xludf.DUMMYFUNCTION("""COMPUTED_VALUE"""),43360.42188862269)</f>
        <v>43360.42189</v>
      </c>
      <c r="B202" s="16" t="str">
        <f>IFERROR(__xludf.DUMMYFUNCTION("""COMPUTED_VALUE"""),"")</f>
        <v/>
      </c>
      <c r="C202" s="19" t="str">
        <f>IFERROR(__xludf.DUMMYFUNCTION("""COMPUTED_VALUE"""),"IMC")</f>
        <v>IMC</v>
      </c>
      <c r="D202" s="20" t="str">
        <f>IFERROR(__xludf.DUMMYFUNCTION("""COMPUTED_VALUE"""),"VIDAL")</f>
        <v>VIDAL</v>
      </c>
      <c r="E202" s="20" t="str">
        <f>IFERROR(__xludf.DUMMYFUNCTION("""COMPUTED_VALUE"""),"Valentin")</f>
        <v>Valentin</v>
      </c>
      <c r="F202" s="20" t="str">
        <f>IFERROR(__xludf.DUMMYFUNCTION("""COMPUTED_VALUE"""),"valentin.vidal@edu.esiee.fr")</f>
        <v>valentin.vidal@edu.esiee.fr</v>
      </c>
      <c r="G202" s="22" t="str">
        <f>IFERROR(__xludf.DUMMYFUNCTION("""COMPUTED_VALUE"""),"Entreprise")</f>
        <v>Entreprise</v>
      </c>
      <c r="H202" s="22" t="str">
        <f>IFERROR(__xludf.DUMMYFUNCTION("""COMPUTED_VALUE"""),"E23")</f>
        <v>E23</v>
      </c>
      <c r="I202" s="22" t="str">
        <f>IFERROR(__xludf.DUMMYFUNCTION("""COMPUTED_VALUE"""),"Entreprise")</f>
        <v>Entreprise</v>
      </c>
      <c r="J202" s="22" t="str">
        <f>IFERROR(__xludf.DUMMYFUNCTION("""COMPUTED_VALUE"""),"E22")</f>
        <v>E22</v>
      </c>
      <c r="K202" s="22" t="str">
        <f>IFERROR(__xludf.DUMMYFUNCTION("""COMPUTED_VALUE"""),"Entreprise")</f>
        <v>Entreprise</v>
      </c>
      <c r="L202" s="22" t="str">
        <f>IFERROR(__xludf.DUMMYFUNCTION("""COMPUTED_VALUE"""),"E24")</f>
        <v>E24</v>
      </c>
      <c r="M202" s="22" t="str">
        <f>IFERROR(__xludf.DUMMYFUNCTION("""COMPUTED_VALUE"""),"Entreprise")</f>
        <v>Entreprise</v>
      </c>
      <c r="N202" s="22" t="str">
        <f>IFERROR(__xludf.DUMMYFUNCTION("""COMPUTED_VALUE"""),"E1")</f>
        <v>E1</v>
      </c>
      <c r="O202" s="22" t="str">
        <f>IFERROR(__xludf.DUMMYFUNCTION("""COMPUTED_VALUE"""),"Recherche")</f>
        <v>Recherche</v>
      </c>
      <c r="P202" s="22" t="str">
        <f>IFERROR(__xludf.DUMMYFUNCTION("""COMPUTED_VALUE"""),"E2")</f>
        <v>E2</v>
      </c>
      <c r="Q202" s="22" t="str">
        <f>IFERROR(__xludf.DUMMYFUNCTION("""COMPUTED_VALUE"""),"Je ne pars pas")</f>
        <v>Je ne pars pas</v>
      </c>
      <c r="R202" s="16" t="str">
        <f>IFERROR(__xludf.DUMMYFUNCTION("""COMPUTED_VALUE"""),"")</f>
        <v/>
      </c>
      <c r="S202" s="24"/>
      <c r="T202" s="19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25">
        <f>IFERROR(__xludf.DUMMYFUNCTION("""COMPUTED_VALUE"""),43360.43192653936)</f>
        <v>43360.43193</v>
      </c>
      <c r="B203" s="3" t="str">
        <f>IFERROR(__xludf.DUMMYFUNCTION("""COMPUTED_VALUE"""),"")</f>
        <v/>
      </c>
      <c r="C203" s="6" t="str">
        <f>IFERROR(__xludf.DUMMYFUNCTION("""COMPUTED_VALUE"""),"GI")</f>
        <v>GI</v>
      </c>
      <c r="D203" s="8" t="str">
        <f>IFERROR(__xludf.DUMMYFUNCTION("""COMPUTED_VALUE"""),"VILIVONG")</f>
        <v>VILIVONG</v>
      </c>
      <c r="E203" s="8" t="str">
        <f>IFERROR(__xludf.DUMMYFUNCTION("""COMPUTED_VALUE"""),"Vincent")</f>
        <v>Vincent</v>
      </c>
      <c r="F203" s="8" t="str">
        <f>IFERROR(__xludf.DUMMYFUNCTION("""COMPUTED_VALUE"""),"vincent.vilivong@edu.esiee.fr")</f>
        <v>vincent.vilivong@edu.esiee.fr</v>
      </c>
      <c r="G203" s="3" t="str">
        <f>IFERROR(__xludf.DUMMYFUNCTION("""COMPUTED_VALUE"""),"Recherche")</f>
        <v>Recherche</v>
      </c>
      <c r="H203" s="3" t="str">
        <f>IFERROR(__xludf.DUMMYFUNCTION("""COMPUTED_VALUE"""),"R24")</f>
        <v>R24</v>
      </c>
      <c r="I203" s="3" t="str">
        <f>IFERROR(__xludf.DUMMYFUNCTION("""COMPUTED_VALUE"""),"Entreprise")</f>
        <v>Entreprise</v>
      </c>
      <c r="J203" s="3" t="str">
        <f>IFERROR(__xludf.DUMMYFUNCTION("""COMPUTED_VALUE"""),"E10")</f>
        <v>E10</v>
      </c>
      <c r="K203" s="3" t="str">
        <f>IFERROR(__xludf.DUMMYFUNCTION("""COMPUTED_VALUE"""),"Recherche")</f>
        <v>Recherche</v>
      </c>
      <c r="L203" s="3" t="str">
        <f>IFERROR(__xludf.DUMMYFUNCTION("""COMPUTED_VALUE"""),"R32")</f>
        <v>R32</v>
      </c>
      <c r="M203" s="3" t="str">
        <f>IFERROR(__xludf.DUMMYFUNCTION("""COMPUTED_VALUE"""),"Recherche")</f>
        <v>Recherche</v>
      </c>
      <c r="N203" s="3" t="str">
        <f>IFERROR(__xludf.DUMMYFUNCTION("""COMPUTED_VALUE"""),"R31")</f>
        <v>R31</v>
      </c>
      <c r="O203" s="3" t="str">
        <f>IFERROR(__xludf.DUMMYFUNCTION("""COMPUTED_VALUE"""),"Concours")</f>
        <v>Concours</v>
      </c>
      <c r="P203" s="3" t="str">
        <f>IFERROR(__xludf.DUMMYFUNCTION("""COMPUTED_VALUE"""),"C1")</f>
        <v>C1</v>
      </c>
      <c r="Q203" s="3" t="str">
        <f>IFERROR(__xludf.DUMMYFUNCTION("""COMPUTED_VALUE"""),"Je ne pars pas")</f>
        <v>Je ne pars pas</v>
      </c>
      <c r="R203" s="3" t="str">
        <f>IFERROR(__xludf.DUMMYFUNCTION("""COMPUTED_VALUE"""),"")</f>
        <v/>
      </c>
      <c r="S203" s="11"/>
      <c r="T203" s="3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5">
        <f>IFERROR(__xludf.DUMMYFUNCTION("""COMPUTED_VALUE"""),43360.43149965278)</f>
        <v>43360.4315</v>
      </c>
      <c r="B204" s="16" t="str">
        <f>IFERROR(__xludf.DUMMYFUNCTION("""COMPUTED_VALUE"""),"")</f>
        <v/>
      </c>
      <c r="C204" s="19" t="str">
        <f>IFERROR(__xludf.DUMMYFUNCTION("""COMPUTED_VALUE"""),"GI")</f>
        <v>GI</v>
      </c>
      <c r="D204" s="20" t="str">
        <f>IFERROR(__xludf.DUMMYFUNCTION("""COMPUTED_VALUE"""),"VITETTA")</f>
        <v>VITETTA</v>
      </c>
      <c r="E204" s="20" t="str">
        <f>IFERROR(__xludf.DUMMYFUNCTION("""COMPUTED_VALUE"""),"Aurélien")</f>
        <v>Aurélien</v>
      </c>
      <c r="F204" s="20" t="str">
        <f>IFERROR(__xludf.DUMMYFUNCTION("""COMPUTED_VALUE"""),"aurelien.vitetta@edu.esiee.fr")</f>
        <v>aurelien.vitetta@edu.esiee.fr</v>
      </c>
      <c r="G204" s="22" t="str">
        <f>IFERROR(__xludf.DUMMYFUNCTION("""COMPUTED_VALUE"""),"Recherche")</f>
        <v>Recherche</v>
      </c>
      <c r="H204" s="22" t="str">
        <f>IFERROR(__xludf.DUMMYFUNCTION("""COMPUTED_VALUE"""),"R24")</f>
        <v>R24</v>
      </c>
      <c r="I204" s="22" t="str">
        <f>IFERROR(__xludf.DUMMYFUNCTION("""COMPUTED_VALUE"""),"Entreprise")</f>
        <v>Entreprise</v>
      </c>
      <c r="J204" s="22" t="str">
        <f>IFERROR(__xludf.DUMMYFUNCTION("""COMPUTED_VALUE"""),"E10")</f>
        <v>E10</v>
      </c>
      <c r="K204" s="22" t="str">
        <f>IFERROR(__xludf.DUMMYFUNCTION("""COMPUTED_VALUE"""),"Recherche")</f>
        <v>Recherche</v>
      </c>
      <c r="L204" s="22" t="str">
        <f>IFERROR(__xludf.DUMMYFUNCTION("""COMPUTED_VALUE"""),"R32")</f>
        <v>R32</v>
      </c>
      <c r="M204" s="22" t="str">
        <f>IFERROR(__xludf.DUMMYFUNCTION("""COMPUTED_VALUE"""),"Recherche")</f>
        <v>Recherche</v>
      </c>
      <c r="N204" s="22" t="str">
        <f>IFERROR(__xludf.DUMMYFUNCTION("""COMPUTED_VALUE"""),"R31")</f>
        <v>R31</v>
      </c>
      <c r="O204" s="22" t="str">
        <f>IFERROR(__xludf.DUMMYFUNCTION("""COMPUTED_VALUE"""),"Concours")</f>
        <v>Concours</v>
      </c>
      <c r="P204" s="22" t="str">
        <f>IFERROR(__xludf.DUMMYFUNCTION("""COMPUTED_VALUE"""),"C1")</f>
        <v>C1</v>
      </c>
      <c r="Q204" s="22" t="str">
        <f>IFERROR(__xludf.DUMMYFUNCTION("""COMPUTED_VALUE"""),"Je ne pars pas")</f>
        <v>Je ne pars pas</v>
      </c>
      <c r="R204" s="16" t="str">
        <f>IFERROR(__xludf.DUMMYFUNCTION("""COMPUTED_VALUE"""),"")</f>
        <v/>
      </c>
      <c r="S204" s="24"/>
      <c r="T204" s="19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25">
        <f>IFERROR(__xludf.DUMMYFUNCTION("""COMPUTED_VALUE"""),43360.420075682865)</f>
        <v>43360.42008</v>
      </c>
      <c r="B205" s="3" t="str">
        <f>IFERROR(__xludf.DUMMYFUNCTION("""COMPUTED_VALUE"""),"")</f>
        <v/>
      </c>
      <c r="C205" s="6" t="str">
        <f>IFERROR(__xludf.DUMMYFUNCTION("""COMPUTED_VALUE"""),"BIO")</f>
        <v>BIO</v>
      </c>
      <c r="D205" s="8" t="str">
        <f>IFERROR(__xludf.DUMMYFUNCTION("""COMPUTED_VALUE"""),"VITETTA")</f>
        <v>VITETTA</v>
      </c>
      <c r="E205" s="8" t="str">
        <f>IFERROR(__xludf.DUMMYFUNCTION("""COMPUTED_VALUE"""),"Cynthia")</f>
        <v>Cynthia</v>
      </c>
      <c r="F205" s="8" t="str">
        <f>IFERROR(__xludf.DUMMYFUNCTION("""COMPUTED_VALUE"""),"cynthia.vitetta@edu.esiee.fr")</f>
        <v>cynthia.vitetta@edu.esiee.fr</v>
      </c>
      <c r="G205" s="3" t="str">
        <f>IFERROR(__xludf.DUMMYFUNCTION("""COMPUTED_VALUE"""),"Entreprise")</f>
        <v>Entreprise</v>
      </c>
      <c r="H205" s="3" t="str">
        <f>IFERROR(__xludf.DUMMYFUNCTION("""COMPUTED_VALUE"""),"E20")</f>
        <v>E20</v>
      </c>
      <c r="I205" s="3" t="str">
        <f>IFERROR(__xludf.DUMMYFUNCTION("""COMPUTED_VALUE"""),"Recherche")</f>
        <v>Recherche</v>
      </c>
      <c r="J205" s="3" t="str">
        <f>IFERROR(__xludf.DUMMYFUNCTION("""COMPUTED_VALUE"""),"R2")</f>
        <v>R2</v>
      </c>
      <c r="K205" s="3" t="str">
        <f>IFERROR(__xludf.DUMMYFUNCTION("""COMPUTED_VALUE"""),"Entreprise")</f>
        <v>Entreprise</v>
      </c>
      <c r="L205" s="3" t="str">
        <f>IFERROR(__xludf.DUMMYFUNCTION("""COMPUTED_VALUE"""),"E15")</f>
        <v>E15</v>
      </c>
      <c r="M205" s="3" t="str">
        <f>IFERROR(__xludf.DUMMYFUNCTION("""COMPUTED_VALUE"""),"Entreprise")</f>
        <v>Entreprise</v>
      </c>
      <c r="N205" s="3" t="str">
        <f>IFERROR(__xludf.DUMMYFUNCTION("""COMPUTED_VALUE"""),"E1")</f>
        <v>E1</v>
      </c>
      <c r="O205" s="3" t="str">
        <f>IFERROR(__xludf.DUMMYFUNCTION("""COMPUTED_VALUE"""),"Recherche")</f>
        <v>Recherche</v>
      </c>
      <c r="P205" s="3" t="str">
        <f>IFERROR(__xludf.DUMMYFUNCTION("""COMPUTED_VALUE"""),"R15")</f>
        <v>R15</v>
      </c>
      <c r="Q205" s="3" t="str">
        <f>IFERROR(__xludf.DUMMYFUNCTION("""COMPUTED_VALUE"""),"Je pars au semestre 2")</f>
        <v>Je pars au semestre 2</v>
      </c>
      <c r="R205" s="3" t="str">
        <f>IFERROR(__xludf.DUMMYFUNCTION("""COMPUTED_VALUE"""),"")</f>
        <v/>
      </c>
      <c r="S205" s="11"/>
      <c r="T205" s="3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5">
        <f>IFERROR(__xludf.DUMMYFUNCTION("""COMPUTED_VALUE"""),43360.41948153936)</f>
        <v>43360.41948</v>
      </c>
      <c r="B206" s="16" t="str">
        <f>IFERROR(__xludf.DUMMYFUNCTION("""COMPUTED_VALUE"""),"")</f>
        <v/>
      </c>
      <c r="C206" s="19" t="str">
        <f>IFERROR(__xludf.DUMMYFUNCTION("""COMPUTED_VALUE"""),"ENE")</f>
        <v>ENE</v>
      </c>
      <c r="D206" s="20" t="str">
        <f>IFERROR(__xludf.DUMMYFUNCTION("""COMPUTED_VALUE"""),"VU")</f>
        <v>VU</v>
      </c>
      <c r="E206" s="20" t="str">
        <f>IFERROR(__xludf.DUMMYFUNCTION("""COMPUTED_VALUE"""),"Yann")</f>
        <v>Yann</v>
      </c>
      <c r="F206" s="20" t="str">
        <f>IFERROR(__xludf.DUMMYFUNCTION("""COMPUTED_VALUE"""),"yann.vu@edu.esiee.fr")</f>
        <v>yann.vu@edu.esiee.fr</v>
      </c>
      <c r="G206" s="22" t="str">
        <f>IFERROR(__xludf.DUMMYFUNCTION("""COMPUTED_VALUE"""),"Recherche")</f>
        <v>Recherche</v>
      </c>
      <c r="H206" s="22" t="str">
        <f>IFERROR(__xludf.DUMMYFUNCTION("""COMPUTED_VALUE"""),"R12")</f>
        <v>R12</v>
      </c>
      <c r="I206" s="22" t="str">
        <f>IFERROR(__xludf.DUMMYFUNCTION("""COMPUTED_VALUE"""),"Recherche")</f>
        <v>Recherche</v>
      </c>
      <c r="J206" s="22" t="str">
        <f>IFERROR(__xludf.DUMMYFUNCTION("""COMPUTED_VALUE"""),"R1")</f>
        <v>R1</v>
      </c>
      <c r="K206" s="22" t="str">
        <f>IFERROR(__xludf.DUMMYFUNCTION("""COMPUTED_VALUE"""),"Entreprise")</f>
        <v>Entreprise</v>
      </c>
      <c r="L206" s="22" t="str">
        <f>IFERROR(__xludf.DUMMYFUNCTION("""COMPUTED_VALUE"""),"E14")</f>
        <v>E14</v>
      </c>
      <c r="M206" s="22" t="str">
        <f>IFERROR(__xludf.DUMMYFUNCTION("""COMPUTED_VALUE"""),"Entreprise")</f>
        <v>Entreprise</v>
      </c>
      <c r="N206" s="22" t="str">
        <f>IFERROR(__xludf.DUMMYFUNCTION("""COMPUTED_VALUE"""),"E13")</f>
        <v>E13</v>
      </c>
      <c r="O206" s="22" t="str">
        <f>IFERROR(__xludf.DUMMYFUNCTION("""COMPUTED_VALUE"""),"Recherche")</f>
        <v>Recherche</v>
      </c>
      <c r="P206" s="22" t="str">
        <f>IFERROR(__xludf.DUMMYFUNCTION("""COMPUTED_VALUE"""),"R23")</f>
        <v>R23</v>
      </c>
      <c r="Q206" s="22" t="str">
        <f>IFERROR(__xludf.DUMMYFUNCTION("""COMPUTED_VALUE"""),"Je ne pars pas")</f>
        <v>Je ne pars pas</v>
      </c>
      <c r="R206" s="16" t="str">
        <f>IFERROR(__xludf.DUMMYFUNCTION("""COMPUTED_VALUE"""),"")</f>
        <v/>
      </c>
      <c r="S206" s="24"/>
      <c r="T206" s="19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25">
        <f>IFERROR(__xludf.DUMMYFUNCTION("""COMPUTED_VALUE"""),43361.12681785879)</f>
        <v>43361.12682</v>
      </c>
      <c r="B207" s="3" t="str">
        <f>IFERROR(__xludf.DUMMYFUNCTION("""COMPUTED_VALUE"""),"")</f>
        <v/>
      </c>
      <c r="C207" s="6" t="str">
        <f>IFERROR(__xludf.DUMMYFUNCTION("""COMPUTED_VALUE"""),"GI")</f>
        <v>GI</v>
      </c>
      <c r="D207" s="8" t="str">
        <f>IFERROR(__xludf.DUMMYFUNCTION("""COMPUTED_VALUE"""),"WEBER")</f>
        <v>WEBER</v>
      </c>
      <c r="E207" s="8" t="str">
        <f>IFERROR(__xludf.DUMMYFUNCTION("""COMPUTED_VALUE"""),"Victor")</f>
        <v>Victor</v>
      </c>
      <c r="F207" s="8" t="str">
        <f>IFERROR(__xludf.DUMMYFUNCTION("""COMPUTED_VALUE"""),"victor.weber@edu.esiee.fr")</f>
        <v>victor.weber@edu.esiee.fr</v>
      </c>
      <c r="G207" s="3" t="str">
        <f>IFERROR(__xludf.DUMMYFUNCTION("""COMPUTED_VALUE"""),"Recherche")</f>
        <v>Recherche</v>
      </c>
      <c r="H207" s="3" t="str">
        <f>IFERROR(__xludf.DUMMYFUNCTION("""COMPUTED_VALUE"""),"r24")</f>
        <v>r24</v>
      </c>
      <c r="I207" s="3" t="str">
        <f>IFERROR(__xludf.DUMMYFUNCTION("""COMPUTED_VALUE"""),"Recherche")</f>
        <v>Recherche</v>
      </c>
      <c r="J207" s="3" t="str">
        <f>IFERROR(__xludf.DUMMYFUNCTION("""COMPUTED_VALUE"""),"r32")</f>
        <v>r32</v>
      </c>
      <c r="K207" s="3" t="str">
        <f>IFERROR(__xludf.DUMMYFUNCTION("""COMPUTED_VALUE"""),"Recherche")</f>
        <v>Recherche</v>
      </c>
      <c r="L207" s="3" t="str">
        <f>IFERROR(__xludf.DUMMYFUNCTION("""COMPUTED_VALUE"""),"r31")</f>
        <v>r31</v>
      </c>
      <c r="M207" s="3" t="str">
        <f>IFERROR(__xludf.DUMMYFUNCTION("""COMPUTED_VALUE"""),"Entreprise")</f>
        <v>Entreprise</v>
      </c>
      <c r="N207" s="3" t="str">
        <f>IFERROR(__xludf.DUMMYFUNCTION("""COMPUTED_VALUE"""),"e10")</f>
        <v>e10</v>
      </c>
      <c r="O207" s="3" t="str">
        <f>IFERROR(__xludf.DUMMYFUNCTION("""COMPUTED_VALUE"""),"Concours")</f>
        <v>Concours</v>
      </c>
      <c r="P207" s="3" t="str">
        <f>IFERROR(__xludf.DUMMYFUNCTION("""COMPUTED_VALUE"""),"c1")</f>
        <v>c1</v>
      </c>
      <c r="Q207" s="3" t="str">
        <f>IFERROR(__xludf.DUMMYFUNCTION("""COMPUTED_VALUE"""),"Je pars au semestre 2")</f>
        <v>Je pars au semestre 2</v>
      </c>
      <c r="R207" s="3" t="str">
        <f>IFERROR(__xludf.DUMMYFUNCTION("""COMPUTED_VALUE"""),"")</f>
        <v/>
      </c>
      <c r="S207" s="11"/>
      <c r="T207" s="3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5">
        <f>IFERROR(__xludf.DUMMYFUNCTION("""COMPUTED_VALUE"""),43360.429650335645)</f>
        <v>43360.42965</v>
      </c>
      <c r="B208" s="16" t="str">
        <f>IFERROR(__xludf.DUMMYFUNCTION("""COMPUTED_VALUE"""),"")</f>
        <v/>
      </c>
      <c r="C208" s="19" t="str">
        <f>IFERROR(__xludf.DUMMYFUNCTION("""COMPUTED_VALUE"""),"ENE")</f>
        <v>ENE</v>
      </c>
      <c r="D208" s="20" t="str">
        <f>IFERROR(__xludf.DUMMYFUNCTION("""COMPUTED_VALUE"""),"YETMOU")</f>
        <v>YETMOU</v>
      </c>
      <c r="E208" s="20" t="str">
        <f>IFERROR(__xludf.DUMMYFUNCTION("""COMPUTED_VALUE"""),"Estelle Confort Audrey")</f>
        <v>Estelle Confort Audrey</v>
      </c>
      <c r="F208" s="20" t="str">
        <f>IFERROR(__xludf.DUMMYFUNCTION("""COMPUTED_VALUE"""),"estelleconfortaudrey.yetmou@edu.esiee.fr")</f>
        <v>estelleconfortaudrey.yetmou@edu.esiee.fr</v>
      </c>
      <c r="G208" s="22" t="str">
        <f>IFERROR(__xludf.DUMMYFUNCTION("""COMPUTED_VALUE"""),"Recherche")</f>
        <v>Recherche</v>
      </c>
      <c r="H208" s="22" t="str">
        <f>IFERROR(__xludf.DUMMYFUNCTION("""COMPUTED_VALUE"""),"R12")</f>
        <v>R12</v>
      </c>
      <c r="I208" s="22" t="str">
        <f>IFERROR(__xludf.DUMMYFUNCTION("""COMPUTED_VALUE"""),"Recherche")</f>
        <v>Recherche</v>
      </c>
      <c r="J208" s="22" t="str">
        <f>IFERROR(__xludf.DUMMYFUNCTION("""COMPUTED_VALUE"""),"R16")</f>
        <v>R16</v>
      </c>
      <c r="K208" s="22" t="str">
        <f>IFERROR(__xludf.DUMMYFUNCTION("""COMPUTED_VALUE"""),"Recherche")</f>
        <v>Recherche</v>
      </c>
      <c r="L208" s="22" t="str">
        <f>IFERROR(__xludf.DUMMYFUNCTION("""COMPUTED_VALUE"""),"R23")</f>
        <v>R23</v>
      </c>
      <c r="M208" s="22" t="str">
        <f>IFERROR(__xludf.DUMMYFUNCTION("""COMPUTED_VALUE"""),"Recherche")</f>
        <v>Recherche</v>
      </c>
      <c r="N208" s="22" t="str">
        <f>IFERROR(__xludf.DUMMYFUNCTION("""COMPUTED_VALUE"""),"R1")</f>
        <v>R1</v>
      </c>
      <c r="O208" s="22" t="str">
        <f>IFERROR(__xludf.DUMMYFUNCTION("""COMPUTED_VALUE"""),"Entreprise")</f>
        <v>Entreprise</v>
      </c>
      <c r="P208" s="22" t="str">
        <f>IFERROR(__xludf.DUMMYFUNCTION("""COMPUTED_VALUE"""),"E13")</f>
        <v>E13</v>
      </c>
      <c r="Q208" s="22" t="str">
        <f>IFERROR(__xludf.DUMMYFUNCTION("""COMPUTED_VALUE"""),"Je ne pars pas")</f>
        <v>Je ne pars pas</v>
      </c>
      <c r="R208" s="16" t="str">
        <f>IFERROR(__xludf.DUMMYFUNCTION("""COMPUTED_VALUE"""),"")</f>
        <v/>
      </c>
      <c r="S208" s="24"/>
      <c r="T208" s="19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25">
        <f>IFERROR(__xludf.DUMMYFUNCTION("""COMPUTED_VALUE"""),43362.48824585648)</f>
        <v>43362.48825</v>
      </c>
      <c r="B209" s="3" t="str">
        <f>IFERROR(__xludf.DUMMYFUNCTION("""COMPUTED_VALUE"""),"")</f>
        <v/>
      </c>
      <c r="C209" s="6" t="str">
        <f>IFERROR(__xludf.DUMMYFUNCTION("""COMPUTED_VALUE"""),"SE")</f>
        <v>SE</v>
      </c>
      <c r="D209" s="8" t="str">
        <f>IFERROR(__xludf.DUMMYFUNCTION("""COMPUTED_VALUE"""),"YOUSSEF")</f>
        <v>YOUSSEF</v>
      </c>
      <c r="E209" s="8" t="str">
        <f>IFERROR(__xludf.DUMMYFUNCTION("""COMPUTED_VALUE"""),"Stéphane")</f>
        <v>Stéphane</v>
      </c>
      <c r="F209" s="8" t="str">
        <f>IFERROR(__xludf.DUMMYFUNCTION("""COMPUTED_VALUE"""),"stephane.youssef@edu.esiee.fr")</f>
        <v>stephane.youssef@edu.esiee.fr</v>
      </c>
      <c r="G209" s="3" t="str">
        <f>IFERROR(__xludf.DUMMYFUNCTION("""COMPUTED_VALUE"""),"Entreprise")</f>
        <v>Entreprise</v>
      </c>
      <c r="H209" s="3" t="str">
        <f>IFERROR(__xludf.DUMMYFUNCTION("""COMPUTED_VALUE"""),"E19")</f>
        <v>E19</v>
      </c>
      <c r="I209" s="3" t="str">
        <f>IFERROR(__xludf.DUMMYFUNCTION("""COMPUTED_VALUE"""),"Entreprise")</f>
        <v>Entreprise</v>
      </c>
      <c r="J209" s="3" t="str">
        <f>IFERROR(__xludf.DUMMYFUNCTION("""COMPUTED_VALUE"""),"E16")</f>
        <v>E16</v>
      </c>
      <c r="K209" s="3" t="str">
        <f>IFERROR(__xludf.DUMMYFUNCTION("""COMPUTED_VALUE"""),"Recherche")</f>
        <v>Recherche</v>
      </c>
      <c r="L209" s="3" t="str">
        <f>IFERROR(__xludf.DUMMYFUNCTION("""COMPUTED_VALUE"""),"R5")</f>
        <v>R5</v>
      </c>
      <c r="M209" s="3" t="str">
        <f>IFERROR(__xludf.DUMMYFUNCTION("""COMPUTED_VALUE"""),"Recherche")</f>
        <v>Recherche</v>
      </c>
      <c r="N209" s="3" t="str">
        <f>IFERROR(__xludf.DUMMYFUNCTION("""COMPUTED_VALUE"""),"R3")</f>
        <v>R3</v>
      </c>
      <c r="O209" s="3" t="str">
        <f>IFERROR(__xludf.DUMMYFUNCTION("""COMPUTED_VALUE"""),"Concours")</f>
        <v>Concours</v>
      </c>
      <c r="P209" s="3" t="str">
        <f>IFERROR(__xludf.DUMMYFUNCTION("""COMPUTED_VALUE"""),"C1")</f>
        <v>C1</v>
      </c>
      <c r="Q209" s="3" t="str">
        <f>IFERROR(__xludf.DUMMYFUNCTION("""COMPUTED_VALUE"""),"Je ne pars pas")</f>
        <v>Je ne pars pas</v>
      </c>
      <c r="R209" s="3" t="str">
        <f>IFERROR(__xludf.DUMMYFUNCTION("""COMPUTED_VALUE"""),"")</f>
        <v/>
      </c>
      <c r="S209" s="11"/>
      <c r="T209" s="3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5">
        <f>IFERROR(__xludf.DUMMYFUNCTION("""COMPUTED_VALUE"""),43360.59192302084)</f>
        <v>43360.59192</v>
      </c>
      <c r="B210" s="16" t="str">
        <f>IFERROR(__xludf.DUMMYFUNCTION("""COMPUTED_VALUE"""),"")</f>
        <v/>
      </c>
      <c r="C210" s="19" t="str">
        <f>IFERROR(__xludf.DUMMYFUNCTION("""COMPUTED_VALUE"""),"GI")</f>
        <v>GI</v>
      </c>
      <c r="D210" s="20" t="str">
        <f>IFERROR(__xludf.DUMMYFUNCTION("""COMPUTED_VALUE"""),"YU")</f>
        <v>YU</v>
      </c>
      <c r="E210" s="20" t="str">
        <f>IFERROR(__xludf.DUMMYFUNCTION("""COMPUTED_VALUE"""),"Xinyu")</f>
        <v>Xinyu</v>
      </c>
      <c r="F210" s="20" t="str">
        <f>IFERROR(__xludf.DUMMYFUNCTION("""COMPUTED_VALUE"""),"xinyu.yu@edu.esiee.fr")</f>
        <v>xinyu.yu@edu.esiee.fr</v>
      </c>
      <c r="G210" s="22" t="str">
        <f>IFERROR(__xludf.DUMMYFUNCTION("""COMPUTED_VALUE"""),"Recherche")</f>
        <v>Recherche</v>
      </c>
      <c r="H210" s="22" t="str">
        <f>IFERROR(__xludf.DUMMYFUNCTION("""COMPUTED_VALUE"""),"R24")</f>
        <v>R24</v>
      </c>
      <c r="I210" s="22" t="str">
        <f>IFERROR(__xludf.DUMMYFUNCTION("""COMPUTED_VALUE"""),"Recherche")</f>
        <v>Recherche</v>
      </c>
      <c r="J210" s="22" t="str">
        <f>IFERROR(__xludf.DUMMYFUNCTION("""COMPUTED_VALUE"""),"R32")</f>
        <v>R32</v>
      </c>
      <c r="K210" s="22" t="str">
        <f>IFERROR(__xludf.DUMMYFUNCTION("""COMPUTED_VALUE"""),"Entreprise")</f>
        <v>Entreprise</v>
      </c>
      <c r="L210" s="22" t="str">
        <f>IFERROR(__xludf.DUMMYFUNCTION("""COMPUTED_VALUE"""),"E10")</f>
        <v>E10</v>
      </c>
      <c r="M210" s="22" t="str">
        <f>IFERROR(__xludf.DUMMYFUNCTION("""COMPUTED_VALUE"""),"Recherche")</f>
        <v>Recherche</v>
      </c>
      <c r="N210" s="22" t="str">
        <f>IFERROR(__xludf.DUMMYFUNCTION("""COMPUTED_VALUE"""),"R31")</f>
        <v>R31</v>
      </c>
      <c r="O210" s="22" t="str">
        <f>IFERROR(__xludf.DUMMYFUNCTION("""COMPUTED_VALUE"""),"Recherche")</f>
        <v>Recherche</v>
      </c>
      <c r="P210" s="22" t="str">
        <f>IFERROR(__xludf.DUMMYFUNCTION("""COMPUTED_VALUE"""),"R2")</f>
        <v>R2</v>
      </c>
      <c r="Q210" s="22" t="str">
        <f>IFERROR(__xludf.DUMMYFUNCTION("""COMPUTED_VALUE"""),"Je ne pars pas")</f>
        <v>Je ne pars pas</v>
      </c>
      <c r="R210" s="16" t="str">
        <f>IFERROR(__xludf.DUMMYFUNCTION("""COMPUTED_VALUE"""),"")</f>
        <v/>
      </c>
      <c r="S210" s="24"/>
      <c r="T210" s="19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25">
        <f>IFERROR(__xludf.DUMMYFUNCTION("""COMPUTED_VALUE"""),43360.959178414356)</f>
        <v>43360.95918</v>
      </c>
      <c r="B211" s="3" t="str">
        <f>IFERROR(__xludf.DUMMYFUNCTION("""COMPUTED_VALUE"""),"")</f>
        <v/>
      </c>
      <c r="C211" s="6" t="str">
        <f>IFERROR(__xludf.DUMMYFUNCTION("""COMPUTED_VALUE"""),"INF")</f>
        <v>INF</v>
      </c>
      <c r="D211" s="8" t="str">
        <f>IFERROR(__xludf.DUMMYFUNCTION("""COMPUTED_VALUE"""),"YVANOFF-FRECHIN")</f>
        <v>YVANOFF-FRECHIN</v>
      </c>
      <c r="E211" s="8" t="str">
        <f>IFERROR(__xludf.DUMMYFUNCTION("""COMPUTED_VALUE"""),"Camille")</f>
        <v>Camille</v>
      </c>
      <c r="F211" s="8" t="str">
        <f>IFERROR(__xludf.DUMMYFUNCTION("""COMPUTED_VALUE"""),"camille.yvanoff-frechin@edu.esiee.fr")</f>
        <v>camille.yvanoff-frechin@edu.esiee.fr</v>
      </c>
      <c r="G211" s="3" t="str">
        <f>IFERROR(__xludf.DUMMYFUNCTION("""COMPUTED_VALUE"""),"Entrepreneuriat/Logiciel Libre")</f>
        <v>Entrepreneuriat/Logiciel Libre</v>
      </c>
      <c r="H211" s="3" t="str">
        <f>IFERROR(__xludf.DUMMYFUNCTION("""COMPUTED_VALUE"""),"")</f>
        <v/>
      </c>
      <c r="I211" s="3" t="str">
        <f>IFERROR(__xludf.DUMMYFUNCTION("""COMPUTED_VALUE"""),"")</f>
        <v/>
      </c>
      <c r="J211" s="3" t="str">
        <f>IFERROR(__xludf.DUMMYFUNCTION("""COMPUTED_VALUE"""),"")</f>
        <v/>
      </c>
      <c r="K211" s="3" t="str">
        <f>IFERROR(__xludf.DUMMYFUNCTION("""COMPUTED_VALUE"""),"")</f>
        <v/>
      </c>
      <c r="L211" s="3" t="str">
        <f>IFERROR(__xludf.DUMMYFUNCTION("""COMPUTED_VALUE"""),"")</f>
        <v/>
      </c>
      <c r="M211" s="3" t="str">
        <f>IFERROR(__xludf.DUMMYFUNCTION("""COMPUTED_VALUE"""),"")</f>
        <v/>
      </c>
      <c r="N211" s="3" t="str">
        <f>IFERROR(__xludf.DUMMYFUNCTION("""COMPUTED_VALUE"""),"")</f>
        <v/>
      </c>
      <c r="O211" s="3" t="str">
        <f>IFERROR(__xludf.DUMMYFUNCTION("""COMPUTED_VALUE"""),"")</f>
        <v/>
      </c>
      <c r="P211" s="3" t="str">
        <f>IFERROR(__xludf.DUMMYFUNCTION("""COMPUTED_VALUE"""),"")</f>
        <v/>
      </c>
      <c r="Q211" s="3" t="str">
        <f>IFERROR(__xludf.DUMMYFUNCTION("""COMPUTED_VALUE"""),"Je ne pars pas")</f>
        <v>Je ne pars pas</v>
      </c>
      <c r="R211" s="3" t="str">
        <f>IFERROR(__xludf.DUMMYFUNCTION("""COMPUTED_VALUE"""),"")</f>
        <v/>
      </c>
      <c r="S211" s="11"/>
      <c r="T211" s="3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5">
        <f>IFERROR(__xludf.DUMMYFUNCTION("""COMPUTED_VALUE"""),43360.42038578704)</f>
        <v>43360.42039</v>
      </c>
      <c r="B212" s="16" t="str">
        <f>IFERROR(__xludf.DUMMYFUNCTION("""COMPUTED_VALUE"""),"")</f>
        <v/>
      </c>
      <c r="C212" s="19" t="str">
        <f>IFERROR(__xludf.DUMMYFUNCTION("""COMPUTED_VALUE"""),"BIO")</f>
        <v>BIO</v>
      </c>
      <c r="D212" s="20" t="str">
        <f>IFERROR(__xludf.DUMMYFUNCTION("""COMPUTED_VALUE"""),"ZEHANI")</f>
        <v>ZEHANI</v>
      </c>
      <c r="E212" s="20" t="str">
        <f>IFERROR(__xludf.DUMMYFUNCTION("""COMPUTED_VALUE"""),"Neïla")</f>
        <v>Neïla</v>
      </c>
      <c r="F212" s="20" t="str">
        <f>IFERROR(__xludf.DUMMYFUNCTION("""COMPUTED_VALUE"""),"neila.zehani@edu.esiee.fr")</f>
        <v>neila.zehani@edu.esiee.fr</v>
      </c>
      <c r="G212" s="22" t="str">
        <f>IFERROR(__xludf.DUMMYFUNCTION("""COMPUTED_VALUE"""),"Entreprise")</f>
        <v>Entreprise</v>
      </c>
      <c r="H212" s="22" t="str">
        <f>IFERROR(__xludf.DUMMYFUNCTION("""COMPUTED_VALUE"""),"E15")</f>
        <v>E15</v>
      </c>
      <c r="I212" s="22" t="str">
        <f>IFERROR(__xludf.DUMMYFUNCTION("""COMPUTED_VALUE"""),"Entreprise")</f>
        <v>Entreprise</v>
      </c>
      <c r="J212" s="22" t="str">
        <f>IFERROR(__xludf.DUMMYFUNCTION("""COMPUTED_VALUE"""),"E20")</f>
        <v>E20</v>
      </c>
      <c r="K212" s="22" t="str">
        <f>IFERROR(__xludf.DUMMYFUNCTION("""COMPUTED_VALUE"""),"Recherche")</f>
        <v>Recherche</v>
      </c>
      <c r="L212" s="22" t="str">
        <f>IFERROR(__xludf.DUMMYFUNCTION("""COMPUTED_VALUE"""),"R2")</f>
        <v>R2</v>
      </c>
      <c r="M212" s="22" t="str">
        <f>IFERROR(__xludf.DUMMYFUNCTION("""COMPUTED_VALUE"""),"Recherche")</f>
        <v>Recherche</v>
      </c>
      <c r="N212" s="22" t="str">
        <f>IFERROR(__xludf.DUMMYFUNCTION("""COMPUTED_VALUE"""),"R15")</f>
        <v>R15</v>
      </c>
      <c r="O212" s="22" t="str">
        <f>IFERROR(__xludf.DUMMYFUNCTION("""COMPUTED_VALUE"""),"Entreprise")</f>
        <v>Entreprise</v>
      </c>
      <c r="P212" s="22" t="str">
        <f>IFERROR(__xludf.DUMMYFUNCTION("""COMPUTED_VALUE"""),"E19")</f>
        <v>E19</v>
      </c>
      <c r="Q212" s="22" t="str">
        <f>IFERROR(__xludf.DUMMYFUNCTION("""COMPUTED_VALUE"""),"Je ne pars pas")</f>
        <v>Je ne pars pas</v>
      </c>
      <c r="R212" s="16" t="str">
        <f>IFERROR(__xludf.DUMMYFUNCTION("""COMPUTED_VALUE"""),"")</f>
        <v/>
      </c>
      <c r="S212" s="24"/>
      <c r="T212" s="2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56">
        <f>IFERROR(__xludf.DUMMYFUNCTION("""COMPUTED_VALUE"""),43360.42029231481)</f>
        <v>43360.42029</v>
      </c>
      <c r="B213" s="12" t="str">
        <f>IFERROR(__xludf.DUMMYFUNCTION("""COMPUTED_VALUE"""),"")</f>
        <v/>
      </c>
      <c r="C213" s="12" t="str">
        <f>IFERROR(__xludf.DUMMYFUNCTION("""COMPUTED_VALUE"""),"ENE")</f>
        <v>ENE</v>
      </c>
      <c r="D213" s="12" t="str">
        <f>IFERROR(__xludf.DUMMYFUNCTION("""COMPUTED_VALUE"""),"ZEMRI")</f>
        <v>ZEMRI</v>
      </c>
      <c r="E213" s="12" t="str">
        <f>IFERROR(__xludf.DUMMYFUNCTION("""COMPUTED_VALUE"""),"Sammy")</f>
        <v>Sammy</v>
      </c>
      <c r="F213" s="12" t="str">
        <f>IFERROR(__xludf.DUMMYFUNCTION("""COMPUTED_VALUE"""),"sammy.zemri@edu.esiee.fr")</f>
        <v>sammy.zemri@edu.esiee.fr</v>
      </c>
      <c r="G213" s="12" t="str">
        <f>IFERROR(__xludf.DUMMYFUNCTION("""COMPUTED_VALUE"""),"Recherche")</f>
        <v>Recherche</v>
      </c>
      <c r="H213" s="12" t="str">
        <f>IFERROR(__xludf.DUMMYFUNCTION("""COMPUTED_VALUE"""),"R12")</f>
        <v>R12</v>
      </c>
      <c r="I213" s="12" t="str">
        <f>IFERROR(__xludf.DUMMYFUNCTION("""COMPUTED_VALUE"""),"Recherche")</f>
        <v>Recherche</v>
      </c>
      <c r="J213" s="12" t="str">
        <f>IFERROR(__xludf.DUMMYFUNCTION("""COMPUTED_VALUE"""),"R1")</f>
        <v>R1</v>
      </c>
      <c r="K213" s="12" t="str">
        <f>IFERROR(__xludf.DUMMYFUNCTION("""COMPUTED_VALUE"""),"Entreprise")</f>
        <v>Entreprise</v>
      </c>
      <c r="L213" s="12" t="str">
        <f>IFERROR(__xludf.DUMMYFUNCTION("""COMPUTED_VALUE"""),"E14")</f>
        <v>E14</v>
      </c>
      <c r="M213" s="12" t="str">
        <f>IFERROR(__xludf.DUMMYFUNCTION("""COMPUTED_VALUE"""),"Entreprise")</f>
        <v>Entreprise</v>
      </c>
      <c r="N213" s="12" t="str">
        <f>IFERROR(__xludf.DUMMYFUNCTION("""COMPUTED_VALUE"""),"E13")</f>
        <v>E13</v>
      </c>
      <c r="O213" s="12" t="str">
        <f>IFERROR(__xludf.DUMMYFUNCTION("""COMPUTED_VALUE"""),"Recherche")</f>
        <v>Recherche</v>
      </c>
      <c r="P213" s="12" t="str">
        <f>IFERROR(__xludf.DUMMYFUNCTION("""COMPUTED_VALUE"""),"R23")</f>
        <v>R23</v>
      </c>
      <c r="Q213" s="12" t="str">
        <f>IFERROR(__xludf.DUMMYFUNCTION("""COMPUTED_VALUE"""),"Je ne pars pas")</f>
        <v>Je ne pars pas</v>
      </c>
      <c r="R213" s="12" t="str">
        <f>IFERROR(__xludf.DUMMYFUNCTION("""COMPUTED_VALUE"""),"")</f>
        <v/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56" t="str">
        <f>IFERROR(__xludf.DUMMYFUNCTION("""COMPUTED_VALUE"""),"")</f>
        <v/>
      </c>
      <c r="B214" s="12" t="str">
        <f>IFERROR(__xludf.DUMMYFUNCTION("""COMPUTED_VALUE"""),"")</f>
        <v/>
      </c>
      <c r="C214" s="12" t="str">
        <f>IFERROR(__xludf.DUMMYFUNCTION("""COMPUTED_VALUE"""),"")</f>
        <v/>
      </c>
      <c r="D214" s="12" t="str">
        <f>IFERROR(__xludf.DUMMYFUNCTION("""COMPUTED_VALUE"""),"")</f>
        <v/>
      </c>
      <c r="E214" s="12" t="str">
        <f>IFERROR(__xludf.DUMMYFUNCTION("""COMPUTED_VALUE"""),"")</f>
        <v/>
      </c>
      <c r="F214" s="12" t="str">
        <f>IFERROR(__xludf.DUMMYFUNCTION("""COMPUTED_VALUE"""),"")</f>
        <v/>
      </c>
      <c r="G214" s="12" t="str">
        <f>IFERROR(__xludf.DUMMYFUNCTION("""COMPUTED_VALUE"""),"")</f>
        <v/>
      </c>
      <c r="H214" s="12" t="str">
        <f>IFERROR(__xludf.DUMMYFUNCTION("""COMPUTED_VALUE"""),"")</f>
        <v/>
      </c>
      <c r="I214" s="12" t="str">
        <f>IFERROR(__xludf.DUMMYFUNCTION("""COMPUTED_VALUE"""),"")</f>
        <v/>
      </c>
      <c r="J214" s="12" t="str">
        <f>IFERROR(__xludf.DUMMYFUNCTION("""COMPUTED_VALUE"""),"")</f>
        <v/>
      </c>
      <c r="K214" s="12" t="str">
        <f>IFERROR(__xludf.DUMMYFUNCTION("""COMPUTED_VALUE"""),"")</f>
        <v/>
      </c>
      <c r="L214" s="12" t="str">
        <f>IFERROR(__xludf.DUMMYFUNCTION("""COMPUTED_VALUE"""),"")</f>
        <v/>
      </c>
      <c r="M214" s="12" t="str">
        <f>IFERROR(__xludf.DUMMYFUNCTION("""COMPUTED_VALUE"""),"")</f>
        <v/>
      </c>
      <c r="N214" s="12" t="str">
        <f>IFERROR(__xludf.DUMMYFUNCTION("""COMPUTED_VALUE"""),"")</f>
        <v/>
      </c>
      <c r="O214" s="12" t="str">
        <f>IFERROR(__xludf.DUMMYFUNCTION("""COMPUTED_VALUE"""),"")</f>
        <v/>
      </c>
      <c r="P214" s="12" t="str">
        <f>IFERROR(__xludf.DUMMYFUNCTION("""COMPUTED_VALUE"""),"")</f>
        <v/>
      </c>
      <c r="Q214" s="12" t="str">
        <f>IFERROR(__xludf.DUMMYFUNCTION("""COMPUTED_VALUE"""),"")</f>
        <v/>
      </c>
      <c r="R214" s="12" t="str">
        <f>IFERROR(__xludf.DUMMYFUNCTION("""COMPUTED_VALUE"""),"")</f>
        <v/>
      </c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56" t="str">
        <f>IFERROR(__xludf.DUMMYFUNCTION("""COMPUTED_VALUE"""),"")</f>
        <v/>
      </c>
      <c r="B215" s="12" t="str">
        <f>IFERROR(__xludf.DUMMYFUNCTION("""COMPUTED_VALUE"""),"")</f>
        <v/>
      </c>
      <c r="C215" s="12" t="str">
        <f>IFERROR(__xludf.DUMMYFUNCTION("""COMPUTED_VALUE"""),"")</f>
        <v/>
      </c>
      <c r="D215" s="12" t="str">
        <f>IFERROR(__xludf.DUMMYFUNCTION("""COMPUTED_VALUE"""),"")</f>
        <v/>
      </c>
      <c r="E215" s="12" t="str">
        <f>IFERROR(__xludf.DUMMYFUNCTION("""COMPUTED_VALUE"""),"")</f>
        <v/>
      </c>
      <c r="F215" s="12" t="str">
        <f>IFERROR(__xludf.DUMMYFUNCTION("""COMPUTED_VALUE"""),"")</f>
        <v/>
      </c>
      <c r="G215" s="12" t="str">
        <f>IFERROR(__xludf.DUMMYFUNCTION("""COMPUTED_VALUE"""),"")</f>
        <v/>
      </c>
      <c r="H215" s="12" t="str">
        <f>IFERROR(__xludf.DUMMYFUNCTION("""COMPUTED_VALUE"""),"")</f>
        <v/>
      </c>
      <c r="I215" s="12" t="str">
        <f>IFERROR(__xludf.DUMMYFUNCTION("""COMPUTED_VALUE"""),"")</f>
        <v/>
      </c>
      <c r="J215" s="12" t="str">
        <f>IFERROR(__xludf.DUMMYFUNCTION("""COMPUTED_VALUE"""),"")</f>
        <v/>
      </c>
      <c r="K215" s="12" t="str">
        <f>IFERROR(__xludf.DUMMYFUNCTION("""COMPUTED_VALUE"""),"")</f>
        <v/>
      </c>
      <c r="L215" s="12" t="str">
        <f>IFERROR(__xludf.DUMMYFUNCTION("""COMPUTED_VALUE"""),"")</f>
        <v/>
      </c>
      <c r="M215" s="12" t="str">
        <f>IFERROR(__xludf.DUMMYFUNCTION("""COMPUTED_VALUE"""),"")</f>
        <v/>
      </c>
      <c r="N215" s="12" t="str">
        <f>IFERROR(__xludf.DUMMYFUNCTION("""COMPUTED_VALUE"""),"")</f>
        <v/>
      </c>
      <c r="O215" s="12" t="str">
        <f>IFERROR(__xludf.DUMMYFUNCTION("""COMPUTED_VALUE"""),"")</f>
        <v/>
      </c>
      <c r="P215" s="12" t="str">
        <f>IFERROR(__xludf.DUMMYFUNCTION("""COMPUTED_VALUE"""),"")</f>
        <v/>
      </c>
      <c r="Q215" s="12" t="str">
        <f>IFERROR(__xludf.DUMMYFUNCTION("""COMPUTED_VALUE"""),"")</f>
        <v/>
      </c>
      <c r="R215" s="12" t="str">
        <f>IFERROR(__xludf.DUMMYFUNCTION("""COMPUTED_VALUE"""),"")</f>
        <v/>
      </c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56" t="str">
        <f>IFERROR(__xludf.DUMMYFUNCTION("""COMPUTED_VALUE"""),"")</f>
        <v/>
      </c>
      <c r="B216" s="12" t="str">
        <f>IFERROR(__xludf.DUMMYFUNCTION("""COMPUTED_VALUE"""),"")</f>
        <v/>
      </c>
      <c r="C216" s="12" t="str">
        <f>IFERROR(__xludf.DUMMYFUNCTION("""COMPUTED_VALUE"""),"")</f>
        <v/>
      </c>
      <c r="D216" s="12" t="str">
        <f>IFERROR(__xludf.DUMMYFUNCTION("""COMPUTED_VALUE"""),"")</f>
        <v/>
      </c>
      <c r="E216" s="12" t="str">
        <f>IFERROR(__xludf.DUMMYFUNCTION("""COMPUTED_VALUE"""),"")</f>
        <v/>
      </c>
      <c r="F216" s="12" t="str">
        <f>IFERROR(__xludf.DUMMYFUNCTION("""COMPUTED_VALUE"""),"")</f>
        <v/>
      </c>
      <c r="G216" s="12" t="str">
        <f>IFERROR(__xludf.DUMMYFUNCTION("""COMPUTED_VALUE"""),"")</f>
        <v/>
      </c>
      <c r="H216" s="12" t="str">
        <f>IFERROR(__xludf.DUMMYFUNCTION("""COMPUTED_VALUE"""),"")</f>
        <v/>
      </c>
      <c r="I216" s="12" t="str">
        <f>IFERROR(__xludf.DUMMYFUNCTION("""COMPUTED_VALUE"""),"")</f>
        <v/>
      </c>
      <c r="J216" s="12" t="str">
        <f>IFERROR(__xludf.DUMMYFUNCTION("""COMPUTED_VALUE"""),"")</f>
        <v/>
      </c>
      <c r="K216" s="12" t="str">
        <f>IFERROR(__xludf.DUMMYFUNCTION("""COMPUTED_VALUE"""),"")</f>
        <v/>
      </c>
      <c r="L216" s="12" t="str">
        <f>IFERROR(__xludf.DUMMYFUNCTION("""COMPUTED_VALUE"""),"")</f>
        <v/>
      </c>
      <c r="M216" s="12" t="str">
        <f>IFERROR(__xludf.DUMMYFUNCTION("""COMPUTED_VALUE"""),"")</f>
        <v/>
      </c>
      <c r="N216" s="12" t="str">
        <f>IFERROR(__xludf.DUMMYFUNCTION("""COMPUTED_VALUE"""),"")</f>
        <v/>
      </c>
      <c r="O216" s="12" t="str">
        <f>IFERROR(__xludf.DUMMYFUNCTION("""COMPUTED_VALUE"""),"")</f>
        <v/>
      </c>
      <c r="P216" s="12" t="str">
        <f>IFERROR(__xludf.DUMMYFUNCTION("""COMPUTED_VALUE"""),"")</f>
        <v/>
      </c>
      <c r="Q216" s="12" t="str">
        <f>IFERROR(__xludf.DUMMYFUNCTION("""COMPUTED_VALUE"""),"")</f>
        <v/>
      </c>
      <c r="R216" s="12" t="str">
        <f>IFERROR(__xludf.DUMMYFUNCTION("""COMPUTED_VALUE"""),"")</f>
        <v/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56" t="str">
        <f>IFERROR(__xludf.DUMMYFUNCTION("""COMPUTED_VALUE"""),"")</f>
        <v/>
      </c>
      <c r="B217" s="12" t="str">
        <f>IFERROR(__xludf.DUMMYFUNCTION("""COMPUTED_VALUE"""),"")</f>
        <v/>
      </c>
      <c r="C217" s="12" t="str">
        <f>IFERROR(__xludf.DUMMYFUNCTION("""COMPUTED_VALUE"""),"")</f>
        <v/>
      </c>
      <c r="D217" s="12" t="str">
        <f>IFERROR(__xludf.DUMMYFUNCTION("""COMPUTED_VALUE"""),"")</f>
        <v/>
      </c>
      <c r="E217" s="12" t="str">
        <f>IFERROR(__xludf.DUMMYFUNCTION("""COMPUTED_VALUE"""),"")</f>
        <v/>
      </c>
      <c r="F217" s="12" t="str">
        <f>IFERROR(__xludf.DUMMYFUNCTION("""COMPUTED_VALUE"""),"")</f>
        <v/>
      </c>
      <c r="G217" s="12" t="str">
        <f>IFERROR(__xludf.DUMMYFUNCTION("""COMPUTED_VALUE"""),"")</f>
        <v/>
      </c>
      <c r="H217" s="12" t="str">
        <f>IFERROR(__xludf.DUMMYFUNCTION("""COMPUTED_VALUE"""),"")</f>
        <v/>
      </c>
      <c r="I217" s="12" t="str">
        <f>IFERROR(__xludf.DUMMYFUNCTION("""COMPUTED_VALUE"""),"")</f>
        <v/>
      </c>
      <c r="J217" s="12" t="str">
        <f>IFERROR(__xludf.DUMMYFUNCTION("""COMPUTED_VALUE"""),"")</f>
        <v/>
      </c>
      <c r="K217" s="12" t="str">
        <f>IFERROR(__xludf.DUMMYFUNCTION("""COMPUTED_VALUE"""),"")</f>
        <v/>
      </c>
      <c r="L217" s="12" t="str">
        <f>IFERROR(__xludf.DUMMYFUNCTION("""COMPUTED_VALUE"""),"")</f>
        <v/>
      </c>
      <c r="M217" s="12" t="str">
        <f>IFERROR(__xludf.DUMMYFUNCTION("""COMPUTED_VALUE"""),"")</f>
        <v/>
      </c>
      <c r="N217" s="12" t="str">
        <f>IFERROR(__xludf.DUMMYFUNCTION("""COMPUTED_VALUE"""),"")</f>
        <v/>
      </c>
      <c r="O217" s="12" t="str">
        <f>IFERROR(__xludf.DUMMYFUNCTION("""COMPUTED_VALUE"""),"")</f>
        <v/>
      </c>
      <c r="P217" s="12" t="str">
        <f>IFERROR(__xludf.DUMMYFUNCTION("""COMPUTED_VALUE"""),"")</f>
        <v/>
      </c>
      <c r="Q217" s="12" t="str">
        <f>IFERROR(__xludf.DUMMYFUNCTION("""COMPUTED_VALUE"""),"")</f>
        <v/>
      </c>
      <c r="R217" s="12" t="str">
        <f>IFERROR(__xludf.DUMMYFUNCTION("""COMPUTED_VALUE"""),"")</f>
        <v/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56" t="str">
        <f>IFERROR(__xludf.DUMMYFUNCTION("""COMPUTED_VALUE"""),"")</f>
        <v/>
      </c>
      <c r="B218" s="12" t="str">
        <f>IFERROR(__xludf.DUMMYFUNCTION("""COMPUTED_VALUE"""),"")</f>
        <v/>
      </c>
      <c r="C218" s="12" t="str">
        <f>IFERROR(__xludf.DUMMYFUNCTION("""COMPUTED_VALUE"""),"")</f>
        <v/>
      </c>
      <c r="D218" s="12" t="str">
        <f>IFERROR(__xludf.DUMMYFUNCTION("""COMPUTED_VALUE"""),"")</f>
        <v/>
      </c>
      <c r="E218" s="12" t="str">
        <f>IFERROR(__xludf.DUMMYFUNCTION("""COMPUTED_VALUE"""),"")</f>
        <v/>
      </c>
      <c r="F218" s="12" t="str">
        <f>IFERROR(__xludf.DUMMYFUNCTION("""COMPUTED_VALUE"""),"")</f>
        <v/>
      </c>
      <c r="G218" s="12" t="str">
        <f>IFERROR(__xludf.DUMMYFUNCTION("""COMPUTED_VALUE"""),"")</f>
        <v/>
      </c>
      <c r="H218" s="12" t="str">
        <f>IFERROR(__xludf.DUMMYFUNCTION("""COMPUTED_VALUE"""),"")</f>
        <v/>
      </c>
      <c r="I218" s="12" t="str">
        <f>IFERROR(__xludf.DUMMYFUNCTION("""COMPUTED_VALUE"""),"")</f>
        <v/>
      </c>
      <c r="J218" s="12" t="str">
        <f>IFERROR(__xludf.DUMMYFUNCTION("""COMPUTED_VALUE"""),"")</f>
        <v/>
      </c>
      <c r="K218" s="12" t="str">
        <f>IFERROR(__xludf.DUMMYFUNCTION("""COMPUTED_VALUE"""),"")</f>
        <v/>
      </c>
      <c r="L218" s="12" t="str">
        <f>IFERROR(__xludf.DUMMYFUNCTION("""COMPUTED_VALUE"""),"")</f>
        <v/>
      </c>
      <c r="M218" s="12" t="str">
        <f>IFERROR(__xludf.DUMMYFUNCTION("""COMPUTED_VALUE"""),"")</f>
        <v/>
      </c>
      <c r="N218" s="12" t="str">
        <f>IFERROR(__xludf.DUMMYFUNCTION("""COMPUTED_VALUE"""),"")</f>
        <v/>
      </c>
      <c r="O218" s="12" t="str">
        <f>IFERROR(__xludf.DUMMYFUNCTION("""COMPUTED_VALUE"""),"")</f>
        <v/>
      </c>
      <c r="P218" s="12" t="str">
        <f>IFERROR(__xludf.DUMMYFUNCTION("""COMPUTED_VALUE"""),"")</f>
        <v/>
      </c>
      <c r="Q218" s="12" t="str">
        <f>IFERROR(__xludf.DUMMYFUNCTION("""COMPUTED_VALUE"""),"")</f>
        <v/>
      </c>
      <c r="R218" s="12" t="str">
        <f>IFERROR(__xludf.DUMMYFUNCTION("""COMPUTED_VALUE"""),"")</f>
        <v/>
      </c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56" t="str">
        <f>IFERROR(__xludf.DUMMYFUNCTION("""COMPUTED_VALUE"""),"")</f>
        <v/>
      </c>
      <c r="B219" s="12" t="str">
        <f>IFERROR(__xludf.DUMMYFUNCTION("""COMPUTED_VALUE"""),"")</f>
        <v/>
      </c>
      <c r="C219" s="12" t="str">
        <f>IFERROR(__xludf.DUMMYFUNCTION("""COMPUTED_VALUE"""),"")</f>
        <v/>
      </c>
      <c r="D219" s="12" t="str">
        <f>IFERROR(__xludf.DUMMYFUNCTION("""COMPUTED_VALUE"""),"")</f>
        <v/>
      </c>
      <c r="E219" s="12" t="str">
        <f>IFERROR(__xludf.DUMMYFUNCTION("""COMPUTED_VALUE"""),"")</f>
        <v/>
      </c>
      <c r="F219" s="12" t="str">
        <f>IFERROR(__xludf.DUMMYFUNCTION("""COMPUTED_VALUE"""),"")</f>
        <v/>
      </c>
      <c r="G219" s="12" t="str">
        <f>IFERROR(__xludf.DUMMYFUNCTION("""COMPUTED_VALUE"""),"")</f>
        <v/>
      </c>
      <c r="H219" s="12" t="str">
        <f>IFERROR(__xludf.DUMMYFUNCTION("""COMPUTED_VALUE"""),"")</f>
        <v/>
      </c>
      <c r="I219" s="12" t="str">
        <f>IFERROR(__xludf.DUMMYFUNCTION("""COMPUTED_VALUE"""),"")</f>
        <v/>
      </c>
      <c r="J219" s="12" t="str">
        <f>IFERROR(__xludf.DUMMYFUNCTION("""COMPUTED_VALUE"""),"")</f>
        <v/>
      </c>
      <c r="K219" s="12" t="str">
        <f>IFERROR(__xludf.DUMMYFUNCTION("""COMPUTED_VALUE"""),"")</f>
        <v/>
      </c>
      <c r="L219" s="12" t="str">
        <f>IFERROR(__xludf.DUMMYFUNCTION("""COMPUTED_VALUE"""),"")</f>
        <v/>
      </c>
      <c r="M219" s="12" t="str">
        <f>IFERROR(__xludf.DUMMYFUNCTION("""COMPUTED_VALUE"""),"")</f>
        <v/>
      </c>
      <c r="N219" s="12" t="str">
        <f>IFERROR(__xludf.DUMMYFUNCTION("""COMPUTED_VALUE"""),"")</f>
        <v/>
      </c>
      <c r="O219" s="12" t="str">
        <f>IFERROR(__xludf.DUMMYFUNCTION("""COMPUTED_VALUE"""),"")</f>
        <v/>
      </c>
      <c r="P219" s="12" t="str">
        <f>IFERROR(__xludf.DUMMYFUNCTION("""COMPUTED_VALUE"""),"")</f>
        <v/>
      </c>
      <c r="Q219" s="12" t="str">
        <f>IFERROR(__xludf.DUMMYFUNCTION("""COMPUTED_VALUE"""),"")</f>
        <v/>
      </c>
      <c r="R219" s="12" t="str">
        <f>IFERROR(__xludf.DUMMYFUNCTION("""COMPUTED_VALUE"""),"")</f>
        <v/>
      </c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56" t="str">
        <f>IFERROR(__xludf.DUMMYFUNCTION("""COMPUTED_VALUE"""),"")</f>
        <v/>
      </c>
      <c r="B220" s="12" t="str">
        <f>IFERROR(__xludf.DUMMYFUNCTION("""COMPUTED_VALUE"""),"")</f>
        <v/>
      </c>
      <c r="C220" s="12" t="str">
        <f>IFERROR(__xludf.DUMMYFUNCTION("""COMPUTED_VALUE"""),"")</f>
        <v/>
      </c>
      <c r="D220" s="12" t="str">
        <f>IFERROR(__xludf.DUMMYFUNCTION("""COMPUTED_VALUE"""),"")</f>
        <v/>
      </c>
      <c r="E220" s="12" t="str">
        <f>IFERROR(__xludf.DUMMYFUNCTION("""COMPUTED_VALUE"""),"")</f>
        <v/>
      </c>
      <c r="F220" s="12" t="str">
        <f>IFERROR(__xludf.DUMMYFUNCTION("""COMPUTED_VALUE"""),"")</f>
        <v/>
      </c>
      <c r="G220" s="12" t="str">
        <f>IFERROR(__xludf.DUMMYFUNCTION("""COMPUTED_VALUE"""),"")</f>
        <v/>
      </c>
      <c r="H220" s="12" t="str">
        <f>IFERROR(__xludf.DUMMYFUNCTION("""COMPUTED_VALUE"""),"")</f>
        <v/>
      </c>
      <c r="I220" s="12" t="str">
        <f>IFERROR(__xludf.DUMMYFUNCTION("""COMPUTED_VALUE"""),"")</f>
        <v/>
      </c>
      <c r="J220" s="12" t="str">
        <f>IFERROR(__xludf.DUMMYFUNCTION("""COMPUTED_VALUE"""),"")</f>
        <v/>
      </c>
      <c r="K220" s="12" t="str">
        <f>IFERROR(__xludf.DUMMYFUNCTION("""COMPUTED_VALUE"""),"")</f>
        <v/>
      </c>
      <c r="L220" s="12" t="str">
        <f>IFERROR(__xludf.DUMMYFUNCTION("""COMPUTED_VALUE"""),"")</f>
        <v/>
      </c>
      <c r="M220" s="12" t="str">
        <f>IFERROR(__xludf.DUMMYFUNCTION("""COMPUTED_VALUE"""),"")</f>
        <v/>
      </c>
      <c r="N220" s="12" t="str">
        <f>IFERROR(__xludf.DUMMYFUNCTION("""COMPUTED_VALUE"""),"")</f>
        <v/>
      </c>
      <c r="O220" s="12" t="str">
        <f>IFERROR(__xludf.DUMMYFUNCTION("""COMPUTED_VALUE"""),"")</f>
        <v/>
      </c>
      <c r="P220" s="12" t="str">
        <f>IFERROR(__xludf.DUMMYFUNCTION("""COMPUTED_VALUE"""),"")</f>
        <v/>
      </c>
      <c r="Q220" s="12" t="str">
        <f>IFERROR(__xludf.DUMMYFUNCTION("""COMPUTED_VALUE"""),"")</f>
        <v/>
      </c>
      <c r="R220" s="12" t="str">
        <f>IFERROR(__xludf.DUMMYFUNCTION("""COMPUTED_VALUE"""),"")</f>
        <v/>
      </c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56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56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56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56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56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56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56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56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56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56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56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56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56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56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56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56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56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56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56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56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56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56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56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56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56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56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56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56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56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56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56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56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56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56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56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56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56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56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56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56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56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56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56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56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56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56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56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56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56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56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56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56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56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56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56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56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56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56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56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56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56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56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56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56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56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56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56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56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56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56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56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56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56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56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56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56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56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56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56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56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56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56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56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56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56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56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56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56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56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56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56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56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56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56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56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56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56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56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56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56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56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56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56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56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56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56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56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56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56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56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56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56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56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56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56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56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56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56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56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56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56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56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56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56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56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56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56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56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56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56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56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56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56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56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56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56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56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56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56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56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56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56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56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56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56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56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56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56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56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56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56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56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56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56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56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56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56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56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56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56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56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56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56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56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56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56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56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56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56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56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56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56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56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56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56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56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56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56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56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56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56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56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56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56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56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56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56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56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56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56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56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56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56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56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56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56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56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56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56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56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56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56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56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56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56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56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56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56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56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56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56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56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56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56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56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56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56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56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56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56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56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56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56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56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56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56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56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56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56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56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56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56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56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56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56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56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56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56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56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56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56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56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56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56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56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56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56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56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56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56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56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56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56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56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56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56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56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56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56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56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56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56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56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56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56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56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56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56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56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56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56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56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56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56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56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56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56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56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56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56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56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56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56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56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56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56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56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56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56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56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56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56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56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56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56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56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56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56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56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56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56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56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56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56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56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56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56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56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56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56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56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56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56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56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56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56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56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56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56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56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56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56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56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56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56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56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56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56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56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56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56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56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56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56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56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56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56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56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56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56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56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56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56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56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56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56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56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56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56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56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56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56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56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56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56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56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56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56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56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56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56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56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56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56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56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56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56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56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56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56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56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56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56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56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56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56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56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56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56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56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56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56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56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56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56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56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56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56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56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56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56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56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56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56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56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56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56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56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56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56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56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56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56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56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56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56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56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56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56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56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56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56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56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56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56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56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56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56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56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56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56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56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56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56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56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56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56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56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56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56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56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56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56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56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56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56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56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56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56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56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56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56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56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56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56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56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56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56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56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56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56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56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56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56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56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56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56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56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56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56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56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56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56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56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56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56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56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56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56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56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56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56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56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56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56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56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56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56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56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56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56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56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56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56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56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56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56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56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56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56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56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56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56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56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56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56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56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56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56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56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56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56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56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56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56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56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56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56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56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56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56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56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56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56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56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56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56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56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56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56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56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56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56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56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56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56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56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56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56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56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56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56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56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56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56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56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56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56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56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56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56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56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56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56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56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56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56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56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56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56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56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56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56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56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56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56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56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56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56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56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56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56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56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56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56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56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56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56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56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56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56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56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56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56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56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56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56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56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56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56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56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56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56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56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56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56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56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56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56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56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56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56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56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56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56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56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56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56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56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56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56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56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56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56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56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56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56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56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56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56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56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56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56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56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56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56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56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56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56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56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56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56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56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56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56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56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56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56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56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56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56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56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56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56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56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56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56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56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56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56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56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56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56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56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56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56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56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56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56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56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56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56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56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56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56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56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56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56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56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56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56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56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56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56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56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56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56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56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56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56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56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56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56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56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56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56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56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56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56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56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56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56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56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56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56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56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56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56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56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56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56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56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56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56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56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56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56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56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56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56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56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56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56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56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56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56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56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56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56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56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56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56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56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56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56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56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56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56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56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56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56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56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56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56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56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56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56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56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56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56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56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56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56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56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56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56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56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56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56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56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56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56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56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56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56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56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56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56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56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56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56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56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56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56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  <row r="975">
      <c r="A975" s="56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</row>
    <row r="976">
      <c r="A976" s="56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</row>
    <row r="977">
      <c r="A977" s="56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</row>
    <row r="978">
      <c r="A978" s="56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</row>
    <row r="979">
      <c r="A979" s="56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</row>
    <row r="980">
      <c r="A980" s="56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</row>
    <row r="981">
      <c r="A981" s="56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</row>
    <row r="982">
      <c r="A982" s="56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</row>
    <row r="983">
      <c r="A983" s="56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</row>
    <row r="984">
      <c r="A984" s="56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</row>
    <row r="985">
      <c r="A985" s="56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</row>
    <row r="986">
      <c r="A986" s="56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</row>
    <row r="987">
      <c r="A987" s="56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</row>
    <row r="988">
      <c r="A988" s="56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</row>
    <row r="989">
      <c r="A989" s="56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</row>
    <row r="990">
      <c r="A990" s="56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</row>
    <row r="991">
      <c r="A991" s="56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</row>
    <row r="992">
      <c r="A992" s="56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</row>
    <row r="993">
      <c r="A993" s="56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</row>
    <row r="994">
      <c r="A994" s="56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</row>
    <row r="995">
      <c r="A995" s="56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</row>
    <row r="996">
      <c r="A996" s="56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</row>
    <row r="997">
      <c r="A997" s="56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</row>
    <row r="998">
      <c r="A998" s="56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</row>
    <row r="999">
      <c r="A999" s="56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</row>
  </sheetData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43"/>
    <col customWidth="1" min="2" max="2" width="19.57"/>
    <col customWidth="1" min="3" max="3" width="24.71"/>
    <col customWidth="1" min="4" max="4" width="22.14"/>
    <col customWidth="1" min="5" max="5" width="27.71"/>
    <col customWidth="1" min="6" max="6" width="31.43"/>
    <col customWidth="1" min="7" max="7" width="41.86"/>
    <col customWidth="1" min="8" max="8" width="16.29"/>
    <col customWidth="1" min="9" max="26" width="53.0"/>
  </cols>
  <sheetData>
    <row r="1" ht="30.0" customHeight="1">
      <c r="A1" s="9" t="str">
        <f>IFERROR(__xludf.DUMMYFUNCTION("IMPORTRANGE(""https://docs.google.com/spreadsheets/d/1K6ap6WqAwMsuHrJrRPOLb833EudX4YjjlR0kLR9bs_M/edit?usp=sharing"",""'Liste projets'!A1:I80"")"),"Titre du projet")</f>
        <v>Titre du projet</v>
      </c>
      <c r="B1" s="9" t="str">
        <f>IFERROR(__xludf.DUMMYFUNCTION("""COMPUTED_VALUE"""),"Numéro du projet")</f>
        <v>Numéro du projet</v>
      </c>
      <c r="C1" s="9" t="str">
        <f>IFERROR(__xludf.DUMMYFUNCTION("""COMPUTED_VALUE"""),"Statut")</f>
        <v>Statut</v>
      </c>
      <c r="D1" s="9" t="str">
        <f>IFERROR(__xludf.DUMMYFUNCTION("""COMPUTED_VALUE"""),"Axe")</f>
        <v>Axe</v>
      </c>
      <c r="E1" s="9" t="str">
        <f>IFERROR(__xludf.DUMMYFUNCTION("""COMPUTED_VALUE"""),"Nom Entreprise ou labo partenaire")</f>
        <v>Nom Entreprise ou labo partenaire</v>
      </c>
      <c r="F1" s="9" t="str">
        <f>IFERROR(__xludf.DUMMYFUNCTION("""COMPUTED_VALUE"""),"Domaines du projet")</f>
        <v>Domaines du projet</v>
      </c>
      <c r="G1" s="9" t="str">
        <f>IFERROR(__xludf.DUMMYFUNCTION("""COMPUTED_VALUE"""),"Descriptif du projet")</f>
        <v>Descriptif du projet</v>
      </c>
      <c r="H1" s="9" t="str">
        <f>IFERROR(__xludf.DUMMYFUNCTION("""COMPUTED_VALUE"""),"Interlocuteurs")</f>
        <v>Interlocuteurs</v>
      </c>
      <c r="I1" s="9" t="str">
        <f>IFERROR(__xludf.DUMMYFUNCTION("""COMPUTED_VALUE"""),"Informations complémentaires
")</f>
        <v>Informations complémentaires
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30.0" customHeight="1">
      <c r="A2" s="13" t="str">
        <f>IFERROR(__xludf.DUMMYFUNCTION("""COMPUTED_VALUE"""),"Coupe de France de robotique 2019")</f>
        <v>Coupe de France de robotique 2019</v>
      </c>
      <c r="B2" s="9" t="str">
        <f>IFERROR(__xludf.DUMMYFUNCTION("""COMPUTED_VALUE"""),"C1")</f>
        <v>C1</v>
      </c>
      <c r="C2" s="5" t="str">
        <f>IFERROR(__xludf.DUMMYFUNCTION("""COMPUTED_VALUE"""),"")</f>
        <v/>
      </c>
      <c r="D2" s="18" t="str">
        <f>IFERROR(__xludf.DUMMYFUNCTION("""COMPUTED_VALUE"""),"Concours")</f>
        <v>Concours</v>
      </c>
      <c r="E2" s="5" t="str">
        <f>IFERROR(__xludf.DUMMYFUNCTION("""COMPUTED_VALUE"""),"")</f>
        <v/>
      </c>
      <c r="F2" s="5" t="str">
        <f>IFERROR(__xludf.DUMMYFUNCTION("""COMPUTED_VALUE"""),"Info, ELE, SE, GI")</f>
        <v>Info, ELE, SE, GI</v>
      </c>
      <c r="G2" s="64" t="str">
        <f>IFERROR(__xludf.DUMMYFUNCTION("""COMPUTED_VALUE"""),"C1_Coupe robotique 2019.pdf")</f>
        <v>C1_Coupe robotique 2019.pdf</v>
      </c>
      <c r="H2" s="5" t="str">
        <f>IFERROR(__xludf.DUMMYFUNCTION("""COMPUTED_VALUE"""),"Romain Negrel")</f>
        <v>Romain Negrel</v>
      </c>
      <c r="I2" s="5" t="str">
        <f>IFERROR(__xludf.DUMMYFUNCTION("""COMPUTED_VALUE"""),"SK10 (*1)")</f>
        <v>SK10 (*1)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30.0" customHeight="1">
      <c r="A3" s="13" t="str">
        <f>IFERROR(__xludf.DUMMYFUNCTION("""COMPUTED_VALUE"""),"NxP Cup")</f>
        <v>NxP Cup</v>
      </c>
      <c r="B3" s="9" t="str">
        <f>IFERROR(__xludf.DUMMYFUNCTION("""COMPUTED_VALUE"""),"C2")</f>
        <v>C2</v>
      </c>
      <c r="C3" s="5" t="str">
        <f>IFERROR(__xludf.DUMMYFUNCTION("""COMPUTED_VALUE"""),"")</f>
        <v/>
      </c>
      <c r="D3" s="18" t="str">
        <f>IFERROR(__xludf.DUMMYFUNCTION("""COMPUTED_VALUE"""),"Concours")</f>
        <v>Concours</v>
      </c>
      <c r="E3" s="5" t="str">
        <f>IFERROR(__xludf.DUMMYFUNCTION("""COMPUTED_VALUE"""),"")</f>
        <v/>
      </c>
      <c r="F3" s="5" t="str">
        <f>IFERROR(__xludf.DUMMYFUNCTION("""COMPUTED_VALUE"""),"Info, ELE, SE")</f>
        <v>Info, ELE, SE</v>
      </c>
      <c r="G3" s="64" t="str">
        <f>IFERROR(__xludf.DUMMYFUNCTION("""COMPUTED_VALUE"""),"C2_NxP_Cup.pdf")</f>
        <v>C2_NxP_Cup.pdf</v>
      </c>
      <c r="H3" s="5" t="str">
        <f>IFERROR(__xludf.DUMMYFUNCTION("""COMPUTED_VALUE"""),"T. Grandpierre")</f>
        <v>T. Grandpierre</v>
      </c>
      <c r="I3" s="5" t="str">
        <f>IFERROR(__xludf.DUMMYFUNCTION("""COMPUTED_VALUE"""),"il faut des équipes de 3 max")</f>
        <v>il faut des équipes de 3 max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0.0" customHeight="1">
      <c r="A4" s="13" t="str">
        <f>IFERROR(__xludf.DUMMYFUNCTION("""COMPUTED_VALUE"""),"InnovateFPGA ou/et Digilent Design Contest")</f>
        <v>InnovateFPGA ou/et Digilent Design Contest</v>
      </c>
      <c r="B4" s="9" t="str">
        <f>IFERROR(__xludf.DUMMYFUNCTION("""COMPUTED_VALUE"""),"C3")</f>
        <v>C3</v>
      </c>
      <c r="C4" s="5" t="str">
        <f>IFERROR(__xludf.DUMMYFUNCTION("""COMPUTED_VALUE"""),"")</f>
        <v/>
      </c>
      <c r="D4" s="18" t="str">
        <f>IFERROR(__xludf.DUMMYFUNCTION("""COMPUTED_VALUE"""),"Concours")</f>
        <v>Concours</v>
      </c>
      <c r="E4" s="5" t="str">
        <f>IFERROR(__xludf.DUMMYFUNCTION("""COMPUTED_VALUE"""),"")</f>
        <v/>
      </c>
      <c r="F4" s="5" t="str">
        <f>IFERROR(__xludf.DUMMYFUNCTION("""COMPUTED_VALUE"""),"ELE")</f>
        <v>ELE</v>
      </c>
      <c r="G4" s="64" t="str">
        <f>IFERROR(__xludf.DUMMYFUNCTION("""COMPUTED_VALUE"""),"C3_Camescope_concoursFPGA.pdf")</f>
        <v>C3_Camescope_concoursFPGA.pdf</v>
      </c>
      <c r="H4" s="5" t="str">
        <f>IFERROR(__xludf.DUMMYFUNCTION("""COMPUTED_VALUE"""),"Ludovic Noury")</f>
        <v>Ludovic Noury</v>
      </c>
      <c r="I4" s="5" t="str">
        <f>IFERROR(__xludf.DUMMYFUNCTION("""COMPUTED_VALUE"""),"")</f>
        <v/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30.0" customHeight="1">
      <c r="A5" s="13" t="str">
        <f>IFERROR(__xludf.DUMMYFUNCTION("""COMPUTED_VALUE"""),"Concours pour valoriser les données sur la qualité de l’air extérieur")</f>
        <v>Concours pour valoriser les données sur la qualité de l’air extérieur</v>
      </c>
      <c r="B5" s="9" t="str">
        <f>IFERROR(__xludf.DUMMYFUNCTION("""COMPUTED_VALUE"""),"C4")</f>
        <v>C4</v>
      </c>
      <c r="C5" s="5" t="str">
        <f>IFERROR(__xludf.DUMMYFUNCTION("""COMPUTED_VALUE"""),"")</f>
        <v/>
      </c>
      <c r="D5" s="18" t="str">
        <f>IFERROR(__xludf.DUMMYFUNCTION("""COMPUTED_VALUE"""),"Concours")</f>
        <v>Concours</v>
      </c>
      <c r="E5" s="5" t="str">
        <f>IFERROR(__xludf.DUMMYFUNCTION("""COMPUTED_VALUE"""),"")</f>
        <v/>
      </c>
      <c r="F5" s="5" t="str">
        <f>IFERROR(__xludf.DUMMYFUNCTION("""COMPUTED_VALUE"""),"DSIA, Info")</f>
        <v>DSIA, Info</v>
      </c>
      <c r="G5" s="64" t="str">
        <f>IFERROR(__xludf.DUMMYFUNCTION("""COMPUTED_VALUE"""),"C4_Qualité de l'air.pdf")</f>
        <v>C4_Qualité de l'air.pdf</v>
      </c>
      <c r="H5" s="5" t="str">
        <f>IFERROR(__xludf.DUMMYFUNCTION("""COMPUTED_VALUE"""),"J.F Bercher")</f>
        <v>J.F Bercher</v>
      </c>
      <c r="I5" s="5" t="str">
        <f>IFERROR(__xludf.DUMMYFUNCTION("""COMPUTED_VALUE"""),"")</f>
        <v/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30.0" customHeight="1">
      <c r="A6" s="13" t="str">
        <f>IFERROR(__xludf.DUMMYFUNCTION("""COMPUTED_VALUE"""),"")</f>
        <v/>
      </c>
      <c r="B6" s="9" t="str">
        <f>IFERROR(__xludf.DUMMYFUNCTION("""COMPUTED_VALUE"""),"C5")</f>
        <v>C5</v>
      </c>
      <c r="C6" s="5" t="str">
        <f>IFERROR(__xludf.DUMMYFUNCTION("""COMPUTED_VALUE"""),"")</f>
        <v/>
      </c>
      <c r="D6" s="18" t="str">
        <f>IFERROR(__xludf.DUMMYFUNCTION("""COMPUTED_VALUE"""),"Concours")</f>
        <v>Concours</v>
      </c>
      <c r="E6" s="5" t="str">
        <f>IFERROR(__xludf.DUMMYFUNCTION("""COMPUTED_VALUE"""),"")</f>
        <v/>
      </c>
      <c r="F6" s="5" t="str">
        <f>IFERROR(__xludf.DUMMYFUNCTION("""COMPUTED_VALUE"""),"")</f>
        <v/>
      </c>
      <c r="G6" s="18" t="str">
        <f>IFERROR(__xludf.DUMMYFUNCTION("""COMPUTED_VALUE"""),"")</f>
        <v/>
      </c>
      <c r="H6" s="5" t="str">
        <f>IFERROR(__xludf.DUMMYFUNCTION("""COMPUTED_VALUE"""),"")</f>
        <v/>
      </c>
      <c r="I6" s="5" t="str">
        <f>IFERROR(__xludf.DUMMYFUNCTION("""COMPUTED_VALUE"""),"")</f>
        <v/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30.0" customHeight="1">
      <c r="A7" s="13" t="str">
        <f>IFERROR(__xludf.DUMMYFUNCTION("""COMPUTED_VALUE"""),"Création d’un simulateur virtuel de ventilateur artificiel connecté à un patient")</f>
        <v>Création d’un simulateur virtuel de ventilateur artificiel connecté à un patient</v>
      </c>
      <c r="B7" s="9" t="str">
        <f>IFERROR(__xludf.DUMMYFUNCTION("""COMPUTED_VALUE"""),"E1")</f>
        <v>E1</v>
      </c>
      <c r="C7" s="5" t="str">
        <f>IFERROR(__xludf.DUMMYFUNCTION("""COMPUTED_VALUE"""),"")</f>
        <v/>
      </c>
      <c r="D7" s="18" t="str">
        <f>IFERROR(__xludf.DUMMYFUNCTION("""COMPUTED_VALUE"""),"Entreprise")</f>
        <v>Entreprise</v>
      </c>
      <c r="E7" s="5" t="str">
        <f>IFERROR(__xludf.DUMMYFUNCTION("""COMPUTED_VALUE"""),"CHU Henry Mondor")</f>
        <v>CHU Henry Mondor</v>
      </c>
      <c r="F7" s="5" t="str">
        <f>IFERROR(__xludf.DUMMYFUNCTION("""COMPUTED_VALUE"""),"Info, e-santé")</f>
        <v>Info, e-santé</v>
      </c>
      <c r="G7" s="64" t="str">
        <f>IFERROR(__xludf.DUMMYFUNCTION("""COMPUTED_VALUE"""),"E1_Henry Mondor.pdf")</f>
        <v>E1_Henry Mondor.pdf</v>
      </c>
      <c r="H7" s="5" t="str">
        <f>IFERROR(__xludf.DUMMYFUNCTION("""COMPUTED_VALUE"""),"Adrien UGON Alain LACOMBE")</f>
        <v>Adrien UGON Alain LACOMBE</v>
      </c>
      <c r="I7" s="5" t="str">
        <f>IFERROR(__xludf.DUMMYFUNCTION("""COMPUTED_VALUE"""),"")</f>
        <v/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0.0" customHeight="1">
      <c r="A8" s="13" t="str">
        <f>IFERROR(__xludf.DUMMYFUNCTION("""COMPUTED_VALUE"""),"Réalité Virtuelle pour les Salles Blanches")</f>
        <v>Réalité Virtuelle pour les Salles Blanches</v>
      </c>
      <c r="B8" s="9" t="str">
        <f>IFERROR(__xludf.DUMMYFUNCTION("""COMPUTED_VALUE"""),"E2")</f>
        <v>E2</v>
      </c>
      <c r="C8" s="5" t="str">
        <f>IFERROR(__xludf.DUMMYFUNCTION("""COMPUTED_VALUE"""),"")</f>
        <v/>
      </c>
      <c r="D8" s="18" t="str">
        <f>IFERROR(__xludf.DUMMYFUNCTION("""COMPUTED_VALUE"""),"Entreprise")</f>
        <v>Entreprise</v>
      </c>
      <c r="E8" s="5" t="str">
        <f>IFERROR(__xludf.DUMMYFUNCTION("""COMPUTED_VALUE"""),"SMM ESIEE")</f>
        <v>SMM ESIEE</v>
      </c>
      <c r="F8" s="5" t="str">
        <f>IFERROR(__xludf.DUMMYFUNCTION("""COMPUTED_VALUE"""),"Info")</f>
        <v>Info</v>
      </c>
      <c r="G8" s="64" t="str">
        <f>IFERROR(__xludf.DUMMYFUNCTION("""COMPUTED_VALUE"""),"E2_RVpoursalleblanche.pdf")</f>
        <v>E2_RVpoursalleblanche.pdf</v>
      </c>
      <c r="H8" s="5" t="str">
        <f>IFERROR(__xludf.DUMMYFUNCTION("""COMPUTED_VALUE"""),"T. Grandpierre B.Mercier")</f>
        <v>T. Grandpierre B.Mercier</v>
      </c>
      <c r="I8" s="5" t="str">
        <f>IFERROR(__xludf.DUMMYFUNCTION("""COMPUTED_VALUE"""),"")</f>
        <v/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0.0" customHeight="1">
      <c r="A9" s="13" t="str">
        <f>IFERROR(__xludf.DUMMYFUNCTION("""COMPUTED_VALUE"""),"Génération automatique de plan de test pour la validation ECU")</f>
        <v>Génération automatique de plan de test pour la validation ECU</v>
      </c>
      <c r="B9" s="9" t="str">
        <f>IFERROR(__xludf.DUMMYFUNCTION("""COMPUTED_VALUE"""),"E3")</f>
        <v>E3</v>
      </c>
      <c r="C9" s="5" t="str">
        <f>IFERROR(__xludf.DUMMYFUNCTION("""COMPUTED_VALUE"""),"")</f>
        <v/>
      </c>
      <c r="D9" s="18" t="str">
        <f>IFERROR(__xludf.DUMMYFUNCTION("""COMPUTED_VALUE"""),"Entreprise")</f>
        <v>Entreprise</v>
      </c>
      <c r="E9" s="5" t="str">
        <f>IFERROR(__xludf.DUMMYFUNCTION("""COMPUTED_VALUE"""),"Renault sas")</f>
        <v>Renault sas</v>
      </c>
      <c r="F9" s="5" t="str">
        <f>IFERROR(__xludf.DUMMYFUNCTION("""COMPUTED_VALUE"""),"Info, ELE, SE")</f>
        <v>Info, ELE, SE</v>
      </c>
      <c r="G9" s="64" t="str">
        <f>IFERROR(__xludf.DUMMYFUNCTION("""COMPUTED_VALUE"""),"E3_Renault.pdf")</f>
        <v>E3_Renault.pdf</v>
      </c>
      <c r="H9" s="5" t="str">
        <f>IFERROR(__xludf.DUMMYFUNCTION("""COMPUTED_VALUE"""),"")</f>
        <v/>
      </c>
      <c r="I9" s="5" t="str">
        <f>IFERROR(__xludf.DUMMYFUNCTION("""COMPUTED_VALUE"""),"")</f>
        <v/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30.0" customHeight="1">
      <c r="A10" s="13" t="str">
        <f>IFERROR(__xludf.DUMMYFUNCTION("""COMPUTED_VALUE""")," NETFLIX DE L’IMMOBILIER 1.0")</f>
        <v> NETFLIX DE L’IMMOBILIER 1.0</v>
      </c>
      <c r="B10" s="9" t="str">
        <f>IFERROR(__xludf.DUMMYFUNCTION("""COMPUTED_VALUE"""),"E4")</f>
        <v>E4</v>
      </c>
      <c r="C10" s="5" t="str">
        <f>IFERROR(__xludf.DUMMYFUNCTION("""COMPUTED_VALUE"""),"")</f>
        <v/>
      </c>
      <c r="D10" s="18" t="str">
        <f>IFERROR(__xludf.DUMMYFUNCTION("""COMPUTED_VALUE"""),"Entreprise")</f>
        <v>Entreprise</v>
      </c>
      <c r="E10" s="5" t="str">
        <f>IFERROR(__xludf.DUMMYFUNCTION("""COMPUTED_VALUE"""),"Bon de visite")</f>
        <v>Bon de visite</v>
      </c>
      <c r="F10" s="5" t="str">
        <f>IFERROR(__xludf.DUMMYFUNCTION("""COMPUTED_VALUE"""),"DSIA")</f>
        <v>DSIA</v>
      </c>
      <c r="G10" s="64" t="str">
        <f>IFERROR(__xludf.DUMMYFUNCTION("""COMPUTED_VALUE"""),"E4_NETFLIX.pdf")</f>
        <v>E4_NETFLIX.pdf</v>
      </c>
      <c r="H10" s="5" t="str">
        <f>IFERROR(__xludf.DUMMYFUNCTION("""COMPUTED_VALUE"""),"D. Courivaud")</f>
        <v>D. Courivaud</v>
      </c>
      <c r="I10" s="5" t="str">
        <f>IFERROR(__xludf.DUMMYFUNCTION("""COMPUTED_VALUE"""),"")</f>
        <v/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30.0" customHeight="1">
      <c r="A11" s="13" t="str">
        <f>IFERROR(__xludf.DUMMYFUNCTION("""COMPUTED_VALUE"""),"Création automatique de classes virtuelles sur plateforme Rainbow")</f>
        <v>Création automatique de classes virtuelles sur plateforme Rainbow</v>
      </c>
      <c r="B11" s="9" t="str">
        <f>IFERROR(__xludf.DUMMYFUNCTION("""COMPUTED_VALUE"""),"E5")</f>
        <v>E5</v>
      </c>
      <c r="C11" s="5" t="str">
        <f>IFERROR(__xludf.DUMMYFUNCTION("""COMPUTED_VALUE"""),"")</f>
        <v/>
      </c>
      <c r="D11" s="18" t="str">
        <f>IFERROR(__xludf.DUMMYFUNCTION("""COMPUTED_VALUE"""),"Entreprise")</f>
        <v>Entreprise</v>
      </c>
      <c r="E11" s="5" t="str">
        <f>IFERROR(__xludf.DUMMYFUNCTION("""COMPUTED_VALUE"""),"Alcatel-Lucent")</f>
        <v>Alcatel-Lucent</v>
      </c>
      <c r="F11" s="5" t="str">
        <f>IFERROR(__xludf.DUMMYFUNCTION("""COMPUTED_VALUE"""),"Info, DSIA")</f>
        <v>Info, DSIA</v>
      </c>
      <c r="G11" s="64" t="str">
        <f>IFERROR(__xludf.DUMMYFUNCTION("""COMPUTED_VALUE"""),"E5_Alcatel_CV.pdf")</f>
        <v>E5_Alcatel_CV.pdf</v>
      </c>
      <c r="H11" s="5" t="str">
        <f>IFERROR(__xludf.DUMMYFUNCTION("""COMPUTED_VALUE"""),"B. Marzouk          P. Lemonnier")</f>
        <v>B. Marzouk          P. Lemonnier</v>
      </c>
      <c r="I11" s="5" t="str">
        <f>IFERROR(__xludf.DUMMYFUNCTION("""COMPUTED_VALUE"""),"")</f>
        <v/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30.0" customHeight="1">
      <c r="A12" s="13" t="str">
        <f>IFERROR(__xludf.DUMMYFUNCTION("""COMPUTED_VALUE"""),"Rainbow Learning Managment System (LMS) BoT")</f>
        <v>Rainbow Learning Managment System (LMS) BoT</v>
      </c>
      <c r="B12" s="9" t="str">
        <f>IFERROR(__xludf.DUMMYFUNCTION("""COMPUTED_VALUE"""),"E6")</f>
        <v>E6</v>
      </c>
      <c r="C12" s="5" t="str">
        <f>IFERROR(__xludf.DUMMYFUNCTION("""COMPUTED_VALUE"""),"")</f>
        <v/>
      </c>
      <c r="D12" s="18" t="str">
        <f>IFERROR(__xludf.DUMMYFUNCTION("""COMPUTED_VALUE"""),"Entreprise")</f>
        <v>Entreprise</v>
      </c>
      <c r="E12" s="5" t="str">
        <f>IFERROR(__xludf.DUMMYFUNCTION("""COMPUTED_VALUE"""),"Alcatel-Lucent")</f>
        <v>Alcatel-Lucent</v>
      </c>
      <c r="F12" s="5" t="str">
        <f>IFERROR(__xludf.DUMMYFUNCTION("""COMPUTED_VALUE"""),"Info, DSIA")</f>
        <v>Info, DSIA</v>
      </c>
      <c r="G12" s="64" t="str">
        <f>IFERROR(__xludf.DUMMYFUNCTION("""COMPUTED_VALUE"""),"E6_Alcatel_LMS.pdf")</f>
        <v>E6_Alcatel_LMS.pdf</v>
      </c>
      <c r="H12" s="5" t="str">
        <f>IFERROR(__xludf.DUMMYFUNCTION("""COMPUTED_VALUE"""),"B. Marzouk           D. El Malki")</f>
        <v>B. Marzouk           D. El Malki</v>
      </c>
      <c r="I12" s="5" t="str">
        <f>IFERROR(__xludf.DUMMYFUNCTION("""COMPUTED_VALUE"""),"")</f>
        <v/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30.0" customHeight="1">
      <c r="A13" s="13" t="str">
        <f>IFERROR(__xludf.DUMMYFUNCTION("""COMPUTED_VALUE"""),"Machine Learning et Scoring pour trouver ton futur job")</f>
        <v>Machine Learning et Scoring pour trouver ton futur job</v>
      </c>
      <c r="B13" s="9" t="str">
        <f>IFERROR(__xludf.DUMMYFUNCTION("""COMPUTED_VALUE"""),"E7")</f>
        <v>E7</v>
      </c>
      <c r="C13" s="5" t="str">
        <f>IFERROR(__xludf.DUMMYFUNCTION("""COMPUTED_VALUE"""),"")</f>
        <v/>
      </c>
      <c r="D13" s="18" t="str">
        <f>IFERROR(__xludf.DUMMYFUNCTION("""COMPUTED_VALUE"""),"Entreprise")</f>
        <v>Entreprise</v>
      </c>
      <c r="E13" s="5" t="str">
        <f>IFERROR(__xludf.DUMMYFUNCTION("""COMPUTED_VALUE"""),"Le Bon Coin")</f>
        <v>Le Bon Coin</v>
      </c>
      <c r="F13" s="5" t="str">
        <f>IFERROR(__xludf.DUMMYFUNCTION("""COMPUTED_VALUE"""),"DSIA")</f>
        <v>DSIA</v>
      </c>
      <c r="G13" s="64" t="str">
        <f>IFERROR(__xludf.DUMMYFUNCTION("""COMPUTED_VALUE"""),"E7_MachineLearning.pdf")</f>
        <v>E7_MachineLearning.pdf</v>
      </c>
      <c r="H13" s="5" t="str">
        <f>IFERROR(__xludf.DUMMYFUNCTION("""COMPUTED_VALUE"""),"D. Courivaud")</f>
        <v>D. Courivaud</v>
      </c>
      <c r="I13" s="5" t="str">
        <f>IFERROR(__xludf.DUMMYFUNCTION("""COMPUTED_VALUE"""),"")</f>
        <v/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30.0" customHeight="1">
      <c r="A14" s="13" t="str">
        <f>IFERROR(__xludf.DUMMYFUNCTION("""COMPUTED_VALUE"""),"Analyse de Retour d’Expérience de grands projets de Construction")</f>
        <v>Analyse de Retour d’Expérience de grands projets de Construction</v>
      </c>
      <c r="B14" s="9" t="str">
        <f>IFERROR(__xludf.DUMMYFUNCTION("""COMPUTED_VALUE"""),"E8")</f>
        <v>E8</v>
      </c>
      <c r="C14" s="5" t="str">
        <f>IFERROR(__xludf.DUMMYFUNCTION("""COMPUTED_VALUE"""),"")</f>
        <v/>
      </c>
      <c r="D14" s="18" t="str">
        <f>IFERROR(__xludf.DUMMYFUNCTION("""COMPUTED_VALUE"""),"Entreprise")</f>
        <v>Entreprise</v>
      </c>
      <c r="E14" s="5" t="str">
        <f>IFERROR(__xludf.DUMMYFUNCTION("""COMPUTED_VALUE"""),"Ponticelli Frères")</f>
        <v>Ponticelli Frères</v>
      </c>
      <c r="F14" s="5" t="str">
        <f>IFERROR(__xludf.DUMMYFUNCTION("""COMPUTED_VALUE"""),"info, DS")</f>
        <v>info, DS</v>
      </c>
      <c r="G14" s="64" t="str">
        <f>IFERROR(__xludf.DUMMYFUNCTION("""COMPUTED_VALUE"""),"E8_Ponticelli_REXConstruction.pdf")</f>
        <v>E8_Ponticelli_REXConstruction.pdf</v>
      </c>
      <c r="H14" s="5" t="str">
        <f>IFERROR(__xludf.DUMMYFUNCTION("""COMPUTED_VALUE"""),"")</f>
        <v/>
      </c>
      <c r="I14" s="5" t="str">
        <f>IFERROR(__xludf.DUMMYFUNCTION("""COMPUTED_VALUE"""),"")</f>
        <v/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0.0" customHeight="1">
      <c r="A15" s="13" t="str">
        <f>IFERROR(__xludf.DUMMYFUNCTION("""COMPUTED_VALUE"""),"Gestion Digitale d’un parc de stockage")</f>
        <v>Gestion Digitale d’un parc de stockage</v>
      </c>
      <c r="B15" s="9" t="str">
        <f>IFERROR(__xludf.DUMMYFUNCTION("""COMPUTED_VALUE"""),"E9")</f>
        <v>E9</v>
      </c>
      <c r="C15" s="5" t="str">
        <f>IFERROR(__xludf.DUMMYFUNCTION("""COMPUTED_VALUE"""),"")</f>
        <v/>
      </c>
      <c r="D15" s="18" t="str">
        <f>IFERROR(__xludf.DUMMYFUNCTION("""COMPUTED_VALUE"""),"Entreprise")</f>
        <v>Entreprise</v>
      </c>
      <c r="E15" s="5" t="str">
        <f>IFERROR(__xludf.DUMMYFUNCTION("""COMPUTED_VALUE"""),"Ponticelli Frères")</f>
        <v>Ponticelli Frères</v>
      </c>
      <c r="F15" s="5" t="str">
        <f>IFERROR(__xludf.DUMMYFUNCTION("""COMPUTED_VALUE"""),"info, DS")</f>
        <v>info, DS</v>
      </c>
      <c r="G15" s="64" t="str">
        <f>IFERROR(__xludf.DUMMYFUNCTION("""COMPUTED_VALUE"""),"E9_Ponticelli_GestionDigitale.pdf")</f>
        <v>E9_Ponticelli_GestionDigitale.pdf</v>
      </c>
      <c r="H15" s="5" t="str">
        <f>IFERROR(__xludf.DUMMYFUNCTION("""COMPUTED_VALUE"""),"")</f>
        <v/>
      </c>
      <c r="I15" s="5" t="str">
        <f>IFERROR(__xludf.DUMMYFUNCTION("""COMPUTED_VALUE"""),"")</f>
        <v/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0.0" customHeight="1">
      <c r="A16" s="13" t="str">
        <f>IFERROR(__xludf.DUMMYFUNCTION("""COMPUTED_VALUE"""),"Exploitation et analyse des données de gestion du parc de matériel de construction")</f>
        <v>Exploitation et analyse des données de gestion du parc de matériel de construction</v>
      </c>
      <c r="B16" s="9" t="str">
        <f>IFERROR(__xludf.DUMMYFUNCTION("""COMPUTED_VALUE"""),"E10")</f>
        <v>E10</v>
      </c>
      <c r="C16" s="5" t="str">
        <f>IFERROR(__xludf.DUMMYFUNCTION("""COMPUTED_VALUE"""),"")</f>
        <v/>
      </c>
      <c r="D16" s="18" t="str">
        <f>IFERROR(__xludf.DUMMYFUNCTION("""COMPUTED_VALUE"""),"Entreprise")</f>
        <v>Entreprise</v>
      </c>
      <c r="E16" s="5" t="str">
        <f>IFERROR(__xludf.DUMMYFUNCTION("""COMPUTED_VALUE"""),"Ponticelli Frères")</f>
        <v>Ponticelli Frères</v>
      </c>
      <c r="F16" s="5" t="str">
        <f>IFERROR(__xludf.DUMMYFUNCTION("""COMPUTED_VALUE"""),"info, DS, GI")</f>
        <v>info, DS, GI</v>
      </c>
      <c r="G16" s="64" t="str">
        <f>IFERROR(__xludf.DUMMYFUNCTION("""COMPUTED_VALUE"""),"E10_Ponticelli_AnalyseDonnees.pdf")</f>
        <v>E10_Ponticelli_AnalyseDonnees.pdf</v>
      </c>
      <c r="H16" s="5" t="str">
        <f>IFERROR(__xludf.DUMMYFUNCTION("""COMPUTED_VALUE"""),"")</f>
        <v/>
      </c>
      <c r="I16" s="5" t="str">
        <f>IFERROR(__xludf.DUMMYFUNCTION("""COMPUTED_VALUE"""),"")</f>
        <v/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0.0" customHeight="1">
      <c r="A17" s="13" t="str">
        <f>IFERROR(__xludf.DUMMYFUNCTION("""COMPUTED_VALUE"""),"Mise en place d’un système d’information opérationnel pour la gestion d’une affaire de construction")</f>
        <v>Mise en place d’un système d’information opérationnel pour la gestion d’une affaire de construction</v>
      </c>
      <c r="B17" s="9" t="str">
        <f>IFERROR(__xludf.DUMMYFUNCTION("""COMPUTED_VALUE"""),"E11")</f>
        <v>E11</v>
      </c>
      <c r="C17" s="5" t="str">
        <f>IFERROR(__xludf.DUMMYFUNCTION("""COMPUTED_VALUE"""),"")</f>
        <v/>
      </c>
      <c r="D17" s="18" t="str">
        <f>IFERROR(__xludf.DUMMYFUNCTION("""COMPUTED_VALUE"""),"Entreprise")</f>
        <v>Entreprise</v>
      </c>
      <c r="E17" s="5" t="str">
        <f>IFERROR(__xludf.DUMMYFUNCTION("""COMPUTED_VALUE"""),"Ponticelli Frères")</f>
        <v>Ponticelli Frères</v>
      </c>
      <c r="F17" s="5" t="str">
        <f>IFERROR(__xludf.DUMMYFUNCTION("""COMPUTED_VALUE"""),"info, DS")</f>
        <v>info, DS</v>
      </c>
      <c r="G17" s="64" t="str">
        <f>IFERROR(__xludf.DUMMYFUNCTION("""COMPUTED_VALUE"""),"E11_Ponticelli_SIOperationnel.pdf")</f>
        <v>E11_Ponticelli_SIOperationnel.pdf</v>
      </c>
      <c r="H17" s="5" t="str">
        <f>IFERROR(__xludf.DUMMYFUNCTION("""COMPUTED_VALUE"""),"")</f>
        <v/>
      </c>
      <c r="I17" s="5" t="str">
        <f>IFERROR(__xludf.DUMMYFUNCTION("""COMPUTED_VALUE"""),"")</f>
        <v/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30.0" customHeight="1">
      <c r="A18" s="13" t="str">
        <f>IFERROR(__xludf.DUMMYFUNCTION("""COMPUTED_VALUE"""),"Acquisitions et traitement de données de serrage contrôlé.")</f>
        <v>Acquisitions et traitement de données de serrage contrôlé.</v>
      </c>
      <c r="B18" s="9" t="str">
        <f>IFERROR(__xludf.DUMMYFUNCTION("""COMPUTED_VALUE"""),"E12")</f>
        <v>E12</v>
      </c>
      <c r="C18" s="5" t="str">
        <f>IFERROR(__xludf.DUMMYFUNCTION("""COMPUTED_VALUE"""),"")</f>
        <v/>
      </c>
      <c r="D18" s="18" t="str">
        <f>IFERROR(__xludf.DUMMYFUNCTION("""COMPUTED_VALUE"""),"Entreprise")</f>
        <v>Entreprise</v>
      </c>
      <c r="E18" s="5" t="str">
        <f>IFERROR(__xludf.DUMMYFUNCTION("""COMPUTED_VALUE"""),"Ponticelli Frères")</f>
        <v>Ponticelli Frères</v>
      </c>
      <c r="F18" s="5" t="str">
        <f>IFERROR(__xludf.DUMMYFUNCTION("""COMPUTED_VALUE"""),"info, ELE, SE")</f>
        <v>info, ELE, SE</v>
      </c>
      <c r="G18" s="64" t="str">
        <f>IFERROR(__xludf.DUMMYFUNCTION("""COMPUTED_VALUE"""),"E12_Ponticelli_TraitementDonnées.pdf")</f>
        <v>E12_Ponticelli_TraitementDonnées.pdf</v>
      </c>
      <c r="H18" s="5" t="str">
        <f>IFERROR(__xludf.DUMMYFUNCTION("""COMPUTED_VALUE"""),"")</f>
        <v/>
      </c>
      <c r="I18" s="5" t="str">
        <f>IFERROR(__xludf.DUMMYFUNCTION("""COMPUTED_VALUE"""),"")</f>
        <v/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30.0" customHeight="1">
      <c r="A19" s="13" t="str">
        <f>IFERROR(__xludf.DUMMYFUNCTION("""COMPUTED_VALUE"""),"Valorisation de l’énergie solaire pour la mobilité et V2G")</f>
        <v>Valorisation de l’énergie solaire pour la mobilité et V2G</v>
      </c>
      <c r="B19" s="9" t="str">
        <f>IFERROR(__xludf.DUMMYFUNCTION("""COMPUTED_VALUE"""),"E13")</f>
        <v>E13</v>
      </c>
      <c r="C19" s="5" t="str">
        <f>IFERROR(__xludf.DUMMYFUNCTION("""COMPUTED_VALUE"""),"")</f>
        <v/>
      </c>
      <c r="D19" s="18" t="str">
        <f>IFERROR(__xludf.DUMMYFUNCTION("""COMPUTED_VALUE"""),"Entreprise")</f>
        <v>Entreprise</v>
      </c>
      <c r="E19" s="5" t="str">
        <f>IFERROR(__xludf.DUMMYFUNCTION("""COMPUTED_VALUE"""),"AREP")</f>
        <v>AREP</v>
      </c>
      <c r="F19" s="5" t="str">
        <f>IFERROR(__xludf.DUMMYFUNCTION("""COMPUTED_VALUE"""),"ENE")</f>
        <v>ENE</v>
      </c>
      <c r="G19" s="64" t="str">
        <f>IFERROR(__xludf.DUMMYFUNCTION("""COMPUTED_VALUE"""),"E13_AREP_ValorisationEnergieSolaire.pdf")</f>
        <v>E13_AREP_ValorisationEnergieSolaire.pdf</v>
      </c>
      <c r="H19" s="5" t="str">
        <f>IFERROR(__xludf.DUMMYFUNCTION("""COMPUTED_VALUE"""),"Martin Hendel")</f>
        <v>Martin Hendel</v>
      </c>
      <c r="I19" s="5" t="str">
        <f>IFERROR(__xludf.DUMMYFUNCTION("""COMPUTED_VALUE"""),"")</f>
        <v/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30.0" customHeight="1">
      <c r="A20" s="13" t="str">
        <f>IFERROR(__xludf.DUMMYFUNCTION("""COMPUTED_VALUE"""),"Smartcontract pour la gestion des déchets de chantier")</f>
        <v>Smartcontract pour la gestion des déchets de chantier</v>
      </c>
      <c r="B20" s="9" t="str">
        <f>IFERROR(__xludf.DUMMYFUNCTION("""COMPUTED_VALUE"""),"E14")</f>
        <v>E14</v>
      </c>
      <c r="C20" s="5" t="str">
        <f>IFERROR(__xludf.DUMMYFUNCTION("""COMPUTED_VALUE"""),"")</f>
        <v/>
      </c>
      <c r="D20" s="18" t="str">
        <f>IFERROR(__xludf.DUMMYFUNCTION("""COMPUTED_VALUE"""),"Entreprise")</f>
        <v>Entreprise</v>
      </c>
      <c r="E20" s="5" t="str">
        <f>IFERROR(__xludf.DUMMYFUNCTION("""COMPUTED_VALUE"""),"AREP")</f>
        <v>AREP</v>
      </c>
      <c r="F20" s="5" t="str">
        <f>IFERROR(__xludf.DUMMYFUNCTION("""COMPUTED_VALUE"""),"ENE, INF")</f>
        <v>ENE, INF</v>
      </c>
      <c r="G20" s="64" t="str">
        <f>IFERROR(__xludf.DUMMYFUNCTION("""COMPUTED_VALUE"""),"E14_AREP_Smartcontract.pdf")</f>
        <v>E14_AREP_Smartcontract.pdf</v>
      </c>
      <c r="H20" s="5" t="str">
        <f>IFERROR(__xludf.DUMMYFUNCTION("""COMPUTED_VALUE"""),"Martin Hendel")</f>
        <v>Martin Hendel</v>
      </c>
      <c r="I20" s="5" t="str">
        <f>IFERROR(__xludf.DUMMYFUNCTION("""COMPUTED_VALUE"""),"")</f>
        <v/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0.0" customHeight="1">
      <c r="A21" s="13" t="str">
        <f>IFERROR(__xludf.DUMMYFUNCTION("""COMPUTED_VALUE"""),"Information contextuelle - visualisation 3D - anatomie")</f>
        <v>Information contextuelle - visualisation 3D - anatomie</v>
      </c>
      <c r="B21" s="9" t="str">
        <f>IFERROR(__xludf.DUMMYFUNCTION("""COMPUTED_VALUE"""),"E15 ")</f>
        <v>E15 </v>
      </c>
      <c r="C21" s="5" t="str">
        <f>IFERROR(__xludf.DUMMYFUNCTION("""COMPUTED_VALUE"""),"")</f>
        <v/>
      </c>
      <c r="D21" s="18" t="str">
        <f>IFERROR(__xludf.DUMMYFUNCTION("""COMPUTED_VALUE"""),"Entreprise")</f>
        <v>Entreprise</v>
      </c>
      <c r="E21" s="5" t="str">
        <f>IFERROR(__xludf.DUMMYFUNCTION("""COMPUTED_VALUE"""),"Fondation HON")</f>
        <v>Fondation HON</v>
      </c>
      <c r="F21" s="5" t="str">
        <f>IFERROR(__xludf.DUMMYFUNCTION("""COMPUTED_VALUE"""),"Info, e-Santé")</f>
        <v>Info, e-Santé</v>
      </c>
      <c r="G21" s="64" t="str">
        <f>IFERROR(__xludf.DUMMYFUNCTION("""COMPUTED_VALUE"""),"E15_Informatique 3D")</f>
        <v>E15_Informatique 3D</v>
      </c>
      <c r="H21" s="5" t="str">
        <f>IFERROR(__xludf.DUMMYFUNCTION("""COMPUTED_VALUE"""),"B. Roudier         A. Ugon      C.Boyer")</f>
        <v>B. Roudier         A. Ugon      C.Boyer</v>
      </c>
      <c r="I21" s="5" t="str">
        <f>IFERROR(__xludf.DUMMYFUNCTION("""COMPUTED_VALUE"""),"")</f>
        <v/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30.0" customHeight="1">
      <c r="A22" s="13" t="str">
        <f>IFERROR(__xludf.DUMMYFUNCTION("""COMPUTED_VALUE"""),"Contrôle d’une flotte de robots motorisés robustes aux imperfections des moyens de communications sans fil")</f>
        <v>Contrôle d’une flotte de robots motorisés robustes aux imperfections des moyens de communications sans fil</v>
      </c>
      <c r="B22" s="9" t="str">
        <f>IFERROR(__xludf.DUMMYFUNCTION("""COMPUTED_VALUE"""),"E16")</f>
        <v>E16</v>
      </c>
      <c r="C22" s="5" t="str">
        <f>IFERROR(__xludf.DUMMYFUNCTION("""COMPUTED_VALUE"""),"")</f>
        <v/>
      </c>
      <c r="D22" s="18" t="str">
        <f>IFERROR(__xludf.DUMMYFUNCTION("""COMPUTED_VALUE"""),"Entreprise")</f>
        <v>Entreprise</v>
      </c>
      <c r="E22" s="5" t="str">
        <f>IFERROR(__xludf.DUMMYFUNCTION("""COMPUTED_VALUE"""),"Mitsubishi Electric R&amp;D Centre Europe")</f>
        <v>Mitsubishi Electric R&amp;D Centre Europe</v>
      </c>
      <c r="F22" s="5" t="str">
        <f>IFERROR(__xludf.DUMMYFUNCTION("""COMPUTED_VALUE"""),"SE, Info")</f>
        <v>SE, Info</v>
      </c>
      <c r="G22" s="64" t="str">
        <f>IFERROR(__xludf.DUMMYFUNCTION("""COMPUTED_VALUE"""),"E16_Mitsubishi_ControleFlotteRobot.pdf")</f>
        <v>E16_Mitsubishi_ControleFlotteRobot.pdf</v>
      </c>
      <c r="H22" s="5" t="str">
        <f>IFERROR(__xludf.DUMMYFUNCTION("""COMPUTED_VALUE"""),"G Baudoin")</f>
        <v>G Baudoin</v>
      </c>
      <c r="I22" s="5" t="str">
        <f>IFERROR(__xludf.DUMMYFUNCTION("""COMPUTED_VALUE"""),"")</f>
        <v/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0.0" customHeight="1">
      <c r="A23" s="13" t="str">
        <f>IFERROR(__xludf.DUMMYFUNCTION("""COMPUTED_VALUE"""),"Apprentissage et Calibration de compteurs d’eau à ultrasons")</f>
        <v>Apprentissage et Calibration de compteurs d’eau à ultrasons</v>
      </c>
      <c r="B23" s="9" t="str">
        <f>IFERROR(__xludf.DUMMYFUNCTION("""COMPUTED_VALUE"""),"E17")</f>
        <v>E17</v>
      </c>
      <c r="C23" s="5" t="str">
        <f>IFERROR(__xludf.DUMMYFUNCTION("""COMPUTED_VALUE"""),"")</f>
        <v/>
      </c>
      <c r="D23" s="18" t="str">
        <f>IFERROR(__xludf.DUMMYFUNCTION("""COMPUTED_VALUE"""),"Entreprise")</f>
        <v>Entreprise</v>
      </c>
      <c r="E23" s="5" t="str">
        <f>IFERROR(__xludf.DUMMYFUNCTION("""COMPUTED_VALUE"""),"Sagemcom")</f>
        <v>Sagemcom</v>
      </c>
      <c r="F23" s="5" t="str">
        <f>IFERROR(__xludf.DUMMYFUNCTION("""COMPUTED_VALUE"""),"SE,ENE, DSIA, métrologie")</f>
        <v>SE,ENE, DSIA, métrologie</v>
      </c>
      <c r="G23" s="64" t="str">
        <f>IFERROR(__xludf.DUMMYFUNCTION("""COMPUTED_VALUE"""),"E17_Sagemcom_CompteurEau.pdf")</f>
        <v>E17_Sagemcom_CompteurEau.pdf</v>
      </c>
      <c r="H23" s="5" t="str">
        <f>IFERROR(__xludf.DUMMYFUNCTION("""COMPUTED_VALUE"""),"JF. Bercher")</f>
        <v>JF. Bercher</v>
      </c>
      <c r="I23" s="5" t="str">
        <f>IFERROR(__xludf.DUMMYFUNCTION("""COMPUTED_VALUE"""),"")</f>
        <v/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0.0" customHeight="1">
      <c r="A24" s="13" t="str">
        <f>IFERROR(__xludf.DUMMYFUNCTION("""COMPUTED_VALUE"""),"Mesure d'occlusion dans une pompe de chimiothérapie")</f>
        <v>Mesure d'occlusion dans une pompe de chimiothérapie</v>
      </c>
      <c r="B24" s="9" t="str">
        <f>IFERROR(__xludf.DUMMYFUNCTION("""COMPUTED_VALUE"""),"E18")</f>
        <v>E18</v>
      </c>
      <c r="C24" s="5" t="str">
        <f>IFERROR(__xludf.DUMMYFUNCTION("""COMPUTED_VALUE"""),"")</f>
        <v/>
      </c>
      <c r="D24" s="18" t="str">
        <f>IFERROR(__xludf.DUMMYFUNCTION("""COMPUTED_VALUE"""),"Entreprise")</f>
        <v>Entreprise</v>
      </c>
      <c r="E24" s="5" t="str">
        <f>IFERROR(__xludf.DUMMYFUNCTION("""COMPUTED_VALUE"""),"Axon")</f>
        <v>Axon</v>
      </c>
      <c r="F24" s="5" t="str">
        <f>IFERROR(__xludf.DUMMYFUNCTION("""COMPUTED_VALUE"""),"SE, ELE")</f>
        <v>SE, ELE</v>
      </c>
      <c r="G24" s="64" t="str">
        <f>IFERROR(__xludf.DUMMYFUNCTION("""COMPUTED_VALUE"""),"E18_Axon_PompeChimio.pdf")</f>
        <v>E18_Axon_PompeChimio.pdf</v>
      </c>
      <c r="H24" s="5" t="str">
        <f>IFERROR(__xludf.DUMMYFUNCTION("""COMPUTED_VALUE"""),"L. Bougriot       C. Berland        P.Poulichet")</f>
        <v>L. Bougriot       C. Berland        P.Poulichet</v>
      </c>
      <c r="I24" s="5" t="str">
        <f>IFERROR(__xludf.DUMMYFUNCTION("""COMPUTED_VALUE"""),"")</f>
        <v/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30.0" customHeight="1">
      <c r="A25" s="13" t="str">
        <f>IFERROR(__xludf.DUMMYFUNCTION("""COMPUTED_VALUE"""),"Détection et visualisation d'évènements pour le monitoring cardiovasculaire")</f>
        <v>Détection et visualisation d'évènements pour le monitoring cardiovasculaire</v>
      </c>
      <c r="B25" s="9" t="str">
        <f>IFERROR(__xludf.DUMMYFUNCTION("""COMPUTED_VALUE"""),"E19")</f>
        <v>E19</v>
      </c>
      <c r="C25" s="5" t="str">
        <f>IFERROR(__xludf.DUMMYFUNCTION("""COMPUTED_VALUE"""),"")</f>
        <v/>
      </c>
      <c r="D25" s="18" t="str">
        <f>IFERROR(__xludf.DUMMYFUNCTION("""COMPUTED_VALUE"""),"Entreprise")</f>
        <v>Entreprise</v>
      </c>
      <c r="E25" s="5" t="str">
        <f>IFERROR(__xludf.DUMMYFUNCTION("""COMPUTED_VALUE"""),"EDS APHP")</f>
        <v>EDS APHP</v>
      </c>
      <c r="F25" s="5" t="str">
        <f>IFERROR(__xludf.DUMMYFUNCTION("""COMPUTED_VALUE"""),"Info, SE, e-santé, DSIA")</f>
        <v>Info, SE, e-santé, DSIA</v>
      </c>
      <c r="G25" s="64" t="str">
        <f>IFERROR(__xludf.DUMMYFUNCTION("""COMPUTED_VALUE"""),"E19_EDS APHP_MonitoringCardio.pdf")</f>
        <v>E19_EDS APHP_MonitoringCardio.pdf</v>
      </c>
      <c r="H25" s="5" t="str">
        <f>IFERROR(__xludf.DUMMYFUNCTION("""COMPUTED_VALUE"""),"B. Roudier       N. Madaoui")</f>
        <v>B. Roudier       N. Madaoui</v>
      </c>
      <c r="I25" s="5" t="str">
        <f>IFERROR(__xludf.DUMMYFUNCTION("""COMPUTED_VALUE"""),"")</f>
        <v/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0.0" customHeight="1">
      <c r="A26" s="13" t="str">
        <f>IFERROR(__xludf.DUMMYFUNCTION("""COMPUTED_VALUE"""),"Smart Wearables et base de données collaboratives sur les capteurs biométriques pour étudiants ESIEE")</f>
        <v>Smart Wearables et base de données collaboratives sur les capteurs biométriques pour étudiants ESIEE</v>
      </c>
      <c r="B26" s="9" t="str">
        <f>IFERROR(__xludf.DUMMYFUNCTION("""COMPUTED_VALUE"""),"E20")</f>
        <v>E20</v>
      </c>
      <c r="C26" s="5" t="str">
        <f>IFERROR(__xludf.DUMMYFUNCTION("""COMPUTED_VALUE"""),"")</f>
        <v/>
      </c>
      <c r="D26" s="18" t="str">
        <f>IFERROR(__xludf.DUMMYFUNCTION("""COMPUTED_VALUE"""),"Entreprise")</f>
        <v>Entreprise</v>
      </c>
      <c r="E26" s="5" t="str">
        <f>IFERROR(__xludf.DUMMYFUNCTION("""COMPUTED_VALUE"""),"SableChaud")</f>
        <v>SableChaud</v>
      </c>
      <c r="F26" s="5" t="str">
        <f>IFERROR(__xludf.DUMMYFUNCTION("""COMPUTED_VALUE"""),"SE, ELE, BIO-Tech")</f>
        <v>SE, ELE, BIO-Tech</v>
      </c>
      <c r="G26" s="64" t="str">
        <f>IFERROR(__xludf.DUMMYFUNCTION("""COMPUTED_VALUE"""),"E20 - Base Capteurs - Smart wearables.pdf")</f>
        <v>E20 - Base Capteurs - Smart wearables.pdf</v>
      </c>
      <c r="H26" s="5" t="str">
        <f>IFERROR(__xludf.DUMMYFUNCTION("""COMPUTED_VALUE"""),"J.L. Polleux 
F. Bost")</f>
        <v>J.L. Polleux 
F. Bost</v>
      </c>
      <c r="I26" s="5" t="str">
        <f>IFERROR(__xludf.DUMMYFUNCTION("""COMPUTED_VALUE"""),"")</f>
        <v/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30.0" customHeight="1">
      <c r="A27" s="13" t="str">
        <f>IFERROR(__xludf.DUMMYFUNCTION("""COMPUTED_VALUE"""),"Automatisation d’un système d’irrigation par ouverture/fermeture d’électrovannes dans une ferme d’insertion :Automatisation d’un système d’irrigation par ouverture/fermeture d’électrovannes dans une ferme d’insertion
« Venez faire un peu d’IoT à la ferme "&amp;"! »")</f>
        <v>Automatisation d’un système d’irrigation par ouverture/fermeture d’électrovannes dans une ferme d’insertion :Automatisation d’un système d’irrigation par ouverture/fermeture d’électrovannes dans une ferme d’insertion
« Venez faire un peu d’IoT à la ferme ! »</v>
      </c>
      <c r="B27" s="9" t="str">
        <f>IFERROR(__xludf.DUMMYFUNCTION("""COMPUTED_VALUE"""),"E21")</f>
        <v>E21</v>
      </c>
      <c r="C27" s="5" t="str">
        <f>IFERROR(__xludf.DUMMYFUNCTION("""COMPUTED_VALUE"""),"")</f>
        <v/>
      </c>
      <c r="D27" s="18" t="str">
        <f>IFERROR(__xludf.DUMMYFUNCTION("""COMPUTED_VALUE"""),"Entreprise")</f>
        <v>Entreprise</v>
      </c>
      <c r="E27" s="5" t="str">
        <f>IFERROR(__xludf.DUMMYFUNCTION("""COMPUTED_VALUE"""),"Association Latitudes")</f>
        <v>Association Latitudes</v>
      </c>
      <c r="F27" s="5" t="str">
        <f>IFERROR(__xludf.DUMMYFUNCTION("""COMPUTED_VALUE"""),"DSIA, ELE")</f>
        <v>DSIA, ELE</v>
      </c>
      <c r="G27" s="64" t="str">
        <f>IFERROR(__xludf.DUMMYFUNCTION("""COMPUTED_VALUE"""),"E21_Latitudes_A la bonne ferme.pdf")</f>
        <v>E21_Latitudes_A la bonne ferme.pdf</v>
      </c>
      <c r="H27" s="5" t="str">
        <f>IFERROR(__xludf.DUMMYFUNCTION("""COMPUTED_VALUE"""),"C.Berland L.George")</f>
        <v>C.Berland L.George</v>
      </c>
      <c r="I27" s="5" t="str">
        <f>IFERROR(__xludf.DUMMYFUNCTION("""COMPUTED_VALUE"""),"")</f>
        <v/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30.0" customHeight="1">
      <c r="A28" s="13" t="str">
        <f>IFERROR(__xludf.DUMMYFUNCTION("""COMPUTED_VALUE"""),"Streetco – Un GPS piéton dédié aux personnes à mobilité réduites « Bienvenue dans un monde sans obstacles ! »")</f>
        <v>Streetco – Un GPS piéton dédié aux personnes à mobilité réduites « Bienvenue dans un monde sans obstacles ! »</v>
      </c>
      <c r="B28" s="9" t="str">
        <f>IFERROR(__xludf.DUMMYFUNCTION("""COMPUTED_VALUE"""),"E22")</f>
        <v>E22</v>
      </c>
      <c r="C28" s="5" t="str">
        <f>IFERROR(__xludf.DUMMYFUNCTION("""COMPUTED_VALUE"""),"")</f>
        <v/>
      </c>
      <c r="D28" s="18" t="str">
        <f>IFERROR(__xludf.DUMMYFUNCTION("""COMPUTED_VALUE"""),"Entreprise")</f>
        <v>Entreprise</v>
      </c>
      <c r="E28" s="5" t="str">
        <f>IFERROR(__xludf.DUMMYFUNCTION("""COMPUTED_VALUE"""),"Association Latitudes")</f>
        <v>Association Latitudes</v>
      </c>
      <c r="F28" s="5" t="str">
        <f>IFERROR(__xludf.DUMMYFUNCTION("""COMPUTED_VALUE"""),"Info")</f>
        <v>Info</v>
      </c>
      <c r="G28" s="64" t="str">
        <f>IFERROR(__xludf.DUMMYFUNCTION("""COMPUTED_VALUE"""),"E22_Latitudes_Streetco.pdf")</f>
        <v>E22_Latitudes_Streetco.pdf</v>
      </c>
      <c r="H28" s="5" t="str">
        <f>IFERROR(__xludf.DUMMYFUNCTION("""COMPUTED_VALUE"""),"C.Berland L.George")</f>
        <v>C.Berland L.George</v>
      </c>
      <c r="I28" s="5" t="str">
        <f>IFERROR(__xludf.DUMMYFUNCTION("""COMPUTED_VALUE"""),"")</f>
        <v/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30.0" customHeight="1">
      <c r="A29" s="13" t="str">
        <f>IFERROR(__xludf.DUMMYFUNCTION("""COMPUTED_VALUE"""),"Développement d’un jeu vidéo éducatif avec Unity, à destination des enfants dyslexiques et dyspraxiques.")</f>
        <v>Développement d’un jeu vidéo éducatif avec Unity, à destination des enfants dyslexiques et dyspraxiques.</v>
      </c>
      <c r="B29" s="9" t="str">
        <f>IFERROR(__xludf.DUMMYFUNCTION("""COMPUTED_VALUE"""),"E23")</f>
        <v>E23</v>
      </c>
      <c r="C29" s="5" t="str">
        <f>IFERROR(__xludf.DUMMYFUNCTION("""COMPUTED_VALUE"""),"")</f>
        <v/>
      </c>
      <c r="D29" s="18" t="str">
        <f>IFERROR(__xludf.DUMMYFUNCTION("""COMPUTED_VALUE"""),"Entreprise")</f>
        <v>Entreprise</v>
      </c>
      <c r="E29" s="5" t="str">
        <f>IFERROR(__xludf.DUMMYFUNCTION("""COMPUTED_VALUE"""),"Association Latitudes")</f>
        <v>Association Latitudes</v>
      </c>
      <c r="F29" s="5" t="str">
        <f>IFERROR(__xludf.DUMMYFUNCTION("""COMPUTED_VALUE"""),"Info")</f>
        <v>Info</v>
      </c>
      <c r="G29" s="64" t="str">
        <f>IFERROR(__xludf.DUMMYFUNCTION("""COMPUTED_VALUE"""),"E23_Latitudes_RALALERE.pdf")</f>
        <v>E23_Latitudes_RALALERE.pdf</v>
      </c>
      <c r="H29" s="5" t="str">
        <f>IFERROR(__xludf.DUMMYFUNCTION("""COMPUTED_VALUE"""),"C.Berland L.George")</f>
        <v>C.Berland L.George</v>
      </c>
      <c r="I29" s="5" t="str">
        <f>IFERROR(__xludf.DUMMYFUNCTION("""COMPUTED_VALUE"""),"")</f>
        <v/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30.0" customHeight="1">
      <c r="A30" s="13" t="str">
        <f>IFERROR(__xludf.DUMMYFUNCTION("""COMPUTED_VALUE"""),"Mutum – Data Mining et Économie Circulaire")</f>
        <v>Mutum – Data Mining et Économie Circulaire</v>
      </c>
      <c r="B30" s="9" t="str">
        <f>IFERROR(__xludf.DUMMYFUNCTION("""COMPUTED_VALUE"""),"E24")</f>
        <v>E24</v>
      </c>
      <c r="C30" s="5" t="str">
        <f>IFERROR(__xludf.DUMMYFUNCTION("""COMPUTED_VALUE"""),"")</f>
        <v/>
      </c>
      <c r="D30" s="18" t="str">
        <f>IFERROR(__xludf.DUMMYFUNCTION("""COMPUTED_VALUE"""),"Entreprise")</f>
        <v>Entreprise</v>
      </c>
      <c r="E30" s="5" t="str">
        <f>IFERROR(__xludf.DUMMYFUNCTION("""COMPUTED_VALUE"""),"Association Latitudes")</f>
        <v>Association Latitudes</v>
      </c>
      <c r="F30" s="5" t="str">
        <f>IFERROR(__xludf.DUMMYFUNCTION("""COMPUTED_VALUE"""),"Info, DSIA")</f>
        <v>Info, DSIA</v>
      </c>
      <c r="G30" s="64" t="str">
        <f>IFERROR(__xludf.DUMMYFUNCTION("""COMPUTED_VALUE"""),"E24_Latitudes_Mutum.pdf")</f>
        <v>E24_Latitudes_Mutum.pdf</v>
      </c>
      <c r="H30" s="5" t="str">
        <f>IFERROR(__xludf.DUMMYFUNCTION("""COMPUTED_VALUE"""),"C.Berland L.George")</f>
        <v>C.Berland L.George</v>
      </c>
      <c r="I30" s="5" t="str">
        <f>IFERROR(__xludf.DUMMYFUNCTION("""COMPUTED_VALUE"""),"")</f>
        <v/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0.0" customHeight="1">
      <c r="A31" s="13" t="str">
        <f>IFERROR(__xludf.DUMMYFUNCTION("""COMPUTED_VALUE"""),"Projet d.Mobilier de la Dschool")</f>
        <v>Projet d.Mobilier de la Dschool</v>
      </c>
      <c r="B31" s="9" t="str">
        <f>IFERROR(__xludf.DUMMYFUNCTION("""COMPUTED_VALUE"""),"E25")</f>
        <v>E25</v>
      </c>
      <c r="C31" s="5" t="str">
        <f>IFERROR(__xludf.DUMMYFUNCTION("""COMPUTED_VALUE"""),"")</f>
        <v/>
      </c>
      <c r="D31" s="18" t="str">
        <f>IFERROR(__xludf.DUMMYFUNCTION("""COMPUTED_VALUE"""),"Entreprise")</f>
        <v>Entreprise</v>
      </c>
      <c r="E31" s="5" t="str">
        <f>IFERROR(__xludf.DUMMYFUNCTION("""COMPUTED_VALUE"""),"D.School")</f>
        <v>D.School</v>
      </c>
      <c r="F31" s="5" t="str">
        <f>IFERROR(__xludf.DUMMYFUNCTION("""COMPUTED_VALUE"""),"")</f>
        <v/>
      </c>
      <c r="G31" s="64" t="str">
        <f>IFERROR(__xludf.DUMMYFUNCTION("""COMPUTED_VALUE"""),"E25_d-Immobilier.pdf")</f>
        <v>E25_d-Immobilier.pdf</v>
      </c>
      <c r="H31" s="5" t="str">
        <f>IFERROR(__xludf.DUMMYFUNCTION("""COMPUTED_VALUE"""),"S. Latorre")</f>
        <v>S. Latorre</v>
      </c>
      <c r="I31" s="5" t="str">
        <f>IFERROR(__xludf.DUMMYFUNCTION("""COMPUTED_VALUE"""),"Uniquement étudiants inscrits à l'unité OUAP-4110")</f>
        <v>Uniquement étudiants inscrits à l'unité OUAP-4110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0.0" customHeight="1">
      <c r="A32" s="13" t="str">
        <f>IFERROR(__xludf.DUMMYFUNCTION("""COMPUTED_VALUE"""),"Détection de personnes par méthodes électromagnétiques")</f>
        <v>Détection de personnes par méthodes électromagnétiques</v>
      </c>
      <c r="B32" s="9" t="str">
        <f>IFERROR(__xludf.DUMMYFUNCTION("""COMPUTED_VALUE"""),"E26")</f>
        <v>E26</v>
      </c>
      <c r="C32" s="5" t="str">
        <f>IFERROR(__xludf.DUMMYFUNCTION("""COMPUTED_VALUE"""),"")</f>
        <v/>
      </c>
      <c r="D32" s="18" t="str">
        <f>IFERROR(__xludf.DUMMYFUNCTION("""COMPUTED_VALUE"""),"Entreprise")</f>
        <v>Entreprise</v>
      </c>
      <c r="E32" s="5" t="str">
        <f>IFERROR(__xludf.DUMMYFUNCTION("""COMPUTED_VALUE"""),"TAGSYS europe")</f>
        <v>TAGSYS europe</v>
      </c>
      <c r="F32" s="5" t="str">
        <f>IFERROR(__xludf.DUMMYFUNCTION("""COMPUTED_VALUE"""),"ELE, SE, Info")</f>
        <v>ELE, SE, Info</v>
      </c>
      <c r="G32" s="64" t="str">
        <f>IFERROR(__xludf.DUMMYFUNCTION("""COMPUTED_VALUE"""),"E26_TAGSYS_RFID.pdf")</f>
        <v>E26_TAGSYS_RFID.pdf</v>
      </c>
      <c r="H32" s="5" t="str">
        <f>IFERROR(__xludf.DUMMYFUNCTION("""COMPUTED_VALUE"""),"T. Alves")</f>
        <v>T. Alves</v>
      </c>
      <c r="I32" s="5" t="str">
        <f>IFERROR(__xludf.DUMMYFUNCTION("""COMPUTED_VALUE"""),"")</f>
        <v/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0.0" customHeight="1">
      <c r="A33" s="13" t="str">
        <f>IFERROR(__xludf.DUMMYFUNCTION("""COMPUTED_VALUE"""),"A new Marking Module for AMC")</f>
        <v>A new Marking Module for AMC</v>
      </c>
      <c r="B33" s="9" t="str">
        <f>IFERROR(__xludf.DUMMYFUNCTION("""COMPUTED_VALUE"""),"LL1")</f>
        <v>LL1</v>
      </c>
      <c r="C33" s="5" t="str">
        <f>IFERROR(__xludf.DUMMYFUNCTION("""COMPUTED_VALUE"""),"")</f>
        <v/>
      </c>
      <c r="D33" s="18" t="str">
        <f>IFERROR(__xludf.DUMMYFUNCTION("""COMPUTED_VALUE"""),"Logiciel libre")</f>
        <v>Logiciel libre</v>
      </c>
      <c r="E33" s="5" t="str">
        <f>IFERROR(__xludf.DUMMYFUNCTION("""COMPUTED_VALUE"""),"")</f>
        <v/>
      </c>
      <c r="F33" s="5" t="str">
        <f>IFERROR(__xludf.DUMMYFUNCTION("""COMPUTED_VALUE"""),"IMC, DSIA")</f>
        <v>IMC, DSIA</v>
      </c>
      <c r="G33" s="64" t="str">
        <f>IFERROR(__xludf.DUMMYFUNCTION("""COMPUTED_VALUE"""),"LL1_IMCProject_CorrectionModuleAMC.pdf")</f>
        <v>LL1_IMCProject_CorrectionModuleAMC.pdf</v>
      </c>
      <c r="H33" s="5" t="str">
        <f>IFERROR(__xludf.DUMMYFUNCTION("""COMPUTED_VALUE"""),"Y.Abdeddaim JF. Bercher")</f>
        <v>Y.Abdeddaim JF. Bercher</v>
      </c>
      <c r="I33" s="5" t="str">
        <f>IFERROR(__xludf.DUMMYFUNCTION("""COMPUTED_VALUE"""),"Only semester 2")</f>
        <v>Only semester 2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0.0" customHeight="1">
      <c r="A34" s="13" t="str">
        <f>IFERROR(__xludf.DUMMYFUNCTION("""COMPUTED_VALUE"""),"")</f>
        <v/>
      </c>
      <c r="B34" s="9" t="str">
        <f>IFERROR(__xludf.DUMMYFUNCTION("""COMPUTED_VALUE"""),"LL2")</f>
        <v>LL2</v>
      </c>
      <c r="C34" s="5" t="str">
        <f>IFERROR(__xludf.DUMMYFUNCTION("""COMPUTED_VALUE"""),"")</f>
        <v/>
      </c>
      <c r="D34" s="18" t="str">
        <f>IFERROR(__xludf.DUMMYFUNCTION("""COMPUTED_VALUE"""),"Logiciel libre")</f>
        <v>Logiciel libre</v>
      </c>
      <c r="E34" s="5" t="str">
        <f>IFERROR(__xludf.DUMMYFUNCTION("""COMPUTED_VALUE"""),"")</f>
        <v/>
      </c>
      <c r="F34" s="5" t="str">
        <f>IFERROR(__xludf.DUMMYFUNCTION("""COMPUTED_VALUE"""),"")</f>
        <v/>
      </c>
      <c r="G34" s="18" t="str">
        <f>IFERROR(__xludf.DUMMYFUNCTION("""COMPUTED_VALUE"""),"")</f>
        <v/>
      </c>
      <c r="H34" s="5" t="str">
        <f>IFERROR(__xludf.DUMMYFUNCTION("""COMPUTED_VALUE"""),"")</f>
        <v/>
      </c>
      <c r="I34" s="5" t="str">
        <f>IFERROR(__xludf.DUMMYFUNCTION("""COMPUTED_VALUE"""),"")</f>
        <v/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0.0" customHeight="1">
      <c r="A35" s="13" t="str">
        <f>IFERROR(__xludf.DUMMYFUNCTION("""COMPUTED_VALUE"""),"")</f>
        <v/>
      </c>
      <c r="B35" s="9" t="str">
        <f>IFERROR(__xludf.DUMMYFUNCTION("""COMPUTED_VALUE"""),"LL5")</f>
        <v>LL5</v>
      </c>
      <c r="C35" s="5" t="str">
        <f>IFERROR(__xludf.DUMMYFUNCTION("""COMPUTED_VALUE"""),"")</f>
        <v/>
      </c>
      <c r="D35" s="18" t="str">
        <f>IFERROR(__xludf.DUMMYFUNCTION("""COMPUTED_VALUE"""),"Logiciel libre")</f>
        <v>Logiciel libre</v>
      </c>
      <c r="E35" s="5" t="str">
        <f>IFERROR(__xludf.DUMMYFUNCTION("""COMPUTED_VALUE"""),"")</f>
        <v/>
      </c>
      <c r="F35" s="5" t="str">
        <f>IFERROR(__xludf.DUMMYFUNCTION("""COMPUTED_VALUE"""),"")</f>
        <v/>
      </c>
      <c r="G35" s="18" t="str">
        <f>IFERROR(__xludf.DUMMYFUNCTION("""COMPUTED_VALUE"""),"")</f>
        <v/>
      </c>
      <c r="H35" s="5" t="str">
        <f>IFERROR(__xludf.DUMMYFUNCTION("""COMPUTED_VALUE"""),"")</f>
        <v/>
      </c>
      <c r="I35" s="5" t="str">
        <f>IFERROR(__xludf.DUMMYFUNCTION("""COMPUTED_VALUE"""),"")</f>
        <v/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30.0" customHeight="1">
      <c r="A36" s="13" t="str">
        <f>IFERROR(__xludf.DUMMYFUNCTION("""COMPUTED_VALUE"""),"")</f>
        <v/>
      </c>
      <c r="B36" s="9" t="str">
        <f>IFERROR(__xludf.DUMMYFUNCTION("""COMPUTED_VALUE"""),"LL6")</f>
        <v>LL6</v>
      </c>
      <c r="C36" s="5" t="str">
        <f>IFERROR(__xludf.DUMMYFUNCTION("""COMPUTED_VALUE"""),"")</f>
        <v/>
      </c>
      <c r="D36" s="18" t="str">
        <f>IFERROR(__xludf.DUMMYFUNCTION("""COMPUTED_VALUE"""),"Logiciel libre")</f>
        <v>Logiciel libre</v>
      </c>
      <c r="E36" s="5" t="str">
        <f>IFERROR(__xludf.DUMMYFUNCTION("""COMPUTED_VALUE"""),"")</f>
        <v/>
      </c>
      <c r="F36" s="5" t="str">
        <f>IFERROR(__xludf.DUMMYFUNCTION("""COMPUTED_VALUE"""),"")</f>
        <v/>
      </c>
      <c r="G36" s="18" t="str">
        <f>IFERROR(__xludf.DUMMYFUNCTION("""COMPUTED_VALUE"""),"")</f>
        <v/>
      </c>
      <c r="H36" s="5" t="str">
        <f>IFERROR(__xludf.DUMMYFUNCTION("""COMPUTED_VALUE"""),"")</f>
        <v/>
      </c>
      <c r="I36" s="5" t="str">
        <f>IFERROR(__xludf.DUMMYFUNCTION("""COMPUTED_VALUE"""),"")</f>
        <v/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30.0" customHeight="1">
      <c r="A37" s="13" t="str">
        <f>IFERROR(__xludf.DUMMYFUNCTION("""COMPUTED_VALUE"""),"UberCool - Production, stockage et distribution du froid négatif par la livraison rapide")</f>
        <v>UberCool - Production, stockage et distribution du froid négatif par la livraison rapide</v>
      </c>
      <c r="B37" s="9" t="str">
        <f>IFERROR(__xludf.DUMMYFUNCTION("""COMPUTED_VALUE"""),"R1")</f>
        <v>R1</v>
      </c>
      <c r="C37" s="5" t="str">
        <f>IFERROR(__xludf.DUMMYFUNCTION("""COMPUTED_VALUE"""),"")</f>
        <v/>
      </c>
      <c r="D37" s="18" t="str">
        <f>IFERROR(__xludf.DUMMYFUNCTION("""COMPUTED_VALUE"""),"Recherche")</f>
        <v>Recherche</v>
      </c>
      <c r="E37" s="5" t="str">
        <f>IFERROR(__xludf.DUMMYFUNCTION("""COMPUTED_VALUE"""),"")</f>
        <v/>
      </c>
      <c r="F37" s="5" t="str">
        <f>IFERROR(__xludf.DUMMYFUNCTION("""COMPUTED_VALUE"""),"ENE")</f>
        <v>ENE</v>
      </c>
      <c r="G37" s="64" t="str">
        <f>IFERROR(__xludf.DUMMYFUNCTION("""COMPUTED_VALUE"""),"R1_UberCool.pdf")</f>
        <v>R1_UberCool.pdf</v>
      </c>
      <c r="H37" s="5" t="str">
        <f>IFERROR(__xludf.DUMMYFUNCTION("""COMPUTED_VALUE"""),"XiaoFeng Guo")</f>
        <v>XiaoFeng Guo</v>
      </c>
      <c r="I37" s="5" t="str">
        <f>IFERROR(__xludf.DUMMYFUNCTION("""COMPUTED_VALUE"""),"")</f>
        <v/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30.0" customHeight="1">
      <c r="A38" s="13" t="str">
        <f>IFERROR(__xludf.DUMMYFUNCTION("""COMPUTED_VALUE"""),"Ceinture autonome de diagnostic de l’apnée du sommeil")</f>
        <v>Ceinture autonome de diagnostic de l’apnée du sommeil</v>
      </c>
      <c r="B38" s="9" t="str">
        <f>IFERROR(__xludf.DUMMYFUNCTION("""COMPUTED_VALUE"""),"R2")</f>
        <v>R2</v>
      </c>
      <c r="C38" s="5" t="str">
        <f>IFERROR(__xludf.DUMMYFUNCTION("""COMPUTED_VALUE"""),"")</f>
        <v/>
      </c>
      <c r="D38" s="18" t="str">
        <f>IFERROR(__xludf.DUMMYFUNCTION("""COMPUTED_VALUE"""),"Recherche")</f>
        <v>Recherche</v>
      </c>
      <c r="E38" s="5" t="str">
        <f>IFERROR(__xludf.DUMMYFUNCTION("""COMPUTED_VALUE"""),"")</f>
        <v/>
      </c>
      <c r="F38" s="5" t="str">
        <f>IFERROR(__xludf.DUMMYFUNCTION("""COMPUTED_VALUE"""),"ELE, info, e-santé, ENE")</f>
        <v>ELE, info, e-santé, ENE</v>
      </c>
      <c r="G38" s="64" t="str">
        <f>IFERROR(__xludf.DUMMYFUNCTION("""COMPUTED_VALUE"""),"R2_ApnéeDuSommeil.pdf")</f>
        <v>R2_ApnéeDuSommeil.pdf</v>
      </c>
      <c r="H38" s="5" t="str">
        <f>IFERROR(__xludf.DUMMYFUNCTION("""COMPUTED_VALUE"""),"Adrien Ugon Emmanuelle Algré")</f>
        <v>Adrien Ugon Emmanuelle Algré</v>
      </c>
      <c r="I38" s="5" t="str">
        <f>IFERROR(__xludf.DUMMYFUNCTION("""COMPUTED_VALUE"""),"")</f>
        <v/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30.0" customHeight="1">
      <c r="A39" s="13" t="str">
        <f>IFERROR(__xludf.DUMMYFUNCTION("""COMPUTED_VALUE"""),"Etude et développement d’une solution sans fil pour le suivi d’implants pour la réhabilitation fonctionnelle.")</f>
        <v>Etude et développement d’une solution sans fil pour le suivi d’implants pour la réhabilitation fonctionnelle.</v>
      </c>
      <c r="B39" s="9" t="str">
        <f>IFERROR(__xludf.DUMMYFUNCTION("""COMPUTED_VALUE"""),"R3")</f>
        <v>R3</v>
      </c>
      <c r="C39" s="5" t="str">
        <f>IFERROR(__xludf.DUMMYFUNCTION("""COMPUTED_VALUE"""),"")</f>
        <v/>
      </c>
      <c r="D39" s="18" t="str">
        <f>IFERROR(__xludf.DUMMYFUNCTION("""COMPUTED_VALUE"""),"Recherche")</f>
        <v>Recherche</v>
      </c>
      <c r="E39" s="5" t="str">
        <f>IFERROR(__xludf.DUMMYFUNCTION("""COMPUTED_VALUE"""),"")</f>
        <v/>
      </c>
      <c r="F39" s="5" t="str">
        <f>IFERROR(__xludf.DUMMYFUNCTION("""COMPUTED_VALUE"""),"ELE, SE, neuroscience, micro et nano technologie")</f>
        <v>ELE, SE, neuroscience, micro et nano technologie</v>
      </c>
      <c r="G39" s="64" t="str">
        <f>IFERROR(__xludf.DUMMYFUNCTION("""COMPUTED_VALUE"""),"R3_implants.pdf")</f>
        <v>R3_implants.pdf</v>
      </c>
      <c r="H39" s="5" t="str">
        <f>IFERROR(__xludf.DUMMYFUNCTION("""COMPUTED_VALUE"""),"Patrick Poulichet Lionel Rousseau")</f>
        <v>Patrick Poulichet Lionel Rousseau</v>
      </c>
      <c r="I39" s="5" t="str">
        <f>IFERROR(__xludf.DUMMYFUNCTION("""COMPUTED_VALUE"""),"")</f>
        <v/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30.0" customHeight="1">
      <c r="A40" s="13" t="str">
        <f>IFERROR(__xludf.DUMMYFUNCTION("""COMPUTED_VALUE"""),"Capteur communicant et autonome à récupération d’énergie pour la surveillance des structures")</f>
        <v>Capteur communicant et autonome à récupération d’énergie pour la surveillance des structures</v>
      </c>
      <c r="B40" s="9" t="str">
        <f>IFERROR(__xludf.DUMMYFUNCTION("""COMPUTED_VALUE"""),"R4")</f>
        <v>R4</v>
      </c>
      <c r="C40" s="5" t="str">
        <f>IFERROR(__xludf.DUMMYFUNCTION("""COMPUTED_VALUE"""),"")</f>
        <v/>
      </c>
      <c r="D40" s="18" t="str">
        <f>IFERROR(__xludf.DUMMYFUNCTION("""COMPUTED_VALUE"""),"Recherche")</f>
        <v>Recherche</v>
      </c>
      <c r="E40" s="5" t="str">
        <f>IFERROR(__xludf.DUMMYFUNCTION("""COMPUTED_VALUE"""),"")</f>
        <v/>
      </c>
      <c r="F40" s="5" t="str">
        <f>IFERROR(__xludf.DUMMYFUNCTION("""COMPUTED_VALUE"""),"ELE, ENE, DSIA, réseaux, sécurité, systèmes électromécaniques, capteurs")</f>
        <v>ELE, ENE, DSIA, réseaux, sécurité, systèmes électromécaniques, capteurs</v>
      </c>
      <c r="G40" s="64" t="str">
        <f>IFERROR(__xludf.DUMMYFUNCTION("""COMPUTED_VALUE"""),"R4_CapteurCommunicant.pdf")</f>
        <v>R4_CapteurCommunicant.pdf</v>
      </c>
      <c r="H40" s="5" t="str">
        <f>IFERROR(__xludf.DUMMYFUNCTION("""COMPUTED_VALUE"""),"Philippe Basset Laurent George")</f>
        <v>Philippe Basset Laurent George</v>
      </c>
      <c r="I40" s="5" t="str">
        <f>IFERROR(__xludf.DUMMYFUNCTION("""COMPUTED_VALUE"""),"")</f>
        <v/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30.0" customHeight="1">
      <c r="A41" s="13" t="str">
        <f>IFERROR(__xludf.DUMMYFUNCTION("""COMPUTED_VALUE"""),"Inmoov : Architecture logicielle et matérielle pour le contrôle de robots humanoïdes")</f>
        <v>Inmoov : Architecture logicielle et matérielle pour le contrôle de robots humanoïdes</v>
      </c>
      <c r="B41" s="9" t="str">
        <f>IFERROR(__xludf.DUMMYFUNCTION("""COMPUTED_VALUE"""),"R5")</f>
        <v>R5</v>
      </c>
      <c r="C41" s="5" t="str">
        <f>IFERROR(__xludf.DUMMYFUNCTION("""COMPUTED_VALUE"""),"")</f>
        <v/>
      </c>
      <c r="D41" s="18" t="str">
        <f>IFERROR(__xludf.DUMMYFUNCTION("""COMPUTED_VALUE"""),"Recherche")</f>
        <v>Recherche</v>
      </c>
      <c r="E41" s="5" t="str">
        <f>IFERROR(__xludf.DUMMYFUNCTION("""COMPUTED_VALUE"""),"")</f>
        <v/>
      </c>
      <c r="F41" s="5" t="str">
        <f>IFERROR(__xludf.DUMMYFUNCTION("""COMPUTED_VALUE"""),"info, ELE, SE, robotique, ")</f>
        <v>info, ELE, SE, robotique, </v>
      </c>
      <c r="G41" s="64" t="str">
        <f>IFERROR(__xludf.DUMMYFUNCTION("""COMPUTED_VALUE"""),"R5_Inmoov.pdf")</f>
        <v>R5_Inmoov.pdf</v>
      </c>
      <c r="H41" s="5" t="str">
        <f>IFERROR(__xludf.DUMMYFUNCTION("""COMPUTED_VALUE"""),"Rémi Kocik   Redha Hammouche")</f>
        <v>Rémi Kocik   Redha Hammouche</v>
      </c>
      <c r="I41" s="5" t="str">
        <f>IFERROR(__xludf.DUMMYFUNCTION("""COMPUTED_VALUE"""),"")</f>
        <v/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30.0" customHeight="1">
      <c r="A42" s="13" t="str">
        <f>IFERROR(__xludf.DUMMYFUNCTION("""COMPUTED_VALUE"""),"Conception d’une « Depth Cam » portable")</f>
        <v>Conception d’une « Depth Cam » portable</v>
      </c>
      <c r="B42" s="9" t="str">
        <f>IFERROR(__xludf.DUMMYFUNCTION("""COMPUTED_VALUE"""),"R6")</f>
        <v>R6</v>
      </c>
      <c r="C42" s="5" t="str">
        <f>IFERROR(__xludf.DUMMYFUNCTION("""COMPUTED_VALUE"""),"")</f>
        <v/>
      </c>
      <c r="D42" s="18" t="str">
        <f>IFERROR(__xludf.DUMMYFUNCTION("""COMPUTED_VALUE"""),"Recherche")</f>
        <v>Recherche</v>
      </c>
      <c r="E42" s="5" t="str">
        <f>IFERROR(__xludf.DUMMYFUNCTION("""COMPUTED_VALUE"""),"")</f>
        <v/>
      </c>
      <c r="F42" s="5" t="str">
        <f>IFERROR(__xludf.DUMMYFUNCTION("""COMPUTED_VALUE"""),"Info, SE")</f>
        <v>Info, SE</v>
      </c>
      <c r="G42" s="64" t="str">
        <f>IFERROR(__xludf.DUMMYFUNCTION("""COMPUTED_VALUE"""),"R6_DephCamPortable.pdf")</f>
        <v>R6_DephCamPortable.pdf</v>
      </c>
      <c r="H42" s="5" t="str">
        <f>IFERROR(__xludf.DUMMYFUNCTION("""COMPUTED_VALUE"""),"T. Grandpierre    F. DiBartolo")</f>
        <v>T. Grandpierre    F. DiBartolo</v>
      </c>
      <c r="I42" s="5" t="str">
        <f>IFERROR(__xludf.DUMMYFUNCTION("""COMPUTED_VALUE"""),"")</f>
        <v/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30.0" customHeight="1">
      <c r="A43" s="13" t="str">
        <f>IFERROR(__xludf.DUMMYFUNCTION("""COMPUTED_VALUE"""),"Conception d’un scanner 3D portable")</f>
        <v>Conception d’un scanner 3D portable</v>
      </c>
      <c r="B43" s="9" t="str">
        <f>IFERROR(__xludf.DUMMYFUNCTION("""COMPUTED_VALUE"""),"R7")</f>
        <v>R7</v>
      </c>
      <c r="C43" s="5" t="str">
        <f>IFERROR(__xludf.DUMMYFUNCTION("""COMPUTED_VALUE"""),"")</f>
        <v/>
      </c>
      <c r="D43" s="18" t="str">
        <f>IFERROR(__xludf.DUMMYFUNCTION("""COMPUTED_VALUE"""),"Recherche")</f>
        <v>Recherche</v>
      </c>
      <c r="E43" s="5" t="str">
        <f>IFERROR(__xludf.DUMMYFUNCTION("""COMPUTED_VALUE"""),"")</f>
        <v/>
      </c>
      <c r="F43" s="5" t="str">
        <f>IFERROR(__xludf.DUMMYFUNCTION("""COMPUTED_VALUE"""),"Info, SE")</f>
        <v>Info, SE</v>
      </c>
      <c r="G43" s="64" t="str">
        <f>IFERROR(__xludf.DUMMYFUNCTION("""COMPUTED_VALUE"""),"R7_Scanner3Dportable.pdf")</f>
        <v>R7_Scanner3Dportable.pdf</v>
      </c>
      <c r="H43" s="5" t="str">
        <f>IFERROR(__xludf.DUMMYFUNCTION("""COMPUTED_VALUE"""),"T. Grandpierre    F. DiBartolo")</f>
        <v>T. Grandpierre    F. DiBartolo</v>
      </c>
      <c r="I43" s="5" t="str">
        <f>IFERROR(__xludf.DUMMYFUNCTION("""COMPUTED_VALUE"""),"")</f>
        <v/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30.0" customHeight="1">
      <c r="A44" s="13" t="str">
        <f>IFERROR(__xludf.DUMMYFUNCTION("""COMPUTED_VALUE"""),"Mise en oeuvre d'un élément de sécurité pour la sécuritation des données envoyées par un capteur")</f>
        <v>Mise en oeuvre d'un élément de sécurité pour la sécuritation des données envoyées par un capteur</v>
      </c>
      <c r="B44" s="9" t="str">
        <f>IFERROR(__xludf.DUMMYFUNCTION("""COMPUTED_VALUE"""),"R8")</f>
        <v>R8</v>
      </c>
      <c r="C44" s="5" t="str">
        <f>IFERROR(__xludf.DUMMYFUNCTION("""COMPUTED_VALUE"""),"")</f>
        <v/>
      </c>
      <c r="D44" s="18" t="str">
        <f>IFERROR(__xludf.DUMMYFUNCTION("""COMPUTED_VALUE"""),"Recherche")</f>
        <v>Recherche</v>
      </c>
      <c r="E44" s="5" t="str">
        <f>IFERROR(__xludf.DUMMYFUNCTION("""COMPUTED_VALUE"""),"")</f>
        <v/>
      </c>
      <c r="F44" s="5" t="str">
        <f>IFERROR(__xludf.DUMMYFUNCTION("""COMPUTED_VALUE"""),"Info, SE, DSIA, Sécurité")</f>
        <v>Info, SE, DSIA, Sécurité</v>
      </c>
      <c r="G44" s="64" t="str">
        <f>IFERROR(__xludf.DUMMYFUNCTION("""COMPUTED_VALUE"""),"R8_Element de Sécurité")</f>
        <v>R8_Element de Sécurité</v>
      </c>
      <c r="H44" s="5" t="str">
        <f>IFERROR(__xludf.DUMMYFUNCTION("""COMPUTED_VALUE"""),"L. George             V. Deshpande")</f>
        <v>L. George             V. Deshpande</v>
      </c>
      <c r="I44" s="5" t="str">
        <f>IFERROR(__xludf.DUMMYFUNCTION("""COMPUTED_VALUE"""),"")</f>
        <v/>
      </c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30.0" customHeight="1">
      <c r="A45" s="13" t="str">
        <f>IFERROR(__xludf.DUMMYFUNCTION("""COMPUTED_VALUE"""),"Programmation d'une Blockchain pour la sécurisation des communications V2C (véhicule vers le cloud)")</f>
        <v>Programmation d'une Blockchain pour la sécurisation des communications V2C (véhicule vers le cloud)</v>
      </c>
      <c r="B45" s="9" t="str">
        <f>IFERROR(__xludf.DUMMYFUNCTION("""COMPUTED_VALUE"""),"R9")</f>
        <v>R9</v>
      </c>
      <c r="C45" s="5" t="str">
        <f>IFERROR(__xludf.DUMMYFUNCTION("""COMPUTED_VALUE"""),"")</f>
        <v/>
      </c>
      <c r="D45" s="18" t="str">
        <f>IFERROR(__xludf.DUMMYFUNCTION("""COMPUTED_VALUE"""),"Recherche")</f>
        <v>Recherche</v>
      </c>
      <c r="E45" s="5" t="str">
        <f>IFERROR(__xludf.DUMMYFUNCTION("""COMPUTED_VALUE"""),"")</f>
        <v/>
      </c>
      <c r="F45" s="5" t="str">
        <f>IFERROR(__xludf.DUMMYFUNCTION("""COMPUTED_VALUE"""),"Info, SE, DSIA, Sécurité")</f>
        <v>Info, SE, DSIA, Sécurité</v>
      </c>
      <c r="G45" s="64" t="str">
        <f>IFERROR(__xludf.DUMMYFUNCTION("""COMPUTED_VALUE"""),"R9_Blockchain")</f>
        <v>R9_Blockchain</v>
      </c>
      <c r="H45" s="5" t="str">
        <f>IFERROR(__xludf.DUMMYFUNCTION("""COMPUTED_VALUE"""),"L. George             V. Deshpande ")</f>
        <v>L. George             V. Deshpande </v>
      </c>
      <c r="I45" s="5" t="str">
        <f>IFERROR(__xludf.DUMMYFUNCTION("""COMPUTED_VALUE"""),"")</f>
        <v/>
      </c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30.0" customHeight="1">
      <c r="A46" s="13" t="str">
        <f>IFERROR(__xludf.DUMMYFUNCTION("""COMPUTED_VALUE"""),"Développement d'une solution pour la caractérisation de l'énergie consommée dans un foyer par désagrégation de sources")</f>
        <v>Développement d'une solution pour la caractérisation de l'énergie consommée dans un foyer par désagrégation de sources</v>
      </c>
      <c r="B46" s="9" t="str">
        <f>IFERROR(__xludf.DUMMYFUNCTION("""COMPUTED_VALUE"""),"R10")</f>
        <v>R10</v>
      </c>
      <c r="C46" s="5" t="str">
        <f>IFERROR(__xludf.DUMMYFUNCTION("""COMPUTED_VALUE"""),"")</f>
        <v/>
      </c>
      <c r="D46" s="18" t="str">
        <f>IFERROR(__xludf.DUMMYFUNCTION("""COMPUTED_VALUE"""),"Recherche")</f>
        <v>Recherche</v>
      </c>
      <c r="E46" s="5" t="str">
        <f>IFERROR(__xludf.DUMMYFUNCTION("""COMPUTED_VALUE"""),"")</f>
        <v/>
      </c>
      <c r="F46" s="5" t="str">
        <f>IFERROR(__xludf.DUMMYFUNCTION("""COMPUTED_VALUE"""),"Info, DSIA")</f>
        <v>Info, DSIA</v>
      </c>
      <c r="G46" s="64" t="str">
        <f>IFERROR(__xludf.DUMMYFUNCTION("""COMPUTED_VALUE"""),"R10_Efficacité Energétique")</f>
        <v>R10_Efficacité Energétique</v>
      </c>
      <c r="H46" s="5" t="str">
        <f>IFERROR(__xludf.DUMMYFUNCTION("""COMPUTED_VALUE"""),"L. George             A. Desta")</f>
        <v>L. George             A. Desta</v>
      </c>
      <c r="I46" s="5" t="str">
        <f>IFERROR(__xludf.DUMMYFUNCTION("""COMPUTED_VALUE"""),"")</f>
        <v/>
      </c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30.0" customHeight="1">
      <c r="A47" s="13" t="str">
        <f>IFERROR(__xludf.DUMMYFUNCTION("""COMPUTED_VALUE"""),"Interface haptique innovante pour la réalité virtuelle")</f>
        <v>Interface haptique innovante pour la réalité virtuelle</v>
      </c>
      <c r="B47" s="9" t="str">
        <f>IFERROR(__xludf.DUMMYFUNCTION("""COMPUTED_VALUE"""),"R11")</f>
        <v>R11</v>
      </c>
      <c r="C47" s="5" t="str">
        <f>IFERROR(__xludf.DUMMYFUNCTION("""COMPUTED_VALUE"""),"")</f>
        <v/>
      </c>
      <c r="D47" s="18" t="str">
        <f>IFERROR(__xludf.DUMMYFUNCTION("""COMPUTED_VALUE"""),"Recherche")</f>
        <v>Recherche</v>
      </c>
      <c r="E47" s="5" t="str">
        <f>IFERROR(__xludf.DUMMYFUNCTION("""COMPUTED_VALUE"""),"")</f>
        <v/>
      </c>
      <c r="F47" s="5" t="str">
        <f>IFERROR(__xludf.DUMMYFUNCTION("""COMPUTED_VALUE"""),"info, ELE, SE")</f>
        <v>info, ELE, SE</v>
      </c>
      <c r="G47" s="64" t="str">
        <f>IFERROR(__xludf.DUMMYFUNCTION("""COMPUTED_VALUE"""),"R11_UtraHaptics.pdf")</f>
        <v>R11_UtraHaptics.pdf</v>
      </c>
      <c r="H47" s="5" t="str">
        <f>IFERROR(__xludf.DUMMYFUNCTION("""COMPUTED_VALUE"""),"T. Grandpierre ")</f>
        <v>T. Grandpierre </v>
      </c>
      <c r="I47" s="5" t="str">
        <f>IFERROR(__xludf.DUMMYFUNCTION("""COMPUTED_VALUE"""),"Max 4")</f>
        <v>Max 4</v>
      </c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30.0" customHeight="1">
      <c r="A48" s="13" t="str">
        <f>IFERROR(__xludf.DUMMYFUNCTION("""COMPUTED_VALUE"""),"Projet Mini-hydrolienne")</f>
        <v>Projet Mini-hydrolienne</v>
      </c>
      <c r="B48" s="9" t="str">
        <f>IFERROR(__xludf.DUMMYFUNCTION("""COMPUTED_VALUE"""),"R12")</f>
        <v>R12</v>
      </c>
      <c r="C48" s="5" t="str">
        <f>IFERROR(__xludf.DUMMYFUNCTION("""COMPUTED_VALUE"""),"")</f>
        <v/>
      </c>
      <c r="D48" s="18" t="str">
        <f>IFERROR(__xludf.DUMMYFUNCTION("""COMPUTED_VALUE"""),"Recherche")</f>
        <v>Recherche</v>
      </c>
      <c r="E48" s="5" t="str">
        <f>IFERROR(__xludf.DUMMYFUNCTION("""COMPUTED_VALUE"""),"Université paris Diderot")</f>
        <v>Université paris Diderot</v>
      </c>
      <c r="F48" s="5" t="str">
        <f>IFERROR(__xludf.DUMMYFUNCTION("""COMPUTED_VALUE"""),"ENE")</f>
        <v>ENE</v>
      </c>
      <c r="G48" s="64" t="str">
        <f>IFERROR(__xludf.DUMMYFUNCTION("""COMPUTED_VALUE"""),"R12_MiniHydrolienne.pdf")</f>
        <v>R12_MiniHydrolienne.pdf</v>
      </c>
      <c r="H48" s="5" t="str">
        <f>IFERROR(__xludf.DUMMYFUNCTION("""COMPUTED_VALUE"""),"L. Royon")</f>
        <v>L. Royon</v>
      </c>
      <c r="I48" s="5" t="str">
        <f>IFERROR(__xludf.DUMMYFUNCTION("""COMPUTED_VALUE"""),"")</f>
        <v/>
      </c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30.0" customHeight="1">
      <c r="A49" s="13" t="str">
        <f>IFERROR(__xludf.DUMMYFUNCTION("""COMPUTED_VALUE"""),"Capteur de pollution connecté")</f>
        <v>Capteur de pollution connecté</v>
      </c>
      <c r="B49" s="9" t="str">
        <f>IFERROR(__xludf.DUMMYFUNCTION("""COMPUTED_VALUE"""),"R13")</f>
        <v>R13</v>
      </c>
      <c r="C49" s="5" t="str">
        <f>IFERROR(__xludf.DUMMYFUNCTION("""COMPUTED_VALUE"""),"")</f>
        <v/>
      </c>
      <c r="D49" s="18" t="str">
        <f>IFERROR(__xludf.DUMMYFUNCTION("""COMPUTED_VALUE"""),"Recherche")</f>
        <v>Recherche</v>
      </c>
      <c r="E49" s="5" t="str">
        <f>IFERROR(__xludf.DUMMYFUNCTION("""COMPUTED_VALUE"""),"")</f>
        <v/>
      </c>
      <c r="F49" s="5" t="str">
        <f>IFERROR(__xludf.DUMMYFUNCTION("""COMPUTED_VALUE"""),"Info, DS, ELE, SE")</f>
        <v>Info, DS, ELE, SE</v>
      </c>
      <c r="G49" s="64" t="str">
        <f>IFERROR(__xludf.DUMMYFUNCTION("""COMPUTED_VALUE"""),"R13_CapteurPollution.pdf")</f>
        <v>R13_CapteurPollution.pdf</v>
      </c>
      <c r="H49" s="5" t="str">
        <f>IFERROR(__xludf.DUMMYFUNCTION("""COMPUTED_VALUE"""),"Rémi Kocik   Redha Hammouche")</f>
        <v>Rémi Kocik   Redha Hammouche</v>
      </c>
      <c r="I49" s="5" t="str">
        <f>IFERROR(__xludf.DUMMYFUNCTION("""COMPUTED_VALUE"""),"")</f>
        <v/>
      </c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30.0" customHeight="1">
      <c r="A50" s="13" t="str">
        <f>IFERROR(__xludf.DUMMYFUNCTION("""COMPUTED_VALUE"""),"Développement d’une canne connectée")</f>
        <v>Développement d’une canne connectée</v>
      </c>
      <c r="B50" s="9" t="str">
        <f>IFERROR(__xludf.DUMMYFUNCTION("""COMPUTED_VALUE"""),"R14")</f>
        <v>R14</v>
      </c>
      <c r="C50" s="5" t="str">
        <f>IFERROR(__xludf.DUMMYFUNCTION("""COMPUTED_VALUE"""),"")</f>
        <v/>
      </c>
      <c r="D50" s="18" t="str">
        <f>IFERROR(__xludf.DUMMYFUNCTION("""COMPUTED_VALUE"""),"Recherche")</f>
        <v>Recherche</v>
      </c>
      <c r="E50" s="5" t="str">
        <f>IFERROR(__xludf.DUMMYFUNCTION("""COMPUTED_VALUE"""),"")</f>
        <v/>
      </c>
      <c r="F50" s="5" t="str">
        <f>IFERROR(__xludf.DUMMYFUNCTION("""COMPUTED_VALUE"""),"Info, ELE, SE")</f>
        <v>Info, ELE, SE</v>
      </c>
      <c r="G50" s="64" t="str">
        <f>IFERROR(__xludf.DUMMYFUNCTION("""COMPUTED_VALUE"""),"R14_CanneConnectee.pdf")</f>
        <v>R14_CanneConnectee.pdf</v>
      </c>
      <c r="H50" s="5" t="str">
        <f>IFERROR(__xludf.DUMMYFUNCTION("""COMPUTED_VALUE"""),"Ting Wang Olivier Venard Rémi Kocyk")</f>
        <v>Ting Wang Olivier Venard Rémi Kocyk</v>
      </c>
      <c r="I50" s="5" t="str">
        <f>IFERROR(__xludf.DUMMYFUNCTION("""COMPUTED_VALUE"""),"")</f>
        <v/>
      </c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30.0" customHeight="1">
      <c r="A51" s="13" t="str">
        <f>IFERROR(__xludf.DUMMYFUNCTION("""COMPUTED_VALUE"""),"Développement d'un package R / Python pour le contrôle des médicaments")</f>
        <v>Développement d'un package R / Python pour le contrôle des médicaments</v>
      </c>
      <c r="B51" s="9" t="str">
        <f>IFERROR(__xludf.DUMMYFUNCTION("""COMPUTED_VALUE"""),"R15")</f>
        <v>R15</v>
      </c>
      <c r="C51" s="5" t="str">
        <f>IFERROR(__xludf.DUMMYFUNCTION("""COMPUTED_VALUE"""),"")</f>
        <v/>
      </c>
      <c r="D51" s="18" t="str">
        <f>IFERROR(__xludf.DUMMYFUNCTION("""COMPUTED_VALUE"""),"Recherche")</f>
        <v>Recherche</v>
      </c>
      <c r="E51" s="5" t="str">
        <f>IFERROR(__xludf.DUMMYFUNCTION("""COMPUTED_VALUE"""),"")</f>
        <v/>
      </c>
      <c r="F51" s="5" t="str">
        <f>IFERROR(__xludf.DUMMYFUNCTION("""COMPUTED_VALUE"""),"Info, DS, e-Santé")</f>
        <v>Info, DS, e-Santé</v>
      </c>
      <c r="G51" s="64" t="str">
        <f>IFERROR(__xludf.DUMMYFUNCTION("""COMPUTED_VALUE"""),"R15_Package R")</f>
        <v>R15_Package R</v>
      </c>
      <c r="H51" s="5" t="str">
        <f>IFERROR(__xludf.DUMMYFUNCTION("""COMPUTED_VALUE"""),"Bertrand Roudier  Michel Cardot")</f>
        <v>Bertrand Roudier  Michel Cardot</v>
      </c>
      <c r="I51" s="5" t="str">
        <f>IFERROR(__xludf.DUMMYFUNCTION("""COMPUTED_VALUE"""),"")</f>
        <v/>
      </c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30.0" customHeight="1">
      <c r="A52" s="13" t="str">
        <f>IFERROR(__xludf.DUMMYFUNCTION("""COMPUTED_VALUE"""),"Ecolab Descartes : Observatoire de la Transition Ecologique de la Cité Descartes")</f>
        <v>Ecolab Descartes : Observatoire de la Transition Ecologique de la Cité Descartes</v>
      </c>
      <c r="B52" s="9" t="str">
        <f>IFERROR(__xludf.DUMMYFUNCTION("""COMPUTED_VALUE"""),"R16")</f>
        <v>R16</v>
      </c>
      <c r="C52" s="5" t="str">
        <f>IFERROR(__xludf.DUMMYFUNCTION("""COMPUTED_VALUE"""),"")</f>
        <v/>
      </c>
      <c r="D52" s="18" t="str">
        <f>IFERROR(__xludf.DUMMYFUNCTION("""COMPUTED_VALUE"""),"Recherche")</f>
        <v>Recherche</v>
      </c>
      <c r="E52" s="5" t="str">
        <f>IFERROR(__xludf.DUMMYFUNCTION("""COMPUTED_VALUE"""),"")</f>
        <v/>
      </c>
      <c r="F52" s="5" t="str">
        <f>IFERROR(__xludf.DUMMYFUNCTION("""COMPUTED_VALUE"""),"ENE, Info")</f>
        <v>ENE, Info</v>
      </c>
      <c r="G52" s="64" t="str">
        <f>IFERROR(__xludf.DUMMYFUNCTION("""COMPUTED_VALUE"""),"R16_Ecolab")</f>
        <v>R16_Ecolab</v>
      </c>
      <c r="H52" s="5" t="str">
        <f>IFERROR(__xludf.DUMMYFUNCTION("""COMPUTED_VALUE"""),"Elyes NEFZAOUI")</f>
        <v>Elyes NEFZAOUI</v>
      </c>
      <c r="I52" s="5" t="str">
        <f>IFERROR(__xludf.DUMMYFUNCTION("""COMPUTED_VALUE"""),"")</f>
        <v/>
      </c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30.0" customHeight="1">
      <c r="A53" s="13" t="str">
        <f>IFERROR(__xludf.DUMMYFUNCTION("""COMPUTED_VALUE"""),"Mesures embarquées de vibration")</f>
        <v>Mesures embarquées de vibration</v>
      </c>
      <c r="B53" s="9" t="str">
        <f>IFERROR(__xludf.DUMMYFUNCTION("""COMPUTED_VALUE"""),"R17")</f>
        <v>R17</v>
      </c>
      <c r="C53" s="5" t="str">
        <f>IFERROR(__xludf.DUMMYFUNCTION("""COMPUTED_VALUE"""),"")</f>
        <v/>
      </c>
      <c r="D53" s="18" t="str">
        <f>IFERROR(__xludf.DUMMYFUNCTION("""COMPUTED_VALUE"""),"Recherche")</f>
        <v>Recherche</v>
      </c>
      <c r="E53" s="5" t="str">
        <f>IFERROR(__xludf.DUMMYFUNCTION("""COMPUTED_VALUE"""),"IFSTTAR")</f>
        <v>IFSTTAR</v>
      </c>
      <c r="F53" s="5" t="str">
        <f>IFERROR(__xludf.DUMMYFUNCTION("""COMPUTED_VALUE"""),"ENE, Info, SE")</f>
        <v>ENE, Info, SE</v>
      </c>
      <c r="G53" s="64" t="str">
        <f>IFERROR(__xludf.DUMMYFUNCTION("""COMPUTED_VALUE"""),"R17_MesuresVibrations.pdf")</f>
        <v>R17_MesuresVibrations.pdf</v>
      </c>
      <c r="H53" s="5" t="str">
        <f>IFERROR(__xludf.DUMMYFUNCTION("""COMPUTED_VALUE"""),"P. Chatellier     D. Siegert                   T. Grandpierre")</f>
        <v>P. Chatellier     D. Siegert                   T. Grandpierre</v>
      </c>
      <c r="I53" s="5" t="str">
        <f>IFERROR(__xludf.DUMMYFUNCTION("""COMPUTED_VALUE"""),"")</f>
        <v/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30.0" customHeight="1">
      <c r="A54" s="13" t="str">
        <f>IFERROR(__xludf.DUMMYFUNCTION("""COMPUTED_VALUE"""),"Réseau de capteurs sans fil pour les applications domotiques, smart home et smart building.")</f>
        <v>Réseau de capteurs sans fil pour les applications domotiques, smart home et smart building.</v>
      </c>
      <c r="B54" s="9" t="str">
        <f>IFERROR(__xludf.DUMMYFUNCTION("""COMPUTED_VALUE"""),"R18")</f>
        <v>R18</v>
      </c>
      <c r="C54" s="5" t="str">
        <f>IFERROR(__xludf.DUMMYFUNCTION("""COMPUTED_VALUE"""),"")</f>
        <v/>
      </c>
      <c r="D54" s="18" t="str">
        <f>IFERROR(__xludf.DUMMYFUNCTION("""COMPUTED_VALUE"""),"Recherche")</f>
        <v>Recherche</v>
      </c>
      <c r="E54" s="5" t="str">
        <f>IFERROR(__xludf.DUMMYFUNCTION("""COMPUTED_VALUE"""),"")</f>
        <v/>
      </c>
      <c r="F54" s="5" t="str">
        <f>IFERROR(__xludf.DUMMYFUNCTION("""COMPUTED_VALUE"""),"Info, ELE, SE")</f>
        <v>Info, ELE, SE</v>
      </c>
      <c r="G54" s="64" t="str">
        <f>IFERROR(__xludf.DUMMYFUNCTION("""COMPUTED_VALUE"""),"R18_ReseauDeCapteurs.pdf")</f>
        <v>R18_ReseauDeCapteurs.pdf</v>
      </c>
      <c r="H54" s="5" t="str">
        <f>IFERROR(__xludf.DUMMYFUNCTION("""COMPUTED_VALUE"""),"Rémi Kocik   Redha Hammouche")</f>
        <v>Rémi Kocik   Redha Hammouche</v>
      </c>
      <c r="I54" s="5" t="str">
        <f>IFERROR(__xludf.DUMMYFUNCTION("""COMPUTED_VALUE"""),"")</f>
        <v/>
      </c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30.0" customHeight="1">
      <c r="A55" s="13" t="str">
        <f>IFERROR(__xludf.DUMMYFUNCTION("""COMPUTED_VALUE"""),"Mise en place d'orchestration de fonctions réseaux micro-services à base de Kubernetest")</f>
        <v>Mise en place d'orchestration de fonctions réseaux micro-services à base de Kubernetest</v>
      </c>
      <c r="B55" s="9" t="str">
        <f>IFERROR(__xludf.DUMMYFUNCTION("""COMPUTED_VALUE"""),"R19")</f>
        <v>R19</v>
      </c>
      <c r="C55" s="5" t="str">
        <f>IFERROR(__xludf.DUMMYFUNCTION("""COMPUTED_VALUE"""),"")</f>
        <v/>
      </c>
      <c r="D55" s="18" t="str">
        <f>IFERROR(__xludf.DUMMYFUNCTION("""COMPUTED_VALUE"""),"Recherche")</f>
        <v>Recherche</v>
      </c>
      <c r="E55" s="5" t="str">
        <f>IFERROR(__xludf.DUMMYFUNCTION("""COMPUTED_VALUE"""),"")</f>
        <v/>
      </c>
      <c r="F55" s="5" t="str">
        <f>IFERROR(__xludf.DUMMYFUNCTION("""COMPUTED_VALUE"""),"Info, réseaux")</f>
        <v>Info, réseaux</v>
      </c>
      <c r="G55" s="64" t="str">
        <f>IFERROR(__xludf.DUMMYFUNCTION("""COMPUTED_VALUE"""),"R19_Kubernetest.pdf")</f>
        <v>R19_Kubernetest.pdf</v>
      </c>
      <c r="H55" s="5" t="str">
        <f>IFERROR(__xludf.DUMMYFUNCTION("""COMPUTED_VALUE"""),"Nadjib Aitsaadi")</f>
        <v>Nadjib Aitsaadi</v>
      </c>
      <c r="I55" s="5" t="str">
        <f>IFERROR(__xludf.DUMMYFUNCTION("""COMPUTED_VALUE"""),"")</f>
        <v/>
      </c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30.0" customHeight="1">
      <c r="A56" s="13" t="str">
        <f>IFERROR(__xludf.DUMMYFUNCTION("""COMPUTED_VALUE"""),"Analyse de mouvement de grains dans une séquence d'images 3D")</f>
        <v>Analyse de mouvement de grains dans une séquence d'images 3D</v>
      </c>
      <c r="B56" s="9" t="str">
        <f>IFERROR(__xludf.DUMMYFUNCTION("""COMPUTED_VALUE"""),"R20")</f>
        <v>R20</v>
      </c>
      <c r="C56" s="5" t="str">
        <f>IFERROR(__xludf.DUMMYFUNCTION("""COMPUTED_VALUE"""),"")</f>
        <v/>
      </c>
      <c r="D56" s="18" t="str">
        <f>IFERROR(__xludf.DUMMYFUNCTION("""COMPUTED_VALUE"""),"Recherche")</f>
        <v>Recherche</v>
      </c>
      <c r="E56" s="5" t="str">
        <f>IFERROR(__xludf.DUMMYFUNCTION("""COMPUTED_VALUE"""),"")</f>
        <v/>
      </c>
      <c r="F56" s="5" t="str">
        <f>IFERROR(__xludf.DUMMYFUNCTION("""COMPUTED_VALUE"""),"Info")</f>
        <v>Info</v>
      </c>
      <c r="G56" s="64" t="str">
        <f>IFERROR(__xludf.DUMMYFUNCTION("""COMPUTED_VALUE"""),"R20_MouvementGrains.pdf")</f>
        <v>R20_MouvementGrains.pdf</v>
      </c>
      <c r="H56" s="5" t="str">
        <f>IFERROR(__xludf.DUMMYFUNCTION("""COMPUTED_VALUE"""),"Jean Cousty Yukiko Kenmochi")</f>
        <v>Jean Cousty Yukiko Kenmochi</v>
      </c>
      <c r="I56" s="5" t="str">
        <f>IFERROR(__xludf.DUMMYFUNCTION("""COMPUTED_VALUE"""),"")</f>
        <v/>
      </c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30.0" customHeight="1">
      <c r="A57" s="65" t="str">
        <f>IFERROR(__xludf.DUMMYFUNCTION("""COMPUTED_VALUE"""),"Analyse de structures de vaisseaux sanguins")</f>
        <v>Analyse de structures de vaisseaux sanguins</v>
      </c>
      <c r="B57" s="9" t="str">
        <f>IFERROR(__xludf.DUMMYFUNCTION("""COMPUTED_VALUE"""),"R21")</f>
        <v>R21</v>
      </c>
      <c r="C57" s="5" t="str">
        <f>IFERROR(__xludf.DUMMYFUNCTION("""COMPUTED_VALUE"""),"")</f>
        <v/>
      </c>
      <c r="D57" s="18" t="str">
        <f>IFERROR(__xludf.DUMMYFUNCTION("""COMPUTED_VALUE"""),"Recherche")</f>
        <v>Recherche</v>
      </c>
      <c r="E57" s="5" t="str">
        <f>IFERROR(__xludf.DUMMYFUNCTION("""COMPUTED_VALUE"""),"")</f>
        <v/>
      </c>
      <c r="F57" s="5" t="str">
        <f>IFERROR(__xludf.DUMMYFUNCTION("""COMPUTED_VALUE"""),"Info")</f>
        <v>Info</v>
      </c>
      <c r="G57" s="64" t="str">
        <f>IFERROR(__xludf.DUMMYFUNCTION("""COMPUTED_VALUE"""),"R21_VaisseauxSanguins.pdf")</f>
        <v>R21_VaisseauxSanguins.pdf</v>
      </c>
      <c r="H57" s="5" t="str">
        <f>IFERROR(__xludf.DUMMYFUNCTION("""COMPUTED_VALUE"""),"Michel Couprie Yukiko Kenmochi")</f>
        <v>Michel Couprie Yukiko Kenmochi</v>
      </c>
      <c r="I57" s="5" t="str">
        <f>IFERROR(__xludf.DUMMYFUNCTION("""COMPUTED_VALUE"""),"")</f>
        <v/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30.0" customHeight="1">
      <c r="A58" s="65" t="str">
        <f>IFERROR(__xludf.DUMMYFUNCTION("""COMPUTED_VALUE"""),"Technologies for Visible Light Communications")</f>
        <v>Technologies for Visible Light Communications</v>
      </c>
      <c r="B58" s="9" t="str">
        <f>IFERROR(__xludf.DUMMYFUNCTION("""COMPUTED_VALUE"""),"R22")</f>
        <v>R22</v>
      </c>
      <c r="C58" s="5" t="str">
        <f>IFERROR(__xludf.DUMMYFUNCTION("""COMPUTED_VALUE"""),"")</f>
        <v/>
      </c>
      <c r="D58" s="18" t="str">
        <f>IFERROR(__xludf.DUMMYFUNCTION("""COMPUTED_VALUE"""),"Recherche")</f>
        <v>Recherche</v>
      </c>
      <c r="E58" s="5" t="str">
        <f>IFERROR(__xludf.DUMMYFUNCTION("""COMPUTED_VALUE"""),"")</f>
        <v/>
      </c>
      <c r="F58" s="5" t="str">
        <f>IFERROR(__xludf.DUMMYFUNCTION("""COMPUTED_VALUE"""),"IME, ELE, SE")</f>
        <v>IME, ELE, SE</v>
      </c>
      <c r="G58" s="64" t="str">
        <f>IFERROR(__xludf.DUMMYFUNCTION("""COMPUTED_VALUE"""),"R22 - LiFi communications - E4-S2.pdf")</f>
        <v>R22 - LiFi communications - E4-S2.pdf</v>
      </c>
      <c r="H58" s="5" t="str">
        <f>IFERROR(__xludf.DUMMYFUNCTION("""COMPUTED_VALUE"""),"Jean-Luc Polleux
Zerihun Tegegne
Miyassa SALHI
Francesco PERESSUTTI")</f>
        <v>Jean-Luc Polleux
Zerihun Tegegne
Miyassa SALHI
Francesco PERESSUTTI</v>
      </c>
      <c r="I58" s="5" t="str">
        <f>IFERROR(__xludf.DUMMYFUNCTION("""COMPUTED_VALUE"""),"")</f>
        <v/>
      </c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30.0" customHeight="1">
      <c r="A59" s="13" t="str">
        <f>IFERROR(__xludf.DUMMYFUNCTION("""COMPUTED_VALUE"""),"Ecolab Descartes - production d'hydrogène")</f>
        <v>Ecolab Descartes - production d'hydrogène</v>
      </c>
      <c r="B59" s="9" t="str">
        <f>IFERROR(__xludf.DUMMYFUNCTION("""COMPUTED_VALUE"""),"R23")</f>
        <v>R23</v>
      </c>
      <c r="C59" s="5" t="str">
        <f>IFERROR(__xludf.DUMMYFUNCTION("""COMPUTED_VALUE"""),"")</f>
        <v/>
      </c>
      <c r="D59" s="18" t="str">
        <f>IFERROR(__xludf.DUMMYFUNCTION("""COMPUTED_VALUE"""),"Recherche")</f>
        <v>Recherche</v>
      </c>
      <c r="E59" s="5" t="str">
        <f>IFERROR(__xludf.DUMMYFUNCTION("""COMPUTED_VALUE"""),"")</f>
        <v/>
      </c>
      <c r="F59" s="5" t="str">
        <f>IFERROR(__xludf.DUMMYFUNCTION("""COMPUTED_VALUE"""),"ENE")</f>
        <v>ENE</v>
      </c>
      <c r="G59" s="64" t="str">
        <f>IFERROR(__xludf.DUMMYFUNCTION("""COMPUTED_VALUE""")," R23_EcolabDescartes")</f>
        <v> R23_EcolabDescartes</v>
      </c>
      <c r="H59" s="5" t="str">
        <f>IFERROR(__xludf.DUMMYFUNCTION("""COMPUTED_VALUE"""),"Nicolas Laumet")</f>
        <v>Nicolas Laumet</v>
      </c>
      <c r="I59" s="5" t="str">
        <f>IFERROR(__xludf.DUMMYFUNCTION("""COMPUTED_VALUE"""),"ANNULE")</f>
        <v>ANNULE</v>
      </c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30.0" customHeight="1">
      <c r="A60" s="13" t="str">
        <f>IFERROR(__xludf.DUMMYFUNCTION("""COMPUTED_VALUE"""),"Exosquelette")</f>
        <v>Exosquelette</v>
      </c>
      <c r="B60" s="9" t="str">
        <f>IFERROR(__xludf.DUMMYFUNCTION("""COMPUTED_VALUE"""),"R24")</f>
        <v>R24</v>
      </c>
      <c r="C60" s="5" t="str">
        <f>IFERROR(__xludf.DUMMYFUNCTION("""COMPUTED_VALUE"""),"")</f>
        <v/>
      </c>
      <c r="D60" s="18" t="str">
        <f>IFERROR(__xludf.DUMMYFUNCTION("""COMPUTED_VALUE"""),"Recherche")</f>
        <v>Recherche</v>
      </c>
      <c r="E60" s="5" t="str">
        <f>IFERROR(__xludf.DUMMYFUNCTION("""COMPUTED_VALUE"""),"")</f>
        <v/>
      </c>
      <c r="F60" s="5" t="str">
        <f>IFERROR(__xludf.DUMMYFUNCTION("""COMPUTED_VALUE"""),"Energie, Com/marketing, elec, santé, GI")</f>
        <v>Energie, Com/marketing, elec, santé, GI</v>
      </c>
      <c r="G60" s="64" t="str">
        <f>IFERROR(__xludf.DUMMYFUNCTION("""COMPUTED_VALUE"""),"R24_Exosquelette")</f>
        <v>R24_Exosquelette</v>
      </c>
      <c r="H60" s="5" t="str">
        <f>IFERROR(__xludf.DUMMYFUNCTION("""COMPUTED_VALUE"""),"S. Latorre      P.Vinter")</f>
        <v>S. Latorre      P.Vinter</v>
      </c>
      <c r="I60" s="5" t="str">
        <f>IFERROR(__xludf.DUMMYFUNCTION("""COMPUTED_VALUE"""),"")</f>
        <v/>
      </c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30.0" customHeight="1">
      <c r="A61" s="13" t="str">
        <f>IFERROR(__xludf.DUMMYFUNCTION("""COMPUTED_VALUE"""),"Traitement d’images « out-of-core »")</f>
        <v>Traitement d’images « out-of-core »</v>
      </c>
      <c r="B61" s="9" t="str">
        <f>IFERROR(__xludf.DUMMYFUNCTION("""COMPUTED_VALUE"""),"R25")</f>
        <v>R25</v>
      </c>
      <c r="C61" s="5" t="str">
        <f>IFERROR(__xludf.DUMMYFUNCTION("""COMPUTED_VALUE"""),"")</f>
        <v/>
      </c>
      <c r="D61" s="18" t="str">
        <f>IFERROR(__xludf.DUMMYFUNCTION("""COMPUTED_VALUE"""),"Recherche")</f>
        <v>Recherche</v>
      </c>
      <c r="E61" s="5" t="str">
        <f>IFERROR(__xludf.DUMMYFUNCTION("""COMPUTED_VALUE"""),"")</f>
        <v/>
      </c>
      <c r="F61" s="5" t="str">
        <f>IFERROR(__xludf.DUMMYFUNCTION("""COMPUTED_VALUE"""),"Info, DSIA")</f>
        <v>Info, DSIA</v>
      </c>
      <c r="G61" s="64" t="str">
        <f>IFERROR(__xludf.DUMMYFUNCTION("""COMPUTED_VALUE"""),"R25_OutOfCore.pdf")</f>
        <v>R25_OutOfCore.pdf</v>
      </c>
      <c r="H61" s="5" t="str">
        <f>IFERROR(__xludf.DUMMYFUNCTION("""COMPUTED_VALUE"""),"Jean Cousty")</f>
        <v>Jean Cousty</v>
      </c>
      <c r="I61" s="5" t="str">
        <f>IFERROR(__xludf.DUMMYFUNCTION("""COMPUTED_VALUE"""),"")</f>
        <v/>
      </c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30.0" customHeight="1">
      <c r="A62" s="13" t="str">
        <f>IFERROR(__xludf.DUMMYFUNCTION("""COMPUTED_VALUE"""),"Reconfiguration dynamique partielle pour le chiffrement matériel basse-consommation")</f>
        <v>Reconfiguration dynamique partielle pour le chiffrement matériel basse-consommation</v>
      </c>
      <c r="B62" s="9" t="str">
        <f>IFERROR(__xludf.DUMMYFUNCTION("""COMPUTED_VALUE"""),"R26")</f>
        <v>R26</v>
      </c>
      <c r="C62" s="5" t="str">
        <f>IFERROR(__xludf.DUMMYFUNCTION("""COMPUTED_VALUE"""),"")</f>
        <v/>
      </c>
      <c r="D62" s="18" t="str">
        <f>IFERROR(__xludf.DUMMYFUNCTION("""COMPUTED_VALUE"""),"Recherche")</f>
        <v>Recherche</v>
      </c>
      <c r="E62" s="5" t="str">
        <f>IFERROR(__xludf.DUMMYFUNCTION("""COMPUTED_VALUE"""),"")</f>
        <v/>
      </c>
      <c r="F62" s="5" t="str">
        <f>IFERROR(__xludf.DUMMYFUNCTION("""COMPUTED_VALUE"""),"ELE")</f>
        <v>ELE</v>
      </c>
      <c r="G62" s="64" t="str">
        <f>IFERROR(__xludf.DUMMYFUNCTION("""COMPUTED_VALUE"""),"R26_Crypto_reconfigurable.pdf")</f>
        <v>R26_Crypto_reconfigurable.pdf</v>
      </c>
      <c r="H62" s="5" t="str">
        <f>IFERROR(__xludf.DUMMYFUNCTION("""COMPUTED_VALUE"""),"Ludovic Noury")</f>
        <v>Ludovic Noury</v>
      </c>
      <c r="I62" s="5" t="str">
        <f>IFERROR(__xludf.DUMMYFUNCTION("""COMPUTED_VALUE"""),"")</f>
        <v/>
      </c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66" t="str">
        <f>IFERROR(__xludf.DUMMYFUNCTION("""COMPUTED_VALUE"""),"Assignment Algorithms for ESIEE E4 Projects")</f>
        <v>Assignment Algorithms for ESIEE E4 Projects</v>
      </c>
      <c r="B63" s="67" t="str">
        <f>IFERROR(__xludf.DUMMYFUNCTION("""COMPUTED_VALUE"""),"R27")</f>
        <v>R27</v>
      </c>
      <c r="C63" s="68" t="str">
        <f>IFERROR(__xludf.DUMMYFUNCTION("""COMPUTED_VALUE"""),"")</f>
        <v/>
      </c>
      <c r="D63" s="69" t="str">
        <f>IFERROR(__xludf.DUMMYFUNCTION("""COMPUTED_VALUE"""),"Recherche")</f>
        <v>Recherche</v>
      </c>
      <c r="E63" s="68" t="str">
        <f>IFERROR(__xludf.DUMMYFUNCTION("""COMPUTED_VALUE"""),"")</f>
        <v/>
      </c>
      <c r="F63" s="68" t="str">
        <f>IFERROR(__xludf.DUMMYFUNCTION("""COMPUTED_VALUE"""),"IMC, DSIA")</f>
        <v>IMC, DSIA</v>
      </c>
      <c r="G63" s="70" t="str">
        <f>IFERROR(__xludf.DUMMYFUNCTION("""COMPUTED_VALUE"""),"R27_IMCProject_AssigmentAlgorithm.pdf")</f>
        <v>R27_IMCProject_AssigmentAlgorithm.pdf</v>
      </c>
      <c r="H63" s="68" t="str">
        <f>IFERROR(__xludf.DUMMYFUNCTION("""COMPUTED_VALUE"""),"Y. Abdeddaim C.Berland")</f>
        <v>Y. Abdeddaim C.Berland</v>
      </c>
      <c r="I63" s="68" t="str">
        <f>IFERROR(__xludf.DUMMYFUNCTION("""COMPUTED_VALUE"""),"Only semester 2")</f>
        <v>Only semester 2</v>
      </c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66" t="str">
        <f>IFERROR(__xludf.DUMMYFUNCTION("""COMPUTED_VALUE"""),"Lightning storm activity monitoring")</f>
        <v>Lightning storm activity monitoring</v>
      </c>
      <c r="B64" s="67" t="str">
        <f>IFERROR(__xludf.DUMMYFUNCTION("""COMPUTED_VALUE"""),"R28")</f>
        <v>R28</v>
      </c>
      <c r="C64" s="68" t="str">
        <f>IFERROR(__xludf.DUMMYFUNCTION("""COMPUTED_VALUE"""),"")</f>
        <v/>
      </c>
      <c r="D64" s="69" t="str">
        <f>IFERROR(__xludf.DUMMYFUNCTION("""COMPUTED_VALUE"""),"Recherche")</f>
        <v>Recherche</v>
      </c>
      <c r="E64" s="68" t="str">
        <f>IFERROR(__xludf.DUMMYFUNCTION("""COMPUTED_VALUE"""),"")</f>
        <v/>
      </c>
      <c r="F64" s="68" t="str">
        <f>IFERROR(__xludf.DUMMYFUNCTION("""COMPUTED_VALUE"""),"IME, SE")</f>
        <v>IME, SE</v>
      </c>
      <c r="G64" s="70" t="str">
        <f>IFERROR(__xludf.DUMMYFUNCTION("""COMPUTED_VALUE"""),"R28_LightningMonitoring.pdf")</f>
        <v>R28_LightningMonitoring.pdf</v>
      </c>
      <c r="H64" s="68" t="str">
        <f>IFERROR(__xludf.DUMMYFUNCTION("""COMPUTED_VALUE"""),"T. Alves")</f>
        <v>T. Alves</v>
      </c>
      <c r="I64" s="68" t="str">
        <f>IFERROR(__xludf.DUMMYFUNCTION("""COMPUTED_VALUE"""),"Only semester 2")</f>
        <v>Only semester 2</v>
      </c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66" t="str">
        <f>IFERROR(__xludf.DUMMYFUNCTION("""COMPUTED_VALUE"""),"Development of a wireless sensor module test bench")</f>
        <v>Development of a wireless sensor module test bench</v>
      </c>
      <c r="B65" s="67" t="str">
        <f>IFERROR(__xludf.DUMMYFUNCTION("""COMPUTED_VALUE"""),"R29")</f>
        <v>R29</v>
      </c>
      <c r="C65" s="68" t="str">
        <f>IFERROR(__xludf.DUMMYFUNCTION("""COMPUTED_VALUE"""),"")</f>
        <v/>
      </c>
      <c r="D65" s="69" t="str">
        <f>IFERROR(__xludf.DUMMYFUNCTION("""COMPUTED_VALUE"""),"Recherche")</f>
        <v>Recherche</v>
      </c>
      <c r="E65" s="68" t="str">
        <f>IFERROR(__xludf.DUMMYFUNCTION("""COMPUTED_VALUE"""),"")</f>
        <v/>
      </c>
      <c r="F65" s="68" t="str">
        <f>IFERROR(__xludf.DUMMYFUNCTION("""COMPUTED_VALUE"""),"IME, SE, ELE")</f>
        <v>IME, SE, ELE</v>
      </c>
      <c r="G65" s="70" t="str">
        <f>IFERROR(__xludf.DUMMYFUNCTION("""COMPUTED_VALUE"""),"R29_Wirelesss_Sensor.pdf")</f>
        <v>R29_Wirelesss_Sensor.pdf</v>
      </c>
      <c r="H65" s="68" t="str">
        <f>IFERROR(__xludf.DUMMYFUNCTION("""COMPUTED_VALUE"""),"T. Alves")</f>
        <v>T. Alves</v>
      </c>
      <c r="I65" s="68" t="str">
        <f>IFERROR(__xludf.DUMMYFUNCTION("""COMPUTED_VALUE"""),"Only semester 2")</f>
        <v>Only semester 2</v>
      </c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66" t="str">
        <f>IFERROR(__xludf.DUMMYFUNCTION("""COMPUTED_VALUE"""),"From HF to UHF Energy Harvesting")</f>
        <v>From HF to UHF Energy Harvesting</v>
      </c>
      <c r="B66" s="67" t="str">
        <f>IFERROR(__xludf.DUMMYFUNCTION("""COMPUTED_VALUE"""),"R30")</f>
        <v>R30</v>
      </c>
      <c r="C66" s="68" t="str">
        <f>IFERROR(__xludf.DUMMYFUNCTION("""COMPUTED_VALUE"""),"")</f>
        <v/>
      </c>
      <c r="D66" s="69" t="str">
        <f>IFERROR(__xludf.DUMMYFUNCTION("""COMPUTED_VALUE"""),"Recherche")</f>
        <v>Recherche</v>
      </c>
      <c r="E66" s="68" t="str">
        <f>IFERROR(__xludf.DUMMYFUNCTION("""COMPUTED_VALUE"""),"")</f>
        <v/>
      </c>
      <c r="F66" s="68" t="str">
        <f>IFERROR(__xludf.DUMMYFUNCTION("""COMPUTED_VALUE"""),"IME, SE, ELE")</f>
        <v>IME, SE, ELE</v>
      </c>
      <c r="G66" s="70" t="str">
        <f>IFERROR(__xludf.DUMMYFUNCTION("""COMPUTED_VALUE"""),"R30_Energy_Harvesting.pdf")</f>
        <v>R30_Energy_Harvesting.pdf</v>
      </c>
      <c r="H66" s="68" t="str">
        <f>IFERROR(__xludf.DUMMYFUNCTION("""COMPUTED_VALUE"""),"T. Alves")</f>
        <v>T. Alves</v>
      </c>
      <c r="I66" s="68" t="str">
        <f>IFERROR(__xludf.DUMMYFUNCTION("""COMPUTED_VALUE"""),"Only semester 2")</f>
        <v>Only semester 2</v>
      </c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66" t="str">
        <f>IFERROR(__xludf.DUMMYFUNCTION("""COMPUTED_VALUE"""),"Elaboration d’un simulateur digital : Optimisations des risques industriels")</f>
        <v>Elaboration d’un simulateur digital : Optimisations des risques industriels</v>
      </c>
      <c r="B67" s="67" t="str">
        <f>IFERROR(__xludf.DUMMYFUNCTION("""COMPUTED_VALUE"""),"R31")</f>
        <v>R31</v>
      </c>
      <c r="C67" s="68" t="str">
        <f>IFERROR(__xludf.DUMMYFUNCTION("""COMPUTED_VALUE"""),"")</f>
        <v/>
      </c>
      <c r="D67" s="69" t="str">
        <f>IFERROR(__xludf.DUMMYFUNCTION("""COMPUTED_VALUE"""),"Recherche")</f>
        <v>Recherche</v>
      </c>
      <c r="E67" s="68" t="str">
        <f>IFERROR(__xludf.DUMMYFUNCTION("""COMPUTED_VALUE"""),"UPEM")</f>
        <v>UPEM</v>
      </c>
      <c r="F67" s="68" t="str">
        <f>IFERROR(__xludf.DUMMYFUNCTION("""COMPUTED_VALUE"""),"Info, DSIA, SE, GI")</f>
        <v>Info, DSIA, SE, GI</v>
      </c>
      <c r="G67" s="70" t="str">
        <f>IFERROR(__xludf.DUMMYFUNCTION("""COMPUTED_VALUE"""),"R31_Simulateur_Digital.pdf")</f>
        <v>R31_Simulateur_Digital.pdf</v>
      </c>
      <c r="H67" s="68" t="str">
        <f>IFERROR(__xludf.DUMMYFUNCTION("""COMPUTED_VALUE"""),"R. Hamouche")</f>
        <v>R. Hamouche</v>
      </c>
      <c r="I67" s="68" t="str">
        <f>IFERROR(__xludf.DUMMYFUNCTION("""COMPUTED_VALUE"""),"")</f>
        <v/>
      </c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66" t="str">
        <f>IFERROR(__xludf.DUMMYFUNCTION("""COMPUTED_VALUE"""),"Hospitalisation à domicile")</f>
        <v>Hospitalisation à domicile</v>
      </c>
      <c r="B68" s="67" t="str">
        <f>IFERROR(__xludf.DUMMYFUNCTION("""COMPUTED_VALUE"""),"R32")</f>
        <v>R32</v>
      </c>
      <c r="C68" s="68" t="str">
        <f>IFERROR(__xludf.DUMMYFUNCTION("""COMPUTED_VALUE"""),"")</f>
        <v/>
      </c>
      <c r="D68" s="69" t="str">
        <f>IFERROR(__xludf.DUMMYFUNCTION("""COMPUTED_VALUE"""),"Recherche")</f>
        <v>Recherche</v>
      </c>
      <c r="E68" s="68" t="str">
        <f>IFERROR(__xludf.DUMMYFUNCTION("""COMPUTED_VALUE"""),"")</f>
        <v/>
      </c>
      <c r="F68" s="68" t="str">
        <f>IFERROR(__xludf.DUMMYFUNCTION("""COMPUTED_VALUE"""),"GI")</f>
        <v>GI</v>
      </c>
      <c r="G68" s="70" t="str">
        <f>IFERROR(__xludf.DUMMYFUNCTION("""COMPUTED_VALUE"""),"R32_HospitalisationADomicile.pdf")</f>
        <v>R32_HospitalisationADomicile.pdf</v>
      </c>
      <c r="H68" s="68" t="str">
        <f>IFERROR(__xludf.DUMMYFUNCTION("""COMPUTED_VALUE"""),"Aida Jebali")</f>
        <v>Aida Jebali</v>
      </c>
      <c r="I68" s="68" t="str">
        <f>IFERROR(__xludf.DUMMYFUNCTION("""COMPUTED_VALUE"""),"")</f>
        <v/>
      </c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66" t="str">
        <f>IFERROR(__xludf.DUMMYFUNCTION("""COMPUTED_VALUE"""),"")</f>
        <v/>
      </c>
      <c r="B69" s="67" t="str">
        <f>IFERROR(__xludf.DUMMYFUNCTION("""COMPUTED_VALUE"""),"")</f>
        <v/>
      </c>
      <c r="C69" s="68" t="str">
        <f>IFERROR(__xludf.DUMMYFUNCTION("""COMPUTED_VALUE"""),"")</f>
        <v/>
      </c>
      <c r="D69" s="69" t="str">
        <f>IFERROR(__xludf.DUMMYFUNCTION("""COMPUTED_VALUE"""),"")</f>
        <v/>
      </c>
      <c r="E69" s="68" t="str">
        <f>IFERROR(__xludf.DUMMYFUNCTION("""COMPUTED_VALUE"""),"")</f>
        <v/>
      </c>
      <c r="F69" s="68" t="str">
        <f>IFERROR(__xludf.DUMMYFUNCTION("""COMPUTED_VALUE"""),"")</f>
        <v/>
      </c>
      <c r="G69" s="69" t="str">
        <f>IFERROR(__xludf.DUMMYFUNCTION("""COMPUTED_VALUE"""),"")</f>
        <v/>
      </c>
      <c r="H69" s="68" t="str">
        <f>IFERROR(__xludf.DUMMYFUNCTION("""COMPUTED_VALUE"""),"")</f>
        <v/>
      </c>
      <c r="I69" s="68" t="str">
        <f>IFERROR(__xludf.DUMMYFUNCTION("""COMPUTED_VALUE"""),"")</f>
        <v/>
      </c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66" t="str">
        <f>IFERROR(__xludf.DUMMYFUNCTION("""COMPUTED_VALUE"""),"")</f>
        <v/>
      </c>
      <c r="B70" s="67" t="str">
        <f>IFERROR(__xludf.DUMMYFUNCTION("""COMPUTED_VALUE"""),"")</f>
        <v/>
      </c>
      <c r="C70" s="68" t="str">
        <f>IFERROR(__xludf.DUMMYFUNCTION("""COMPUTED_VALUE"""),"")</f>
        <v/>
      </c>
      <c r="D70" s="69" t="str">
        <f>IFERROR(__xludf.DUMMYFUNCTION("""COMPUTED_VALUE"""),"")</f>
        <v/>
      </c>
      <c r="E70" s="68" t="str">
        <f>IFERROR(__xludf.DUMMYFUNCTION("""COMPUTED_VALUE"""),"")</f>
        <v/>
      </c>
      <c r="F70" s="68" t="str">
        <f>IFERROR(__xludf.DUMMYFUNCTION("""COMPUTED_VALUE"""),"")</f>
        <v/>
      </c>
      <c r="G70" s="69" t="str">
        <f>IFERROR(__xludf.DUMMYFUNCTION("""COMPUTED_VALUE"""),"")</f>
        <v/>
      </c>
      <c r="H70" s="68" t="str">
        <f>IFERROR(__xludf.DUMMYFUNCTION("""COMPUTED_VALUE"""),"")</f>
        <v/>
      </c>
      <c r="I70" s="68" t="str">
        <f>IFERROR(__xludf.DUMMYFUNCTION("""COMPUTED_VALUE"""),"")</f>
        <v/>
      </c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72" t="str">
        <f>IFERROR(__xludf.DUMMYFUNCTION("""COMPUTED_VALUE"""),"")</f>
        <v/>
      </c>
      <c r="B71" s="73" t="str">
        <f>IFERROR(__xludf.DUMMYFUNCTION("""COMPUTED_VALUE"""),"")</f>
        <v/>
      </c>
      <c r="C71" s="74" t="str">
        <f>IFERROR(__xludf.DUMMYFUNCTION("""COMPUTED_VALUE"""),"")</f>
        <v/>
      </c>
      <c r="D71" s="75" t="str">
        <f>IFERROR(__xludf.DUMMYFUNCTION("""COMPUTED_VALUE"""),"")</f>
        <v/>
      </c>
      <c r="E71" s="74" t="str">
        <f>IFERROR(__xludf.DUMMYFUNCTION("""COMPUTED_VALUE"""),"")</f>
        <v/>
      </c>
      <c r="F71" s="74" t="str">
        <f>IFERROR(__xludf.DUMMYFUNCTION("""COMPUTED_VALUE"""),"")</f>
        <v/>
      </c>
      <c r="G71" s="75" t="str">
        <f>IFERROR(__xludf.DUMMYFUNCTION("""COMPUTED_VALUE"""),"")</f>
        <v/>
      </c>
      <c r="H71" s="74" t="str">
        <f>IFERROR(__xludf.DUMMYFUNCTION("""COMPUTED_VALUE"""),"")</f>
        <v/>
      </c>
      <c r="I71" s="74" t="str">
        <f>IFERROR(__xludf.DUMMYFUNCTION("""COMPUTED_VALUE"""),"")</f>
        <v/>
      </c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2" t="str">
        <f>IFERROR(__xludf.DUMMYFUNCTION("""COMPUTED_VALUE"""),"")</f>
        <v/>
      </c>
      <c r="B72" s="73" t="str">
        <f>IFERROR(__xludf.DUMMYFUNCTION("""COMPUTED_VALUE"""),"")</f>
        <v/>
      </c>
      <c r="C72" s="74" t="str">
        <f>IFERROR(__xludf.DUMMYFUNCTION("""COMPUTED_VALUE"""),"")</f>
        <v/>
      </c>
      <c r="D72" s="75" t="str">
        <f>IFERROR(__xludf.DUMMYFUNCTION("""COMPUTED_VALUE"""),"")</f>
        <v/>
      </c>
      <c r="E72" s="74" t="str">
        <f>IFERROR(__xludf.DUMMYFUNCTION("""COMPUTED_VALUE"""),"")</f>
        <v/>
      </c>
      <c r="F72" s="74" t="str">
        <f>IFERROR(__xludf.DUMMYFUNCTION("""COMPUTED_VALUE"""),"")</f>
        <v/>
      </c>
      <c r="G72" s="75" t="str">
        <f>IFERROR(__xludf.DUMMYFUNCTION("""COMPUTED_VALUE"""),"")</f>
        <v/>
      </c>
      <c r="H72" s="74" t="str">
        <f>IFERROR(__xludf.DUMMYFUNCTION("""COMPUTED_VALUE"""),"")</f>
        <v/>
      </c>
      <c r="I72" s="74" t="str">
        <f>IFERROR(__xludf.DUMMYFUNCTION("""COMPUTED_VALUE"""),"")</f>
        <v/>
      </c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2" t="str">
        <f>IFERROR(__xludf.DUMMYFUNCTION("""COMPUTED_VALUE"""),"")</f>
        <v/>
      </c>
      <c r="B73" s="73" t="str">
        <f>IFERROR(__xludf.DUMMYFUNCTION("""COMPUTED_VALUE"""),"")</f>
        <v/>
      </c>
      <c r="C73" s="74" t="str">
        <f>IFERROR(__xludf.DUMMYFUNCTION("""COMPUTED_VALUE"""),"")</f>
        <v/>
      </c>
      <c r="D73" s="75" t="str">
        <f>IFERROR(__xludf.DUMMYFUNCTION("""COMPUTED_VALUE"""),"")</f>
        <v/>
      </c>
      <c r="E73" s="74" t="str">
        <f>IFERROR(__xludf.DUMMYFUNCTION("""COMPUTED_VALUE"""),"")</f>
        <v/>
      </c>
      <c r="F73" s="74" t="str">
        <f>IFERROR(__xludf.DUMMYFUNCTION("""COMPUTED_VALUE"""),"")</f>
        <v/>
      </c>
      <c r="G73" s="75" t="str">
        <f>IFERROR(__xludf.DUMMYFUNCTION("""COMPUTED_VALUE"""),"")</f>
        <v/>
      </c>
      <c r="H73" s="74" t="str">
        <f>IFERROR(__xludf.DUMMYFUNCTION("""COMPUTED_VALUE"""),"")</f>
        <v/>
      </c>
      <c r="I73" s="74" t="str">
        <f>IFERROR(__xludf.DUMMYFUNCTION("""COMPUTED_VALUE"""),"")</f>
        <v/>
      </c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2" t="str">
        <f>IFERROR(__xludf.DUMMYFUNCTION("""COMPUTED_VALUE"""),"")</f>
        <v/>
      </c>
      <c r="B74" s="73" t="str">
        <f>IFERROR(__xludf.DUMMYFUNCTION("""COMPUTED_VALUE"""),"")</f>
        <v/>
      </c>
      <c r="C74" s="74" t="str">
        <f>IFERROR(__xludf.DUMMYFUNCTION("""COMPUTED_VALUE"""),"")</f>
        <v/>
      </c>
      <c r="D74" s="75" t="str">
        <f>IFERROR(__xludf.DUMMYFUNCTION("""COMPUTED_VALUE"""),"")</f>
        <v/>
      </c>
      <c r="E74" s="74" t="str">
        <f>IFERROR(__xludf.DUMMYFUNCTION("""COMPUTED_VALUE"""),"")</f>
        <v/>
      </c>
      <c r="F74" s="74" t="str">
        <f>IFERROR(__xludf.DUMMYFUNCTION("""COMPUTED_VALUE"""),"")</f>
        <v/>
      </c>
      <c r="G74" s="75" t="str">
        <f>IFERROR(__xludf.DUMMYFUNCTION("""COMPUTED_VALUE"""),"")</f>
        <v/>
      </c>
      <c r="H74" s="74" t="str">
        <f>IFERROR(__xludf.DUMMYFUNCTION("""COMPUTED_VALUE"""),"")</f>
        <v/>
      </c>
      <c r="I74" s="74" t="str">
        <f>IFERROR(__xludf.DUMMYFUNCTION("""COMPUTED_VALUE"""),"")</f>
        <v/>
      </c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2" t="str">
        <f>IFERROR(__xludf.DUMMYFUNCTION("""COMPUTED_VALUE"""),"")</f>
        <v/>
      </c>
      <c r="B75" s="73" t="str">
        <f>IFERROR(__xludf.DUMMYFUNCTION("""COMPUTED_VALUE"""),"")</f>
        <v/>
      </c>
      <c r="C75" s="74" t="str">
        <f>IFERROR(__xludf.DUMMYFUNCTION("""COMPUTED_VALUE"""),"")</f>
        <v/>
      </c>
      <c r="D75" s="75" t="str">
        <f>IFERROR(__xludf.DUMMYFUNCTION("""COMPUTED_VALUE"""),"")</f>
        <v/>
      </c>
      <c r="E75" s="74" t="str">
        <f>IFERROR(__xludf.DUMMYFUNCTION("""COMPUTED_VALUE"""),"")</f>
        <v/>
      </c>
      <c r="F75" s="74" t="str">
        <f>IFERROR(__xludf.DUMMYFUNCTION("""COMPUTED_VALUE"""),"")</f>
        <v/>
      </c>
      <c r="G75" s="75" t="str">
        <f>IFERROR(__xludf.DUMMYFUNCTION("""COMPUTED_VALUE"""),"")</f>
        <v/>
      </c>
      <c r="H75" s="74" t="str">
        <f>IFERROR(__xludf.DUMMYFUNCTION("""COMPUTED_VALUE"""),"")</f>
        <v/>
      </c>
      <c r="I75" s="74" t="str">
        <f>IFERROR(__xludf.DUMMYFUNCTION("""COMPUTED_VALUE"""),"")</f>
        <v/>
      </c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2" t="str">
        <f>IFERROR(__xludf.DUMMYFUNCTION("""COMPUTED_VALUE"""),"")</f>
        <v/>
      </c>
      <c r="B76" s="73" t="str">
        <f>IFERROR(__xludf.DUMMYFUNCTION("""COMPUTED_VALUE"""),"")</f>
        <v/>
      </c>
      <c r="C76" s="74" t="str">
        <f>IFERROR(__xludf.DUMMYFUNCTION("""COMPUTED_VALUE"""),"")</f>
        <v/>
      </c>
      <c r="D76" s="75" t="str">
        <f>IFERROR(__xludf.DUMMYFUNCTION("""COMPUTED_VALUE"""),"")</f>
        <v/>
      </c>
      <c r="E76" s="74" t="str">
        <f>IFERROR(__xludf.DUMMYFUNCTION("""COMPUTED_VALUE"""),"")</f>
        <v/>
      </c>
      <c r="F76" s="74" t="str">
        <f>IFERROR(__xludf.DUMMYFUNCTION("""COMPUTED_VALUE"""),"")</f>
        <v/>
      </c>
      <c r="G76" s="75" t="str">
        <f>IFERROR(__xludf.DUMMYFUNCTION("""COMPUTED_VALUE"""),"")</f>
        <v/>
      </c>
      <c r="H76" s="74" t="str">
        <f>IFERROR(__xludf.DUMMYFUNCTION("""COMPUTED_VALUE"""),"")</f>
        <v/>
      </c>
      <c r="I76" s="74" t="str">
        <f>IFERROR(__xludf.DUMMYFUNCTION("""COMPUTED_VALUE"""),"")</f>
        <v/>
      </c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2" t="str">
        <f>IFERROR(__xludf.DUMMYFUNCTION("""COMPUTED_VALUE"""),"")</f>
        <v/>
      </c>
      <c r="B77" s="73" t="str">
        <f>IFERROR(__xludf.DUMMYFUNCTION("""COMPUTED_VALUE"""),"")</f>
        <v/>
      </c>
      <c r="C77" s="74" t="str">
        <f>IFERROR(__xludf.DUMMYFUNCTION("""COMPUTED_VALUE"""),"")</f>
        <v/>
      </c>
      <c r="D77" s="75" t="str">
        <f>IFERROR(__xludf.DUMMYFUNCTION("""COMPUTED_VALUE"""),"")</f>
        <v/>
      </c>
      <c r="E77" s="74" t="str">
        <f>IFERROR(__xludf.DUMMYFUNCTION("""COMPUTED_VALUE"""),"")</f>
        <v/>
      </c>
      <c r="F77" s="74" t="str">
        <f>IFERROR(__xludf.DUMMYFUNCTION("""COMPUTED_VALUE"""),"")</f>
        <v/>
      </c>
      <c r="G77" s="75" t="str">
        <f>IFERROR(__xludf.DUMMYFUNCTION("""COMPUTED_VALUE"""),"")</f>
        <v/>
      </c>
      <c r="H77" s="74" t="str">
        <f>IFERROR(__xludf.DUMMYFUNCTION("""COMPUTED_VALUE"""),"")</f>
        <v/>
      </c>
      <c r="I77" s="74" t="str">
        <f>IFERROR(__xludf.DUMMYFUNCTION("""COMPUTED_VALUE"""),"")</f>
        <v/>
      </c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2" t="str">
        <f>IFERROR(__xludf.DUMMYFUNCTION("""COMPUTED_VALUE"""),"")</f>
        <v/>
      </c>
      <c r="B78" s="73" t="str">
        <f>IFERROR(__xludf.DUMMYFUNCTION("""COMPUTED_VALUE"""),"")</f>
        <v/>
      </c>
      <c r="C78" s="74" t="str">
        <f>IFERROR(__xludf.DUMMYFUNCTION("""COMPUTED_VALUE"""),"")</f>
        <v/>
      </c>
      <c r="D78" s="75" t="str">
        <f>IFERROR(__xludf.DUMMYFUNCTION("""COMPUTED_VALUE"""),"")</f>
        <v/>
      </c>
      <c r="E78" s="74" t="str">
        <f>IFERROR(__xludf.DUMMYFUNCTION("""COMPUTED_VALUE"""),"")</f>
        <v/>
      </c>
      <c r="F78" s="74" t="str">
        <f>IFERROR(__xludf.DUMMYFUNCTION("""COMPUTED_VALUE"""),"")</f>
        <v/>
      </c>
      <c r="G78" s="75" t="str">
        <f>IFERROR(__xludf.DUMMYFUNCTION("""COMPUTED_VALUE"""),"")</f>
        <v/>
      </c>
      <c r="H78" s="74" t="str">
        <f>IFERROR(__xludf.DUMMYFUNCTION("""COMPUTED_VALUE"""),"")</f>
        <v/>
      </c>
      <c r="I78" s="74" t="str">
        <f>IFERROR(__xludf.DUMMYFUNCTION("""COMPUTED_VALUE"""),"")</f>
        <v/>
      </c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2" t="str">
        <f>IFERROR(__xludf.DUMMYFUNCTION("""COMPUTED_VALUE"""),"")</f>
        <v/>
      </c>
      <c r="B79" s="73" t="str">
        <f>IFERROR(__xludf.DUMMYFUNCTION("""COMPUTED_VALUE"""),"")</f>
        <v/>
      </c>
      <c r="C79" s="74" t="str">
        <f>IFERROR(__xludf.DUMMYFUNCTION("""COMPUTED_VALUE"""),"")</f>
        <v/>
      </c>
      <c r="D79" s="75" t="str">
        <f>IFERROR(__xludf.DUMMYFUNCTION("""COMPUTED_VALUE"""),"")</f>
        <v/>
      </c>
      <c r="E79" s="74" t="str">
        <f>IFERROR(__xludf.DUMMYFUNCTION("""COMPUTED_VALUE"""),"")</f>
        <v/>
      </c>
      <c r="F79" s="74" t="str">
        <f>IFERROR(__xludf.DUMMYFUNCTION("""COMPUTED_VALUE"""),"")</f>
        <v/>
      </c>
      <c r="G79" s="75" t="str">
        <f>IFERROR(__xludf.DUMMYFUNCTION("""COMPUTED_VALUE"""),"")</f>
        <v/>
      </c>
      <c r="H79" s="74" t="str">
        <f>IFERROR(__xludf.DUMMYFUNCTION("""COMPUTED_VALUE"""),"")</f>
        <v/>
      </c>
      <c r="I79" s="74" t="str">
        <f>IFERROR(__xludf.DUMMYFUNCTION("""COMPUTED_VALUE"""),"")</f>
        <v/>
      </c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2" t="str">
        <f>IFERROR(__xludf.DUMMYFUNCTION("""COMPUTED_VALUE"""),"")</f>
        <v/>
      </c>
      <c r="B80" s="73" t="str">
        <f>IFERROR(__xludf.DUMMYFUNCTION("""COMPUTED_VALUE"""),"")</f>
        <v/>
      </c>
      <c r="C80" s="74" t="str">
        <f>IFERROR(__xludf.DUMMYFUNCTION("""COMPUTED_VALUE"""),"")</f>
        <v/>
      </c>
      <c r="D80" s="75" t="str">
        <f>IFERROR(__xludf.DUMMYFUNCTION("""COMPUTED_VALUE"""),"")</f>
        <v/>
      </c>
      <c r="E80" s="74" t="str">
        <f>IFERROR(__xludf.DUMMYFUNCTION("""COMPUTED_VALUE"""),"")</f>
        <v/>
      </c>
      <c r="F80" s="74" t="str">
        <f>IFERROR(__xludf.DUMMYFUNCTION("""COMPUTED_VALUE"""),"")</f>
        <v/>
      </c>
      <c r="G80" s="75" t="str">
        <f>IFERROR(__xludf.DUMMYFUNCTION("""COMPUTED_VALUE"""),"")</f>
        <v/>
      </c>
      <c r="H80" s="74" t="str">
        <f>IFERROR(__xludf.DUMMYFUNCTION("""COMPUTED_VALUE"""),"")</f>
        <v/>
      </c>
      <c r="I80" s="74" t="str">
        <f>IFERROR(__xludf.DUMMYFUNCTION("""COMPUTED_VALUE"""),"")</f>
        <v/>
      </c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2"/>
      <c r="B81" s="73"/>
      <c r="C81" s="74"/>
      <c r="D81" s="75"/>
      <c r="E81" s="74"/>
      <c r="F81" s="74"/>
      <c r="G81" s="75"/>
      <c r="H81" s="74"/>
      <c r="I81" s="74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2"/>
      <c r="B82" s="73"/>
      <c r="C82" s="74"/>
      <c r="D82" s="75"/>
      <c r="E82" s="74"/>
      <c r="F82" s="74"/>
      <c r="G82" s="75"/>
      <c r="H82" s="74"/>
      <c r="I82" s="74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2"/>
      <c r="B83" s="73"/>
      <c r="C83" s="74"/>
      <c r="D83" s="75"/>
      <c r="E83" s="74"/>
      <c r="F83" s="74"/>
      <c r="G83" s="75"/>
      <c r="H83" s="74"/>
      <c r="I83" s="74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2"/>
      <c r="B84" s="73"/>
      <c r="C84" s="74"/>
      <c r="D84" s="75"/>
      <c r="E84" s="74"/>
      <c r="F84" s="74"/>
      <c r="G84" s="75"/>
      <c r="H84" s="74"/>
      <c r="I84" s="74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2"/>
      <c r="B85" s="73"/>
      <c r="C85" s="74"/>
      <c r="D85" s="75"/>
      <c r="E85" s="74"/>
      <c r="F85" s="74"/>
      <c r="G85" s="75"/>
      <c r="H85" s="74"/>
      <c r="I85" s="74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2"/>
      <c r="B86" s="73"/>
      <c r="C86" s="74"/>
      <c r="D86" s="75"/>
      <c r="E86" s="74"/>
      <c r="F86" s="74"/>
      <c r="G86" s="75"/>
      <c r="H86" s="74"/>
      <c r="I86" s="74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2"/>
      <c r="B87" s="73"/>
      <c r="C87" s="74"/>
      <c r="D87" s="75"/>
      <c r="E87" s="74"/>
      <c r="F87" s="74"/>
      <c r="G87" s="75"/>
      <c r="H87" s="74"/>
      <c r="I87" s="74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2"/>
      <c r="B88" s="73"/>
      <c r="C88" s="74"/>
      <c r="D88" s="75"/>
      <c r="E88" s="74"/>
      <c r="F88" s="74"/>
      <c r="G88" s="75"/>
      <c r="H88" s="74"/>
      <c r="I88" s="74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2"/>
      <c r="B89" s="73"/>
      <c r="C89" s="74"/>
      <c r="D89" s="75"/>
      <c r="E89" s="74"/>
      <c r="F89" s="74"/>
      <c r="G89" s="75"/>
      <c r="H89" s="74"/>
      <c r="I89" s="74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2"/>
      <c r="B90" s="73"/>
      <c r="C90" s="74"/>
      <c r="D90" s="75"/>
      <c r="E90" s="74"/>
      <c r="F90" s="74"/>
      <c r="G90" s="75"/>
      <c r="H90" s="74"/>
      <c r="I90" s="74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2"/>
      <c r="B91" s="73"/>
      <c r="C91" s="74"/>
      <c r="D91" s="75"/>
      <c r="E91" s="74"/>
      <c r="F91" s="74"/>
      <c r="G91" s="75"/>
      <c r="H91" s="74"/>
      <c r="I91" s="74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2"/>
      <c r="B92" s="73"/>
      <c r="C92" s="74"/>
      <c r="D92" s="75"/>
      <c r="E92" s="74"/>
      <c r="F92" s="74"/>
      <c r="G92" s="75"/>
      <c r="H92" s="74"/>
      <c r="I92" s="74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2"/>
      <c r="B93" s="73"/>
      <c r="C93" s="74"/>
      <c r="D93" s="75"/>
      <c r="E93" s="74"/>
      <c r="F93" s="74"/>
      <c r="G93" s="75"/>
      <c r="H93" s="74"/>
      <c r="I93" s="74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2"/>
      <c r="B94" s="73"/>
      <c r="C94" s="74"/>
      <c r="D94" s="75"/>
      <c r="E94" s="74"/>
      <c r="F94" s="74"/>
      <c r="G94" s="75"/>
      <c r="H94" s="74"/>
      <c r="I94" s="74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2"/>
      <c r="B95" s="73"/>
      <c r="C95" s="74"/>
      <c r="D95" s="75"/>
      <c r="E95" s="74"/>
      <c r="F95" s="74"/>
      <c r="G95" s="75"/>
      <c r="H95" s="74"/>
      <c r="I95" s="74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2"/>
      <c r="B96" s="73"/>
      <c r="C96" s="74"/>
      <c r="D96" s="75"/>
      <c r="E96" s="74"/>
      <c r="F96" s="74"/>
      <c r="G96" s="75"/>
      <c r="H96" s="74"/>
      <c r="I96" s="74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2"/>
      <c r="B97" s="73"/>
      <c r="C97" s="74"/>
      <c r="D97" s="75"/>
      <c r="E97" s="74"/>
      <c r="F97" s="74"/>
      <c r="G97" s="75"/>
      <c r="H97" s="74"/>
      <c r="I97" s="74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2"/>
      <c r="B98" s="73"/>
      <c r="C98" s="74"/>
      <c r="D98" s="75"/>
      <c r="E98" s="74"/>
      <c r="F98" s="74"/>
      <c r="G98" s="75"/>
      <c r="H98" s="74"/>
      <c r="I98" s="74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2"/>
      <c r="B99" s="73"/>
      <c r="C99" s="74"/>
      <c r="D99" s="75"/>
      <c r="E99" s="74"/>
      <c r="F99" s="74"/>
      <c r="G99" s="75"/>
      <c r="H99" s="74"/>
      <c r="I99" s="74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2"/>
      <c r="B100" s="73"/>
      <c r="C100" s="74"/>
      <c r="D100" s="75"/>
      <c r="E100" s="74"/>
      <c r="F100" s="74"/>
      <c r="G100" s="75"/>
      <c r="H100" s="74"/>
      <c r="I100" s="74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2"/>
      <c r="B101" s="73"/>
      <c r="C101" s="74"/>
      <c r="D101" s="75"/>
      <c r="E101" s="74"/>
      <c r="F101" s="74"/>
      <c r="G101" s="75"/>
      <c r="H101" s="74"/>
      <c r="I101" s="74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2"/>
      <c r="B102" s="73"/>
      <c r="C102" s="74"/>
      <c r="D102" s="75"/>
      <c r="E102" s="74"/>
      <c r="F102" s="74"/>
      <c r="G102" s="75"/>
      <c r="H102" s="74"/>
      <c r="I102" s="74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2"/>
      <c r="B103" s="73"/>
      <c r="C103" s="74"/>
      <c r="D103" s="75"/>
      <c r="E103" s="74"/>
      <c r="F103" s="74"/>
      <c r="G103" s="75"/>
      <c r="H103" s="74"/>
      <c r="I103" s="74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2"/>
      <c r="B104" s="73"/>
      <c r="C104" s="74"/>
      <c r="D104" s="75"/>
      <c r="E104" s="74"/>
      <c r="F104" s="74"/>
      <c r="G104" s="75"/>
      <c r="H104" s="74"/>
      <c r="I104" s="74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2"/>
      <c r="B105" s="73"/>
      <c r="C105" s="74"/>
      <c r="D105" s="75"/>
      <c r="E105" s="74"/>
      <c r="F105" s="74"/>
      <c r="G105" s="75"/>
      <c r="H105" s="74"/>
      <c r="I105" s="74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2"/>
      <c r="B106" s="73"/>
      <c r="C106" s="74"/>
      <c r="D106" s="75"/>
      <c r="E106" s="74"/>
      <c r="F106" s="74"/>
      <c r="G106" s="75"/>
      <c r="H106" s="74"/>
      <c r="I106" s="74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2"/>
      <c r="B107" s="73"/>
      <c r="C107" s="74"/>
      <c r="D107" s="75"/>
      <c r="E107" s="74"/>
      <c r="F107" s="74"/>
      <c r="G107" s="75"/>
      <c r="H107" s="74"/>
      <c r="I107" s="74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2"/>
      <c r="B108" s="73"/>
      <c r="C108" s="74"/>
      <c r="D108" s="75"/>
      <c r="E108" s="74"/>
      <c r="F108" s="74"/>
      <c r="G108" s="75"/>
      <c r="H108" s="74"/>
      <c r="I108" s="74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2"/>
      <c r="B109" s="73"/>
      <c r="C109" s="74"/>
      <c r="D109" s="75"/>
      <c r="E109" s="74"/>
      <c r="F109" s="74"/>
      <c r="G109" s="75"/>
      <c r="H109" s="74"/>
      <c r="I109" s="74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2"/>
      <c r="B110" s="73"/>
      <c r="C110" s="74"/>
      <c r="D110" s="75"/>
      <c r="E110" s="74"/>
      <c r="F110" s="74"/>
      <c r="G110" s="75"/>
      <c r="H110" s="74"/>
      <c r="I110" s="74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2"/>
      <c r="B111" s="73"/>
      <c r="C111" s="74"/>
      <c r="D111" s="75"/>
      <c r="E111" s="74"/>
      <c r="F111" s="74"/>
      <c r="G111" s="75"/>
      <c r="H111" s="74"/>
      <c r="I111" s="74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2"/>
      <c r="B112" s="73"/>
      <c r="C112" s="74"/>
      <c r="D112" s="75"/>
      <c r="E112" s="74"/>
      <c r="F112" s="74"/>
      <c r="G112" s="75"/>
      <c r="H112" s="74"/>
      <c r="I112" s="74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2"/>
      <c r="B113" s="73"/>
      <c r="C113" s="74"/>
      <c r="D113" s="75"/>
      <c r="E113" s="74"/>
      <c r="F113" s="74"/>
      <c r="G113" s="75"/>
      <c r="H113" s="74"/>
      <c r="I113" s="74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2"/>
      <c r="B114" s="73"/>
      <c r="C114" s="74"/>
      <c r="D114" s="75"/>
      <c r="E114" s="74"/>
      <c r="F114" s="74"/>
      <c r="G114" s="75"/>
      <c r="H114" s="74"/>
      <c r="I114" s="74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2"/>
      <c r="B115" s="73"/>
      <c r="C115" s="74"/>
      <c r="D115" s="75"/>
      <c r="E115" s="74"/>
      <c r="F115" s="74"/>
      <c r="G115" s="75"/>
      <c r="H115" s="74"/>
      <c r="I115" s="74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2"/>
      <c r="B116" s="73"/>
      <c r="C116" s="74"/>
      <c r="D116" s="75"/>
      <c r="E116" s="74"/>
      <c r="F116" s="74"/>
      <c r="G116" s="75"/>
      <c r="H116" s="74"/>
      <c r="I116" s="74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2"/>
      <c r="B117" s="73"/>
      <c r="C117" s="74"/>
      <c r="D117" s="75"/>
      <c r="E117" s="74"/>
      <c r="F117" s="74"/>
      <c r="G117" s="75"/>
      <c r="H117" s="74"/>
      <c r="I117" s="74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2"/>
      <c r="B118" s="73"/>
      <c r="C118" s="74"/>
      <c r="D118" s="75"/>
      <c r="E118" s="74"/>
      <c r="F118" s="74"/>
      <c r="G118" s="75"/>
      <c r="H118" s="74"/>
      <c r="I118" s="74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2"/>
      <c r="B119" s="73"/>
      <c r="C119" s="74"/>
      <c r="D119" s="75"/>
      <c r="E119" s="74"/>
      <c r="F119" s="74"/>
      <c r="G119" s="75"/>
      <c r="H119" s="74"/>
      <c r="I119" s="74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2"/>
      <c r="B120" s="73"/>
      <c r="C120" s="74"/>
      <c r="D120" s="75"/>
      <c r="E120" s="74"/>
      <c r="F120" s="74"/>
      <c r="G120" s="75"/>
      <c r="H120" s="74"/>
      <c r="I120" s="74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2"/>
      <c r="B121" s="73"/>
      <c r="C121" s="74"/>
      <c r="D121" s="75"/>
      <c r="E121" s="74"/>
      <c r="F121" s="74"/>
      <c r="G121" s="75"/>
      <c r="H121" s="74"/>
      <c r="I121" s="74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2"/>
      <c r="B122" s="73"/>
      <c r="C122" s="74"/>
      <c r="D122" s="75"/>
      <c r="E122" s="74"/>
      <c r="F122" s="74"/>
      <c r="G122" s="75"/>
      <c r="H122" s="74"/>
      <c r="I122" s="74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2"/>
      <c r="B123" s="73"/>
      <c r="C123" s="74"/>
      <c r="D123" s="75"/>
      <c r="E123" s="74"/>
      <c r="F123" s="74"/>
      <c r="G123" s="75"/>
      <c r="H123" s="74"/>
      <c r="I123" s="74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2"/>
      <c r="B124" s="73"/>
      <c r="C124" s="74"/>
      <c r="D124" s="75"/>
      <c r="E124" s="74"/>
      <c r="F124" s="74"/>
      <c r="G124" s="75"/>
      <c r="H124" s="74"/>
      <c r="I124" s="74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2"/>
      <c r="B125" s="73"/>
      <c r="C125" s="74"/>
      <c r="D125" s="75"/>
      <c r="E125" s="74"/>
      <c r="F125" s="74"/>
      <c r="G125" s="75"/>
      <c r="H125" s="74"/>
      <c r="I125" s="74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2"/>
      <c r="B126" s="73"/>
      <c r="C126" s="74"/>
      <c r="D126" s="75"/>
      <c r="E126" s="74"/>
      <c r="F126" s="74"/>
      <c r="G126" s="75"/>
      <c r="H126" s="74"/>
      <c r="I126" s="74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2"/>
      <c r="B127" s="73"/>
      <c r="C127" s="74"/>
      <c r="D127" s="75"/>
      <c r="E127" s="74"/>
      <c r="F127" s="74"/>
      <c r="G127" s="75"/>
      <c r="H127" s="74"/>
      <c r="I127" s="74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2"/>
      <c r="B128" s="73"/>
      <c r="C128" s="74"/>
      <c r="D128" s="75"/>
      <c r="E128" s="74"/>
      <c r="F128" s="74"/>
      <c r="G128" s="75"/>
      <c r="H128" s="74"/>
      <c r="I128" s="74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2"/>
      <c r="B129" s="73"/>
      <c r="C129" s="74"/>
      <c r="D129" s="75"/>
      <c r="E129" s="74"/>
      <c r="F129" s="74"/>
      <c r="G129" s="75"/>
      <c r="H129" s="74"/>
      <c r="I129" s="74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2"/>
      <c r="B130" s="73"/>
      <c r="C130" s="74"/>
      <c r="D130" s="75"/>
      <c r="E130" s="74"/>
      <c r="F130" s="74"/>
      <c r="G130" s="75"/>
      <c r="H130" s="74"/>
      <c r="I130" s="74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2"/>
      <c r="B131" s="73"/>
      <c r="C131" s="74"/>
      <c r="D131" s="75"/>
      <c r="E131" s="74"/>
      <c r="F131" s="74"/>
      <c r="G131" s="75"/>
      <c r="H131" s="74"/>
      <c r="I131" s="74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2"/>
      <c r="B132" s="73"/>
      <c r="C132" s="74"/>
      <c r="D132" s="75"/>
      <c r="E132" s="74"/>
      <c r="F132" s="74"/>
      <c r="G132" s="75"/>
      <c r="H132" s="74"/>
      <c r="I132" s="74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2"/>
      <c r="B133" s="73"/>
      <c r="C133" s="74"/>
      <c r="D133" s="75"/>
      <c r="E133" s="74"/>
      <c r="F133" s="74"/>
      <c r="G133" s="75"/>
      <c r="H133" s="74"/>
      <c r="I133" s="74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2"/>
      <c r="B134" s="73"/>
      <c r="C134" s="74"/>
      <c r="D134" s="75"/>
      <c r="E134" s="74"/>
      <c r="F134" s="74"/>
      <c r="G134" s="75"/>
      <c r="H134" s="74"/>
      <c r="I134" s="74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2"/>
      <c r="B135" s="73"/>
      <c r="C135" s="74"/>
      <c r="D135" s="75"/>
      <c r="E135" s="74"/>
      <c r="F135" s="74"/>
      <c r="G135" s="75"/>
      <c r="H135" s="74"/>
      <c r="I135" s="74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2"/>
      <c r="B136" s="73"/>
      <c r="C136" s="74"/>
      <c r="D136" s="75"/>
      <c r="E136" s="74"/>
      <c r="F136" s="74"/>
      <c r="G136" s="75"/>
      <c r="H136" s="74"/>
      <c r="I136" s="74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2"/>
      <c r="B137" s="73"/>
      <c r="C137" s="74"/>
      <c r="D137" s="75"/>
      <c r="E137" s="74"/>
      <c r="F137" s="74"/>
      <c r="G137" s="75"/>
      <c r="H137" s="74"/>
      <c r="I137" s="74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2"/>
      <c r="B138" s="73"/>
      <c r="C138" s="74"/>
      <c r="D138" s="75"/>
      <c r="E138" s="74"/>
      <c r="F138" s="74"/>
      <c r="G138" s="75"/>
      <c r="H138" s="74"/>
      <c r="I138" s="74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2"/>
      <c r="B139" s="73"/>
      <c r="C139" s="74"/>
      <c r="D139" s="75"/>
      <c r="E139" s="74"/>
      <c r="F139" s="74"/>
      <c r="G139" s="75"/>
      <c r="H139" s="74"/>
      <c r="I139" s="74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2"/>
      <c r="B140" s="73"/>
      <c r="C140" s="74"/>
      <c r="D140" s="75"/>
      <c r="E140" s="74"/>
      <c r="F140" s="74"/>
      <c r="G140" s="75"/>
      <c r="H140" s="74"/>
      <c r="I140" s="74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2"/>
      <c r="B141" s="73"/>
      <c r="C141" s="74"/>
      <c r="D141" s="75"/>
      <c r="E141" s="74"/>
      <c r="F141" s="74"/>
      <c r="G141" s="75"/>
      <c r="H141" s="74"/>
      <c r="I141" s="74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2"/>
      <c r="B142" s="73"/>
      <c r="C142" s="74"/>
      <c r="D142" s="75"/>
      <c r="E142" s="74"/>
      <c r="F142" s="74"/>
      <c r="G142" s="75"/>
      <c r="H142" s="74"/>
      <c r="I142" s="74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2"/>
      <c r="B143" s="73"/>
      <c r="C143" s="74"/>
      <c r="D143" s="75"/>
      <c r="E143" s="74"/>
      <c r="F143" s="74"/>
      <c r="G143" s="75"/>
      <c r="H143" s="74"/>
      <c r="I143" s="74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2"/>
      <c r="B144" s="73"/>
      <c r="C144" s="74"/>
      <c r="D144" s="75"/>
      <c r="E144" s="74"/>
      <c r="F144" s="74"/>
      <c r="G144" s="75"/>
      <c r="H144" s="74"/>
      <c r="I144" s="74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2"/>
      <c r="B145" s="73"/>
      <c r="C145" s="74"/>
      <c r="D145" s="75"/>
      <c r="E145" s="74"/>
      <c r="F145" s="74"/>
      <c r="G145" s="75"/>
      <c r="H145" s="74"/>
      <c r="I145" s="74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2"/>
      <c r="B146" s="73"/>
      <c r="C146" s="74"/>
      <c r="D146" s="75"/>
      <c r="E146" s="74"/>
      <c r="F146" s="74"/>
      <c r="G146" s="75"/>
      <c r="H146" s="74"/>
      <c r="I146" s="74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2"/>
      <c r="B147" s="73"/>
      <c r="C147" s="74"/>
      <c r="D147" s="75"/>
      <c r="E147" s="74"/>
      <c r="F147" s="74"/>
      <c r="G147" s="75"/>
      <c r="H147" s="74"/>
      <c r="I147" s="74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2"/>
      <c r="B148" s="73"/>
      <c r="C148" s="74"/>
      <c r="D148" s="75"/>
      <c r="E148" s="74"/>
      <c r="F148" s="74"/>
      <c r="G148" s="75"/>
      <c r="H148" s="74"/>
      <c r="I148" s="74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2"/>
      <c r="B149" s="73"/>
      <c r="C149" s="74"/>
      <c r="D149" s="75"/>
      <c r="E149" s="74"/>
      <c r="F149" s="74"/>
      <c r="G149" s="75"/>
      <c r="H149" s="74"/>
      <c r="I149" s="74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2"/>
      <c r="B150" s="73"/>
      <c r="C150" s="74"/>
      <c r="D150" s="75"/>
      <c r="E150" s="74"/>
      <c r="F150" s="74"/>
      <c r="G150" s="75"/>
      <c r="H150" s="74"/>
      <c r="I150" s="74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2"/>
      <c r="B151" s="73"/>
      <c r="C151" s="74"/>
      <c r="D151" s="75"/>
      <c r="E151" s="74"/>
      <c r="F151" s="74"/>
      <c r="G151" s="75"/>
      <c r="H151" s="74"/>
      <c r="I151" s="74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2"/>
      <c r="B152" s="73"/>
      <c r="C152" s="74"/>
      <c r="D152" s="75"/>
      <c r="E152" s="74"/>
      <c r="F152" s="74"/>
      <c r="G152" s="75"/>
      <c r="H152" s="74"/>
      <c r="I152" s="74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2"/>
      <c r="B153" s="73"/>
      <c r="C153" s="74"/>
      <c r="D153" s="75"/>
      <c r="E153" s="74"/>
      <c r="F153" s="74"/>
      <c r="G153" s="75"/>
      <c r="H153" s="74"/>
      <c r="I153" s="74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2"/>
      <c r="B154" s="73"/>
      <c r="C154" s="74"/>
      <c r="D154" s="75"/>
      <c r="E154" s="74"/>
      <c r="F154" s="74"/>
      <c r="G154" s="75"/>
      <c r="H154" s="74"/>
      <c r="I154" s="74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2"/>
      <c r="B155" s="73"/>
      <c r="C155" s="74"/>
      <c r="D155" s="75"/>
      <c r="E155" s="74"/>
      <c r="F155" s="74"/>
      <c r="G155" s="75"/>
      <c r="H155" s="74"/>
      <c r="I155" s="74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2"/>
      <c r="B156" s="73"/>
      <c r="C156" s="74"/>
      <c r="D156" s="75"/>
      <c r="E156" s="74"/>
      <c r="F156" s="74"/>
      <c r="G156" s="75"/>
      <c r="H156" s="74"/>
      <c r="I156" s="74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2"/>
      <c r="B157" s="73"/>
      <c r="C157" s="74"/>
      <c r="D157" s="75"/>
      <c r="E157" s="74"/>
      <c r="F157" s="74"/>
      <c r="G157" s="75"/>
      <c r="H157" s="74"/>
      <c r="I157" s="74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2"/>
      <c r="B158" s="73"/>
      <c r="C158" s="74"/>
      <c r="D158" s="75"/>
      <c r="E158" s="74"/>
      <c r="F158" s="74"/>
      <c r="G158" s="75"/>
      <c r="H158" s="74"/>
      <c r="I158" s="74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2"/>
      <c r="B159" s="73"/>
      <c r="C159" s="74"/>
      <c r="D159" s="75"/>
      <c r="E159" s="74"/>
      <c r="F159" s="74"/>
      <c r="G159" s="75"/>
      <c r="H159" s="74"/>
      <c r="I159" s="74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2"/>
      <c r="B160" s="73"/>
      <c r="C160" s="74"/>
      <c r="D160" s="75"/>
      <c r="E160" s="74"/>
      <c r="F160" s="74"/>
      <c r="G160" s="75"/>
      <c r="H160" s="74"/>
      <c r="I160" s="74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2"/>
      <c r="B161" s="73"/>
      <c r="C161" s="74"/>
      <c r="D161" s="75"/>
      <c r="E161" s="74"/>
      <c r="F161" s="74"/>
      <c r="G161" s="75"/>
      <c r="H161" s="74"/>
      <c r="I161" s="74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2"/>
      <c r="B162" s="73"/>
      <c r="C162" s="74"/>
      <c r="D162" s="75"/>
      <c r="E162" s="74"/>
      <c r="F162" s="74"/>
      <c r="G162" s="75"/>
      <c r="H162" s="74"/>
      <c r="I162" s="74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2"/>
      <c r="B163" s="73"/>
      <c r="C163" s="74"/>
      <c r="D163" s="75"/>
      <c r="E163" s="74"/>
      <c r="F163" s="74"/>
      <c r="G163" s="75"/>
      <c r="H163" s="74"/>
      <c r="I163" s="74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2"/>
      <c r="B164" s="73"/>
      <c r="C164" s="74"/>
      <c r="D164" s="75"/>
      <c r="E164" s="74"/>
      <c r="F164" s="74"/>
      <c r="G164" s="75"/>
      <c r="H164" s="74"/>
      <c r="I164" s="74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2"/>
      <c r="B165" s="73"/>
      <c r="C165" s="74"/>
      <c r="D165" s="75"/>
      <c r="E165" s="74"/>
      <c r="F165" s="74"/>
      <c r="G165" s="75"/>
      <c r="H165" s="74"/>
      <c r="I165" s="74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2"/>
      <c r="B166" s="73"/>
      <c r="C166" s="74"/>
      <c r="D166" s="75"/>
      <c r="E166" s="74"/>
      <c r="F166" s="74"/>
      <c r="G166" s="75"/>
      <c r="H166" s="74"/>
      <c r="I166" s="74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2"/>
      <c r="B167" s="73"/>
      <c r="C167" s="74"/>
      <c r="D167" s="75"/>
      <c r="E167" s="74"/>
      <c r="F167" s="74"/>
      <c r="G167" s="75"/>
      <c r="H167" s="74"/>
      <c r="I167" s="74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2"/>
      <c r="B168" s="73"/>
      <c r="C168" s="74"/>
      <c r="D168" s="75"/>
      <c r="E168" s="74"/>
      <c r="F168" s="74"/>
      <c r="G168" s="75"/>
      <c r="H168" s="74"/>
      <c r="I168" s="74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2"/>
      <c r="B169" s="73"/>
      <c r="C169" s="74"/>
      <c r="D169" s="75"/>
      <c r="E169" s="74"/>
      <c r="F169" s="74"/>
      <c r="G169" s="75"/>
      <c r="H169" s="74"/>
      <c r="I169" s="74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2"/>
      <c r="B170" s="73"/>
      <c r="C170" s="74"/>
      <c r="D170" s="75"/>
      <c r="E170" s="74"/>
      <c r="F170" s="74"/>
      <c r="G170" s="75"/>
      <c r="H170" s="74"/>
      <c r="I170" s="74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2"/>
      <c r="B171" s="73"/>
      <c r="C171" s="74"/>
      <c r="D171" s="75"/>
      <c r="E171" s="74"/>
      <c r="F171" s="74"/>
      <c r="G171" s="75"/>
      <c r="H171" s="74"/>
      <c r="I171" s="74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2"/>
      <c r="B172" s="73"/>
      <c r="C172" s="74"/>
      <c r="D172" s="75"/>
      <c r="E172" s="74"/>
      <c r="F172" s="74"/>
      <c r="G172" s="75"/>
      <c r="H172" s="74"/>
      <c r="I172" s="74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2"/>
      <c r="B173" s="73"/>
      <c r="C173" s="74"/>
      <c r="D173" s="75"/>
      <c r="E173" s="74"/>
      <c r="F173" s="74"/>
      <c r="G173" s="75"/>
      <c r="H173" s="74"/>
      <c r="I173" s="74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2"/>
      <c r="B174" s="73"/>
      <c r="C174" s="74"/>
      <c r="D174" s="75"/>
      <c r="E174" s="74"/>
      <c r="F174" s="74"/>
      <c r="G174" s="75"/>
      <c r="H174" s="74"/>
      <c r="I174" s="74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2"/>
      <c r="B175" s="73"/>
      <c r="C175" s="74"/>
      <c r="D175" s="75"/>
      <c r="E175" s="74"/>
      <c r="F175" s="74"/>
      <c r="G175" s="75"/>
      <c r="H175" s="74"/>
      <c r="I175" s="74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2"/>
      <c r="B176" s="73"/>
      <c r="C176" s="74"/>
      <c r="D176" s="75"/>
      <c r="E176" s="74"/>
      <c r="F176" s="74"/>
      <c r="G176" s="75"/>
      <c r="H176" s="74"/>
      <c r="I176" s="74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2"/>
      <c r="B177" s="73"/>
      <c r="C177" s="74"/>
      <c r="D177" s="75"/>
      <c r="E177" s="74"/>
      <c r="F177" s="74"/>
      <c r="G177" s="75"/>
      <c r="H177" s="74"/>
      <c r="I177" s="74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2"/>
      <c r="B178" s="73"/>
      <c r="C178" s="74"/>
      <c r="D178" s="75"/>
      <c r="E178" s="74"/>
      <c r="F178" s="74"/>
      <c r="G178" s="75"/>
      <c r="H178" s="74"/>
      <c r="I178" s="74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2"/>
      <c r="B179" s="73"/>
      <c r="C179" s="74"/>
      <c r="D179" s="75"/>
      <c r="E179" s="74"/>
      <c r="F179" s="74"/>
      <c r="G179" s="75"/>
      <c r="H179" s="74"/>
      <c r="I179" s="74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2"/>
      <c r="B180" s="73"/>
      <c r="C180" s="74"/>
      <c r="D180" s="75"/>
      <c r="E180" s="74"/>
      <c r="F180" s="74"/>
      <c r="G180" s="75"/>
      <c r="H180" s="74"/>
      <c r="I180" s="74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2"/>
      <c r="B181" s="73"/>
      <c r="C181" s="74"/>
      <c r="D181" s="75"/>
      <c r="E181" s="74"/>
      <c r="F181" s="74"/>
      <c r="G181" s="75"/>
      <c r="H181" s="74"/>
      <c r="I181" s="74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2"/>
      <c r="B182" s="73"/>
      <c r="C182" s="74"/>
      <c r="D182" s="75"/>
      <c r="E182" s="74"/>
      <c r="F182" s="74"/>
      <c r="G182" s="75"/>
      <c r="H182" s="74"/>
      <c r="I182" s="74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2"/>
      <c r="B183" s="73"/>
      <c r="C183" s="74"/>
      <c r="D183" s="75"/>
      <c r="E183" s="74"/>
      <c r="F183" s="74"/>
      <c r="G183" s="75"/>
      <c r="H183" s="74"/>
      <c r="I183" s="74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2"/>
      <c r="B184" s="73"/>
      <c r="C184" s="74"/>
      <c r="D184" s="75"/>
      <c r="E184" s="74"/>
      <c r="F184" s="74"/>
      <c r="G184" s="75"/>
      <c r="H184" s="74"/>
      <c r="I184" s="74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2"/>
      <c r="B185" s="73"/>
      <c r="C185" s="74"/>
      <c r="D185" s="75"/>
      <c r="E185" s="74"/>
      <c r="F185" s="74"/>
      <c r="G185" s="75"/>
      <c r="H185" s="74"/>
      <c r="I185" s="74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2"/>
      <c r="B186" s="73"/>
      <c r="C186" s="74"/>
      <c r="D186" s="75"/>
      <c r="E186" s="74"/>
      <c r="F186" s="74"/>
      <c r="G186" s="75"/>
      <c r="H186" s="74"/>
      <c r="I186" s="74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2"/>
      <c r="B187" s="73"/>
      <c r="C187" s="74"/>
      <c r="D187" s="75"/>
      <c r="E187" s="74"/>
      <c r="F187" s="74"/>
      <c r="G187" s="75"/>
      <c r="H187" s="74"/>
      <c r="I187" s="74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2"/>
      <c r="B188" s="73"/>
      <c r="C188" s="74"/>
      <c r="D188" s="75"/>
      <c r="E188" s="74"/>
      <c r="F188" s="74"/>
      <c r="G188" s="75"/>
      <c r="H188" s="74"/>
      <c r="I188" s="74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2"/>
      <c r="B189" s="73"/>
      <c r="C189" s="74"/>
      <c r="D189" s="75"/>
      <c r="E189" s="74"/>
      <c r="F189" s="74"/>
      <c r="G189" s="75"/>
      <c r="H189" s="74"/>
      <c r="I189" s="74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2"/>
      <c r="B190" s="73"/>
      <c r="C190" s="74"/>
      <c r="D190" s="75"/>
      <c r="E190" s="74"/>
      <c r="F190" s="74"/>
      <c r="G190" s="75"/>
      <c r="H190" s="74"/>
      <c r="I190" s="74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2"/>
      <c r="B191" s="73"/>
      <c r="C191" s="74"/>
      <c r="D191" s="75"/>
      <c r="E191" s="74"/>
      <c r="F191" s="74"/>
      <c r="G191" s="75"/>
      <c r="H191" s="74"/>
      <c r="I191" s="74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2"/>
      <c r="B192" s="73"/>
      <c r="C192" s="74"/>
      <c r="D192" s="75"/>
      <c r="E192" s="74"/>
      <c r="F192" s="74"/>
      <c r="G192" s="75"/>
      <c r="H192" s="74"/>
      <c r="I192" s="74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2"/>
      <c r="B193" s="73"/>
      <c r="C193" s="74"/>
      <c r="D193" s="75"/>
      <c r="E193" s="74"/>
      <c r="F193" s="74"/>
      <c r="G193" s="75"/>
      <c r="H193" s="74"/>
      <c r="I193" s="74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2"/>
      <c r="B194" s="73"/>
      <c r="C194" s="74"/>
      <c r="D194" s="75"/>
      <c r="E194" s="74"/>
      <c r="F194" s="74"/>
      <c r="G194" s="75"/>
      <c r="H194" s="74"/>
      <c r="I194" s="74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2"/>
      <c r="B195" s="73"/>
      <c r="C195" s="74"/>
      <c r="D195" s="75"/>
      <c r="E195" s="74"/>
      <c r="F195" s="74"/>
      <c r="G195" s="75"/>
      <c r="H195" s="74"/>
      <c r="I195" s="74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2"/>
      <c r="B196" s="73"/>
      <c r="C196" s="74"/>
      <c r="D196" s="75"/>
      <c r="E196" s="74"/>
      <c r="F196" s="74"/>
      <c r="G196" s="75"/>
      <c r="H196" s="74"/>
      <c r="I196" s="74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2"/>
      <c r="B197" s="73"/>
      <c r="C197" s="74"/>
      <c r="D197" s="75"/>
      <c r="E197" s="74"/>
      <c r="F197" s="74"/>
      <c r="G197" s="75"/>
      <c r="H197" s="74"/>
      <c r="I197" s="74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2"/>
      <c r="B198" s="73"/>
      <c r="C198" s="74"/>
      <c r="D198" s="75"/>
      <c r="E198" s="74"/>
      <c r="F198" s="74"/>
      <c r="G198" s="75"/>
      <c r="H198" s="74"/>
      <c r="I198" s="74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2"/>
      <c r="B199" s="73"/>
      <c r="C199" s="74"/>
      <c r="D199" s="75"/>
      <c r="E199" s="74"/>
      <c r="F199" s="74"/>
      <c r="G199" s="75"/>
      <c r="H199" s="74"/>
      <c r="I199" s="74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2"/>
      <c r="B200" s="73"/>
      <c r="C200" s="74"/>
      <c r="D200" s="75"/>
      <c r="E200" s="74"/>
      <c r="F200" s="74"/>
      <c r="G200" s="75"/>
      <c r="H200" s="74"/>
      <c r="I200" s="74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2"/>
      <c r="B201" s="73"/>
      <c r="C201" s="74"/>
      <c r="D201" s="75"/>
      <c r="E201" s="74"/>
      <c r="F201" s="74"/>
      <c r="G201" s="75"/>
      <c r="H201" s="74"/>
      <c r="I201" s="74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2"/>
      <c r="B202" s="73"/>
      <c r="C202" s="74"/>
      <c r="D202" s="75"/>
      <c r="E202" s="74"/>
      <c r="F202" s="74"/>
      <c r="G202" s="75"/>
      <c r="H202" s="74"/>
      <c r="I202" s="74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72"/>
      <c r="B203" s="73"/>
      <c r="C203" s="74"/>
      <c r="D203" s="75"/>
      <c r="E203" s="74"/>
      <c r="F203" s="74"/>
      <c r="G203" s="75"/>
      <c r="H203" s="74"/>
      <c r="I203" s="74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72"/>
      <c r="B204" s="73"/>
      <c r="C204" s="74"/>
      <c r="D204" s="75"/>
      <c r="E204" s="74"/>
      <c r="F204" s="74"/>
      <c r="G204" s="75"/>
      <c r="H204" s="74"/>
      <c r="I204" s="74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72"/>
      <c r="B205" s="73"/>
      <c r="C205" s="74"/>
      <c r="D205" s="75"/>
      <c r="E205" s="74"/>
      <c r="F205" s="74"/>
      <c r="G205" s="75"/>
      <c r="H205" s="74"/>
      <c r="I205" s="74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72"/>
      <c r="B206" s="73"/>
      <c r="C206" s="74"/>
      <c r="D206" s="75"/>
      <c r="E206" s="74"/>
      <c r="F206" s="74"/>
      <c r="G206" s="75"/>
      <c r="H206" s="74"/>
      <c r="I206" s="74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72"/>
      <c r="B207" s="73"/>
      <c r="C207" s="74"/>
      <c r="D207" s="75"/>
      <c r="E207" s="74"/>
      <c r="F207" s="74"/>
      <c r="G207" s="75"/>
      <c r="H207" s="74"/>
      <c r="I207" s="74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72"/>
      <c r="B208" s="73"/>
      <c r="C208" s="74"/>
      <c r="D208" s="75"/>
      <c r="E208" s="74"/>
      <c r="F208" s="74"/>
      <c r="G208" s="75"/>
      <c r="H208" s="74"/>
      <c r="I208" s="74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72"/>
      <c r="B209" s="73"/>
      <c r="C209" s="74"/>
      <c r="D209" s="75"/>
      <c r="E209" s="74"/>
      <c r="F209" s="74"/>
      <c r="G209" s="75"/>
      <c r="H209" s="74"/>
      <c r="I209" s="74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72"/>
      <c r="B210" s="73"/>
      <c r="C210" s="74"/>
      <c r="D210" s="75"/>
      <c r="E210" s="74"/>
      <c r="F210" s="74"/>
      <c r="G210" s="75"/>
      <c r="H210" s="74"/>
      <c r="I210" s="74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72"/>
      <c r="B211" s="73"/>
      <c r="C211" s="74"/>
      <c r="D211" s="75"/>
      <c r="E211" s="74"/>
      <c r="F211" s="74"/>
      <c r="G211" s="75"/>
      <c r="H211" s="74"/>
      <c r="I211" s="74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72"/>
      <c r="B212" s="73"/>
      <c r="C212" s="74"/>
      <c r="D212" s="75"/>
      <c r="E212" s="74"/>
      <c r="F212" s="74"/>
      <c r="G212" s="75"/>
      <c r="H212" s="74"/>
      <c r="I212" s="74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72"/>
      <c r="B213" s="73"/>
      <c r="C213" s="74"/>
      <c r="D213" s="75"/>
      <c r="E213" s="74"/>
      <c r="F213" s="74"/>
      <c r="G213" s="75"/>
      <c r="H213" s="74"/>
      <c r="I213" s="74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72"/>
      <c r="B214" s="73"/>
      <c r="C214" s="74"/>
      <c r="D214" s="75"/>
      <c r="E214" s="74"/>
      <c r="F214" s="74"/>
      <c r="G214" s="75"/>
      <c r="H214" s="74"/>
      <c r="I214" s="74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72"/>
      <c r="B215" s="73"/>
      <c r="C215" s="74"/>
      <c r="D215" s="75"/>
      <c r="E215" s="74"/>
      <c r="F215" s="74"/>
      <c r="G215" s="75"/>
      <c r="H215" s="74"/>
      <c r="I215" s="74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72"/>
      <c r="B216" s="73"/>
      <c r="C216" s="74"/>
      <c r="D216" s="75"/>
      <c r="E216" s="74"/>
      <c r="F216" s="74"/>
      <c r="G216" s="75"/>
      <c r="H216" s="74"/>
      <c r="I216" s="74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72"/>
      <c r="B217" s="73"/>
      <c r="C217" s="74"/>
      <c r="D217" s="75"/>
      <c r="E217" s="74"/>
      <c r="F217" s="74"/>
      <c r="G217" s="75"/>
      <c r="H217" s="74"/>
      <c r="I217" s="74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72"/>
      <c r="B218" s="73"/>
      <c r="C218" s="74"/>
      <c r="D218" s="75"/>
      <c r="E218" s="74"/>
      <c r="F218" s="74"/>
      <c r="G218" s="75"/>
      <c r="H218" s="74"/>
      <c r="I218" s="74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72"/>
      <c r="B219" s="73"/>
      <c r="C219" s="74"/>
      <c r="D219" s="75"/>
      <c r="E219" s="74"/>
      <c r="F219" s="74"/>
      <c r="G219" s="75"/>
      <c r="H219" s="74"/>
      <c r="I219" s="74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72"/>
      <c r="B220" s="73"/>
      <c r="C220" s="74"/>
      <c r="D220" s="75"/>
      <c r="E220" s="74"/>
      <c r="F220" s="74"/>
      <c r="G220" s="75"/>
      <c r="H220" s="74"/>
      <c r="I220" s="74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72"/>
      <c r="B221" s="73"/>
      <c r="C221" s="74"/>
      <c r="D221" s="75"/>
      <c r="E221" s="74"/>
      <c r="F221" s="74"/>
      <c r="G221" s="75"/>
      <c r="H221" s="74"/>
      <c r="I221" s="74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72"/>
      <c r="B222" s="73"/>
      <c r="C222" s="74"/>
      <c r="D222" s="75"/>
      <c r="E222" s="74"/>
      <c r="F222" s="74"/>
      <c r="G222" s="75"/>
      <c r="H222" s="74"/>
      <c r="I222" s="74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72"/>
      <c r="B223" s="73"/>
      <c r="C223" s="74"/>
      <c r="D223" s="75"/>
      <c r="E223" s="74"/>
      <c r="F223" s="74"/>
      <c r="G223" s="75"/>
      <c r="H223" s="74"/>
      <c r="I223" s="74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72"/>
      <c r="B224" s="73"/>
      <c r="C224" s="74"/>
      <c r="D224" s="75"/>
      <c r="E224" s="74"/>
      <c r="F224" s="74"/>
      <c r="G224" s="75"/>
      <c r="H224" s="74"/>
      <c r="I224" s="74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72"/>
      <c r="B225" s="73"/>
      <c r="C225" s="74"/>
      <c r="D225" s="75"/>
      <c r="E225" s="74"/>
      <c r="F225" s="74"/>
      <c r="G225" s="75"/>
      <c r="H225" s="74"/>
      <c r="I225" s="74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72"/>
      <c r="B226" s="73"/>
      <c r="C226" s="74"/>
      <c r="D226" s="75"/>
      <c r="E226" s="74"/>
      <c r="F226" s="74"/>
      <c r="G226" s="75"/>
      <c r="H226" s="74"/>
      <c r="I226" s="74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72"/>
      <c r="B227" s="73"/>
      <c r="C227" s="74"/>
      <c r="D227" s="75"/>
      <c r="E227" s="74"/>
      <c r="F227" s="74"/>
      <c r="G227" s="75"/>
      <c r="H227" s="74"/>
      <c r="I227" s="74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72"/>
      <c r="B228" s="73"/>
      <c r="C228" s="74"/>
      <c r="D228" s="75"/>
      <c r="E228" s="74"/>
      <c r="F228" s="74"/>
      <c r="G228" s="75"/>
      <c r="H228" s="74"/>
      <c r="I228" s="74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72"/>
      <c r="B229" s="73"/>
      <c r="C229" s="74"/>
      <c r="D229" s="75"/>
      <c r="E229" s="74"/>
      <c r="F229" s="74"/>
      <c r="G229" s="75"/>
      <c r="H229" s="74"/>
      <c r="I229" s="74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72"/>
      <c r="B230" s="73"/>
      <c r="C230" s="74"/>
      <c r="D230" s="75"/>
      <c r="E230" s="74"/>
      <c r="F230" s="74"/>
      <c r="G230" s="75"/>
      <c r="H230" s="74"/>
      <c r="I230" s="74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72"/>
      <c r="B231" s="73"/>
      <c r="C231" s="74"/>
      <c r="D231" s="75"/>
      <c r="E231" s="74"/>
      <c r="F231" s="74"/>
      <c r="G231" s="75"/>
      <c r="H231" s="74"/>
      <c r="I231" s="74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72"/>
      <c r="B232" s="73"/>
      <c r="C232" s="74"/>
      <c r="D232" s="75"/>
      <c r="E232" s="74"/>
      <c r="F232" s="74"/>
      <c r="G232" s="75"/>
      <c r="H232" s="74"/>
      <c r="I232" s="74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72"/>
      <c r="B233" s="73"/>
      <c r="C233" s="74"/>
      <c r="D233" s="75"/>
      <c r="E233" s="74"/>
      <c r="F233" s="74"/>
      <c r="G233" s="75"/>
      <c r="H233" s="74"/>
      <c r="I233" s="74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72"/>
      <c r="B234" s="73"/>
      <c r="C234" s="74"/>
      <c r="D234" s="75"/>
      <c r="E234" s="74"/>
      <c r="F234" s="74"/>
      <c r="G234" s="75"/>
      <c r="H234" s="74"/>
      <c r="I234" s="74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72"/>
      <c r="B235" s="73"/>
      <c r="C235" s="74"/>
      <c r="D235" s="75"/>
      <c r="E235" s="74"/>
      <c r="F235" s="74"/>
      <c r="G235" s="75"/>
      <c r="H235" s="74"/>
      <c r="I235" s="74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72"/>
      <c r="B236" s="73"/>
      <c r="C236" s="74"/>
      <c r="D236" s="75"/>
      <c r="E236" s="74"/>
      <c r="F236" s="74"/>
      <c r="G236" s="75"/>
      <c r="H236" s="74"/>
      <c r="I236" s="74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72"/>
      <c r="B237" s="73"/>
      <c r="C237" s="74"/>
      <c r="D237" s="75"/>
      <c r="E237" s="74"/>
      <c r="F237" s="74"/>
      <c r="G237" s="75"/>
      <c r="H237" s="74"/>
      <c r="I237" s="74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72"/>
      <c r="B238" s="73"/>
      <c r="C238" s="74"/>
      <c r="D238" s="75"/>
      <c r="E238" s="74"/>
      <c r="F238" s="74"/>
      <c r="G238" s="75"/>
      <c r="H238" s="74"/>
      <c r="I238" s="74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72"/>
      <c r="B239" s="73"/>
      <c r="C239" s="74"/>
      <c r="D239" s="75"/>
      <c r="E239" s="74"/>
      <c r="F239" s="74"/>
      <c r="G239" s="75"/>
      <c r="H239" s="74"/>
      <c r="I239" s="74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72"/>
      <c r="B240" s="73"/>
      <c r="C240" s="74"/>
      <c r="D240" s="75"/>
      <c r="E240" s="74"/>
      <c r="F240" s="74"/>
      <c r="G240" s="75"/>
      <c r="H240" s="74"/>
      <c r="I240" s="74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72"/>
      <c r="B241" s="73"/>
      <c r="C241" s="74"/>
      <c r="D241" s="75"/>
      <c r="E241" s="74"/>
      <c r="F241" s="74"/>
      <c r="G241" s="75"/>
      <c r="H241" s="74"/>
      <c r="I241" s="74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72"/>
      <c r="B242" s="73"/>
      <c r="C242" s="74"/>
      <c r="D242" s="75"/>
      <c r="E242" s="74"/>
      <c r="F242" s="74"/>
      <c r="G242" s="75"/>
      <c r="H242" s="74"/>
      <c r="I242" s="74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72"/>
      <c r="B243" s="73"/>
      <c r="C243" s="74"/>
      <c r="D243" s="75"/>
      <c r="E243" s="74"/>
      <c r="F243" s="74"/>
      <c r="G243" s="75"/>
      <c r="H243" s="74"/>
      <c r="I243" s="74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72"/>
      <c r="B244" s="73"/>
      <c r="C244" s="74"/>
      <c r="D244" s="75"/>
      <c r="E244" s="74"/>
      <c r="F244" s="74"/>
      <c r="G244" s="75"/>
      <c r="H244" s="74"/>
      <c r="I244" s="74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72"/>
      <c r="B245" s="73"/>
      <c r="C245" s="74"/>
      <c r="D245" s="75"/>
      <c r="E245" s="74"/>
      <c r="F245" s="74"/>
      <c r="G245" s="75"/>
      <c r="H245" s="74"/>
      <c r="I245" s="74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72"/>
      <c r="B246" s="73"/>
      <c r="C246" s="74"/>
      <c r="D246" s="75"/>
      <c r="E246" s="74"/>
      <c r="F246" s="74"/>
      <c r="G246" s="75"/>
      <c r="H246" s="74"/>
      <c r="I246" s="74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72"/>
      <c r="B247" s="73"/>
      <c r="C247" s="74"/>
      <c r="D247" s="75"/>
      <c r="E247" s="74"/>
      <c r="F247" s="74"/>
      <c r="G247" s="75"/>
      <c r="H247" s="74"/>
      <c r="I247" s="74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72"/>
      <c r="B248" s="73"/>
      <c r="C248" s="74"/>
      <c r="D248" s="75"/>
      <c r="E248" s="74"/>
      <c r="F248" s="74"/>
      <c r="G248" s="75"/>
      <c r="H248" s="74"/>
      <c r="I248" s="74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72"/>
      <c r="B249" s="73"/>
      <c r="C249" s="74"/>
      <c r="D249" s="75"/>
      <c r="E249" s="74"/>
      <c r="F249" s="74"/>
      <c r="G249" s="75"/>
      <c r="H249" s="74"/>
      <c r="I249" s="74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72"/>
      <c r="B250" s="73"/>
      <c r="C250" s="74"/>
      <c r="D250" s="75"/>
      <c r="E250" s="74"/>
      <c r="F250" s="74"/>
      <c r="G250" s="75"/>
      <c r="H250" s="74"/>
      <c r="I250" s="74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72"/>
      <c r="B251" s="73"/>
      <c r="C251" s="74"/>
      <c r="D251" s="75"/>
      <c r="E251" s="74"/>
      <c r="F251" s="74"/>
      <c r="G251" s="75"/>
      <c r="H251" s="74"/>
      <c r="I251" s="74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72"/>
      <c r="B252" s="73"/>
      <c r="C252" s="74"/>
      <c r="D252" s="75"/>
      <c r="E252" s="74"/>
      <c r="F252" s="74"/>
      <c r="G252" s="75"/>
      <c r="H252" s="74"/>
      <c r="I252" s="74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72"/>
      <c r="B253" s="73"/>
      <c r="C253" s="74"/>
      <c r="D253" s="75"/>
      <c r="E253" s="74"/>
      <c r="F253" s="74"/>
      <c r="G253" s="75"/>
      <c r="H253" s="74"/>
      <c r="I253" s="74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72"/>
      <c r="B254" s="73"/>
      <c r="C254" s="74"/>
      <c r="D254" s="75"/>
      <c r="E254" s="74"/>
      <c r="F254" s="74"/>
      <c r="G254" s="75"/>
      <c r="H254" s="74"/>
      <c r="I254" s="74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72"/>
      <c r="B255" s="73"/>
      <c r="C255" s="74"/>
      <c r="D255" s="75"/>
      <c r="E255" s="74"/>
      <c r="F255" s="74"/>
      <c r="G255" s="75"/>
      <c r="H255" s="74"/>
      <c r="I255" s="74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72"/>
      <c r="B256" s="73"/>
      <c r="C256" s="74"/>
      <c r="D256" s="75"/>
      <c r="E256" s="74"/>
      <c r="F256" s="74"/>
      <c r="G256" s="75"/>
      <c r="H256" s="74"/>
      <c r="I256" s="74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72"/>
      <c r="B257" s="73"/>
      <c r="C257" s="74"/>
      <c r="D257" s="75"/>
      <c r="E257" s="74"/>
      <c r="F257" s="74"/>
      <c r="G257" s="75"/>
      <c r="H257" s="74"/>
      <c r="I257" s="74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72"/>
      <c r="B258" s="73"/>
      <c r="C258" s="74"/>
      <c r="D258" s="75"/>
      <c r="E258" s="74"/>
      <c r="F258" s="74"/>
      <c r="G258" s="75"/>
      <c r="H258" s="74"/>
      <c r="I258" s="74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72"/>
      <c r="B259" s="73"/>
      <c r="C259" s="74"/>
      <c r="D259" s="75"/>
      <c r="E259" s="74"/>
      <c r="F259" s="74"/>
      <c r="G259" s="75"/>
      <c r="H259" s="74"/>
      <c r="I259" s="74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72"/>
      <c r="B260" s="73"/>
      <c r="C260" s="74"/>
      <c r="D260" s="75"/>
      <c r="E260" s="74"/>
      <c r="F260" s="74"/>
      <c r="G260" s="75"/>
      <c r="H260" s="74"/>
      <c r="I260" s="74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72"/>
      <c r="B261" s="73"/>
      <c r="C261" s="74"/>
      <c r="D261" s="75"/>
      <c r="E261" s="74"/>
      <c r="F261" s="74"/>
      <c r="G261" s="75"/>
      <c r="H261" s="74"/>
      <c r="I261" s="74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72"/>
      <c r="B262" s="73"/>
      <c r="C262" s="74"/>
      <c r="D262" s="75"/>
      <c r="E262" s="74"/>
      <c r="F262" s="74"/>
      <c r="G262" s="75"/>
      <c r="H262" s="74"/>
      <c r="I262" s="74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72"/>
      <c r="B263" s="73"/>
      <c r="C263" s="74"/>
      <c r="D263" s="75"/>
      <c r="E263" s="74"/>
      <c r="F263" s="74"/>
      <c r="G263" s="75"/>
      <c r="H263" s="74"/>
      <c r="I263" s="74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72"/>
      <c r="B264" s="73"/>
      <c r="C264" s="74"/>
      <c r="D264" s="75"/>
      <c r="E264" s="74"/>
      <c r="F264" s="74"/>
      <c r="G264" s="75"/>
      <c r="H264" s="74"/>
      <c r="I264" s="74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72"/>
      <c r="B265" s="73"/>
      <c r="C265" s="74"/>
      <c r="D265" s="75"/>
      <c r="E265" s="74"/>
      <c r="F265" s="74"/>
      <c r="G265" s="75"/>
      <c r="H265" s="74"/>
      <c r="I265" s="74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72"/>
      <c r="B266" s="73"/>
      <c r="C266" s="74"/>
      <c r="D266" s="75"/>
      <c r="E266" s="74"/>
      <c r="F266" s="74"/>
      <c r="G266" s="75"/>
      <c r="H266" s="74"/>
      <c r="I266" s="74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72"/>
      <c r="B267" s="73"/>
      <c r="C267" s="74"/>
      <c r="D267" s="75"/>
      <c r="E267" s="74"/>
      <c r="F267" s="74"/>
      <c r="G267" s="75"/>
      <c r="H267" s="74"/>
      <c r="I267" s="74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72"/>
      <c r="B268" s="73"/>
      <c r="C268" s="74"/>
      <c r="D268" s="75"/>
      <c r="E268" s="74"/>
      <c r="F268" s="74"/>
      <c r="G268" s="75"/>
      <c r="H268" s="74"/>
      <c r="I268" s="74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72"/>
      <c r="B269" s="73"/>
      <c r="C269" s="74"/>
      <c r="D269" s="75"/>
      <c r="E269" s="74"/>
      <c r="F269" s="74"/>
      <c r="G269" s="75"/>
      <c r="H269" s="74"/>
      <c r="I269" s="74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72"/>
      <c r="B270" s="73"/>
      <c r="C270" s="74"/>
      <c r="D270" s="75"/>
      <c r="E270" s="74"/>
      <c r="F270" s="74"/>
      <c r="G270" s="75"/>
      <c r="H270" s="74"/>
      <c r="I270" s="74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72"/>
      <c r="B271" s="73"/>
      <c r="C271" s="74"/>
      <c r="D271" s="75"/>
      <c r="E271" s="74"/>
      <c r="F271" s="74"/>
      <c r="G271" s="75"/>
      <c r="H271" s="74"/>
      <c r="I271" s="74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72"/>
      <c r="B272" s="73"/>
      <c r="C272" s="74"/>
      <c r="D272" s="75"/>
      <c r="E272" s="74"/>
      <c r="F272" s="74"/>
      <c r="G272" s="75"/>
      <c r="H272" s="74"/>
      <c r="I272" s="74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72"/>
      <c r="B273" s="73"/>
      <c r="C273" s="74"/>
      <c r="D273" s="75"/>
      <c r="E273" s="74"/>
      <c r="F273" s="74"/>
      <c r="G273" s="75"/>
      <c r="H273" s="74"/>
      <c r="I273" s="74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72"/>
      <c r="B274" s="73"/>
      <c r="C274" s="74"/>
      <c r="D274" s="75"/>
      <c r="E274" s="74"/>
      <c r="F274" s="74"/>
      <c r="G274" s="75"/>
      <c r="H274" s="74"/>
      <c r="I274" s="74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72"/>
      <c r="B275" s="73"/>
      <c r="C275" s="74"/>
      <c r="D275" s="75"/>
      <c r="E275" s="74"/>
      <c r="F275" s="74"/>
      <c r="G275" s="75"/>
      <c r="H275" s="74"/>
      <c r="I275" s="74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72"/>
      <c r="B276" s="73"/>
      <c r="C276" s="74"/>
      <c r="D276" s="75"/>
      <c r="E276" s="74"/>
      <c r="F276" s="74"/>
      <c r="G276" s="75"/>
      <c r="H276" s="74"/>
      <c r="I276" s="74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72"/>
      <c r="B277" s="73"/>
      <c r="C277" s="74"/>
      <c r="D277" s="75"/>
      <c r="E277" s="74"/>
      <c r="F277" s="74"/>
      <c r="G277" s="75"/>
      <c r="H277" s="74"/>
      <c r="I277" s="74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72"/>
      <c r="B278" s="73"/>
      <c r="C278" s="74"/>
      <c r="D278" s="75"/>
      <c r="E278" s="74"/>
      <c r="F278" s="74"/>
      <c r="G278" s="75"/>
      <c r="H278" s="74"/>
      <c r="I278" s="74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72"/>
      <c r="B279" s="73"/>
      <c r="C279" s="74"/>
      <c r="D279" s="75"/>
      <c r="E279" s="74"/>
      <c r="F279" s="74"/>
      <c r="G279" s="75"/>
      <c r="H279" s="74"/>
      <c r="I279" s="74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72"/>
      <c r="B280" s="73"/>
      <c r="C280" s="74"/>
      <c r="D280" s="75"/>
      <c r="E280" s="74"/>
      <c r="F280" s="74"/>
      <c r="G280" s="75"/>
      <c r="H280" s="74"/>
      <c r="I280" s="74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72"/>
      <c r="B281" s="73"/>
      <c r="C281" s="74"/>
      <c r="D281" s="75"/>
      <c r="E281" s="74"/>
      <c r="F281" s="74"/>
      <c r="G281" s="75"/>
      <c r="H281" s="74"/>
      <c r="I281" s="74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72"/>
      <c r="B282" s="73"/>
      <c r="C282" s="74"/>
      <c r="D282" s="75"/>
      <c r="E282" s="74"/>
      <c r="F282" s="74"/>
      <c r="G282" s="75"/>
      <c r="H282" s="74"/>
      <c r="I282" s="74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72"/>
      <c r="B283" s="73"/>
      <c r="C283" s="74"/>
      <c r="D283" s="75"/>
      <c r="E283" s="74"/>
      <c r="F283" s="74"/>
      <c r="G283" s="75"/>
      <c r="H283" s="74"/>
      <c r="I283" s="74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72"/>
      <c r="B284" s="73"/>
      <c r="C284" s="74"/>
      <c r="D284" s="75"/>
      <c r="E284" s="74"/>
      <c r="F284" s="74"/>
      <c r="G284" s="75"/>
      <c r="H284" s="74"/>
      <c r="I284" s="74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72"/>
      <c r="B285" s="73"/>
      <c r="C285" s="74"/>
      <c r="D285" s="75"/>
      <c r="E285" s="74"/>
      <c r="F285" s="74"/>
      <c r="G285" s="75"/>
      <c r="H285" s="74"/>
      <c r="I285" s="74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72"/>
      <c r="B286" s="73"/>
      <c r="C286" s="74"/>
      <c r="D286" s="75"/>
      <c r="E286" s="74"/>
      <c r="F286" s="74"/>
      <c r="G286" s="75"/>
      <c r="H286" s="74"/>
      <c r="I286" s="74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72"/>
      <c r="B287" s="73"/>
      <c r="C287" s="74"/>
      <c r="D287" s="75"/>
      <c r="E287" s="74"/>
      <c r="F287" s="74"/>
      <c r="G287" s="75"/>
      <c r="H287" s="74"/>
      <c r="I287" s="74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72"/>
      <c r="B288" s="73"/>
      <c r="C288" s="74"/>
      <c r="D288" s="75"/>
      <c r="E288" s="74"/>
      <c r="F288" s="74"/>
      <c r="G288" s="75"/>
      <c r="H288" s="74"/>
      <c r="I288" s="74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72"/>
      <c r="B289" s="73"/>
      <c r="C289" s="74"/>
      <c r="D289" s="75"/>
      <c r="E289" s="74"/>
      <c r="F289" s="74"/>
      <c r="G289" s="75"/>
      <c r="H289" s="74"/>
      <c r="I289" s="74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72"/>
      <c r="B290" s="73"/>
      <c r="C290" s="74"/>
      <c r="D290" s="75"/>
      <c r="E290" s="74"/>
      <c r="F290" s="74"/>
      <c r="G290" s="75"/>
      <c r="H290" s="74"/>
      <c r="I290" s="74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72"/>
      <c r="B291" s="73"/>
      <c r="C291" s="74"/>
      <c r="D291" s="75"/>
      <c r="E291" s="74"/>
      <c r="F291" s="74"/>
      <c r="G291" s="75"/>
      <c r="H291" s="74"/>
      <c r="I291" s="74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72"/>
      <c r="B292" s="73"/>
      <c r="C292" s="74"/>
      <c r="D292" s="75"/>
      <c r="E292" s="74"/>
      <c r="F292" s="74"/>
      <c r="G292" s="75"/>
      <c r="H292" s="74"/>
      <c r="I292" s="74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72"/>
      <c r="B293" s="73"/>
      <c r="C293" s="74"/>
      <c r="D293" s="75"/>
      <c r="E293" s="74"/>
      <c r="F293" s="74"/>
      <c r="G293" s="75"/>
      <c r="H293" s="74"/>
      <c r="I293" s="74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72"/>
      <c r="B294" s="73"/>
      <c r="C294" s="74"/>
      <c r="D294" s="75"/>
      <c r="E294" s="74"/>
      <c r="F294" s="74"/>
      <c r="G294" s="75"/>
      <c r="H294" s="74"/>
      <c r="I294" s="74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72"/>
      <c r="B295" s="73"/>
      <c r="C295" s="74"/>
      <c r="D295" s="75"/>
      <c r="E295" s="74"/>
      <c r="F295" s="74"/>
      <c r="G295" s="75"/>
      <c r="H295" s="74"/>
      <c r="I295" s="74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72"/>
      <c r="B296" s="73"/>
      <c r="C296" s="74"/>
      <c r="D296" s="75"/>
      <c r="E296" s="74"/>
      <c r="F296" s="74"/>
      <c r="G296" s="75"/>
      <c r="H296" s="74"/>
      <c r="I296" s="74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72"/>
      <c r="B297" s="73"/>
      <c r="C297" s="74"/>
      <c r="D297" s="75"/>
      <c r="E297" s="74"/>
      <c r="F297" s="74"/>
      <c r="G297" s="75"/>
      <c r="H297" s="74"/>
      <c r="I297" s="74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72"/>
      <c r="B298" s="73"/>
      <c r="C298" s="74"/>
      <c r="D298" s="75"/>
      <c r="E298" s="74"/>
      <c r="F298" s="74"/>
      <c r="G298" s="75"/>
      <c r="H298" s="74"/>
      <c r="I298" s="74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72"/>
      <c r="B299" s="73"/>
      <c r="C299" s="74"/>
      <c r="D299" s="75"/>
      <c r="E299" s="74"/>
      <c r="F299" s="74"/>
      <c r="G299" s="75"/>
      <c r="H299" s="74"/>
      <c r="I299" s="74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72"/>
      <c r="B300" s="73"/>
      <c r="C300" s="74"/>
      <c r="D300" s="75"/>
      <c r="E300" s="74"/>
      <c r="F300" s="74"/>
      <c r="G300" s="75"/>
      <c r="H300" s="74"/>
      <c r="I300" s="74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72"/>
      <c r="B301" s="73"/>
      <c r="C301" s="74"/>
      <c r="D301" s="75"/>
      <c r="E301" s="74"/>
      <c r="F301" s="74"/>
      <c r="G301" s="75"/>
      <c r="H301" s="74"/>
      <c r="I301" s="74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72"/>
      <c r="B302" s="73"/>
      <c r="C302" s="74"/>
      <c r="D302" s="75"/>
      <c r="E302" s="74"/>
      <c r="F302" s="74"/>
      <c r="G302" s="75"/>
      <c r="H302" s="74"/>
      <c r="I302" s="74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72"/>
      <c r="B303" s="73"/>
      <c r="C303" s="74"/>
      <c r="D303" s="75"/>
      <c r="E303" s="74"/>
      <c r="F303" s="74"/>
      <c r="G303" s="75"/>
      <c r="H303" s="74"/>
      <c r="I303" s="74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72"/>
      <c r="B304" s="73"/>
      <c r="C304" s="74"/>
      <c r="D304" s="75"/>
      <c r="E304" s="74"/>
      <c r="F304" s="74"/>
      <c r="G304" s="75"/>
      <c r="H304" s="74"/>
      <c r="I304" s="74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72"/>
      <c r="B305" s="73"/>
      <c r="C305" s="74"/>
      <c r="D305" s="75"/>
      <c r="E305" s="74"/>
      <c r="F305" s="74"/>
      <c r="G305" s="75"/>
      <c r="H305" s="74"/>
      <c r="I305" s="74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72"/>
      <c r="B306" s="73"/>
      <c r="C306" s="74"/>
      <c r="D306" s="75"/>
      <c r="E306" s="74"/>
      <c r="F306" s="74"/>
      <c r="G306" s="75"/>
      <c r="H306" s="74"/>
      <c r="I306" s="74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72"/>
      <c r="B307" s="73"/>
      <c r="C307" s="74"/>
      <c r="D307" s="75"/>
      <c r="E307" s="74"/>
      <c r="F307" s="74"/>
      <c r="G307" s="75"/>
      <c r="H307" s="74"/>
      <c r="I307" s="74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72"/>
      <c r="B308" s="73"/>
      <c r="C308" s="74"/>
      <c r="D308" s="75"/>
      <c r="E308" s="74"/>
      <c r="F308" s="74"/>
      <c r="G308" s="75"/>
      <c r="H308" s="74"/>
      <c r="I308" s="74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72"/>
      <c r="B309" s="73"/>
      <c r="C309" s="74"/>
      <c r="D309" s="75"/>
      <c r="E309" s="74"/>
      <c r="F309" s="74"/>
      <c r="G309" s="75"/>
      <c r="H309" s="74"/>
      <c r="I309" s="74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72"/>
      <c r="B310" s="73"/>
      <c r="C310" s="74"/>
      <c r="D310" s="75"/>
      <c r="E310" s="74"/>
      <c r="F310" s="74"/>
      <c r="G310" s="75"/>
      <c r="H310" s="74"/>
      <c r="I310" s="74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72"/>
      <c r="B311" s="73"/>
      <c r="C311" s="74"/>
      <c r="D311" s="75"/>
      <c r="E311" s="74"/>
      <c r="F311" s="74"/>
      <c r="G311" s="75"/>
      <c r="H311" s="74"/>
      <c r="I311" s="74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72"/>
      <c r="B312" s="73"/>
      <c r="C312" s="74"/>
      <c r="D312" s="75"/>
      <c r="E312" s="74"/>
      <c r="F312" s="74"/>
      <c r="G312" s="75"/>
      <c r="H312" s="74"/>
      <c r="I312" s="74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72"/>
      <c r="B313" s="73"/>
      <c r="C313" s="74"/>
      <c r="D313" s="75"/>
      <c r="E313" s="74"/>
      <c r="F313" s="74"/>
      <c r="G313" s="75"/>
      <c r="H313" s="74"/>
      <c r="I313" s="74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72"/>
      <c r="B314" s="73"/>
      <c r="C314" s="74"/>
      <c r="D314" s="75"/>
      <c r="E314" s="74"/>
      <c r="F314" s="74"/>
      <c r="G314" s="75"/>
      <c r="H314" s="74"/>
      <c r="I314" s="74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72"/>
      <c r="B315" s="73"/>
      <c r="C315" s="74"/>
      <c r="D315" s="75"/>
      <c r="E315" s="74"/>
      <c r="F315" s="74"/>
      <c r="G315" s="75"/>
      <c r="H315" s="74"/>
      <c r="I315" s="74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72"/>
      <c r="B316" s="73"/>
      <c r="C316" s="74"/>
      <c r="D316" s="75"/>
      <c r="E316" s="74"/>
      <c r="F316" s="74"/>
      <c r="G316" s="75"/>
      <c r="H316" s="74"/>
      <c r="I316" s="74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72"/>
      <c r="B317" s="73"/>
      <c r="C317" s="74"/>
      <c r="D317" s="75"/>
      <c r="E317" s="74"/>
      <c r="F317" s="74"/>
      <c r="G317" s="75"/>
      <c r="H317" s="74"/>
      <c r="I317" s="74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72"/>
      <c r="B318" s="73"/>
      <c r="C318" s="74"/>
      <c r="D318" s="75"/>
      <c r="E318" s="74"/>
      <c r="F318" s="74"/>
      <c r="G318" s="75"/>
      <c r="H318" s="74"/>
      <c r="I318" s="74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72"/>
      <c r="B319" s="73"/>
      <c r="C319" s="74"/>
      <c r="D319" s="75"/>
      <c r="E319" s="74"/>
      <c r="F319" s="74"/>
      <c r="G319" s="75"/>
      <c r="H319" s="74"/>
      <c r="I319" s="74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72"/>
      <c r="B320" s="73"/>
      <c r="C320" s="74"/>
      <c r="D320" s="75"/>
      <c r="E320" s="74"/>
      <c r="F320" s="74"/>
      <c r="G320" s="75"/>
      <c r="H320" s="74"/>
      <c r="I320" s="74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72"/>
      <c r="B321" s="73"/>
      <c r="C321" s="74"/>
      <c r="D321" s="75"/>
      <c r="E321" s="74"/>
      <c r="F321" s="74"/>
      <c r="G321" s="75"/>
      <c r="H321" s="74"/>
      <c r="I321" s="74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72"/>
      <c r="B322" s="73"/>
      <c r="C322" s="74"/>
      <c r="D322" s="75"/>
      <c r="E322" s="74"/>
      <c r="F322" s="74"/>
      <c r="G322" s="75"/>
      <c r="H322" s="74"/>
      <c r="I322" s="74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72"/>
      <c r="B323" s="73"/>
      <c r="C323" s="74"/>
      <c r="D323" s="75"/>
      <c r="E323" s="74"/>
      <c r="F323" s="74"/>
      <c r="G323" s="75"/>
      <c r="H323" s="74"/>
      <c r="I323" s="74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72"/>
      <c r="B324" s="73"/>
      <c r="C324" s="74"/>
      <c r="D324" s="75"/>
      <c r="E324" s="74"/>
      <c r="F324" s="74"/>
      <c r="G324" s="75"/>
      <c r="H324" s="74"/>
      <c r="I324" s="74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72"/>
      <c r="B325" s="73"/>
      <c r="C325" s="74"/>
      <c r="D325" s="75"/>
      <c r="E325" s="74"/>
      <c r="F325" s="74"/>
      <c r="G325" s="75"/>
      <c r="H325" s="74"/>
      <c r="I325" s="74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72"/>
      <c r="B326" s="73"/>
      <c r="C326" s="74"/>
      <c r="D326" s="75"/>
      <c r="E326" s="74"/>
      <c r="F326" s="74"/>
      <c r="G326" s="75"/>
      <c r="H326" s="74"/>
      <c r="I326" s="74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72"/>
      <c r="B327" s="73"/>
      <c r="C327" s="74"/>
      <c r="D327" s="75"/>
      <c r="E327" s="74"/>
      <c r="F327" s="74"/>
      <c r="G327" s="75"/>
      <c r="H327" s="74"/>
      <c r="I327" s="74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72"/>
      <c r="B328" s="73"/>
      <c r="C328" s="74"/>
      <c r="D328" s="75"/>
      <c r="E328" s="74"/>
      <c r="F328" s="74"/>
      <c r="G328" s="75"/>
      <c r="H328" s="74"/>
      <c r="I328" s="74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72"/>
      <c r="B329" s="73"/>
      <c r="C329" s="74"/>
      <c r="D329" s="75"/>
      <c r="E329" s="74"/>
      <c r="F329" s="74"/>
      <c r="G329" s="75"/>
      <c r="H329" s="74"/>
      <c r="I329" s="74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72"/>
      <c r="B330" s="73"/>
      <c r="C330" s="74"/>
      <c r="D330" s="75"/>
      <c r="E330" s="74"/>
      <c r="F330" s="74"/>
      <c r="G330" s="75"/>
      <c r="H330" s="74"/>
      <c r="I330" s="74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72"/>
      <c r="B331" s="73"/>
      <c r="C331" s="74"/>
      <c r="D331" s="75"/>
      <c r="E331" s="74"/>
      <c r="F331" s="74"/>
      <c r="G331" s="75"/>
      <c r="H331" s="74"/>
      <c r="I331" s="74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72"/>
      <c r="B332" s="73"/>
      <c r="C332" s="74"/>
      <c r="D332" s="75"/>
      <c r="E332" s="74"/>
      <c r="F332" s="74"/>
      <c r="G332" s="75"/>
      <c r="H332" s="74"/>
      <c r="I332" s="74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72"/>
      <c r="B333" s="73"/>
      <c r="C333" s="74"/>
      <c r="D333" s="75"/>
      <c r="E333" s="74"/>
      <c r="F333" s="74"/>
      <c r="G333" s="75"/>
      <c r="H333" s="74"/>
      <c r="I333" s="74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72"/>
      <c r="B334" s="73"/>
      <c r="C334" s="74"/>
      <c r="D334" s="75"/>
      <c r="E334" s="74"/>
      <c r="F334" s="74"/>
      <c r="G334" s="75"/>
      <c r="H334" s="74"/>
      <c r="I334" s="74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72"/>
      <c r="B335" s="73"/>
      <c r="C335" s="74"/>
      <c r="D335" s="75"/>
      <c r="E335" s="74"/>
      <c r="F335" s="74"/>
      <c r="G335" s="75"/>
      <c r="H335" s="74"/>
      <c r="I335" s="74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72"/>
      <c r="B336" s="73"/>
      <c r="C336" s="74"/>
      <c r="D336" s="75"/>
      <c r="E336" s="74"/>
      <c r="F336" s="74"/>
      <c r="G336" s="75"/>
      <c r="H336" s="74"/>
      <c r="I336" s="74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72"/>
      <c r="B337" s="73"/>
      <c r="C337" s="74"/>
      <c r="D337" s="75"/>
      <c r="E337" s="74"/>
      <c r="F337" s="74"/>
      <c r="G337" s="75"/>
      <c r="H337" s="74"/>
      <c r="I337" s="74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72"/>
      <c r="B338" s="73"/>
      <c r="C338" s="74"/>
      <c r="D338" s="75"/>
      <c r="E338" s="74"/>
      <c r="F338" s="74"/>
      <c r="G338" s="75"/>
      <c r="H338" s="74"/>
      <c r="I338" s="74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72"/>
      <c r="B339" s="73"/>
      <c r="C339" s="74"/>
      <c r="D339" s="75"/>
      <c r="E339" s="74"/>
      <c r="F339" s="74"/>
      <c r="G339" s="75"/>
      <c r="H339" s="74"/>
      <c r="I339" s="74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72"/>
      <c r="B340" s="73"/>
      <c r="C340" s="74"/>
      <c r="D340" s="75"/>
      <c r="E340" s="74"/>
      <c r="F340" s="74"/>
      <c r="G340" s="75"/>
      <c r="H340" s="74"/>
      <c r="I340" s="74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72"/>
      <c r="B341" s="73"/>
      <c r="C341" s="74"/>
      <c r="D341" s="75"/>
      <c r="E341" s="74"/>
      <c r="F341" s="74"/>
      <c r="G341" s="75"/>
      <c r="H341" s="74"/>
      <c r="I341" s="74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72"/>
      <c r="B342" s="73"/>
      <c r="C342" s="74"/>
      <c r="D342" s="75"/>
      <c r="E342" s="74"/>
      <c r="F342" s="74"/>
      <c r="G342" s="75"/>
      <c r="H342" s="74"/>
      <c r="I342" s="74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72"/>
      <c r="B343" s="73"/>
      <c r="C343" s="74"/>
      <c r="D343" s="75"/>
      <c r="E343" s="74"/>
      <c r="F343" s="74"/>
      <c r="G343" s="75"/>
      <c r="H343" s="74"/>
      <c r="I343" s="74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72"/>
      <c r="B344" s="73"/>
      <c r="C344" s="74"/>
      <c r="D344" s="75"/>
      <c r="E344" s="74"/>
      <c r="F344" s="74"/>
      <c r="G344" s="75"/>
      <c r="H344" s="74"/>
      <c r="I344" s="74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72"/>
      <c r="B345" s="73"/>
      <c r="C345" s="74"/>
      <c r="D345" s="75"/>
      <c r="E345" s="74"/>
      <c r="F345" s="74"/>
      <c r="G345" s="75"/>
      <c r="H345" s="74"/>
      <c r="I345" s="74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72"/>
      <c r="B346" s="73"/>
      <c r="C346" s="74"/>
      <c r="D346" s="75"/>
      <c r="E346" s="74"/>
      <c r="F346" s="74"/>
      <c r="G346" s="75"/>
      <c r="H346" s="74"/>
      <c r="I346" s="74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72"/>
      <c r="B347" s="73"/>
      <c r="C347" s="74"/>
      <c r="D347" s="75"/>
      <c r="E347" s="74"/>
      <c r="F347" s="74"/>
      <c r="G347" s="75"/>
      <c r="H347" s="74"/>
      <c r="I347" s="74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72"/>
      <c r="B348" s="73"/>
      <c r="C348" s="74"/>
      <c r="D348" s="75"/>
      <c r="E348" s="74"/>
      <c r="F348" s="74"/>
      <c r="G348" s="75"/>
      <c r="H348" s="74"/>
      <c r="I348" s="74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72"/>
      <c r="B349" s="73"/>
      <c r="C349" s="74"/>
      <c r="D349" s="75"/>
      <c r="E349" s="74"/>
      <c r="F349" s="74"/>
      <c r="G349" s="75"/>
      <c r="H349" s="74"/>
      <c r="I349" s="74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72"/>
      <c r="B350" s="73"/>
      <c r="C350" s="74"/>
      <c r="D350" s="75"/>
      <c r="E350" s="74"/>
      <c r="F350" s="74"/>
      <c r="G350" s="75"/>
      <c r="H350" s="74"/>
      <c r="I350" s="74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72"/>
      <c r="B351" s="73"/>
      <c r="C351" s="74"/>
      <c r="D351" s="75"/>
      <c r="E351" s="74"/>
      <c r="F351" s="74"/>
      <c r="G351" s="75"/>
      <c r="H351" s="74"/>
      <c r="I351" s="74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72"/>
      <c r="B352" s="73"/>
      <c r="C352" s="74"/>
      <c r="D352" s="75"/>
      <c r="E352" s="74"/>
      <c r="F352" s="74"/>
      <c r="G352" s="75"/>
      <c r="H352" s="74"/>
      <c r="I352" s="74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72"/>
      <c r="B353" s="73"/>
      <c r="C353" s="74"/>
      <c r="D353" s="75"/>
      <c r="E353" s="74"/>
      <c r="F353" s="74"/>
      <c r="G353" s="75"/>
      <c r="H353" s="74"/>
      <c r="I353" s="74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72"/>
      <c r="B354" s="73"/>
      <c r="C354" s="74"/>
      <c r="D354" s="75"/>
      <c r="E354" s="74"/>
      <c r="F354" s="74"/>
      <c r="G354" s="75"/>
      <c r="H354" s="74"/>
      <c r="I354" s="74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72"/>
      <c r="B355" s="73"/>
      <c r="C355" s="74"/>
      <c r="D355" s="75"/>
      <c r="E355" s="74"/>
      <c r="F355" s="74"/>
      <c r="G355" s="75"/>
      <c r="H355" s="74"/>
      <c r="I355" s="74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72"/>
      <c r="B356" s="73"/>
      <c r="C356" s="74"/>
      <c r="D356" s="75"/>
      <c r="E356" s="74"/>
      <c r="F356" s="74"/>
      <c r="G356" s="75"/>
      <c r="H356" s="74"/>
      <c r="I356" s="74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72"/>
      <c r="B357" s="73"/>
      <c r="C357" s="74"/>
      <c r="D357" s="75"/>
      <c r="E357" s="74"/>
      <c r="F357" s="74"/>
      <c r="G357" s="75"/>
      <c r="H357" s="74"/>
      <c r="I357" s="74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72"/>
      <c r="B358" s="73"/>
      <c r="C358" s="74"/>
      <c r="D358" s="75"/>
      <c r="E358" s="74"/>
      <c r="F358" s="74"/>
      <c r="G358" s="75"/>
      <c r="H358" s="74"/>
      <c r="I358" s="74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72"/>
      <c r="B359" s="73"/>
      <c r="C359" s="74"/>
      <c r="D359" s="75"/>
      <c r="E359" s="74"/>
      <c r="F359" s="74"/>
      <c r="G359" s="75"/>
      <c r="H359" s="74"/>
      <c r="I359" s="74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72"/>
      <c r="B360" s="73"/>
      <c r="C360" s="74"/>
      <c r="D360" s="75"/>
      <c r="E360" s="74"/>
      <c r="F360" s="74"/>
      <c r="G360" s="75"/>
      <c r="H360" s="74"/>
      <c r="I360" s="74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72"/>
      <c r="B361" s="73"/>
      <c r="C361" s="74"/>
      <c r="D361" s="75"/>
      <c r="E361" s="74"/>
      <c r="F361" s="74"/>
      <c r="G361" s="75"/>
      <c r="H361" s="74"/>
      <c r="I361" s="74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72"/>
      <c r="B362" s="73"/>
      <c r="C362" s="74"/>
      <c r="D362" s="75"/>
      <c r="E362" s="74"/>
      <c r="F362" s="74"/>
      <c r="G362" s="75"/>
      <c r="H362" s="74"/>
      <c r="I362" s="74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72"/>
      <c r="B363" s="73"/>
      <c r="C363" s="74"/>
      <c r="D363" s="75"/>
      <c r="E363" s="74"/>
      <c r="F363" s="74"/>
      <c r="G363" s="75"/>
      <c r="H363" s="74"/>
      <c r="I363" s="74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72"/>
      <c r="B364" s="73"/>
      <c r="C364" s="74"/>
      <c r="D364" s="75"/>
      <c r="E364" s="74"/>
      <c r="F364" s="74"/>
      <c r="G364" s="75"/>
      <c r="H364" s="74"/>
      <c r="I364" s="74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72"/>
      <c r="B365" s="73"/>
      <c r="C365" s="74"/>
      <c r="D365" s="75"/>
      <c r="E365" s="74"/>
      <c r="F365" s="74"/>
      <c r="G365" s="75"/>
      <c r="H365" s="74"/>
      <c r="I365" s="74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72"/>
      <c r="B366" s="73"/>
      <c r="C366" s="74"/>
      <c r="D366" s="75"/>
      <c r="E366" s="74"/>
      <c r="F366" s="74"/>
      <c r="G366" s="75"/>
      <c r="H366" s="74"/>
      <c r="I366" s="74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72"/>
      <c r="B367" s="73"/>
      <c r="C367" s="74"/>
      <c r="D367" s="75"/>
      <c r="E367" s="74"/>
      <c r="F367" s="74"/>
      <c r="G367" s="75"/>
      <c r="H367" s="74"/>
      <c r="I367" s="74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72"/>
      <c r="B368" s="73"/>
      <c r="C368" s="74"/>
      <c r="D368" s="75"/>
      <c r="E368" s="74"/>
      <c r="F368" s="74"/>
      <c r="G368" s="75"/>
      <c r="H368" s="74"/>
      <c r="I368" s="74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72"/>
      <c r="B369" s="73"/>
      <c r="C369" s="74"/>
      <c r="D369" s="75"/>
      <c r="E369" s="74"/>
      <c r="F369" s="74"/>
      <c r="G369" s="75"/>
      <c r="H369" s="74"/>
      <c r="I369" s="74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72"/>
      <c r="B370" s="73"/>
      <c r="C370" s="74"/>
      <c r="D370" s="75"/>
      <c r="E370" s="74"/>
      <c r="F370" s="74"/>
      <c r="G370" s="75"/>
      <c r="H370" s="74"/>
      <c r="I370" s="74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72"/>
      <c r="B371" s="73"/>
      <c r="C371" s="74"/>
      <c r="D371" s="75"/>
      <c r="E371" s="74"/>
      <c r="F371" s="74"/>
      <c r="G371" s="75"/>
      <c r="H371" s="74"/>
      <c r="I371" s="74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72"/>
      <c r="B372" s="73"/>
      <c r="C372" s="74"/>
      <c r="D372" s="75"/>
      <c r="E372" s="74"/>
      <c r="F372" s="74"/>
      <c r="G372" s="75"/>
      <c r="H372" s="74"/>
      <c r="I372" s="74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72"/>
      <c r="B373" s="73"/>
      <c r="C373" s="74"/>
      <c r="D373" s="75"/>
      <c r="E373" s="74"/>
      <c r="F373" s="74"/>
      <c r="G373" s="75"/>
      <c r="H373" s="74"/>
      <c r="I373" s="74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72"/>
      <c r="B374" s="73"/>
      <c r="C374" s="74"/>
      <c r="D374" s="75"/>
      <c r="E374" s="74"/>
      <c r="F374" s="74"/>
      <c r="G374" s="75"/>
      <c r="H374" s="74"/>
      <c r="I374" s="74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72"/>
      <c r="B375" s="73"/>
      <c r="C375" s="74"/>
      <c r="D375" s="75"/>
      <c r="E375" s="74"/>
      <c r="F375" s="74"/>
      <c r="G375" s="75"/>
      <c r="H375" s="74"/>
      <c r="I375" s="74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72"/>
      <c r="B376" s="73"/>
      <c r="C376" s="74"/>
      <c r="D376" s="75"/>
      <c r="E376" s="74"/>
      <c r="F376" s="74"/>
      <c r="G376" s="75"/>
      <c r="H376" s="74"/>
      <c r="I376" s="74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72"/>
      <c r="B377" s="73"/>
      <c r="C377" s="74"/>
      <c r="D377" s="75"/>
      <c r="E377" s="74"/>
      <c r="F377" s="74"/>
      <c r="G377" s="75"/>
      <c r="H377" s="74"/>
      <c r="I377" s="74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72"/>
      <c r="B378" s="73"/>
      <c r="C378" s="74"/>
      <c r="D378" s="75"/>
      <c r="E378" s="74"/>
      <c r="F378" s="74"/>
      <c r="G378" s="75"/>
      <c r="H378" s="74"/>
      <c r="I378" s="74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72"/>
      <c r="B379" s="73"/>
      <c r="C379" s="74"/>
      <c r="D379" s="75"/>
      <c r="E379" s="74"/>
      <c r="F379" s="74"/>
      <c r="G379" s="75"/>
      <c r="H379" s="74"/>
      <c r="I379" s="74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72"/>
      <c r="B380" s="73"/>
      <c r="C380" s="74"/>
      <c r="D380" s="75"/>
      <c r="E380" s="74"/>
      <c r="F380" s="74"/>
      <c r="G380" s="75"/>
      <c r="H380" s="74"/>
      <c r="I380" s="74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72"/>
      <c r="B381" s="73"/>
      <c r="C381" s="74"/>
      <c r="D381" s="75"/>
      <c r="E381" s="74"/>
      <c r="F381" s="74"/>
      <c r="G381" s="75"/>
      <c r="H381" s="74"/>
      <c r="I381" s="74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72"/>
      <c r="B382" s="73"/>
      <c r="C382" s="74"/>
      <c r="D382" s="75"/>
      <c r="E382" s="74"/>
      <c r="F382" s="74"/>
      <c r="G382" s="75"/>
      <c r="H382" s="74"/>
      <c r="I382" s="74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72"/>
      <c r="B383" s="73"/>
      <c r="C383" s="74"/>
      <c r="D383" s="75"/>
      <c r="E383" s="74"/>
      <c r="F383" s="74"/>
      <c r="G383" s="75"/>
      <c r="H383" s="74"/>
      <c r="I383" s="74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72"/>
      <c r="B384" s="73"/>
      <c r="C384" s="74"/>
      <c r="D384" s="75"/>
      <c r="E384" s="74"/>
      <c r="F384" s="74"/>
      <c r="G384" s="75"/>
      <c r="H384" s="74"/>
      <c r="I384" s="74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72"/>
      <c r="B385" s="73"/>
      <c r="C385" s="74"/>
      <c r="D385" s="75"/>
      <c r="E385" s="74"/>
      <c r="F385" s="74"/>
      <c r="G385" s="75"/>
      <c r="H385" s="74"/>
      <c r="I385" s="74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72"/>
      <c r="B386" s="73"/>
      <c r="C386" s="74"/>
      <c r="D386" s="75"/>
      <c r="E386" s="74"/>
      <c r="F386" s="74"/>
      <c r="G386" s="75"/>
      <c r="H386" s="74"/>
      <c r="I386" s="74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72"/>
      <c r="B387" s="73"/>
      <c r="C387" s="74"/>
      <c r="D387" s="75"/>
      <c r="E387" s="74"/>
      <c r="F387" s="74"/>
      <c r="G387" s="75"/>
      <c r="H387" s="74"/>
      <c r="I387" s="74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72"/>
      <c r="B388" s="73"/>
      <c r="C388" s="74"/>
      <c r="D388" s="75"/>
      <c r="E388" s="74"/>
      <c r="F388" s="74"/>
      <c r="G388" s="75"/>
      <c r="H388" s="74"/>
      <c r="I388" s="74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72"/>
      <c r="B389" s="73"/>
      <c r="C389" s="74"/>
      <c r="D389" s="75"/>
      <c r="E389" s="74"/>
      <c r="F389" s="74"/>
      <c r="G389" s="75"/>
      <c r="H389" s="74"/>
      <c r="I389" s="74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72"/>
      <c r="B390" s="73"/>
      <c r="C390" s="74"/>
      <c r="D390" s="75"/>
      <c r="E390" s="74"/>
      <c r="F390" s="74"/>
      <c r="G390" s="75"/>
      <c r="H390" s="74"/>
      <c r="I390" s="74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72"/>
      <c r="B391" s="73"/>
      <c r="C391" s="74"/>
      <c r="D391" s="75"/>
      <c r="E391" s="74"/>
      <c r="F391" s="74"/>
      <c r="G391" s="75"/>
      <c r="H391" s="74"/>
      <c r="I391" s="74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72"/>
      <c r="B392" s="73"/>
      <c r="C392" s="74"/>
      <c r="D392" s="75"/>
      <c r="E392" s="74"/>
      <c r="F392" s="74"/>
      <c r="G392" s="75"/>
      <c r="H392" s="74"/>
      <c r="I392" s="74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72"/>
      <c r="B393" s="73"/>
      <c r="C393" s="74"/>
      <c r="D393" s="75"/>
      <c r="E393" s="74"/>
      <c r="F393" s="74"/>
      <c r="G393" s="75"/>
      <c r="H393" s="74"/>
      <c r="I393" s="74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72"/>
      <c r="B394" s="73"/>
      <c r="C394" s="74"/>
      <c r="D394" s="75"/>
      <c r="E394" s="74"/>
      <c r="F394" s="74"/>
      <c r="G394" s="75"/>
      <c r="H394" s="74"/>
      <c r="I394" s="74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72"/>
      <c r="B395" s="73"/>
      <c r="C395" s="74"/>
      <c r="D395" s="75"/>
      <c r="E395" s="74"/>
      <c r="F395" s="74"/>
      <c r="G395" s="75"/>
      <c r="H395" s="74"/>
      <c r="I395" s="74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72"/>
      <c r="B396" s="73"/>
      <c r="C396" s="74"/>
      <c r="D396" s="75"/>
      <c r="E396" s="74"/>
      <c r="F396" s="74"/>
      <c r="G396" s="75"/>
      <c r="H396" s="74"/>
      <c r="I396" s="74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72"/>
      <c r="B397" s="73"/>
      <c r="C397" s="74"/>
      <c r="D397" s="75"/>
      <c r="E397" s="74"/>
      <c r="F397" s="74"/>
      <c r="G397" s="75"/>
      <c r="H397" s="74"/>
      <c r="I397" s="74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72"/>
      <c r="B398" s="73"/>
      <c r="C398" s="74"/>
      <c r="D398" s="75"/>
      <c r="E398" s="74"/>
      <c r="F398" s="74"/>
      <c r="G398" s="75"/>
      <c r="H398" s="74"/>
      <c r="I398" s="74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72"/>
      <c r="B399" s="73"/>
      <c r="C399" s="74"/>
      <c r="D399" s="75"/>
      <c r="E399" s="74"/>
      <c r="F399" s="74"/>
      <c r="G399" s="75"/>
      <c r="H399" s="74"/>
      <c r="I399" s="74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72"/>
      <c r="B400" s="73"/>
      <c r="C400" s="74"/>
      <c r="D400" s="75"/>
      <c r="E400" s="74"/>
      <c r="F400" s="74"/>
      <c r="G400" s="75"/>
      <c r="H400" s="74"/>
      <c r="I400" s="74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72"/>
      <c r="B401" s="73"/>
      <c r="C401" s="74"/>
      <c r="D401" s="75"/>
      <c r="E401" s="74"/>
      <c r="F401" s="74"/>
      <c r="G401" s="75"/>
      <c r="H401" s="74"/>
      <c r="I401" s="74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72"/>
      <c r="B402" s="73"/>
      <c r="C402" s="74"/>
      <c r="D402" s="75"/>
      <c r="E402" s="74"/>
      <c r="F402" s="74"/>
      <c r="G402" s="75"/>
      <c r="H402" s="74"/>
      <c r="I402" s="74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72"/>
      <c r="B403" s="73"/>
      <c r="C403" s="74"/>
      <c r="D403" s="75"/>
      <c r="E403" s="74"/>
      <c r="F403" s="74"/>
      <c r="G403" s="75"/>
      <c r="H403" s="74"/>
      <c r="I403" s="74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72"/>
      <c r="B404" s="73"/>
      <c r="C404" s="74"/>
      <c r="D404" s="75"/>
      <c r="E404" s="74"/>
      <c r="F404" s="74"/>
      <c r="G404" s="75"/>
      <c r="H404" s="74"/>
      <c r="I404" s="74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72"/>
      <c r="B405" s="73"/>
      <c r="C405" s="74"/>
      <c r="D405" s="75"/>
      <c r="E405" s="74"/>
      <c r="F405" s="74"/>
      <c r="G405" s="75"/>
      <c r="H405" s="74"/>
      <c r="I405" s="74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72"/>
      <c r="B406" s="73"/>
      <c r="C406" s="74"/>
      <c r="D406" s="75"/>
      <c r="E406" s="74"/>
      <c r="F406" s="74"/>
      <c r="G406" s="75"/>
      <c r="H406" s="74"/>
      <c r="I406" s="74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72"/>
      <c r="B407" s="73"/>
      <c r="C407" s="74"/>
      <c r="D407" s="75"/>
      <c r="E407" s="74"/>
      <c r="F407" s="74"/>
      <c r="G407" s="75"/>
      <c r="H407" s="74"/>
      <c r="I407" s="74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72"/>
      <c r="B408" s="73"/>
      <c r="C408" s="74"/>
      <c r="D408" s="75"/>
      <c r="E408" s="74"/>
      <c r="F408" s="74"/>
      <c r="G408" s="75"/>
      <c r="H408" s="74"/>
      <c r="I408" s="74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72"/>
      <c r="B409" s="73"/>
      <c r="C409" s="74"/>
      <c r="D409" s="75"/>
      <c r="E409" s="74"/>
      <c r="F409" s="74"/>
      <c r="G409" s="75"/>
      <c r="H409" s="74"/>
      <c r="I409" s="74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72"/>
      <c r="B410" s="73"/>
      <c r="C410" s="74"/>
      <c r="D410" s="75"/>
      <c r="E410" s="74"/>
      <c r="F410" s="74"/>
      <c r="G410" s="75"/>
      <c r="H410" s="74"/>
      <c r="I410" s="74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72"/>
      <c r="B411" s="73"/>
      <c r="C411" s="74"/>
      <c r="D411" s="75"/>
      <c r="E411" s="74"/>
      <c r="F411" s="74"/>
      <c r="G411" s="75"/>
      <c r="H411" s="74"/>
      <c r="I411" s="74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72"/>
      <c r="B412" s="73"/>
      <c r="C412" s="74"/>
      <c r="D412" s="75"/>
      <c r="E412" s="74"/>
      <c r="F412" s="74"/>
      <c r="G412" s="75"/>
      <c r="H412" s="74"/>
      <c r="I412" s="74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72"/>
      <c r="B413" s="73"/>
      <c r="C413" s="74"/>
      <c r="D413" s="75"/>
      <c r="E413" s="74"/>
      <c r="F413" s="74"/>
      <c r="G413" s="75"/>
      <c r="H413" s="74"/>
      <c r="I413" s="74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72"/>
      <c r="B414" s="73"/>
      <c r="C414" s="74"/>
      <c r="D414" s="75"/>
      <c r="E414" s="74"/>
      <c r="F414" s="74"/>
      <c r="G414" s="75"/>
      <c r="H414" s="74"/>
      <c r="I414" s="74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72"/>
      <c r="B415" s="73"/>
      <c r="C415" s="74"/>
      <c r="D415" s="75"/>
      <c r="E415" s="74"/>
      <c r="F415" s="74"/>
      <c r="G415" s="75"/>
      <c r="H415" s="74"/>
      <c r="I415" s="74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72"/>
      <c r="B416" s="73"/>
      <c r="C416" s="74"/>
      <c r="D416" s="75"/>
      <c r="E416" s="74"/>
      <c r="F416" s="74"/>
      <c r="G416" s="75"/>
      <c r="H416" s="74"/>
      <c r="I416" s="74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72"/>
      <c r="B417" s="73"/>
      <c r="C417" s="74"/>
      <c r="D417" s="75"/>
      <c r="E417" s="74"/>
      <c r="F417" s="74"/>
      <c r="G417" s="75"/>
      <c r="H417" s="74"/>
      <c r="I417" s="74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72"/>
      <c r="B418" s="73"/>
      <c r="C418" s="74"/>
      <c r="D418" s="75"/>
      <c r="E418" s="74"/>
      <c r="F418" s="74"/>
      <c r="G418" s="75"/>
      <c r="H418" s="74"/>
      <c r="I418" s="74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72"/>
      <c r="B419" s="73"/>
      <c r="C419" s="74"/>
      <c r="D419" s="75"/>
      <c r="E419" s="74"/>
      <c r="F419" s="74"/>
      <c r="G419" s="75"/>
      <c r="H419" s="74"/>
      <c r="I419" s="74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72"/>
      <c r="B420" s="73"/>
      <c r="C420" s="74"/>
      <c r="D420" s="75"/>
      <c r="E420" s="74"/>
      <c r="F420" s="74"/>
      <c r="G420" s="75"/>
      <c r="H420" s="74"/>
      <c r="I420" s="74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72"/>
      <c r="B421" s="73"/>
      <c r="C421" s="74"/>
      <c r="D421" s="75"/>
      <c r="E421" s="74"/>
      <c r="F421" s="74"/>
      <c r="G421" s="75"/>
      <c r="H421" s="74"/>
      <c r="I421" s="74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72"/>
      <c r="B422" s="73"/>
      <c r="C422" s="74"/>
      <c r="D422" s="75"/>
      <c r="E422" s="74"/>
      <c r="F422" s="74"/>
      <c r="G422" s="75"/>
      <c r="H422" s="74"/>
      <c r="I422" s="74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72"/>
      <c r="B423" s="73"/>
      <c r="C423" s="74"/>
      <c r="D423" s="75"/>
      <c r="E423" s="74"/>
      <c r="F423" s="74"/>
      <c r="G423" s="75"/>
      <c r="H423" s="74"/>
      <c r="I423" s="74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72"/>
      <c r="B424" s="73"/>
      <c r="C424" s="74"/>
      <c r="D424" s="75"/>
      <c r="E424" s="74"/>
      <c r="F424" s="74"/>
      <c r="G424" s="75"/>
      <c r="H424" s="74"/>
      <c r="I424" s="74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72"/>
      <c r="B425" s="73"/>
      <c r="C425" s="74"/>
      <c r="D425" s="75"/>
      <c r="E425" s="74"/>
      <c r="F425" s="74"/>
      <c r="G425" s="75"/>
      <c r="H425" s="74"/>
      <c r="I425" s="74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72"/>
      <c r="B426" s="73"/>
      <c r="C426" s="74"/>
      <c r="D426" s="75"/>
      <c r="E426" s="74"/>
      <c r="F426" s="74"/>
      <c r="G426" s="75"/>
      <c r="H426" s="74"/>
      <c r="I426" s="74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72"/>
      <c r="B427" s="73"/>
      <c r="C427" s="74"/>
      <c r="D427" s="75"/>
      <c r="E427" s="74"/>
      <c r="F427" s="74"/>
      <c r="G427" s="75"/>
      <c r="H427" s="74"/>
      <c r="I427" s="74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72"/>
      <c r="B428" s="73"/>
      <c r="C428" s="74"/>
      <c r="D428" s="75"/>
      <c r="E428" s="74"/>
      <c r="F428" s="74"/>
      <c r="G428" s="75"/>
      <c r="H428" s="74"/>
      <c r="I428" s="74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72"/>
      <c r="B429" s="73"/>
      <c r="C429" s="74"/>
      <c r="D429" s="75"/>
      <c r="E429" s="74"/>
      <c r="F429" s="74"/>
      <c r="G429" s="75"/>
      <c r="H429" s="74"/>
      <c r="I429" s="74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72"/>
      <c r="B430" s="73"/>
      <c r="C430" s="74"/>
      <c r="D430" s="75"/>
      <c r="E430" s="74"/>
      <c r="F430" s="74"/>
      <c r="G430" s="75"/>
      <c r="H430" s="74"/>
      <c r="I430" s="74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72"/>
      <c r="B431" s="73"/>
      <c r="C431" s="74"/>
      <c r="D431" s="75"/>
      <c r="E431" s="74"/>
      <c r="F431" s="74"/>
      <c r="G431" s="75"/>
      <c r="H431" s="74"/>
      <c r="I431" s="74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72"/>
      <c r="B432" s="73"/>
      <c r="C432" s="74"/>
      <c r="D432" s="75"/>
      <c r="E432" s="74"/>
      <c r="F432" s="74"/>
      <c r="G432" s="75"/>
      <c r="H432" s="74"/>
      <c r="I432" s="74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72"/>
      <c r="B433" s="73"/>
      <c r="C433" s="74"/>
      <c r="D433" s="75"/>
      <c r="E433" s="74"/>
      <c r="F433" s="74"/>
      <c r="G433" s="75"/>
      <c r="H433" s="74"/>
      <c r="I433" s="74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72"/>
      <c r="B434" s="73"/>
      <c r="C434" s="74"/>
      <c r="D434" s="75"/>
      <c r="E434" s="74"/>
      <c r="F434" s="74"/>
      <c r="G434" s="75"/>
      <c r="H434" s="74"/>
      <c r="I434" s="74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72"/>
      <c r="B435" s="73"/>
      <c r="C435" s="74"/>
      <c r="D435" s="75"/>
      <c r="E435" s="74"/>
      <c r="F435" s="74"/>
      <c r="G435" s="75"/>
      <c r="H435" s="74"/>
      <c r="I435" s="74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72"/>
      <c r="B436" s="73"/>
      <c r="C436" s="74"/>
      <c r="D436" s="75"/>
      <c r="E436" s="74"/>
      <c r="F436" s="74"/>
      <c r="G436" s="75"/>
      <c r="H436" s="74"/>
      <c r="I436" s="74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72"/>
      <c r="B437" s="73"/>
      <c r="C437" s="74"/>
      <c r="D437" s="75"/>
      <c r="E437" s="74"/>
      <c r="F437" s="74"/>
      <c r="G437" s="75"/>
      <c r="H437" s="74"/>
      <c r="I437" s="74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72"/>
      <c r="B438" s="73"/>
      <c r="C438" s="74"/>
      <c r="D438" s="75"/>
      <c r="E438" s="74"/>
      <c r="F438" s="74"/>
      <c r="G438" s="75"/>
      <c r="H438" s="74"/>
      <c r="I438" s="74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72"/>
      <c r="B439" s="73"/>
      <c r="C439" s="74"/>
      <c r="D439" s="75"/>
      <c r="E439" s="74"/>
      <c r="F439" s="74"/>
      <c r="G439" s="75"/>
      <c r="H439" s="74"/>
      <c r="I439" s="74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72"/>
      <c r="B440" s="73"/>
      <c r="C440" s="74"/>
      <c r="D440" s="75"/>
      <c r="E440" s="74"/>
      <c r="F440" s="74"/>
      <c r="G440" s="75"/>
      <c r="H440" s="74"/>
      <c r="I440" s="74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72"/>
      <c r="B441" s="73"/>
      <c r="C441" s="74"/>
      <c r="D441" s="75"/>
      <c r="E441" s="74"/>
      <c r="F441" s="74"/>
      <c r="G441" s="75"/>
      <c r="H441" s="74"/>
      <c r="I441" s="74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72"/>
      <c r="B442" s="73"/>
      <c r="C442" s="74"/>
      <c r="D442" s="75"/>
      <c r="E442" s="74"/>
      <c r="F442" s="74"/>
      <c r="G442" s="75"/>
      <c r="H442" s="74"/>
      <c r="I442" s="74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72"/>
      <c r="B443" s="73"/>
      <c r="C443" s="74"/>
      <c r="D443" s="75"/>
      <c r="E443" s="74"/>
      <c r="F443" s="74"/>
      <c r="G443" s="75"/>
      <c r="H443" s="74"/>
      <c r="I443" s="74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72"/>
      <c r="B444" s="73"/>
      <c r="C444" s="74"/>
      <c r="D444" s="75"/>
      <c r="E444" s="74"/>
      <c r="F444" s="74"/>
      <c r="G444" s="75"/>
      <c r="H444" s="74"/>
      <c r="I444" s="74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72"/>
      <c r="B445" s="73"/>
      <c r="C445" s="74"/>
      <c r="D445" s="75"/>
      <c r="E445" s="74"/>
      <c r="F445" s="74"/>
      <c r="G445" s="75"/>
      <c r="H445" s="74"/>
      <c r="I445" s="74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72"/>
      <c r="B446" s="73"/>
      <c r="C446" s="74"/>
      <c r="D446" s="75"/>
      <c r="E446" s="74"/>
      <c r="F446" s="74"/>
      <c r="G446" s="75"/>
      <c r="H446" s="74"/>
      <c r="I446" s="74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72"/>
      <c r="B447" s="73"/>
      <c r="C447" s="74"/>
      <c r="D447" s="75"/>
      <c r="E447" s="74"/>
      <c r="F447" s="74"/>
      <c r="G447" s="75"/>
      <c r="H447" s="74"/>
      <c r="I447" s="74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72"/>
      <c r="B448" s="73"/>
      <c r="C448" s="74"/>
      <c r="D448" s="75"/>
      <c r="E448" s="74"/>
      <c r="F448" s="74"/>
      <c r="G448" s="75"/>
      <c r="H448" s="74"/>
      <c r="I448" s="74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72"/>
      <c r="B449" s="73"/>
      <c r="C449" s="74"/>
      <c r="D449" s="75"/>
      <c r="E449" s="74"/>
      <c r="F449" s="74"/>
      <c r="G449" s="75"/>
      <c r="H449" s="74"/>
      <c r="I449" s="74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72"/>
      <c r="B450" s="73"/>
      <c r="C450" s="74"/>
      <c r="D450" s="75"/>
      <c r="E450" s="74"/>
      <c r="F450" s="74"/>
      <c r="G450" s="75"/>
      <c r="H450" s="74"/>
      <c r="I450" s="74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72"/>
      <c r="B451" s="73"/>
      <c r="C451" s="74"/>
      <c r="D451" s="75"/>
      <c r="E451" s="74"/>
      <c r="F451" s="74"/>
      <c r="G451" s="75"/>
      <c r="H451" s="74"/>
      <c r="I451" s="74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72"/>
      <c r="B452" s="73"/>
      <c r="C452" s="74"/>
      <c r="D452" s="75"/>
      <c r="E452" s="74"/>
      <c r="F452" s="74"/>
      <c r="G452" s="75"/>
      <c r="H452" s="74"/>
      <c r="I452" s="74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72"/>
      <c r="B453" s="73"/>
      <c r="C453" s="74"/>
      <c r="D453" s="75"/>
      <c r="E453" s="74"/>
      <c r="F453" s="74"/>
      <c r="G453" s="75"/>
      <c r="H453" s="74"/>
      <c r="I453" s="74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72"/>
      <c r="B454" s="73"/>
      <c r="C454" s="74"/>
      <c r="D454" s="75"/>
      <c r="E454" s="74"/>
      <c r="F454" s="74"/>
      <c r="G454" s="75"/>
      <c r="H454" s="74"/>
      <c r="I454" s="74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72"/>
      <c r="B455" s="73"/>
      <c r="C455" s="74"/>
      <c r="D455" s="75"/>
      <c r="E455" s="74"/>
      <c r="F455" s="74"/>
      <c r="G455" s="75"/>
      <c r="H455" s="74"/>
      <c r="I455" s="74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72"/>
      <c r="B456" s="73"/>
      <c r="C456" s="74"/>
      <c r="D456" s="75"/>
      <c r="E456" s="74"/>
      <c r="F456" s="74"/>
      <c r="G456" s="75"/>
      <c r="H456" s="74"/>
      <c r="I456" s="74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72"/>
      <c r="B457" s="73"/>
      <c r="C457" s="74"/>
      <c r="D457" s="75"/>
      <c r="E457" s="74"/>
      <c r="F457" s="74"/>
      <c r="G457" s="75"/>
      <c r="H457" s="74"/>
      <c r="I457" s="74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72"/>
      <c r="B458" s="73"/>
      <c r="C458" s="74"/>
      <c r="D458" s="75"/>
      <c r="E458" s="74"/>
      <c r="F458" s="74"/>
      <c r="G458" s="75"/>
      <c r="H458" s="74"/>
      <c r="I458" s="74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72"/>
      <c r="B459" s="73"/>
      <c r="C459" s="74"/>
      <c r="D459" s="75"/>
      <c r="E459" s="74"/>
      <c r="F459" s="74"/>
      <c r="G459" s="75"/>
      <c r="H459" s="74"/>
      <c r="I459" s="74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72"/>
      <c r="B460" s="73"/>
      <c r="C460" s="74"/>
      <c r="D460" s="75"/>
      <c r="E460" s="74"/>
      <c r="F460" s="74"/>
      <c r="G460" s="75"/>
      <c r="H460" s="74"/>
      <c r="I460" s="74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72"/>
      <c r="B461" s="73"/>
      <c r="C461" s="74"/>
      <c r="D461" s="75"/>
      <c r="E461" s="74"/>
      <c r="F461" s="74"/>
      <c r="G461" s="75"/>
      <c r="H461" s="74"/>
      <c r="I461" s="74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72"/>
      <c r="B462" s="73"/>
      <c r="C462" s="74"/>
      <c r="D462" s="75"/>
      <c r="E462" s="74"/>
      <c r="F462" s="74"/>
      <c r="G462" s="75"/>
      <c r="H462" s="74"/>
      <c r="I462" s="74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72"/>
      <c r="B463" s="73"/>
      <c r="C463" s="74"/>
      <c r="D463" s="75"/>
      <c r="E463" s="74"/>
      <c r="F463" s="74"/>
      <c r="G463" s="75"/>
      <c r="H463" s="74"/>
      <c r="I463" s="74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72"/>
      <c r="B464" s="73"/>
      <c r="C464" s="74"/>
      <c r="D464" s="75"/>
      <c r="E464" s="74"/>
      <c r="F464" s="74"/>
      <c r="G464" s="75"/>
      <c r="H464" s="74"/>
      <c r="I464" s="74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72"/>
      <c r="B465" s="73"/>
      <c r="C465" s="74"/>
      <c r="D465" s="75"/>
      <c r="E465" s="74"/>
      <c r="F465" s="74"/>
      <c r="G465" s="75"/>
      <c r="H465" s="74"/>
      <c r="I465" s="74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72"/>
      <c r="B466" s="73"/>
      <c r="C466" s="74"/>
      <c r="D466" s="75"/>
      <c r="E466" s="74"/>
      <c r="F466" s="74"/>
      <c r="G466" s="75"/>
      <c r="H466" s="74"/>
      <c r="I466" s="74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72"/>
      <c r="B467" s="73"/>
      <c r="C467" s="74"/>
      <c r="D467" s="75"/>
      <c r="E467" s="74"/>
      <c r="F467" s="74"/>
      <c r="G467" s="75"/>
      <c r="H467" s="74"/>
      <c r="I467" s="74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72"/>
      <c r="B468" s="73"/>
      <c r="C468" s="74"/>
      <c r="D468" s="75"/>
      <c r="E468" s="74"/>
      <c r="F468" s="74"/>
      <c r="G468" s="75"/>
      <c r="H468" s="74"/>
      <c r="I468" s="74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72"/>
      <c r="B469" s="73"/>
      <c r="C469" s="74"/>
      <c r="D469" s="75"/>
      <c r="E469" s="74"/>
      <c r="F469" s="74"/>
      <c r="G469" s="75"/>
      <c r="H469" s="74"/>
      <c r="I469" s="74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72"/>
      <c r="B470" s="73"/>
      <c r="C470" s="74"/>
      <c r="D470" s="75"/>
      <c r="E470" s="74"/>
      <c r="F470" s="74"/>
      <c r="G470" s="75"/>
      <c r="H470" s="74"/>
      <c r="I470" s="74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72"/>
      <c r="B471" s="73"/>
      <c r="C471" s="74"/>
      <c r="D471" s="75"/>
      <c r="E471" s="74"/>
      <c r="F471" s="74"/>
      <c r="G471" s="75"/>
      <c r="H471" s="74"/>
      <c r="I471" s="74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72"/>
      <c r="B472" s="73"/>
      <c r="C472" s="74"/>
      <c r="D472" s="75"/>
      <c r="E472" s="74"/>
      <c r="F472" s="74"/>
      <c r="G472" s="75"/>
      <c r="H472" s="74"/>
      <c r="I472" s="74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72"/>
      <c r="B473" s="73"/>
      <c r="C473" s="74"/>
      <c r="D473" s="75"/>
      <c r="E473" s="74"/>
      <c r="F473" s="74"/>
      <c r="G473" s="75"/>
      <c r="H473" s="74"/>
      <c r="I473" s="74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72"/>
      <c r="B474" s="73"/>
      <c r="C474" s="74"/>
      <c r="D474" s="75"/>
      <c r="E474" s="74"/>
      <c r="F474" s="74"/>
      <c r="G474" s="75"/>
      <c r="H474" s="74"/>
      <c r="I474" s="74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72"/>
      <c r="B475" s="73"/>
      <c r="C475" s="74"/>
      <c r="D475" s="75"/>
      <c r="E475" s="74"/>
      <c r="F475" s="74"/>
      <c r="G475" s="75"/>
      <c r="H475" s="74"/>
      <c r="I475" s="74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72"/>
      <c r="B476" s="73"/>
      <c r="C476" s="74"/>
      <c r="D476" s="75"/>
      <c r="E476" s="74"/>
      <c r="F476" s="74"/>
      <c r="G476" s="75"/>
      <c r="H476" s="74"/>
      <c r="I476" s="74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72"/>
      <c r="B477" s="73"/>
      <c r="C477" s="74"/>
      <c r="D477" s="75"/>
      <c r="E477" s="74"/>
      <c r="F477" s="74"/>
      <c r="G477" s="75"/>
      <c r="H477" s="74"/>
      <c r="I477" s="74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72"/>
      <c r="B478" s="73"/>
      <c r="C478" s="74"/>
      <c r="D478" s="75"/>
      <c r="E478" s="74"/>
      <c r="F478" s="74"/>
      <c r="G478" s="75"/>
      <c r="H478" s="74"/>
      <c r="I478" s="74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72"/>
      <c r="B479" s="73"/>
      <c r="C479" s="74"/>
      <c r="D479" s="75"/>
      <c r="E479" s="74"/>
      <c r="F479" s="74"/>
      <c r="G479" s="75"/>
      <c r="H479" s="74"/>
      <c r="I479" s="74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72"/>
      <c r="B480" s="73"/>
      <c r="C480" s="74"/>
      <c r="D480" s="75"/>
      <c r="E480" s="74"/>
      <c r="F480" s="74"/>
      <c r="G480" s="75"/>
      <c r="H480" s="74"/>
      <c r="I480" s="74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72"/>
      <c r="B481" s="73"/>
      <c r="C481" s="74"/>
      <c r="D481" s="75"/>
      <c r="E481" s="74"/>
      <c r="F481" s="74"/>
      <c r="G481" s="75"/>
      <c r="H481" s="74"/>
      <c r="I481" s="74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72"/>
      <c r="B482" s="73"/>
      <c r="C482" s="74"/>
      <c r="D482" s="75"/>
      <c r="E482" s="74"/>
      <c r="F482" s="74"/>
      <c r="G482" s="75"/>
      <c r="H482" s="74"/>
      <c r="I482" s="74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72"/>
      <c r="B483" s="73"/>
      <c r="C483" s="74"/>
      <c r="D483" s="75"/>
      <c r="E483" s="74"/>
      <c r="F483" s="74"/>
      <c r="G483" s="75"/>
      <c r="H483" s="74"/>
      <c r="I483" s="74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72"/>
      <c r="B484" s="73"/>
      <c r="C484" s="74"/>
      <c r="D484" s="75"/>
      <c r="E484" s="74"/>
      <c r="F484" s="74"/>
      <c r="G484" s="75"/>
      <c r="H484" s="74"/>
      <c r="I484" s="74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72"/>
      <c r="B485" s="73"/>
      <c r="C485" s="74"/>
      <c r="D485" s="75"/>
      <c r="E485" s="74"/>
      <c r="F485" s="74"/>
      <c r="G485" s="75"/>
      <c r="H485" s="74"/>
      <c r="I485" s="74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72"/>
      <c r="B486" s="73"/>
      <c r="C486" s="74"/>
      <c r="D486" s="75"/>
      <c r="E486" s="74"/>
      <c r="F486" s="74"/>
      <c r="G486" s="75"/>
      <c r="H486" s="74"/>
      <c r="I486" s="74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72"/>
      <c r="B487" s="73"/>
      <c r="C487" s="74"/>
      <c r="D487" s="75"/>
      <c r="E487" s="74"/>
      <c r="F487" s="74"/>
      <c r="G487" s="75"/>
      <c r="H487" s="74"/>
      <c r="I487" s="74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72"/>
      <c r="B488" s="73"/>
      <c r="C488" s="74"/>
      <c r="D488" s="75"/>
      <c r="E488" s="74"/>
      <c r="F488" s="74"/>
      <c r="G488" s="75"/>
      <c r="H488" s="74"/>
      <c r="I488" s="74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72"/>
      <c r="B489" s="73"/>
      <c r="C489" s="74"/>
      <c r="D489" s="75"/>
      <c r="E489" s="74"/>
      <c r="F489" s="74"/>
      <c r="G489" s="75"/>
      <c r="H489" s="74"/>
      <c r="I489" s="74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72"/>
      <c r="B490" s="73"/>
      <c r="C490" s="74"/>
      <c r="D490" s="75"/>
      <c r="E490" s="74"/>
      <c r="F490" s="74"/>
      <c r="G490" s="75"/>
      <c r="H490" s="74"/>
      <c r="I490" s="74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72"/>
      <c r="B491" s="73"/>
      <c r="C491" s="74"/>
      <c r="D491" s="75"/>
      <c r="E491" s="74"/>
      <c r="F491" s="74"/>
      <c r="G491" s="75"/>
      <c r="H491" s="74"/>
      <c r="I491" s="74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72"/>
      <c r="B492" s="73"/>
      <c r="C492" s="74"/>
      <c r="D492" s="75"/>
      <c r="E492" s="74"/>
      <c r="F492" s="74"/>
      <c r="G492" s="75"/>
      <c r="H492" s="74"/>
      <c r="I492" s="74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72"/>
      <c r="B493" s="73"/>
      <c r="C493" s="74"/>
      <c r="D493" s="75"/>
      <c r="E493" s="74"/>
      <c r="F493" s="74"/>
      <c r="G493" s="75"/>
      <c r="H493" s="74"/>
      <c r="I493" s="74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72"/>
      <c r="B494" s="73"/>
      <c r="C494" s="74"/>
      <c r="D494" s="75"/>
      <c r="E494" s="74"/>
      <c r="F494" s="74"/>
      <c r="G494" s="75"/>
      <c r="H494" s="74"/>
      <c r="I494" s="74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72"/>
      <c r="B495" s="73"/>
      <c r="C495" s="74"/>
      <c r="D495" s="75"/>
      <c r="E495" s="74"/>
      <c r="F495" s="74"/>
      <c r="G495" s="75"/>
      <c r="H495" s="74"/>
      <c r="I495" s="74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72"/>
      <c r="B496" s="73"/>
      <c r="C496" s="74"/>
      <c r="D496" s="75"/>
      <c r="E496" s="74"/>
      <c r="F496" s="74"/>
      <c r="G496" s="75"/>
      <c r="H496" s="74"/>
      <c r="I496" s="74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72"/>
      <c r="B497" s="73"/>
      <c r="C497" s="74"/>
      <c r="D497" s="75"/>
      <c r="E497" s="74"/>
      <c r="F497" s="74"/>
      <c r="G497" s="75"/>
      <c r="H497" s="74"/>
      <c r="I497" s="74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72"/>
      <c r="B498" s="73"/>
      <c r="C498" s="74"/>
      <c r="D498" s="75"/>
      <c r="E498" s="74"/>
      <c r="F498" s="74"/>
      <c r="G498" s="75"/>
      <c r="H498" s="74"/>
      <c r="I498" s="74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72"/>
      <c r="B499" s="73"/>
      <c r="C499" s="74"/>
      <c r="D499" s="75"/>
      <c r="E499" s="74"/>
      <c r="F499" s="74"/>
      <c r="G499" s="75"/>
      <c r="H499" s="74"/>
      <c r="I499" s="74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72"/>
      <c r="B500" s="73"/>
      <c r="C500" s="74"/>
      <c r="D500" s="75"/>
      <c r="E500" s="74"/>
      <c r="F500" s="74"/>
      <c r="G500" s="75"/>
      <c r="H500" s="74"/>
      <c r="I500" s="74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72"/>
      <c r="B501" s="73"/>
      <c r="C501" s="74"/>
      <c r="D501" s="75"/>
      <c r="E501" s="74"/>
      <c r="F501" s="74"/>
      <c r="G501" s="75"/>
      <c r="H501" s="74"/>
      <c r="I501" s="74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72"/>
      <c r="B502" s="73"/>
      <c r="C502" s="74"/>
      <c r="D502" s="75"/>
      <c r="E502" s="74"/>
      <c r="F502" s="74"/>
      <c r="G502" s="75"/>
      <c r="H502" s="74"/>
      <c r="I502" s="74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72"/>
      <c r="B503" s="73"/>
      <c r="C503" s="74"/>
      <c r="D503" s="75"/>
      <c r="E503" s="74"/>
      <c r="F503" s="74"/>
      <c r="G503" s="75"/>
      <c r="H503" s="74"/>
      <c r="I503" s="74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72"/>
      <c r="B504" s="73"/>
      <c r="C504" s="74"/>
      <c r="D504" s="75"/>
      <c r="E504" s="74"/>
      <c r="F504" s="74"/>
      <c r="G504" s="75"/>
      <c r="H504" s="74"/>
      <c r="I504" s="74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72"/>
      <c r="B505" s="73"/>
      <c r="C505" s="74"/>
      <c r="D505" s="75"/>
      <c r="E505" s="74"/>
      <c r="F505" s="74"/>
      <c r="G505" s="75"/>
      <c r="H505" s="74"/>
      <c r="I505" s="74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72"/>
      <c r="B506" s="73"/>
      <c r="C506" s="74"/>
      <c r="D506" s="75"/>
      <c r="E506" s="74"/>
      <c r="F506" s="74"/>
      <c r="G506" s="75"/>
      <c r="H506" s="74"/>
      <c r="I506" s="74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72"/>
      <c r="B507" s="73"/>
      <c r="C507" s="74"/>
      <c r="D507" s="75"/>
      <c r="E507" s="74"/>
      <c r="F507" s="74"/>
      <c r="G507" s="75"/>
      <c r="H507" s="74"/>
      <c r="I507" s="74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72"/>
      <c r="B508" s="73"/>
      <c r="C508" s="74"/>
      <c r="D508" s="75"/>
      <c r="E508" s="74"/>
      <c r="F508" s="74"/>
      <c r="G508" s="75"/>
      <c r="H508" s="74"/>
      <c r="I508" s="74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72"/>
      <c r="B509" s="73"/>
      <c r="C509" s="74"/>
      <c r="D509" s="75"/>
      <c r="E509" s="74"/>
      <c r="F509" s="74"/>
      <c r="G509" s="75"/>
      <c r="H509" s="74"/>
      <c r="I509" s="74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72"/>
      <c r="B510" s="73"/>
      <c r="C510" s="74"/>
      <c r="D510" s="75"/>
      <c r="E510" s="74"/>
      <c r="F510" s="74"/>
      <c r="G510" s="75"/>
      <c r="H510" s="74"/>
      <c r="I510" s="74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72"/>
      <c r="B511" s="73"/>
      <c r="C511" s="74"/>
      <c r="D511" s="75"/>
      <c r="E511" s="74"/>
      <c r="F511" s="74"/>
      <c r="G511" s="75"/>
      <c r="H511" s="74"/>
      <c r="I511" s="74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72"/>
      <c r="B512" s="73"/>
      <c r="C512" s="74"/>
      <c r="D512" s="75"/>
      <c r="E512" s="74"/>
      <c r="F512" s="74"/>
      <c r="G512" s="75"/>
      <c r="H512" s="74"/>
      <c r="I512" s="74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72"/>
      <c r="B513" s="73"/>
      <c r="C513" s="74"/>
      <c r="D513" s="75"/>
      <c r="E513" s="74"/>
      <c r="F513" s="74"/>
      <c r="G513" s="75"/>
      <c r="H513" s="74"/>
      <c r="I513" s="74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72"/>
      <c r="B514" s="73"/>
      <c r="C514" s="74"/>
      <c r="D514" s="75"/>
      <c r="E514" s="74"/>
      <c r="F514" s="74"/>
      <c r="G514" s="75"/>
      <c r="H514" s="74"/>
      <c r="I514" s="74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72"/>
      <c r="B515" s="73"/>
      <c r="C515" s="74"/>
      <c r="D515" s="75"/>
      <c r="E515" s="74"/>
      <c r="F515" s="74"/>
      <c r="G515" s="75"/>
      <c r="H515" s="74"/>
      <c r="I515" s="74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72"/>
      <c r="B516" s="73"/>
      <c r="C516" s="74"/>
      <c r="D516" s="75"/>
      <c r="E516" s="74"/>
      <c r="F516" s="74"/>
      <c r="G516" s="75"/>
      <c r="H516" s="74"/>
      <c r="I516" s="74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72"/>
      <c r="B517" s="73"/>
      <c r="C517" s="74"/>
      <c r="D517" s="75"/>
      <c r="E517" s="74"/>
      <c r="F517" s="74"/>
      <c r="G517" s="75"/>
      <c r="H517" s="74"/>
      <c r="I517" s="74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72"/>
      <c r="B518" s="73"/>
      <c r="C518" s="74"/>
      <c r="D518" s="75"/>
      <c r="E518" s="74"/>
      <c r="F518" s="74"/>
      <c r="G518" s="75"/>
      <c r="H518" s="74"/>
      <c r="I518" s="74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72"/>
      <c r="B519" s="73"/>
      <c r="C519" s="74"/>
      <c r="D519" s="75"/>
      <c r="E519" s="74"/>
      <c r="F519" s="74"/>
      <c r="G519" s="75"/>
      <c r="H519" s="74"/>
      <c r="I519" s="74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72"/>
      <c r="B520" s="73"/>
      <c r="C520" s="74"/>
      <c r="D520" s="75"/>
      <c r="E520" s="74"/>
      <c r="F520" s="74"/>
      <c r="G520" s="75"/>
      <c r="H520" s="74"/>
      <c r="I520" s="74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72"/>
      <c r="B521" s="73"/>
      <c r="C521" s="74"/>
      <c r="D521" s="75"/>
      <c r="E521" s="74"/>
      <c r="F521" s="74"/>
      <c r="G521" s="75"/>
      <c r="H521" s="74"/>
      <c r="I521" s="74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72"/>
      <c r="B522" s="73"/>
      <c r="C522" s="74"/>
      <c r="D522" s="75"/>
      <c r="E522" s="74"/>
      <c r="F522" s="74"/>
      <c r="G522" s="75"/>
      <c r="H522" s="74"/>
      <c r="I522" s="74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72"/>
      <c r="B523" s="73"/>
      <c r="C523" s="74"/>
      <c r="D523" s="75"/>
      <c r="E523" s="74"/>
      <c r="F523" s="74"/>
      <c r="G523" s="75"/>
      <c r="H523" s="74"/>
      <c r="I523" s="74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72"/>
      <c r="B524" s="73"/>
      <c r="C524" s="74"/>
      <c r="D524" s="75"/>
      <c r="E524" s="74"/>
      <c r="F524" s="74"/>
      <c r="G524" s="75"/>
      <c r="H524" s="74"/>
      <c r="I524" s="74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72"/>
      <c r="B525" s="73"/>
      <c r="C525" s="74"/>
      <c r="D525" s="75"/>
      <c r="E525" s="74"/>
      <c r="F525" s="74"/>
      <c r="G525" s="75"/>
      <c r="H525" s="74"/>
      <c r="I525" s="74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72"/>
      <c r="B526" s="73"/>
      <c r="C526" s="74"/>
      <c r="D526" s="75"/>
      <c r="E526" s="74"/>
      <c r="F526" s="74"/>
      <c r="G526" s="75"/>
      <c r="H526" s="74"/>
      <c r="I526" s="74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72"/>
      <c r="B527" s="73"/>
      <c r="C527" s="74"/>
      <c r="D527" s="75"/>
      <c r="E527" s="74"/>
      <c r="F527" s="74"/>
      <c r="G527" s="75"/>
      <c r="H527" s="74"/>
      <c r="I527" s="74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72"/>
      <c r="B528" s="73"/>
      <c r="C528" s="74"/>
      <c r="D528" s="75"/>
      <c r="E528" s="74"/>
      <c r="F528" s="74"/>
      <c r="G528" s="75"/>
      <c r="H528" s="74"/>
      <c r="I528" s="74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72"/>
      <c r="B529" s="73"/>
      <c r="C529" s="74"/>
      <c r="D529" s="75"/>
      <c r="E529" s="74"/>
      <c r="F529" s="74"/>
      <c r="G529" s="75"/>
      <c r="H529" s="74"/>
      <c r="I529" s="74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72"/>
      <c r="B530" s="73"/>
      <c r="C530" s="74"/>
      <c r="D530" s="75"/>
      <c r="E530" s="74"/>
      <c r="F530" s="74"/>
      <c r="G530" s="75"/>
      <c r="H530" s="74"/>
      <c r="I530" s="74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72"/>
      <c r="B531" s="73"/>
      <c r="C531" s="74"/>
      <c r="D531" s="75"/>
      <c r="E531" s="74"/>
      <c r="F531" s="74"/>
      <c r="G531" s="75"/>
      <c r="H531" s="74"/>
      <c r="I531" s="74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72"/>
      <c r="B532" s="73"/>
      <c r="C532" s="74"/>
      <c r="D532" s="75"/>
      <c r="E532" s="74"/>
      <c r="F532" s="74"/>
      <c r="G532" s="75"/>
      <c r="H532" s="74"/>
      <c r="I532" s="74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72"/>
      <c r="B533" s="73"/>
      <c r="C533" s="74"/>
      <c r="D533" s="75"/>
      <c r="E533" s="74"/>
      <c r="F533" s="74"/>
      <c r="G533" s="75"/>
      <c r="H533" s="74"/>
      <c r="I533" s="74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72"/>
      <c r="B534" s="73"/>
      <c r="C534" s="74"/>
      <c r="D534" s="75"/>
      <c r="E534" s="74"/>
      <c r="F534" s="74"/>
      <c r="G534" s="75"/>
      <c r="H534" s="74"/>
      <c r="I534" s="74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72"/>
      <c r="B535" s="73"/>
      <c r="C535" s="74"/>
      <c r="D535" s="75"/>
      <c r="E535" s="74"/>
      <c r="F535" s="74"/>
      <c r="G535" s="75"/>
      <c r="H535" s="74"/>
      <c r="I535" s="74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72"/>
      <c r="B536" s="73"/>
      <c r="C536" s="74"/>
      <c r="D536" s="75"/>
      <c r="E536" s="74"/>
      <c r="F536" s="74"/>
      <c r="G536" s="75"/>
      <c r="H536" s="74"/>
      <c r="I536" s="74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72"/>
      <c r="B537" s="73"/>
      <c r="C537" s="74"/>
      <c r="D537" s="75"/>
      <c r="E537" s="74"/>
      <c r="F537" s="74"/>
      <c r="G537" s="75"/>
      <c r="H537" s="74"/>
      <c r="I537" s="74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72"/>
      <c r="B538" s="73"/>
      <c r="C538" s="74"/>
      <c r="D538" s="75"/>
      <c r="E538" s="74"/>
      <c r="F538" s="74"/>
      <c r="G538" s="75"/>
      <c r="H538" s="74"/>
      <c r="I538" s="74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72"/>
      <c r="B539" s="73"/>
      <c r="C539" s="74"/>
      <c r="D539" s="75"/>
      <c r="E539" s="74"/>
      <c r="F539" s="74"/>
      <c r="G539" s="75"/>
      <c r="H539" s="74"/>
      <c r="I539" s="74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72"/>
      <c r="B540" s="73"/>
      <c r="C540" s="74"/>
      <c r="D540" s="75"/>
      <c r="E540" s="74"/>
      <c r="F540" s="74"/>
      <c r="G540" s="75"/>
      <c r="H540" s="74"/>
      <c r="I540" s="74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72"/>
      <c r="B541" s="73"/>
      <c r="C541" s="74"/>
      <c r="D541" s="75"/>
      <c r="E541" s="74"/>
      <c r="F541" s="74"/>
      <c r="G541" s="75"/>
      <c r="H541" s="74"/>
      <c r="I541" s="74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72"/>
      <c r="B542" s="73"/>
      <c r="C542" s="74"/>
      <c r="D542" s="75"/>
      <c r="E542" s="74"/>
      <c r="F542" s="74"/>
      <c r="G542" s="75"/>
      <c r="H542" s="74"/>
      <c r="I542" s="74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72"/>
      <c r="B543" s="73"/>
      <c r="C543" s="74"/>
      <c r="D543" s="75"/>
      <c r="E543" s="74"/>
      <c r="F543" s="74"/>
      <c r="G543" s="75"/>
      <c r="H543" s="74"/>
      <c r="I543" s="74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72"/>
      <c r="B544" s="73"/>
      <c r="C544" s="74"/>
      <c r="D544" s="75"/>
      <c r="E544" s="74"/>
      <c r="F544" s="74"/>
      <c r="G544" s="75"/>
      <c r="H544" s="74"/>
      <c r="I544" s="74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72"/>
      <c r="B545" s="73"/>
      <c r="C545" s="74"/>
      <c r="D545" s="75"/>
      <c r="E545" s="74"/>
      <c r="F545" s="74"/>
      <c r="G545" s="75"/>
      <c r="H545" s="74"/>
      <c r="I545" s="74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72"/>
      <c r="B546" s="73"/>
      <c r="C546" s="74"/>
      <c r="D546" s="75"/>
      <c r="E546" s="74"/>
      <c r="F546" s="74"/>
      <c r="G546" s="75"/>
      <c r="H546" s="74"/>
      <c r="I546" s="74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72"/>
      <c r="B547" s="73"/>
      <c r="C547" s="74"/>
      <c r="D547" s="75"/>
      <c r="E547" s="74"/>
      <c r="F547" s="74"/>
      <c r="G547" s="75"/>
      <c r="H547" s="74"/>
      <c r="I547" s="74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72"/>
      <c r="B548" s="73"/>
      <c r="C548" s="74"/>
      <c r="D548" s="75"/>
      <c r="E548" s="74"/>
      <c r="F548" s="74"/>
      <c r="G548" s="75"/>
      <c r="H548" s="74"/>
      <c r="I548" s="74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72"/>
      <c r="B549" s="73"/>
      <c r="C549" s="74"/>
      <c r="D549" s="75"/>
      <c r="E549" s="74"/>
      <c r="F549" s="74"/>
      <c r="G549" s="75"/>
      <c r="H549" s="74"/>
      <c r="I549" s="74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72"/>
      <c r="B550" s="73"/>
      <c r="C550" s="74"/>
      <c r="D550" s="75"/>
      <c r="E550" s="74"/>
      <c r="F550" s="74"/>
      <c r="G550" s="75"/>
      <c r="H550" s="74"/>
      <c r="I550" s="74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72"/>
      <c r="B551" s="73"/>
      <c r="C551" s="74"/>
      <c r="D551" s="75"/>
      <c r="E551" s="74"/>
      <c r="F551" s="74"/>
      <c r="G551" s="75"/>
      <c r="H551" s="74"/>
      <c r="I551" s="74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72"/>
      <c r="B552" s="73"/>
      <c r="C552" s="74"/>
      <c r="D552" s="75"/>
      <c r="E552" s="74"/>
      <c r="F552" s="74"/>
      <c r="G552" s="75"/>
      <c r="H552" s="74"/>
      <c r="I552" s="74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72"/>
      <c r="B553" s="73"/>
      <c r="C553" s="74"/>
      <c r="D553" s="75"/>
      <c r="E553" s="74"/>
      <c r="F553" s="74"/>
      <c r="G553" s="75"/>
      <c r="H553" s="74"/>
      <c r="I553" s="74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72"/>
      <c r="B554" s="73"/>
      <c r="C554" s="74"/>
      <c r="D554" s="75"/>
      <c r="E554" s="74"/>
      <c r="F554" s="74"/>
      <c r="G554" s="75"/>
      <c r="H554" s="74"/>
      <c r="I554" s="74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72"/>
      <c r="B555" s="73"/>
      <c r="C555" s="74"/>
      <c r="D555" s="75"/>
      <c r="E555" s="74"/>
      <c r="F555" s="74"/>
      <c r="G555" s="75"/>
      <c r="H555" s="74"/>
      <c r="I555" s="74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72"/>
      <c r="B556" s="73"/>
      <c r="C556" s="74"/>
      <c r="D556" s="75"/>
      <c r="E556" s="74"/>
      <c r="F556" s="74"/>
      <c r="G556" s="75"/>
      <c r="H556" s="74"/>
      <c r="I556" s="74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72"/>
      <c r="B557" s="73"/>
      <c r="C557" s="74"/>
      <c r="D557" s="75"/>
      <c r="E557" s="74"/>
      <c r="F557" s="74"/>
      <c r="G557" s="75"/>
      <c r="H557" s="74"/>
      <c r="I557" s="74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72"/>
      <c r="B558" s="73"/>
      <c r="C558" s="74"/>
      <c r="D558" s="75"/>
      <c r="E558" s="74"/>
      <c r="F558" s="74"/>
      <c r="G558" s="75"/>
      <c r="H558" s="74"/>
      <c r="I558" s="74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72"/>
      <c r="B559" s="73"/>
      <c r="C559" s="74"/>
      <c r="D559" s="75"/>
      <c r="E559" s="74"/>
      <c r="F559" s="74"/>
      <c r="G559" s="75"/>
      <c r="H559" s="74"/>
      <c r="I559" s="74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72"/>
      <c r="B560" s="73"/>
      <c r="C560" s="74"/>
      <c r="D560" s="75"/>
      <c r="E560" s="74"/>
      <c r="F560" s="74"/>
      <c r="G560" s="75"/>
      <c r="H560" s="74"/>
      <c r="I560" s="74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72"/>
      <c r="B561" s="73"/>
      <c r="C561" s="74"/>
      <c r="D561" s="75"/>
      <c r="E561" s="74"/>
      <c r="F561" s="74"/>
      <c r="G561" s="75"/>
      <c r="H561" s="74"/>
      <c r="I561" s="74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72"/>
      <c r="B562" s="73"/>
      <c r="C562" s="74"/>
      <c r="D562" s="75"/>
      <c r="E562" s="74"/>
      <c r="F562" s="74"/>
      <c r="G562" s="75"/>
      <c r="H562" s="74"/>
      <c r="I562" s="74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72"/>
      <c r="B563" s="73"/>
      <c r="C563" s="74"/>
      <c r="D563" s="75"/>
      <c r="E563" s="74"/>
      <c r="F563" s="74"/>
      <c r="G563" s="75"/>
      <c r="H563" s="74"/>
      <c r="I563" s="74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72"/>
      <c r="B564" s="73"/>
      <c r="C564" s="74"/>
      <c r="D564" s="75"/>
      <c r="E564" s="74"/>
      <c r="F564" s="74"/>
      <c r="G564" s="75"/>
      <c r="H564" s="74"/>
      <c r="I564" s="74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72"/>
      <c r="B565" s="73"/>
      <c r="C565" s="74"/>
      <c r="D565" s="75"/>
      <c r="E565" s="74"/>
      <c r="F565" s="74"/>
      <c r="G565" s="75"/>
      <c r="H565" s="74"/>
      <c r="I565" s="74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72"/>
      <c r="B566" s="73"/>
      <c r="C566" s="74"/>
      <c r="D566" s="75"/>
      <c r="E566" s="74"/>
      <c r="F566" s="74"/>
      <c r="G566" s="75"/>
      <c r="H566" s="74"/>
      <c r="I566" s="74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72"/>
      <c r="B567" s="73"/>
      <c r="C567" s="74"/>
      <c r="D567" s="75"/>
      <c r="E567" s="74"/>
      <c r="F567" s="74"/>
      <c r="G567" s="75"/>
      <c r="H567" s="74"/>
      <c r="I567" s="74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72"/>
      <c r="B568" s="73"/>
      <c r="C568" s="74"/>
      <c r="D568" s="75"/>
      <c r="E568" s="74"/>
      <c r="F568" s="74"/>
      <c r="G568" s="75"/>
      <c r="H568" s="74"/>
      <c r="I568" s="74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72"/>
      <c r="B569" s="73"/>
      <c r="C569" s="74"/>
      <c r="D569" s="75"/>
      <c r="E569" s="74"/>
      <c r="F569" s="74"/>
      <c r="G569" s="75"/>
      <c r="H569" s="74"/>
      <c r="I569" s="74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72"/>
      <c r="B570" s="73"/>
      <c r="C570" s="74"/>
      <c r="D570" s="75"/>
      <c r="E570" s="74"/>
      <c r="F570" s="74"/>
      <c r="G570" s="75"/>
      <c r="H570" s="74"/>
      <c r="I570" s="74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72"/>
      <c r="B571" s="73"/>
      <c r="C571" s="74"/>
      <c r="D571" s="75"/>
      <c r="E571" s="74"/>
      <c r="F571" s="74"/>
      <c r="G571" s="75"/>
      <c r="H571" s="74"/>
      <c r="I571" s="74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72"/>
      <c r="B572" s="73"/>
      <c r="C572" s="74"/>
      <c r="D572" s="75"/>
      <c r="E572" s="74"/>
      <c r="F572" s="74"/>
      <c r="G572" s="75"/>
      <c r="H572" s="74"/>
      <c r="I572" s="74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72"/>
      <c r="B573" s="73"/>
      <c r="C573" s="74"/>
      <c r="D573" s="75"/>
      <c r="E573" s="74"/>
      <c r="F573" s="74"/>
      <c r="G573" s="75"/>
      <c r="H573" s="74"/>
      <c r="I573" s="74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72"/>
      <c r="B574" s="73"/>
      <c r="C574" s="74"/>
      <c r="D574" s="75"/>
      <c r="E574" s="74"/>
      <c r="F574" s="74"/>
      <c r="G574" s="75"/>
      <c r="H574" s="74"/>
      <c r="I574" s="74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72"/>
      <c r="B575" s="73"/>
      <c r="C575" s="74"/>
      <c r="D575" s="75"/>
      <c r="E575" s="74"/>
      <c r="F575" s="74"/>
      <c r="G575" s="75"/>
      <c r="H575" s="74"/>
      <c r="I575" s="74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72"/>
      <c r="B576" s="73"/>
      <c r="C576" s="74"/>
      <c r="D576" s="75"/>
      <c r="E576" s="74"/>
      <c r="F576" s="74"/>
      <c r="G576" s="75"/>
      <c r="H576" s="74"/>
      <c r="I576" s="74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72"/>
      <c r="B577" s="73"/>
      <c r="C577" s="74"/>
      <c r="D577" s="75"/>
      <c r="E577" s="74"/>
      <c r="F577" s="74"/>
      <c r="G577" s="75"/>
      <c r="H577" s="74"/>
      <c r="I577" s="74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72"/>
      <c r="B578" s="73"/>
      <c r="C578" s="74"/>
      <c r="D578" s="75"/>
      <c r="E578" s="74"/>
      <c r="F578" s="74"/>
      <c r="G578" s="75"/>
      <c r="H578" s="74"/>
      <c r="I578" s="74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72"/>
      <c r="B579" s="73"/>
      <c r="C579" s="74"/>
      <c r="D579" s="75"/>
      <c r="E579" s="74"/>
      <c r="F579" s="74"/>
      <c r="G579" s="75"/>
      <c r="H579" s="74"/>
      <c r="I579" s="74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72"/>
      <c r="B580" s="73"/>
      <c r="C580" s="74"/>
      <c r="D580" s="75"/>
      <c r="E580" s="74"/>
      <c r="F580" s="74"/>
      <c r="G580" s="75"/>
      <c r="H580" s="74"/>
      <c r="I580" s="74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72"/>
      <c r="B581" s="73"/>
      <c r="C581" s="74"/>
      <c r="D581" s="75"/>
      <c r="E581" s="74"/>
      <c r="F581" s="74"/>
      <c r="G581" s="75"/>
      <c r="H581" s="74"/>
      <c r="I581" s="74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72"/>
      <c r="B582" s="73"/>
      <c r="C582" s="74"/>
      <c r="D582" s="75"/>
      <c r="E582" s="74"/>
      <c r="F582" s="74"/>
      <c r="G582" s="75"/>
      <c r="H582" s="74"/>
      <c r="I582" s="74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72"/>
      <c r="B583" s="73"/>
      <c r="C583" s="74"/>
      <c r="D583" s="75"/>
      <c r="E583" s="74"/>
      <c r="F583" s="74"/>
      <c r="G583" s="75"/>
      <c r="H583" s="74"/>
      <c r="I583" s="74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72"/>
      <c r="B584" s="73"/>
      <c r="C584" s="74"/>
      <c r="D584" s="75"/>
      <c r="E584" s="74"/>
      <c r="F584" s="74"/>
      <c r="G584" s="75"/>
      <c r="H584" s="74"/>
      <c r="I584" s="74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72"/>
      <c r="B585" s="73"/>
      <c r="C585" s="74"/>
      <c r="D585" s="75"/>
      <c r="E585" s="74"/>
      <c r="F585" s="74"/>
      <c r="G585" s="75"/>
      <c r="H585" s="74"/>
      <c r="I585" s="74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72"/>
      <c r="B586" s="73"/>
      <c r="C586" s="74"/>
      <c r="D586" s="75"/>
      <c r="E586" s="74"/>
      <c r="F586" s="74"/>
      <c r="G586" s="75"/>
      <c r="H586" s="74"/>
      <c r="I586" s="74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72"/>
      <c r="B587" s="73"/>
      <c r="C587" s="74"/>
      <c r="D587" s="75"/>
      <c r="E587" s="74"/>
      <c r="F587" s="74"/>
      <c r="G587" s="75"/>
      <c r="H587" s="74"/>
      <c r="I587" s="74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72"/>
      <c r="B588" s="73"/>
      <c r="C588" s="74"/>
      <c r="D588" s="75"/>
      <c r="E588" s="74"/>
      <c r="F588" s="74"/>
      <c r="G588" s="75"/>
      <c r="H588" s="74"/>
      <c r="I588" s="74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72"/>
      <c r="B589" s="73"/>
      <c r="C589" s="74"/>
      <c r="D589" s="75"/>
      <c r="E589" s="74"/>
      <c r="F589" s="74"/>
      <c r="G589" s="75"/>
      <c r="H589" s="74"/>
      <c r="I589" s="74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72"/>
      <c r="B590" s="73"/>
      <c r="C590" s="74"/>
      <c r="D590" s="75"/>
      <c r="E590" s="74"/>
      <c r="F590" s="74"/>
      <c r="G590" s="75"/>
      <c r="H590" s="74"/>
      <c r="I590" s="74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72"/>
      <c r="B591" s="73"/>
      <c r="C591" s="74"/>
      <c r="D591" s="75"/>
      <c r="E591" s="74"/>
      <c r="F591" s="74"/>
      <c r="G591" s="75"/>
      <c r="H591" s="74"/>
      <c r="I591" s="74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72"/>
      <c r="B592" s="73"/>
      <c r="C592" s="74"/>
      <c r="D592" s="75"/>
      <c r="E592" s="74"/>
      <c r="F592" s="74"/>
      <c r="G592" s="75"/>
      <c r="H592" s="74"/>
      <c r="I592" s="74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72"/>
      <c r="B593" s="73"/>
      <c r="C593" s="74"/>
      <c r="D593" s="75"/>
      <c r="E593" s="74"/>
      <c r="F593" s="74"/>
      <c r="G593" s="75"/>
      <c r="H593" s="74"/>
      <c r="I593" s="74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72"/>
      <c r="B594" s="73"/>
      <c r="C594" s="74"/>
      <c r="D594" s="75"/>
      <c r="E594" s="74"/>
      <c r="F594" s="74"/>
      <c r="G594" s="75"/>
      <c r="H594" s="74"/>
      <c r="I594" s="74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72"/>
      <c r="B595" s="73"/>
      <c r="C595" s="74"/>
      <c r="D595" s="75"/>
      <c r="E595" s="74"/>
      <c r="F595" s="74"/>
      <c r="G595" s="75"/>
      <c r="H595" s="74"/>
      <c r="I595" s="74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72"/>
      <c r="B596" s="73"/>
      <c r="C596" s="74"/>
      <c r="D596" s="75"/>
      <c r="E596" s="74"/>
      <c r="F596" s="74"/>
      <c r="G596" s="75"/>
      <c r="H596" s="74"/>
      <c r="I596" s="74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72"/>
      <c r="B597" s="73"/>
      <c r="C597" s="74"/>
      <c r="D597" s="75"/>
      <c r="E597" s="74"/>
      <c r="F597" s="74"/>
      <c r="G597" s="75"/>
      <c r="H597" s="74"/>
      <c r="I597" s="74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72"/>
      <c r="B598" s="73"/>
      <c r="C598" s="74"/>
      <c r="D598" s="75"/>
      <c r="E598" s="74"/>
      <c r="F598" s="74"/>
      <c r="G598" s="75"/>
      <c r="H598" s="74"/>
      <c r="I598" s="74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72"/>
      <c r="B599" s="73"/>
      <c r="C599" s="74"/>
      <c r="D599" s="75"/>
      <c r="E599" s="74"/>
      <c r="F599" s="74"/>
      <c r="G599" s="75"/>
      <c r="H599" s="74"/>
      <c r="I599" s="74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72"/>
      <c r="B600" s="73"/>
      <c r="C600" s="74"/>
      <c r="D600" s="75"/>
      <c r="E600" s="74"/>
      <c r="F600" s="74"/>
      <c r="G600" s="75"/>
      <c r="H600" s="74"/>
      <c r="I600" s="74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72"/>
      <c r="B601" s="73"/>
      <c r="C601" s="74"/>
      <c r="D601" s="75"/>
      <c r="E601" s="74"/>
      <c r="F601" s="74"/>
      <c r="G601" s="75"/>
      <c r="H601" s="74"/>
      <c r="I601" s="74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72"/>
      <c r="B602" s="73"/>
      <c r="C602" s="74"/>
      <c r="D602" s="75"/>
      <c r="E602" s="74"/>
      <c r="F602" s="74"/>
      <c r="G602" s="75"/>
      <c r="H602" s="74"/>
      <c r="I602" s="74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72"/>
      <c r="B603" s="73"/>
      <c r="C603" s="74"/>
      <c r="D603" s="75"/>
      <c r="E603" s="74"/>
      <c r="F603" s="74"/>
      <c r="G603" s="75"/>
      <c r="H603" s="74"/>
      <c r="I603" s="74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72"/>
      <c r="B604" s="73"/>
      <c r="C604" s="74"/>
      <c r="D604" s="75"/>
      <c r="E604" s="74"/>
      <c r="F604" s="74"/>
      <c r="G604" s="75"/>
      <c r="H604" s="74"/>
      <c r="I604" s="74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72"/>
      <c r="B605" s="73"/>
      <c r="C605" s="74"/>
      <c r="D605" s="75"/>
      <c r="E605" s="74"/>
      <c r="F605" s="74"/>
      <c r="G605" s="75"/>
      <c r="H605" s="74"/>
      <c r="I605" s="74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72"/>
      <c r="B606" s="73"/>
      <c r="C606" s="74"/>
      <c r="D606" s="75"/>
      <c r="E606" s="74"/>
      <c r="F606" s="74"/>
      <c r="G606" s="75"/>
      <c r="H606" s="74"/>
      <c r="I606" s="74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72"/>
      <c r="B607" s="73"/>
      <c r="C607" s="74"/>
      <c r="D607" s="75"/>
      <c r="E607" s="74"/>
      <c r="F607" s="74"/>
      <c r="G607" s="75"/>
      <c r="H607" s="74"/>
      <c r="I607" s="74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72"/>
      <c r="B608" s="73"/>
      <c r="C608" s="74"/>
      <c r="D608" s="75"/>
      <c r="E608" s="74"/>
      <c r="F608" s="74"/>
      <c r="G608" s="75"/>
      <c r="H608" s="74"/>
      <c r="I608" s="74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72"/>
      <c r="B609" s="73"/>
      <c r="C609" s="74"/>
      <c r="D609" s="75"/>
      <c r="E609" s="74"/>
      <c r="F609" s="74"/>
      <c r="G609" s="75"/>
      <c r="H609" s="74"/>
      <c r="I609" s="74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72"/>
      <c r="B610" s="73"/>
      <c r="C610" s="74"/>
      <c r="D610" s="75"/>
      <c r="E610" s="74"/>
      <c r="F610" s="74"/>
      <c r="G610" s="75"/>
      <c r="H610" s="74"/>
      <c r="I610" s="74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72"/>
      <c r="B611" s="73"/>
      <c r="C611" s="74"/>
      <c r="D611" s="75"/>
      <c r="E611" s="74"/>
      <c r="F611" s="74"/>
      <c r="G611" s="75"/>
      <c r="H611" s="74"/>
      <c r="I611" s="74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72"/>
      <c r="B612" s="73"/>
      <c r="C612" s="74"/>
      <c r="D612" s="75"/>
      <c r="E612" s="74"/>
      <c r="F612" s="74"/>
      <c r="G612" s="75"/>
      <c r="H612" s="74"/>
      <c r="I612" s="74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72"/>
      <c r="B613" s="73"/>
      <c r="C613" s="74"/>
      <c r="D613" s="75"/>
      <c r="E613" s="74"/>
      <c r="F613" s="74"/>
      <c r="G613" s="75"/>
      <c r="H613" s="74"/>
      <c r="I613" s="74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72"/>
      <c r="B614" s="73"/>
      <c r="C614" s="74"/>
      <c r="D614" s="75"/>
      <c r="E614" s="74"/>
      <c r="F614" s="74"/>
      <c r="G614" s="75"/>
      <c r="H614" s="74"/>
      <c r="I614" s="74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72"/>
      <c r="B615" s="73"/>
      <c r="C615" s="74"/>
      <c r="D615" s="75"/>
      <c r="E615" s="74"/>
      <c r="F615" s="74"/>
      <c r="G615" s="75"/>
      <c r="H615" s="74"/>
      <c r="I615" s="74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72"/>
      <c r="B616" s="73"/>
      <c r="C616" s="74"/>
      <c r="D616" s="75"/>
      <c r="E616" s="74"/>
      <c r="F616" s="74"/>
      <c r="G616" s="75"/>
      <c r="H616" s="74"/>
      <c r="I616" s="74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72"/>
      <c r="B617" s="73"/>
      <c r="C617" s="74"/>
      <c r="D617" s="75"/>
      <c r="E617" s="74"/>
      <c r="F617" s="74"/>
      <c r="G617" s="75"/>
      <c r="H617" s="74"/>
      <c r="I617" s="74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72"/>
      <c r="B618" s="73"/>
      <c r="C618" s="74"/>
      <c r="D618" s="75"/>
      <c r="E618" s="74"/>
      <c r="F618" s="74"/>
      <c r="G618" s="75"/>
      <c r="H618" s="74"/>
      <c r="I618" s="74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72"/>
      <c r="B619" s="73"/>
      <c r="C619" s="74"/>
      <c r="D619" s="75"/>
      <c r="E619" s="74"/>
      <c r="F619" s="74"/>
      <c r="G619" s="75"/>
      <c r="H619" s="74"/>
      <c r="I619" s="74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72"/>
      <c r="B620" s="73"/>
      <c r="C620" s="74"/>
      <c r="D620" s="75"/>
      <c r="E620" s="74"/>
      <c r="F620" s="74"/>
      <c r="G620" s="75"/>
      <c r="H620" s="74"/>
      <c r="I620" s="74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72"/>
      <c r="B621" s="73"/>
      <c r="C621" s="74"/>
      <c r="D621" s="75"/>
      <c r="E621" s="74"/>
      <c r="F621" s="74"/>
      <c r="G621" s="75"/>
      <c r="H621" s="74"/>
      <c r="I621" s="74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72"/>
      <c r="B622" s="73"/>
      <c r="C622" s="74"/>
      <c r="D622" s="75"/>
      <c r="E622" s="74"/>
      <c r="F622" s="74"/>
      <c r="G622" s="75"/>
      <c r="H622" s="74"/>
      <c r="I622" s="74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72"/>
      <c r="B623" s="73"/>
      <c r="C623" s="74"/>
      <c r="D623" s="75"/>
      <c r="E623" s="74"/>
      <c r="F623" s="74"/>
      <c r="G623" s="75"/>
      <c r="H623" s="74"/>
      <c r="I623" s="74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72"/>
      <c r="B624" s="73"/>
      <c r="C624" s="74"/>
      <c r="D624" s="75"/>
      <c r="E624" s="74"/>
      <c r="F624" s="74"/>
      <c r="G624" s="75"/>
      <c r="H624" s="74"/>
      <c r="I624" s="74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72"/>
      <c r="B625" s="73"/>
      <c r="C625" s="74"/>
      <c r="D625" s="75"/>
      <c r="E625" s="74"/>
      <c r="F625" s="74"/>
      <c r="G625" s="75"/>
      <c r="H625" s="74"/>
      <c r="I625" s="74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72"/>
      <c r="B626" s="73"/>
      <c r="C626" s="74"/>
      <c r="D626" s="75"/>
      <c r="E626" s="74"/>
      <c r="F626" s="74"/>
      <c r="G626" s="75"/>
      <c r="H626" s="74"/>
      <c r="I626" s="74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72"/>
      <c r="B627" s="73"/>
      <c r="C627" s="74"/>
      <c r="D627" s="75"/>
      <c r="E627" s="74"/>
      <c r="F627" s="74"/>
      <c r="G627" s="75"/>
      <c r="H627" s="74"/>
      <c r="I627" s="74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72"/>
      <c r="B628" s="73"/>
      <c r="C628" s="74"/>
      <c r="D628" s="75"/>
      <c r="E628" s="74"/>
      <c r="F628" s="74"/>
      <c r="G628" s="75"/>
      <c r="H628" s="74"/>
      <c r="I628" s="74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72"/>
      <c r="B629" s="73"/>
      <c r="C629" s="74"/>
      <c r="D629" s="75"/>
      <c r="E629" s="74"/>
      <c r="F629" s="74"/>
      <c r="G629" s="75"/>
      <c r="H629" s="74"/>
      <c r="I629" s="74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72"/>
      <c r="B630" s="73"/>
      <c r="C630" s="74"/>
      <c r="D630" s="75"/>
      <c r="E630" s="74"/>
      <c r="F630" s="74"/>
      <c r="G630" s="75"/>
      <c r="H630" s="74"/>
      <c r="I630" s="74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72"/>
      <c r="B631" s="73"/>
      <c r="C631" s="74"/>
      <c r="D631" s="75"/>
      <c r="E631" s="74"/>
      <c r="F631" s="74"/>
      <c r="G631" s="75"/>
      <c r="H631" s="74"/>
      <c r="I631" s="74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72"/>
      <c r="B632" s="73"/>
      <c r="C632" s="74"/>
      <c r="D632" s="75"/>
      <c r="E632" s="74"/>
      <c r="F632" s="74"/>
      <c r="G632" s="75"/>
      <c r="H632" s="74"/>
      <c r="I632" s="74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72"/>
      <c r="B633" s="73"/>
      <c r="C633" s="74"/>
      <c r="D633" s="75"/>
      <c r="E633" s="74"/>
      <c r="F633" s="74"/>
      <c r="G633" s="75"/>
      <c r="H633" s="74"/>
      <c r="I633" s="74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72"/>
      <c r="B634" s="73"/>
      <c r="C634" s="74"/>
      <c r="D634" s="75"/>
      <c r="E634" s="74"/>
      <c r="F634" s="74"/>
      <c r="G634" s="75"/>
      <c r="H634" s="74"/>
      <c r="I634" s="74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72"/>
      <c r="B635" s="73"/>
      <c r="C635" s="74"/>
      <c r="D635" s="75"/>
      <c r="E635" s="74"/>
      <c r="F635" s="74"/>
      <c r="G635" s="75"/>
      <c r="H635" s="74"/>
      <c r="I635" s="74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72"/>
      <c r="B636" s="73"/>
      <c r="C636" s="74"/>
      <c r="D636" s="75"/>
      <c r="E636" s="74"/>
      <c r="F636" s="74"/>
      <c r="G636" s="75"/>
      <c r="H636" s="74"/>
      <c r="I636" s="74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72"/>
      <c r="B637" s="73"/>
      <c r="C637" s="74"/>
      <c r="D637" s="75"/>
      <c r="E637" s="74"/>
      <c r="F637" s="74"/>
      <c r="G637" s="75"/>
      <c r="H637" s="74"/>
      <c r="I637" s="74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72"/>
      <c r="B638" s="73"/>
      <c r="C638" s="74"/>
      <c r="D638" s="75"/>
      <c r="E638" s="74"/>
      <c r="F638" s="74"/>
      <c r="G638" s="75"/>
      <c r="H638" s="74"/>
      <c r="I638" s="74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72"/>
      <c r="B639" s="73"/>
      <c r="C639" s="74"/>
      <c r="D639" s="75"/>
      <c r="E639" s="74"/>
      <c r="F639" s="74"/>
      <c r="G639" s="75"/>
      <c r="H639" s="74"/>
      <c r="I639" s="74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72"/>
      <c r="B640" s="73"/>
      <c r="C640" s="74"/>
      <c r="D640" s="75"/>
      <c r="E640" s="74"/>
      <c r="F640" s="74"/>
      <c r="G640" s="75"/>
      <c r="H640" s="74"/>
      <c r="I640" s="74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72"/>
      <c r="B641" s="73"/>
      <c r="C641" s="74"/>
      <c r="D641" s="75"/>
      <c r="E641" s="74"/>
      <c r="F641" s="74"/>
      <c r="G641" s="75"/>
      <c r="H641" s="74"/>
      <c r="I641" s="74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72"/>
      <c r="B642" s="73"/>
      <c r="C642" s="74"/>
      <c r="D642" s="75"/>
      <c r="E642" s="74"/>
      <c r="F642" s="74"/>
      <c r="G642" s="75"/>
      <c r="H642" s="74"/>
      <c r="I642" s="74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72"/>
      <c r="B643" s="73"/>
      <c r="C643" s="74"/>
      <c r="D643" s="75"/>
      <c r="E643" s="74"/>
      <c r="F643" s="74"/>
      <c r="G643" s="75"/>
      <c r="H643" s="74"/>
      <c r="I643" s="74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72"/>
      <c r="B644" s="73"/>
      <c r="C644" s="74"/>
      <c r="D644" s="75"/>
      <c r="E644" s="74"/>
      <c r="F644" s="74"/>
      <c r="G644" s="75"/>
      <c r="H644" s="74"/>
      <c r="I644" s="74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72"/>
      <c r="B645" s="73"/>
      <c r="C645" s="74"/>
      <c r="D645" s="75"/>
      <c r="E645" s="74"/>
      <c r="F645" s="74"/>
      <c r="G645" s="75"/>
      <c r="H645" s="74"/>
      <c r="I645" s="74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72"/>
      <c r="B646" s="73"/>
      <c r="C646" s="74"/>
      <c r="D646" s="75"/>
      <c r="E646" s="74"/>
      <c r="F646" s="74"/>
      <c r="G646" s="75"/>
      <c r="H646" s="74"/>
      <c r="I646" s="74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72"/>
      <c r="B647" s="73"/>
      <c r="C647" s="74"/>
      <c r="D647" s="75"/>
      <c r="E647" s="74"/>
      <c r="F647" s="74"/>
      <c r="G647" s="75"/>
      <c r="H647" s="74"/>
      <c r="I647" s="74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72"/>
      <c r="B648" s="73"/>
      <c r="C648" s="74"/>
      <c r="D648" s="75"/>
      <c r="E648" s="74"/>
      <c r="F648" s="74"/>
      <c r="G648" s="75"/>
      <c r="H648" s="74"/>
      <c r="I648" s="74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72"/>
      <c r="B649" s="73"/>
      <c r="C649" s="74"/>
      <c r="D649" s="75"/>
      <c r="E649" s="74"/>
      <c r="F649" s="74"/>
      <c r="G649" s="75"/>
      <c r="H649" s="74"/>
      <c r="I649" s="74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72"/>
      <c r="B650" s="73"/>
      <c r="C650" s="74"/>
      <c r="D650" s="75"/>
      <c r="E650" s="74"/>
      <c r="F650" s="74"/>
      <c r="G650" s="75"/>
      <c r="H650" s="74"/>
      <c r="I650" s="74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72"/>
      <c r="B651" s="73"/>
      <c r="C651" s="74"/>
      <c r="D651" s="75"/>
      <c r="E651" s="74"/>
      <c r="F651" s="74"/>
      <c r="G651" s="75"/>
      <c r="H651" s="74"/>
      <c r="I651" s="74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72"/>
      <c r="B652" s="73"/>
      <c r="C652" s="74"/>
      <c r="D652" s="75"/>
      <c r="E652" s="74"/>
      <c r="F652" s="74"/>
      <c r="G652" s="75"/>
      <c r="H652" s="74"/>
      <c r="I652" s="74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72"/>
      <c r="B653" s="73"/>
      <c r="C653" s="74"/>
      <c r="D653" s="75"/>
      <c r="E653" s="74"/>
      <c r="F653" s="74"/>
      <c r="G653" s="75"/>
      <c r="H653" s="74"/>
      <c r="I653" s="74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72"/>
      <c r="B654" s="73"/>
      <c r="C654" s="74"/>
      <c r="D654" s="75"/>
      <c r="E654" s="74"/>
      <c r="F654" s="74"/>
      <c r="G654" s="75"/>
      <c r="H654" s="74"/>
      <c r="I654" s="74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72"/>
      <c r="B655" s="73"/>
      <c r="C655" s="74"/>
      <c r="D655" s="75"/>
      <c r="E655" s="74"/>
      <c r="F655" s="74"/>
      <c r="G655" s="75"/>
      <c r="H655" s="74"/>
      <c r="I655" s="74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72"/>
      <c r="B656" s="73"/>
      <c r="C656" s="74"/>
      <c r="D656" s="75"/>
      <c r="E656" s="74"/>
      <c r="F656" s="74"/>
      <c r="G656" s="75"/>
      <c r="H656" s="74"/>
      <c r="I656" s="74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72"/>
      <c r="B657" s="73"/>
      <c r="C657" s="74"/>
      <c r="D657" s="75"/>
      <c r="E657" s="74"/>
      <c r="F657" s="74"/>
      <c r="G657" s="75"/>
      <c r="H657" s="74"/>
      <c r="I657" s="74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72"/>
      <c r="B658" s="73"/>
      <c r="C658" s="74"/>
      <c r="D658" s="75"/>
      <c r="E658" s="74"/>
      <c r="F658" s="74"/>
      <c r="G658" s="75"/>
      <c r="H658" s="74"/>
      <c r="I658" s="74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72"/>
      <c r="B659" s="73"/>
      <c r="C659" s="74"/>
      <c r="D659" s="75"/>
      <c r="E659" s="74"/>
      <c r="F659" s="74"/>
      <c r="G659" s="75"/>
      <c r="H659" s="74"/>
      <c r="I659" s="74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72"/>
      <c r="B660" s="73"/>
      <c r="C660" s="74"/>
      <c r="D660" s="75"/>
      <c r="E660" s="74"/>
      <c r="F660" s="74"/>
      <c r="G660" s="75"/>
      <c r="H660" s="74"/>
      <c r="I660" s="74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72"/>
      <c r="B661" s="73"/>
      <c r="C661" s="74"/>
      <c r="D661" s="75"/>
      <c r="E661" s="74"/>
      <c r="F661" s="74"/>
      <c r="G661" s="75"/>
      <c r="H661" s="74"/>
      <c r="I661" s="74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72"/>
      <c r="B662" s="73"/>
      <c r="C662" s="74"/>
      <c r="D662" s="75"/>
      <c r="E662" s="74"/>
      <c r="F662" s="74"/>
      <c r="G662" s="75"/>
      <c r="H662" s="74"/>
      <c r="I662" s="74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72"/>
      <c r="B663" s="73"/>
      <c r="C663" s="74"/>
      <c r="D663" s="75"/>
      <c r="E663" s="74"/>
      <c r="F663" s="74"/>
      <c r="G663" s="75"/>
      <c r="H663" s="74"/>
      <c r="I663" s="74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72"/>
      <c r="B664" s="73"/>
      <c r="C664" s="74"/>
      <c r="D664" s="75"/>
      <c r="E664" s="74"/>
      <c r="F664" s="74"/>
      <c r="G664" s="75"/>
      <c r="H664" s="74"/>
      <c r="I664" s="74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72"/>
      <c r="B665" s="73"/>
      <c r="C665" s="74"/>
      <c r="D665" s="75"/>
      <c r="E665" s="74"/>
      <c r="F665" s="74"/>
      <c r="G665" s="75"/>
      <c r="H665" s="74"/>
      <c r="I665" s="74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72"/>
      <c r="B666" s="73"/>
      <c r="C666" s="74"/>
      <c r="D666" s="75"/>
      <c r="E666" s="74"/>
      <c r="F666" s="74"/>
      <c r="G666" s="75"/>
      <c r="H666" s="74"/>
      <c r="I666" s="74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72"/>
      <c r="B667" s="73"/>
      <c r="C667" s="74"/>
      <c r="D667" s="75"/>
      <c r="E667" s="74"/>
      <c r="F667" s="74"/>
      <c r="G667" s="75"/>
      <c r="H667" s="74"/>
      <c r="I667" s="74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72"/>
      <c r="B668" s="73"/>
      <c r="C668" s="74"/>
      <c r="D668" s="75"/>
      <c r="E668" s="74"/>
      <c r="F668" s="74"/>
      <c r="G668" s="75"/>
      <c r="H668" s="74"/>
      <c r="I668" s="74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72"/>
      <c r="B669" s="73"/>
      <c r="C669" s="74"/>
      <c r="D669" s="75"/>
      <c r="E669" s="74"/>
      <c r="F669" s="74"/>
      <c r="G669" s="75"/>
      <c r="H669" s="74"/>
      <c r="I669" s="74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72"/>
      <c r="B670" s="73"/>
      <c r="C670" s="74"/>
      <c r="D670" s="75"/>
      <c r="E670" s="74"/>
      <c r="F670" s="74"/>
      <c r="G670" s="75"/>
      <c r="H670" s="74"/>
      <c r="I670" s="74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72"/>
      <c r="B671" s="73"/>
      <c r="C671" s="74"/>
      <c r="D671" s="75"/>
      <c r="E671" s="74"/>
      <c r="F671" s="74"/>
      <c r="G671" s="75"/>
      <c r="H671" s="74"/>
      <c r="I671" s="74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72"/>
      <c r="B672" s="73"/>
      <c r="C672" s="74"/>
      <c r="D672" s="75"/>
      <c r="E672" s="74"/>
      <c r="F672" s="74"/>
      <c r="G672" s="75"/>
      <c r="H672" s="74"/>
      <c r="I672" s="74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72"/>
      <c r="B673" s="73"/>
      <c r="C673" s="74"/>
      <c r="D673" s="75"/>
      <c r="E673" s="74"/>
      <c r="F673" s="74"/>
      <c r="G673" s="75"/>
      <c r="H673" s="74"/>
      <c r="I673" s="74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72"/>
      <c r="B674" s="73"/>
      <c r="C674" s="74"/>
      <c r="D674" s="75"/>
      <c r="E674" s="74"/>
      <c r="F674" s="74"/>
      <c r="G674" s="75"/>
      <c r="H674" s="74"/>
      <c r="I674" s="74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72"/>
      <c r="B675" s="73"/>
      <c r="C675" s="74"/>
      <c r="D675" s="75"/>
      <c r="E675" s="74"/>
      <c r="F675" s="74"/>
      <c r="G675" s="75"/>
      <c r="H675" s="74"/>
      <c r="I675" s="74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72"/>
      <c r="B676" s="73"/>
      <c r="C676" s="74"/>
      <c r="D676" s="75"/>
      <c r="E676" s="74"/>
      <c r="F676" s="74"/>
      <c r="G676" s="75"/>
      <c r="H676" s="74"/>
      <c r="I676" s="74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72"/>
      <c r="B677" s="73"/>
      <c r="C677" s="74"/>
      <c r="D677" s="75"/>
      <c r="E677" s="74"/>
      <c r="F677" s="74"/>
      <c r="G677" s="75"/>
      <c r="H677" s="74"/>
      <c r="I677" s="74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72"/>
      <c r="B678" s="73"/>
      <c r="C678" s="74"/>
      <c r="D678" s="75"/>
      <c r="E678" s="74"/>
      <c r="F678" s="74"/>
      <c r="G678" s="75"/>
      <c r="H678" s="74"/>
      <c r="I678" s="74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72"/>
      <c r="B679" s="73"/>
      <c r="C679" s="74"/>
      <c r="D679" s="75"/>
      <c r="E679" s="74"/>
      <c r="F679" s="74"/>
      <c r="G679" s="75"/>
      <c r="H679" s="74"/>
      <c r="I679" s="74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72"/>
      <c r="B680" s="73"/>
      <c r="C680" s="74"/>
      <c r="D680" s="75"/>
      <c r="E680" s="74"/>
      <c r="F680" s="74"/>
      <c r="G680" s="75"/>
      <c r="H680" s="74"/>
      <c r="I680" s="74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72"/>
      <c r="B681" s="73"/>
      <c r="C681" s="74"/>
      <c r="D681" s="75"/>
      <c r="E681" s="74"/>
      <c r="F681" s="74"/>
      <c r="G681" s="75"/>
      <c r="H681" s="74"/>
      <c r="I681" s="74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72"/>
      <c r="B682" s="73"/>
      <c r="C682" s="74"/>
      <c r="D682" s="75"/>
      <c r="E682" s="74"/>
      <c r="F682" s="74"/>
      <c r="G682" s="75"/>
      <c r="H682" s="74"/>
      <c r="I682" s="74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72"/>
      <c r="B683" s="73"/>
      <c r="C683" s="74"/>
      <c r="D683" s="75"/>
      <c r="E683" s="74"/>
      <c r="F683" s="74"/>
      <c r="G683" s="75"/>
      <c r="H683" s="74"/>
      <c r="I683" s="74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72"/>
      <c r="B684" s="73"/>
      <c r="C684" s="74"/>
      <c r="D684" s="75"/>
      <c r="E684" s="74"/>
      <c r="F684" s="74"/>
      <c r="G684" s="75"/>
      <c r="H684" s="74"/>
      <c r="I684" s="74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72"/>
      <c r="B685" s="73"/>
      <c r="C685" s="74"/>
      <c r="D685" s="75"/>
      <c r="E685" s="74"/>
      <c r="F685" s="74"/>
      <c r="G685" s="75"/>
      <c r="H685" s="74"/>
      <c r="I685" s="74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72"/>
      <c r="B686" s="73"/>
      <c r="C686" s="74"/>
      <c r="D686" s="75"/>
      <c r="E686" s="74"/>
      <c r="F686" s="74"/>
      <c r="G686" s="75"/>
      <c r="H686" s="74"/>
      <c r="I686" s="74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72"/>
      <c r="B687" s="73"/>
      <c r="C687" s="74"/>
      <c r="D687" s="75"/>
      <c r="E687" s="74"/>
      <c r="F687" s="74"/>
      <c r="G687" s="75"/>
      <c r="H687" s="74"/>
      <c r="I687" s="74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72"/>
      <c r="B688" s="73"/>
      <c r="C688" s="74"/>
      <c r="D688" s="75"/>
      <c r="E688" s="74"/>
      <c r="F688" s="74"/>
      <c r="G688" s="75"/>
      <c r="H688" s="74"/>
      <c r="I688" s="74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72"/>
      <c r="B689" s="73"/>
      <c r="C689" s="74"/>
      <c r="D689" s="75"/>
      <c r="E689" s="74"/>
      <c r="F689" s="74"/>
      <c r="G689" s="75"/>
      <c r="H689" s="74"/>
      <c r="I689" s="74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72"/>
      <c r="B690" s="73"/>
      <c r="C690" s="74"/>
      <c r="D690" s="75"/>
      <c r="E690" s="74"/>
      <c r="F690" s="74"/>
      <c r="G690" s="75"/>
      <c r="H690" s="74"/>
      <c r="I690" s="74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72"/>
      <c r="B691" s="73"/>
      <c r="C691" s="74"/>
      <c r="D691" s="75"/>
      <c r="E691" s="74"/>
      <c r="F691" s="74"/>
      <c r="G691" s="75"/>
      <c r="H691" s="74"/>
      <c r="I691" s="74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72"/>
      <c r="B692" s="73"/>
      <c r="C692" s="74"/>
      <c r="D692" s="75"/>
      <c r="E692" s="74"/>
      <c r="F692" s="74"/>
      <c r="G692" s="75"/>
      <c r="H692" s="74"/>
      <c r="I692" s="74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72"/>
      <c r="B693" s="73"/>
      <c r="C693" s="74"/>
      <c r="D693" s="75"/>
      <c r="E693" s="74"/>
      <c r="F693" s="74"/>
      <c r="G693" s="75"/>
      <c r="H693" s="74"/>
      <c r="I693" s="74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72"/>
      <c r="B694" s="73"/>
      <c r="C694" s="74"/>
      <c r="D694" s="75"/>
      <c r="E694" s="74"/>
      <c r="F694" s="74"/>
      <c r="G694" s="75"/>
      <c r="H694" s="74"/>
      <c r="I694" s="74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72"/>
      <c r="B695" s="73"/>
      <c r="C695" s="74"/>
      <c r="D695" s="75"/>
      <c r="E695" s="74"/>
      <c r="F695" s="74"/>
      <c r="G695" s="75"/>
      <c r="H695" s="74"/>
      <c r="I695" s="74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72"/>
      <c r="B696" s="73"/>
      <c r="C696" s="74"/>
      <c r="D696" s="75"/>
      <c r="E696" s="74"/>
      <c r="F696" s="74"/>
      <c r="G696" s="75"/>
      <c r="H696" s="74"/>
      <c r="I696" s="74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72"/>
      <c r="B697" s="73"/>
      <c r="C697" s="74"/>
      <c r="D697" s="75"/>
      <c r="E697" s="74"/>
      <c r="F697" s="74"/>
      <c r="G697" s="75"/>
      <c r="H697" s="74"/>
      <c r="I697" s="74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72"/>
      <c r="B698" s="73"/>
      <c r="C698" s="74"/>
      <c r="D698" s="75"/>
      <c r="E698" s="74"/>
      <c r="F698" s="74"/>
      <c r="G698" s="75"/>
      <c r="H698" s="74"/>
      <c r="I698" s="74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72"/>
      <c r="B699" s="73"/>
      <c r="C699" s="74"/>
      <c r="D699" s="75"/>
      <c r="E699" s="74"/>
      <c r="F699" s="74"/>
      <c r="G699" s="75"/>
      <c r="H699" s="74"/>
      <c r="I699" s="74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72"/>
      <c r="B700" s="73"/>
      <c r="C700" s="74"/>
      <c r="D700" s="75"/>
      <c r="E700" s="74"/>
      <c r="F700" s="74"/>
      <c r="G700" s="75"/>
      <c r="H700" s="74"/>
      <c r="I700" s="74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72"/>
      <c r="B701" s="73"/>
      <c r="C701" s="74"/>
      <c r="D701" s="75"/>
      <c r="E701" s="74"/>
      <c r="F701" s="74"/>
      <c r="G701" s="75"/>
      <c r="H701" s="74"/>
      <c r="I701" s="74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72"/>
      <c r="B702" s="73"/>
      <c r="C702" s="74"/>
      <c r="D702" s="75"/>
      <c r="E702" s="74"/>
      <c r="F702" s="74"/>
      <c r="G702" s="75"/>
      <c r="H702" s="74"/>
      <c r="I702" s="74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72"/>
      <c r="B703" s="73"/>
      <c r="C703" s="74"/>
      <c r="D703" s="75"/>
      <c r="E703" s="74"/>
      <c r="F703" s="74"/>
      <c r="G703" s="75"/>
      <c r="H703" s="74"/>
      <c r="I703" s="74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72"/>
      <c r="B704" s="73"/>
      <c r="C704" s="74"/>
      <c r="D704" s="75"/>
      <c r="E704" s="74"/>
      <c r="F704" s="74"/>
      <c r="G704" s="75"/>
      <c r="H704" s="74"/>
      <c r="I704" s="74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72"/>
      <c r="B705" s="73"/>
      <c r="C705" s="74"/>
      <c r="D705" s="75"/>
      <c r="E705" s="74"/>
      <c r="F705" s="74"/>
      <c r="G705" s="75"/>
      <c r="H705" s="74"/>
      <c r="I705" s="74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72"/>
      <c r="B706" s="73"/>
      <c r="C706" s="74"/>
      <c r="D706" s="75"/>
      <c r="E706" s="74"/>
      <c r="F706" s="74"/>
      <c r="G706" s="75"/>
      <c r="H706" s="74"/>
      <c r="I706" s="74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72"/>
      <c r="B707" s="73"/>
      <c r="C707" s="74"/>
      <c r="D707" s="75"/>
      <c r="E707" s="74"/>
      <c r="F707" s="74"/>
      <c r="G707" s="75"/>
      <c r="H707" s="74"/>
      <c r="I707" s="74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72"/>
      <c r="B708" s="73"/>
      <c r="C708" s="74"/>
      <c r="D708" s="75"/>
      <c r="E708" s="74"/>
      <c r="F708" s="74"/>
      <c r="G708" s="75"/>
      <c r="H708" s="74"/>
      <c r="I708" s="74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72"/>
      <c r="B709" s="73"/>
      <c r="C709" s="74"/>
      <c r="D709" s="75"/>
      <c r="E709" s="74"/>
      <c r="F709" s="74"/>
      <c r="G709" s="75"/>
      <c r="H709" s="74"/>
      <c r="I709" s="74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72"/>
      <c r="B710" s="73"/>
      <c r="C710" s="74"/>
      <c r="D710" s="75"/>
      <c r="E710" s="74"/>
      <c r="F710" s="74"/>
      <c r="G710" s="75"/>
      <c r="H710" s="74"/>
      <c r="I710" s="74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72"/>
      <c r="B711" s="73"/>
      <c r="C711" s="74"/>
      <c r="D711" s="75"/>
      <c r="E711" s="74"/>
      <c r="F711" s="74"/>
      <c r="G711" s="75"/>
      <c r="H711" s="74"/>
      <c r="I711" s="74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72"/>
      <c r="B712" s="73"/>
      <c r="C712" s="74"/>
      <c r="D712" s="75"/>
      <c r="E712" s="74"/>
      <c r="F712" s="74"/>
      <c r="G712" s="75"/>
      <c r="H712" s="74"/>
      <c r="I712" s="74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72"/>
      <c r="B713" s="73"/>
      <c r="C713" s="74"/>
      <c r="D713" s="75"/>
      <c r="E713" s="74"/>
      <c r="F713" s="74"/>
      <c r="G713" s="75"/>
      <c r="H713" s="74"/>
      <c r="I713" s="74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72"/>
      <c r="B714" s="73"/>
      <c r="C714" s="74"/>
      <c r="D714" s="75"/>
      <c r="E714" s="74"/>
      <c r="F714" s="74"/>
      <c r="G714" s="75"/>
      <c r="H714" s="74"/>
      <c r="I714" s="74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72"/>
      <c r="B715" s="73"/>
      <c r="C715" s="74"/>
      <c r="D715" s="75"/>
      <c r="E715" s="74"/>
      <c r="F715" s="74"/>
      <c r="G715" s="75"/>
      <c r="H715" s="74"/>
      <c r="I715" s="74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72"/>
      <c r="B716" s="73"/>
      <c r="C716" s="74"/>
      <c r="D716" s="75"/>
      <c r="E716" s="74"/>
      <c r="F716" s="74"/>
      <c r="G716" s="75"/>
      <c r="H716" s="74"/>
      <c r="I716" s="74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72"/>
      <c r="B717" s="73"/>
      <c r="C717" s="74"/>
      <c r="D717" s="75"/>
      <c r="E717" s="74"/>
      <c r="F717" s="74"/>
      <c r="G717" s="75"/>
      <c r="H717" s="74"/>
      <c r="I717" s="74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72"/>
      <c r="B718" s="73"/>
      <c r="C718" s="74"/>
      <c r="D718" s="75"/>
      <c r="E718" s="74"/>
      <c r="F718" s="74"/>
      <c r="G718" s="75"/>
      <c r="H718" s="74"/>
      <c r="I718" s="74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72"/>
      <c r="B719" s="73"/>
      <c r="C719" s="74"/>
      <c r="D719" s="75"/>
      <c r="E719" s="74"/>
      <c r="F719" s="74"/>
      <c r="G719" s="75"/>
      <c r="H719" s="74"/>
      <c r="I719" s="74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72"/>
      <c r="B720" s="73"/>
      <c r="C720" s="74"/>
      <c r="D720" s="75"/>
      <c r="E720" s="74"/>
      <c r="F720" s="74"/>
      <c r="G720" s="75"/>
      <c r="H720" s="74"/>
      <c r="I720" s="74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72"/>
      <c r="B721" s="73"/>
      <c r="C721" s="74"/>
      <c r="D721" s="75"/>
      <c r="E721" s="74"/>
      <c r="F721" s="74"/>
      <c r="G721" s="75"/>
      <c r="H721" s="74"/>
      <c r="I721" s="74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72"/>
      <c r="B722" s="73"/>
      <c r="C722" s="74"/>
      <c r="D722" s="75"/>
      <c r="E722" s="74"/>
      <c r="F722" s="74"/>
      <c r="G722" s="75"/>
      <c r="H722" s="74"/>
      <c r="I722" s="74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72"/>
      <c r="B723" s="73"/>
      <c r="C723" s="74"/>
      <c r="D723" s="75"/>
      <c r="E723" s="74"/>
      <c r="F723" s="74"/>
      <c r="G723" s="75"/>
      <c r="H723" s="74"/>
      <c r="I723" s="74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72"/>
      <c r="B724" s="73"/>
      <c r="C724" s="74"/>
      <c r="D724" s="75"/>
      <c r="E724" s="74"/>
      <c r="F724" s="74"/>
      <c r="G724" s="75"/>
      <c r="H724" s="74"/>
      <c r="I724" s="74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72"/>
      <c r="B725" s="73"/>
      <c r="C725" s="74"/>
      <c r="D725" s="75"/>
      <c r="E725" s="74"/>
      <c r="F725" s="74"/>
      <c r="G725" s="75"/>
      <c r="H725" s="74"/>
      <c r="I725" s="74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72"/>
      <c r="B726" s="73"/>
      <c r="C726" s="74"/>
      <c r="D726" s="75"/>
      <c r="E726" s="74"/>
      <c r="F726" s="74"/>
      <c r="G726" s="75"/>
      <c r="H726" s="74"/>
      <c r="I726" s="74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72"/>
      <c r="B727" s="73"/>
      <c r="C727" s="74"/>
      <c r="D727" s="75"/>
      <c r="E727" s="74"/>
      <c r="F727" s="74"/>
      <c r="G727" s="75"/>
      <c r="H727" s="74"/>
      <c r="I727" s="74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72"/>
      <c r="B728" s="73"/>
      <c r="C728" s="74"/>
      <c r="D728" s="75"/>
      <c r="E728" s="74"/>
      <c r="F728" s="74"/>
      <c r="G728" s="75"/>
      <c r="H728" s="74"/>
      <c r="I728" s="74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72"/>
      <c r="B729" s="73"/>
      <c r="C729" s="74"/>
      <c r="D729" s="75"/>
      <c r="E729" s="74"/>
      <c r="F729" s="74"/>
      <c r="G729" s="75"/>
      <c r="H729" s="74"/>
      <c r="I729" s="74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72"/>
      <c r="B730" s="73"/>
      <c r="C730" s="74"/>
      <c r="D730" s="75"/>
      <c r="E730" s="74"/>
      <c r="F730" s="74"/>
      <c r="G730" s="75"/>
      <c r="H730" s="74"/>
      <c r="I730" s="74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72"/>
      <c r="B731" s="73"/>
      <c r="C731" s="74"/>
      <c r="D731" s="75"/>
      <c r="E731" s="74"/>
      <c r="F731" s="74"/>
      <c r="G731" s="75"/>
      <c r="H731" s="74"/>
      <c r="I731" s="74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72"/>
      <c r="B732" s="73"/>
      <c r="C732" s="74"/>
      <c r="D732" s="75"/>
      <c r="E732" s="74"/>
      <c r="F732" s="74"/>
      <c r="G732" s="75"/>
      <c r="H732" s="74"/>
      <c r="I732" s="74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72"/>
      <c r="B733" s="73"/>
      <c r="C733" s="74"/>
      <c r="D733" s="75"/>
      <c r="E733" s="74"/>
      <c r="F733" s="74"/>
      <c r="G733" s="75"/>
      <c r="H733" s="74"/>
      <c r="I733" s="74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72"/>
      <c r="B734" s="73"/>
      <c r="C734" s="74"/>
      <c r="D734" s="75"/>
      <c r="E734" s="74"/>
      <c r="F734" s="74"/>
      <c r="G734" s="75"/>
      <c r="H734" s="74"/>
      <c r="I734" s="74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72"/>
      <c r="B735" s="73"/>
      <c r="C735" s="74"/>
      <c r="D735" s="75"/>
      <c r="E735" s="74"/>
      <c r="F735" s="74"/>
      <c r="G735" s="75"/>
      <c r="H735" s="74"/>
      <c r="I735" s="74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72"/>
      <c r="B736" s="73"/>
      <c r="C736" s="74"/>
      <c r="D736" s="75"/>
      <c r="E736" s="74"/>
      <c r="F736" s="74"/>
      <c r="G736" s="75"/>
      <c r="H736" s="74"/>
      <c r="I736" s="74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72"/>
      <c r="B737" s="73"/>
      <c r="C737" s="74"/>
      <c r="D737" s="75"/>
      <c r="E737" s="74"/>
      <c r="F737" s="74"/>
      <c r="G737" s="75"/>
      <c r="H737" s="74"/>
      <c r="I737" s="74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72"/>
      <c r="B738" s="73"/>
      <c r="C738" s="74"/>
      <c r="D738" s="75"/>
      <c r="E738" s="74"/>
      <c r="F738" s="74"/>
      <c r="G738" s="75"/>
      <c r="H738" s="74"/>
      <c r="I738" s="74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72"/>
      <c r="B739" s="73"/>
      <c r="C739" s="74"/>
      <c r="D739" s="75"/>
      <c r="E739" s="74"/>
      <c r="F739" s="74"/>
      <c r="G739" s="75"/>
      <c r="H739" s="74"/>
      <c r="I739" s="74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72"/>
      <c r="B740" s="73"/>
      <c r="C740" s="74"/>
      <c r="D740" s="75"/>
      <c r="E740" s="74"/>
      <c r="F740" s="74"/>
      <c r="G740" s="75"/>
      <c r="H740" s="74"/>
      <c r="I740" s="74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72"/>
      <c r="B741" s="73"/>
      <c r="C741" s="74"/>
      <c r="D741" s="75"/>
      <c r="E741" s="74"/>
      <c r="F741" s="74"/>
      <c r="G741" s="75"/>
      <c r="H741" s="74"/>
      <c r="I741" s="74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72"/>
      <c r="B742" s="73"/>
      <c r="C742" s="74"/>
      <c r="D742" s="75"/>
      <c r="E742" s="74"/>
      <c r="F742" s="74"/>
      <c r="G742" s="75"/>
      <c r="H742" s="74"/>
      <c r="I742" s="74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72"/>
      <c r="B743" s="73"/>
      <c r="C743" s="74"/>
      <c r="D743" s="75"/>
      <c r="E743" s="74"/>
      <c r="F743" s="74"/>
      <c r="G743" s="75"/>
      <c r="H743" s="74"/>
      <c r="I743" s="74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72"/>
      <c r="B744" s="73"/>
      <c r="C744" s="74"/>
      <c r="D744" s="75"/>
      <c r="E744" s="74"/>
      <c r="F744" s="74"/>
      <c r="G744" s="75"/>
      <c r="H744" s="74"/>
      <c r="I744" s="74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72"/>
      <c r="B745" s="73"/>
      <c r="C745" s="74"/>
      <c r="D745" s="75"/>
      <c r="E745" s="74"/>
      <c r="F745" s="74"/>
      <c r="G745" s="75"/>
      <c r="H745" s="74"/>
      <c r="I745" s="74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72"/>
      <c r="B746" s="73"/>
      <c r="C746" s="74"/>
      <c r="D746" s="75"/>
      <c r="E746" s="74"/>
      <c r="F746" s="74"/>
      <c r="G746" s="75"/>
      <c r="H746" s="74"/>
      <c r="I746" s="74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72"/>
      <c r="B747" s="73"/>
      <c r="C747" s="74"/>
      <c r="D747" s="75"/>
      <c r="E747" s="74"/>
      <c r="F747" s="74"/>
      <c r="G747" s="75"/>
      <c r="H747" s="74"/>
      <c r="I747" s="74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72"/>
      <c r="B748" s="73"/>
      <c r="C748" s="74"/>
      <c r="D748" s="75"/>
      <c r="E748" s="74"/>
      <c r="F748" s="74"/>
      <c r="G748" s="75"/>
      <c r="H748" s="74"/>
      <c r="I748" s="74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72"/>
      <c r="B749" s="73"/>
      <c r="C749" s="74"/>
      <c r="D749" s="75"/>
      <c r="E749" s="74"/>
      <c r="F749" s="74"/>
      <c r="G749" s="75"/>
      <c r="H749" s="74"/>
      <c r="I749" s="74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72"/>
      <c r="B750" s="73"/>
      <c r="C750" s="74"/>
      <c r="D750" s="75"/>
      <c r="E750" s="74"/>
      <c r="F750" s="74"/>
      <c r="G750" s="75"/>
      <c r="H750" s="74"/>
      <c r="I750" s="74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72"/>
      <c r="B751" s="73"/>
      <c r="C751" s="74"/>
      <c r="D751" s="75"/>
      <c r="E751" s="74"/>
      <c r="F751" s="74"/>
      <c r="G751" s="75"/>
      <c r="H751" s="74"/>
      <c r="I751" s="74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72"/>
      <c r="B752" s="73"/>
      <c r="C752" s="74"/>
      <c r="D752" s="75"/>
      <c r="E752" s="74"/>
      <c r="F752" s="74"/>
      <c r="G752" s="75"/>
      <c r="H752" s="74"/>
      <c r="I752" s="74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72"/>
      <c r="B753" s="73"/>
      <c r="C753" s="74"/>
      <c r="D753" s="75"/>
      <c r="E753" s="74"/>
      <c r="F753" s="74"/>
      <c r="G753" s="75"/>
      <c r="H753" s="74"/>
      <c r="I753" s="74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72"/>
      <c r="B754" s="73"/>
      <c r="C754" s="74"/>
      <c r="D754" s="75"/>
      <c r="E754" s="74"/>
      <c r="F754" s="74"/>
      <c r="G754" s="75"/>
      <c r="H754" s="74"/>
      <c r="I754" s="74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72"/>
      <c r="B755" s="73"/>
      <c r="C755" s="74"/>
      <c r="D755" s="75"/>
      <c r="E755" s="74"/>
      <c r="F755" s="74"/>
      <c r="G755" s="75"/>
      <c r="H755" s="74"/>
      <c r="I755" s="74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72"/>
      <c r="B756" s="73"/>
      <c r="C756" s="74"/>
      <c r="D756" s="75"/>
      <c r="E756" s="74"/>
      <c r="F756" s="74"/>
      <c r="G756" s="75"/>
      <c r="H756" s="74"/>
      <c r="I756" s="74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72"/>
      <c r="B757" s="73"/>
      <c r="C757" s="74"/>
      <c r="D757" s="75"/>
      <c r="E757" s="74"/>
      <c r="F757" s="74"/>
      <c r="G757" s="75"/>
      <c r="H757" s="74"/>
      <c r="I757" s="74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72"/>
      <c r="B758" s="73"/>
      <c r="C758" s="74"/>
      <c r="D758" s="75"/>
      <c r="E758" s="74"/>
      <c r="F758" s="74"/>
      <c r="G758" s="75"/>
      <c r="H758" s="74"/>
      <c r="I758" s="74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72"/>
      <c r="B759" s="73"/>
      <c r="C759" s="74"/>
      <c r="D759" s="75"/>
      <c r="E759" s="74"/>
      <c r="F759" s="74"/>
      <c r="G759" s="75"/>
      <c r="H759" s="74"/>
      <c r="I759" s="74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72"/>
      <c r="B760" s="73"/>
      <c r="C760" s="74"/>
      <c r="D760" s="75"/>
      <c r="E760" s="74"/>
      <c r="F760" s="74"/>
      <c r="G760" s="75"/>
      <c r="H760" s="74"/>
      <c r="I760" s="74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72"/>
      <c r="B761" s="73"/>
      <c r="C761" s="74"/>
      <c r="D761" s="75"/>
      <c r="E761" s="74"/>
      <c r="F761" s="74"/>
      <c r="G761" s="75"/>
      <c r="H761" s="74"/>
      <c r="I761" s="74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72"/>
      <c r="B762" s="73"/>
      <c r="C762" s="74"/>
      <c r="D762" s="75"/>
      <c r="E762" s="74"/>
      <c r="F762" s="74"/>
      <c r="G762" s="75"/>
      <c r="H762" s="74"/>
      <c r="I762" s="74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72"/>
      <c r="B763" s="73"/>
      <c r="C763" s="74"/>
      <c r="D763" s="75"/>
      <c r="E763" s="74"/>
      <c r="F763" s="74"/>
      <c r="G763" s="75"/>
      <c r="H763" s="74"/>
      <c r="I763" s="74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72"/>
      <c r="B764" s="73"/>
      <c r="C764" s="74"/>
      <c r="D764" s="75"/>
      <c r="E764" s="74"/>
      <c r="F764" s="74"/>
      <c r="G764" s="75"/>
      <c r="H764" s="74"/>
      <c r="I764" s="74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72"/>
      <c r="B765" s="73"/>
      <c r="C765" s="74"/>
      <c r="D765" s="75"/>
      <c r="E765" s="74"/>
      <c r="F765" s="74"/>
      <c r="G765" s="75"/>
      <c r="H765" s="74"/>
      <c r="I765" s="74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72"/>
      <c r="B766" s="73"/>
      <c r="C766" s="74"/>
      <c r="D766" s="75"/>
      <c r="E766" s="74"/>
      <c r="F766" s="74"/>
      <c r="G766" s="75"/>
      <c r="H766" s="74"/>
      <c r="I766" s="74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72"/>
      <c r="B767" s="73"/>
      <c r="C767" s="74"/>
      <c r="D767" s="75"/>
      <c r="E767" s="74"/>
      <c r="F767" s="74"/>
      <c r="G767" s="75"/>
      <c r="H767" s="74"/>
      <c r="I767" s="74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72"/>
      <c r="B768" s="73"/>
      <c r="C768" s="74"/>
      <c r="D768" s="75"/>
      <c r="E768" s="74"/>
      <c r="F768" s="74"/>
      <c r="G768" s="75"/>
      <c r="H768" s="74"/>
      <c r="I768" s="74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72"/>
      <c r="B769" s="73"/>
      <c r="C769" s="74"/>
      <c r="D769" s="75"/>
      <c r="E769" s="74"/>
      <c r="F769" s="74"/>
      <c r="G769" s="75"/>
      <c r="H769" s="74"/>
      <c r="I769" s="74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72"/>
      <c r="B770" s="73"/>
      <c r="C770" s="74"/>
      <c r="D770" s="75"/>
      <c r="E770" s="74"/>
      <c r="F770" s="74"/>
      <c r="G770" s="75"/>
      <c r="H770" s="74"/>
      <c r="I770" s="74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72"/>
      <c r="B771" s="73"/>
      <c r="C771" s="74"/>
      <c r="D771" s="75"/>
      <c r="E771" s="74"/>
      <c r="F771" s="74"/>
      <c r="G771" s="75"/>
      <c r="H771" s="74"/>
      <c r="I771" s="74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72"/>
      <c r="B772" s="73"/>
      <c r="C772" s="74"/>
      <c r="D772" s="75"/>
      <c r="E772" s="74"/>
      <c r="F772" s="74"/>
      <c r="G772" s="75"/>
      <c r="H772" s="74"/>
      <c r="I772" s="74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72"/>
      <c r="B773" s="73"/>
      <c r="C773" s="74"/>
      <c r="D773" s="75"/>
      <c r="E773" s="74"/>
      <c r="F773" s="74"/>
      <c r="G773" s="75"/>
      <c r="H773" s="74"/>
      <c r="I773" s="74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72"/>
      <c r="B774" s="73"/>
      <c r="C774" s="74"/>
      <c r="D774" s="75"/>
      <c r="E774" s="74"/>
      <c r="F774" s="74"/>
      <c r="G774" s="75"/>
      <c r="H774" s="74"/>
      <c r="I774" s="74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72"/>
      <c r="B775" s="73"/>
      <c r="C775" s="74"/>
      <c r="D775" s="75"/>
      <c r="E775" s="74"/>
      <c r="F775" s="74"/>
      <c r="G775" s="75"/>
      <c r="H775" s="74"/>
      <c r="I775" s="74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72"/>
      <c r="B776" s="73"/>
      <c r="C776" s="74"/>
      <c r="D776" s="75"/>
      <c r="E776" s="74"/>
      <c r="F776" s="74"/>
      <c r="G776" s="75"/>
      <c r="H776" s="74"/>
      <c r="I776" s="74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72"/>
      <c r="B777" s="73"/>
      <c r="C777" s="74"/>
      <c r="D777" s="75"/>
      <c r="E777" s="74"/>
      <c r="F777" s="74"/>
      <c r="G777" s="75"/>
      <c r="H777" s="74"/>
      <c r="I777" s="74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72"/>
      <c r="B778" s="73"/>
      <c r="C778" s="74"/>
      <c r="D778" s="75"/>
      <c r="E778" s="74"/>
      <c r="F778" s="74"/>
      <c r="G778" s="75"/>
      <c r="H778" s="74"/>
      <c r="I778" s="74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72"/>
      <c r="B779" s="73"/>
      <c r="C779" s="74"/>
      <c r="D779" s="75"/>
      <c r="E779" s="74"/>
      <c r="F779" s="74"/>
      <c r="G779" s="75"/>
      <c r="H779" s="74"/>
      <c r="I779" s="74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72"/>
      <c r="B780" s="73"/>
      <c r="C780" s="74"/>
      <c r="D780" s="75"/>
      <c r="E780" s="74"/>
      <c r="F780" s="74"/>
      <c r="G780" s="75"/>
      <c r="H780" s="74"/>
      <c r="I780" s="74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72"/>
      <c r="B781" s="73"/>
      <c r="C781" s="74"/>
      <c r="D781" s="75"/>
      <c r="E781" s="74"/>
      <c r="F781" s="74"/>
      <c r="G781" s="75"/>
      <c r="H781" s="74"/>
      <c r="I781" s="74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72"/>
      <c r="B782" s="73"/>
      <c r="C782" s="74"/>
      <c r="D782" s="75"/>
      <c r="E782" s="74"/>
      <c r="F782" s="74"/>
      <c r="G782" s="75"/>
      <c r="H782" s="74"/>
      <c r="I782" s="74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72"/>
      <c r="B783" s="73"/>
      <c r="C783" s="74"/>
      <c r="D783" s="75"/>
      <c r="E783" s="74"/>
      <c r="F783" s="74"/>
      <c r="G783" s="75"/>
      <c r="H783" s="74"/>
      <c r="I783" s="74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72"/>
      <c r="B784" s="73"/>
      <c r="C784" s="74"/>
      <c r="D784" s="75"/>
      <c r="E784" s="74"/>
      <c r="F784" s="74"/>
      <c r="G784" s="75"/>
      <c r="H784" s="74"/>
      <c r="I784" s="74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72"/>
      <c r="B785" s="73"/>
      <c r="C785" s="74"/>
      <c r="D785" s="75"/>
      <c r="E785" s="74"/>
      <c r="F785" s="74"/>
      <c r="G785" s="75"/>
      <c r="H785" s="74"/>
      <c r="I785" s="74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72"/>
      <c r="B786" s="73"/>
      <c r="C786" s="74"/>
      <c r="D786" s="75"/>
      <c r="E786" s="74"/>
      <c r="F786" s="74"/>
      <c r="G786" s="75"/>
      <c r="H786" s="74"/>
      <c r="I786" s="74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72"/>
      <c r="B787" s="73"/>
      <c r="C787" s="74"/>
      <c r="D787" s="75"/>
      <c r="E787" s="74"/>
      <c r="F787" s="74"/>
      <c r="G787" s="75"/>
      <c r="H787" s="74"/>
      <c r="I787" s="74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72"/>
      <c r="B788" s="73"/>
      <c r="C788" s="74"/>
      <c r="D788" s="75"/>
      <c r="E788" s="74"/>
      <c r="F788" s="74"/>
      <c r="G788" s="75"/>
      <c r="H788" s="74"/>
      <c r="I788" s="74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72"/>
      <c r="B789" s="73"/>
      <c r="C789" s="74"/>
      <c r="D789" s="75"/>
      <c r="E789" s="74"/>
      <c r="F789" s="74"/>
      <c r="G789" s="75"/>
      <c r="H789" s="74"/>
      <c r="I789" s="74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72"/>
      <c r="B790" s="73"/>
      <c r="C790" s="74"/>
      <c r="D790" s="75"/>
      <c r="E790" s="74"/>
      <c r="F790" s="74"/>
      <c r="G790" s="75"/>
      <c r="H790" s="74"/>
      <c r="I790" s="74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72"/>
      <c r="B791" s="73"/>
      <c r="C791" s="74"/>
      <c r="D791" s="75"/>
      <c r="E791" s="74"/>
      <c r="F791" s="74"/>
      <c r="G791" s="75"/>
      <c r="H791" s="74"/>
      <c r="I791" s="74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72"/>
      <c r="B792" s="73"/>
      <c r="C792" s="74"/>
      <c r="D792" s="75"/>
      <c r="E792" s="74"/>
      <c r="F792" s="74"/>
      <c r="G792" s="75"/>
      <c r="H792" s="74"/>
      <c r="I792" s="74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72"/>
      <c r="B793" s="73"/>
      <c r="C793" s="74"/>
      <c r="D793" s="75"/>
      <c r="E793" s="74"/>
      <c r="F793" s="74"/>
      <c r="G793" s="75"/>
      <c r="H793" s="74"/>
      <c r="I793" s="74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72"/>
      <c r="B794" s="73"/>
      <c r="C794" s="74"/>
      <c r="D794" s="75"/>
      <c r="E794" s="74"/>
      <c r="F794" s="74"/>
      <c r="G794" s="75"/>
      <c r="H794" s="74"/>
      <c r="I794" s="74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72"/>
      <c r="B795" s="73"/>
      <c r="C795" s="74"/>
      <c r="D795" s="75"/>
      <c r="E795" s="74"/>
      <c r="F795" s="74"/>
      <c r="G795" s="75"/>
      <c r="H795" s="74"/>
      <c r="I795" s="74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72"/>
      <c r="B796" s="73"/>
      <c r="C796" s="74"/>
      <c r="D796" s="75"/>
      <c r="E796" s="74"/>
      <c r="F796" s="74"/>
      <c r="G796" s="75"/>
      <c r="H796" s="74"/>
      <c r="I796" s="74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72"/>
      <c r="B797" s="73"/>
      <c r="C797" s="74"/>
      <c r="D797" s="75"/>
      <c r="E797" s="74"/>
      <c r="F797" s="74"/>
      <c r="G797" s="75"/>
      <c r="H797" s="74"/>
      <c r="I797" s="74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72"/>
      <c r="B798" s="73"/>
      <c r="C798" s="74"/>
      <c r="D798" s="75"/>
      <c r="E798" s="74"/>
      <c r="F798" s="74"/>
      <c r="G798" s="75"/>
      <c r="H798" s="74"/>
      <c r="I798" s="74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72"/>
      <c r="B799" s="73"/>
      <c r="C799" s="74"/>
      <c r="D799" s="75"/>
      <c r="E799" s="74"/>
      <c r="F799" s="74"/>
      <c r="G799" s="75"/>
      <c r="H799" s="74"/>
      <c r="I799" s="74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72"/>
      <c r="B800" s="73"/>
      <c r="C800" s="74"/>
      <c r="D800" s="75"/>
      <c r="E800" s="74"/>
      <c r="F800" s="74"/>
      <c r="G800" s="75"/>
      <c r="H800" s="74"/>
      <c r="I800" s="74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72"/>
      <c r="B801" s="73"/>
      <c r="C801" s="74"/>
      <c r="D801" s="75"/>
      <c r="E801" s="74"/>
      <c r="F801" s="74"/>
      <c r="G801" s="75"/>
      <c r="H801" s="74"/>
      <c r="I801" s="74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72"/>
      <c r="B802" s="73"/>
      <c r="C802" s="74"/>
      <c r="D802" s="75"/>
      <c r="E802" s="74"/>
      <c r="F802" s="74"/>
      <c r="G802" s="75"/>
      <c r="H802" s="74"/>
      <c r="I802" s="74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72"/>
      <c r="B803" s="73"/>
      <c r="C803" s="74"/>
      <c r="D803" s="75"/>
      <c r="E803" s="74"/>
      <c r="F803" s="74"/>
      <c r="G803" s="75"/>
      <c r="H803" s="74"/>
      <c r="I803" s="74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72"/>
      <c r="B804" s="73"/>
      <c r="C804" s="74"/>
      <c r="D804" s="75"/>
      <c r="E804" s="74"/>
      <c r="F804" s="74"/>
      <c r="G804" s="75"/>
      <c r="H804" s="74"/>
      <c r="I804" s="74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72"/>
      <c r="B805" s="73"/>
      <c r="C805" s="74"/>
      <c r="D805" s="75"/>
      <c r="E805" s="74"/>
      <c r="F805" s="74"/>
      <c r="G805" s="75"/>
      <c r="H805" s="74"/>
      <c r="I805" s="74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72"/>
      <c r="B806" s="73"/>
      <c r="C806" s="74"/>
      <c r="D806" s="75"/>
      <c r="E806" s="74"/>
      <c r="F806" s="74"/>
      <c r="G806" s="75"/>
      <c r="H806" s="74"/>
      <c r="I806" s="74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72"/>
      <c r="B807" s="73"/>
      <c r="C807" s="74"/>
      <c r="D807" s="75"/>
      <c r="E807" s="74"/>
      <c r="F807" s="74"/>
      <c r="G807" s="75"/>
      <c r="H807" s="74"/>
      <c r="I807" s="74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72"/>
      <c r="B808" s="73"/>
      <c r="C808" s="74"/>
      <c r="D808" s="75"/>
      <c r="E808" s="74"/>
      <c r="F808" s="74"/>
      <c r="G808" s="75"/>
      <c r="H808" s="74"/>
      <c r="I808" s="74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72"/>
      <c r="B809" s="73"/>
      <c r="C809" s="74"/>
      <c r="D809" s="75"/>
      <c r="E809" s="74"/>
      <c r="F809" s="74"/>
      <c r="G809" s="75"/>
      <c r="H809" s="74"/>
      <c r="I809" s="74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72"/>
      <c r="B810" s="73"/>
      <c r="C810" s="74"/>
      <c r="D810" s="75"/>
      <c r="E810" s="74"/>
      <c r="F810" s="74"/>
      <c r="G810" s="75"/>
      <c r="H810" s="74"/>
      <c r="I810" s="74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72"/>
      <c r="B811" s="73"/>
      <c r="C811" s="74"/>
      <c r="D811" s="75"/>
      <c r="E811" s="74"/>
      <c r="F811" s="74"/>
      <c r="G811" s="75"/>
      <c r="H811" s="74"/>
      <c r="I811" s="74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72"/>
      <c r="B812" s="73"/>
      <c r="C812" s="74"/>
      <c r="D812" s="75"/>
      <c r="E812" s="74"/>
      <c r="F812" s="74"/>
      <c r="G812" s="75"/>
      <c r="H812" s="74"/>
      <c r="I812" s="74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72"/>
      <c r="B813" s="73"/>
      <c r="C813" s="74"/>
      <c r="D813" s="75"/>
      <c r="E813" s="74"/>
      <c r="F813" s="74"/>
      <c r="G813" s="75"/>
      <c r="H813" s="74"/>
      <c r="I813" s="74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72"/>
      <c r="B814" s="73"/>
      <c r="C814" s="74"/>
      <c r="D814" s="75"/>
      <c r="E814" s="74"/>
      <c r="F814" s="74"/>
      <c r="G814" s="75"/>
      <c r="H814" s="74"/>
      <c r="I814" s="74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72"/>
      <c r="B815" s="73"/>
      <c r="C815" s="74"/>
      <c r="D815" s="75"/>
      <c r="E815" s="74"/>
      <c r="F815" s="74"/>
      <c r="G815" s="75"/>
      <c r="H815" s="74"/>
      <c r="I815" s="74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72"/>
      <c r="B816" s="73"/>
      <c r="C816" s="74"/>
      <c r="D816" s="75"/>
      <c r="E816" s="74"/>
      <c r="F816" s="74"/>
      <c r="G816" s="75"/>
      <c r="H816" s="74"/>
      <c r="I816" s="74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72"/>
      <c r="B817" s="73"/>
      <c r="C817" s="74"/>
      <c r="D817" s="75"/>
      <c r="E817" s="74"/>
      <c r="F817" s="74"/>
      <c r="G817" s="75"/>
      <c r="H817" s="74"/>
      <c r="I817" s="74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72"/>
      <c r="B818" s="73"/>
      <c r="C818" s="74"/>
      <c r="D818" s="75"/>
      <c r="E818" s="74"/>
      <c r="F818" s="74"/>
      <c r="G818" s="75"/>
      <c r="H818" s="74"/>
      <c r="I818" s="74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72"/>
      <c r="B819" s="73"/>
      <c r="C819" s="74"/>
      <c r="D819" s="75"/>
      <c r="E819" s="74"/>
      <c r="F819" s="74"/>
      <c r="G819" s="75"/>
      <c r="H819" s="74"/>
      <c r="I819" s="74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72"/>
      <c r="B820" s="73"/>
      <c r="C820" s="74"/>
      <c r="D820" s="75"/>
      <c r="E820" s="74"/>
      <c r="F820" s="74"/>
      <c r="G820" s="75"/>
      <c r="H820" s="74"/>
      <c r="I820" s="74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72"/>
      <c r="B821" s="73"/>
      <c r="C821" s="74"/>
      <c r="D821" s="75"/>
      <c r="E821" s="74"/>
      <c r="F821" s="74"/>
      <c r="G821" s="75"/>
      <c r="H821" s="74"/>
      <c r="I821" s="74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72"/>
      <c r="B822" s="73"/>
      <c r="C822" s="74"/>
      <c r="D822" s="75"/>
      <c r="E822" s="74"/>
      <c r="F822" s="74"/>
      <c r="G822" s="75"/>
      <c r="H822" s="74"/>
      <c r="I822" s="74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72"/>
      <c r="B823" s="73"/>
      <c r="C823" s="74"/>
      <c r="D823" s="75"/>
      <c r="E823" s="74"/>
      <c r="F823" s="74"/>
      <c r="G823" s="75"/>
      <c r="H823" s="74"/>
      <c r="I823" s="74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72"/>
      <c r="B824" s="73"/>
      <c r="C824" s="74"/>
      <c r="D824" s="75"/>
      <c r="E824" s="74"/>
      <c r="F824" s="74"/>
      <c r="G824" s="75"/>
      <c r="H824" s="74"/>
      <c r="I824" s="74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72"/>
      <c r="B825" s="73"/>
      <c r="C825" s="74"/>
      <c r="D825" s="75"/>
      <c r="E825" s="74"/>
      <c r="F825" s="74"/>
      <c r="G825" s="75"/>
      <c r="H825" s="74"/>
      <c r="I825" s="74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72"/>
      <c r="B826" s="73"/>
      <c r="C826" s="74"/>
      <c r="D826" s="75"/>
      <c r="E826" s="74"/>
      <c r="F826" s="74"/>
      <c r="G826" s="75"/>
      <c r="H826" s="74"/>
      <c r="I826" s="74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72"/>
      <c r="B827" s="73"/>
      <c r="C827" s="74"/>
      <c r="D827" s="75"/>
      <c r="E827" s="74"/>
      <c r="F827" s="74"/>
      <c r="G827" s="75"/>
      <c r="H827" s="74"/>
      <c r="I827" s="74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72"/>
      <c r="B828" s="73"/>
      <c r="C828" s="74"/>
      <c r="D828" s="75"/>
      <c r="E828" s="74"/>
      <c r="F828" s="74"/>
      <c r="G828" s="75"/>
      <c r="H828" s="74"/>
      <c r="I828" s="74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72"/>
      <c r="B829" s="73"/>
      <c r="C829" s="74"/>
      <c r="D829" s="75"/>
      <c r="E829" s="74"/>
      <c r="F829" s="74"/>
      <c r="G829" s="75"/>
      <c r="H829" s="74"/>
      <c r="I829" s="74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72"/>
      <c r="B830" s="73"/>
      <c r="C830" s="74"/>
      <c r="D830" s="75"/>
      <c r="E830" s="74"/>
      <c r="F830" s="74"/>
      <c r="G830" s="75"/>
      <c r="H830" s="74"/>
      <c r="I830" s="74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72"/>
      <c r="B831" s="73"/>
      <c r="C831" s="74"/>
      <c r="D831" s="75"/>
      <c r="E831" s="74"/>
      <c r="F831" s="74"/>
      <c r="G831" s="75"/>
      <c r="H831" s="74"/>
      <c r="I831" s="74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72"/>
      <c r="B832" s="73"/>
      <c r="C832" s="74"/>
      <c r="D832" s="75"/>
      <c r="E832" s="74"/>
      <c r="F832" s="74"/>
      <c r="G832" s="75"/>
      <c r="H832" s="74"/>
      <c r="I832" s="74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72"/>
      <c r="B833" s="73"/>
      <c r="C833" s="74"/>
      <c r="D833" s="75"/>
      <c r="E833" s="74"/>
      <c r="F833" s="74"/>
      <c r="G833" s="75"/>
      <c r="H833" s="74"/>
      <c r="I833" s="74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72"/>
      <c r="B834" s="73"/>
      <c r="C834" s="74"/>
      <c r="D834" s="75"/>
      <c r="E834" s="74"/>
      <c r="F834" s="74"/>
      <c r="G834" s="75"/>
      <c r="H834" s="74"/>
      <c r="I834" s="74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72"/>
      <c r="B835" s="73"/>
      <c r="C835" s="74"/>
      <c r="D835" s="75"/>
      <c r="E835" s="74"/>
      <c r="F835" s="74"/>
      <c r="G835" s="75"/>
      <c r="H835" s="74"/>
      <c r="I835" s="74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72"/>
      <c r="B836" s="73"/>
      <c r="C836" s="74"/>
      <c r="D836" s="75"/>
      <c r="E836" s="74"/>
      <c r="F836" s="74"/>
      <c r="G836" s="75"/>
      <c r="H836" s="74"/>
      <c r="I836" s="74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72"/>
      <c r="B837" s="73"/>
      <c r="C837" s="74"/>
      <c r="D837" s="75"/>
      <c r="E837" s="74"/>
      <c r="F837" s="74"/>
      <c r="G837" s="75"/>
      <c r="H837" s="74"/>
      <c r="I837" s="74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72"/>
      <c r="B838" s="73"/>
      <c r="C838" s="74"/>
      <c r="D838" s="75"/>
      <c r="E838" s="74"/>
      <c r="F838" s="74"/>
      <c r="G838" s="75"/>
      <c r="H838" s="74"/>
      <c r="I838" s="74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72"/>
      <c r="B839" s="73"/>
      <c r="C839" s="74"/>
      <c r="D839" s="75"/>
      <c r="E839" s="74"/>
      <c r="F839" s="74"/>
      <c r="G839" s="75"/>
      <c r="H839" s="74"/>
      <c r="I839" s="74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72"/>
      <c r="B840" s="73"/>
      <c r="C840" s="74"/>
      <c r="D840" s="75"/>
      <c r="E840" s="74"/>
      <c r="F840" s="74"/>
      <c r="G840" s="75"/>
      <c r="H840" s="74"/>
      <c r="I840" s="74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72"/>
      <c r="B841" s="73"/>
      <c r="C841" s="74"/>
      <c r="D841" s="75"/>
      <c r="E841" s="74"/>
      <c r="F841" s="74"/>
      <c r="G841" s="75"/>
      <c r="H841" s="74"/>
      <c r="I841" s="74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72"/>
      <c r="B842" s="73"/>
      <c r="C842" s="74"/>
      <c r="D842" s="75"/>
      <c r="E842" s="74"/>
      <c r="F842" s="74"/>
      <c r="G842" s="75"/>
      <c r="H842" s="74"/>
      <c r="I842" s="74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72"/>
      <c r="B843" s="73"/>
      <c r="C843" s="74"/>
      <c r="D843" s="75"/>
      <c r="E843" s="74"/>
      <c r="F843" s="74"/>
      <c r="G843" s="75"/>
      <c r="H843" s="74"/>
      <c r="I843" s="74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72"/>
      <c r="B844" s="73"/>
      <c r="C844" s="74"/>
      <c r="D844" s="75"/>
      <c r="E844" s="74"/>
      <c r="F844" s="74"/>
      <c r="G844" s="75"/>
      <c r="H844" s="74"/>
      <c r="I844" s="74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72"/>
      <c r="B845" s="73"/>
      <c r="C845" s="74"/>
      <c r="D845" s="75"/>
      <c r="E845" s="74"/>
      <c r="F845" s="74"/>
      <c r="G845" s="75"/>
      <c r="H845" s="74"/>
      <c r="I845" s="74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72"/>
      <c r="B846" s="73"/>
      <c r="C846" s="74"/>
      <c r="D846" s="75"/>
      <c r="E846" s="74"/>
      <c r="F846" s="74"/>
      <c r="G846" s="75"/>
      <c r="H846" s="74"/>
      <c r="I846" s="74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72"/>
      <c r="B847" s="73"/>
      <c r="C847" s="74"/>
      <c r="D847" s="75"/>
      <c r="E847" s="74"/>
      <c r="F847" s="74"/>
      <c r="G847" s="75"/>
      <c r="H847" s="74"/>
      <c r="I847" s="74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72"/>
      <c r="B848" s="73"/>
      <c r="C848" s="74"/>
      <c r="D848" s="75"/>
      <c r="E848" s="74"/>
      <c r="F848" s="74"/>
      <c r="G848" s="75"/>
      <c r="H848" s="74"/>
      <c r="I848" s="74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72"/>
      <c r="B849" s="73"/>
      <c r="C849" s="74"/>
      <c r="D849" s="75"/>
      <c r="E849" s="74"/>
      <c r="F849" s="74"/>
      <c r="G849" s="75"/>
      <c r="H849" s="74"/>
      <c r="I849" s="74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72"/>
      <c r="B850" s="73"/>
      <c r="C850" s="74"/>
      <c r="D850" s="75"/>
      <c r="E850" s="74"/>
      <c r="F850" s="74"/>
      <c r="G850" s="75"/>
      <c r="H850" s="74"/>
      <c r="I850" s="74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72"/>
      <c r="B851" s="73"/>
      <c r="C851" s="74"/>
      <c r="D851" s="75"/>
      <c r="E851" s="74"/>
      <c r="F851" s="74"/>
      <c r="G851" s="75"/>
      <c r="H851" s="74"/>
      <c r="I851" s="74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72"/>
      <c r="B852" s="73"/>
      <c r="C852" s="74"/>
      <c r="D852" s="75"/>
      <c r="E852" s="74"/>
      <c r="F852" s="74"/>
      <c r="G852" s="75"/>
      <c r="H852" s="74"/>
      <c r="I852" s="74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72"/>
      <c r="B853" s="73"/>
      <c r="C853" s="74"/>
      <c r="D853" s="75"/>
      <c r="E853" s="74"/>
      <c r="F853" s="74"/>
      <c r="G853" s="75"/>
      <c r="H853" s="74"/>
      <c r="I853" s="74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72"/>
      <c r="B854" s="73"/>
      <c r="C854" s="74"/>
      <c r="D854" s="75"/>
      <c r="E854" s="74"/>
      <c r="F854" s="74"/>
      <c r="G854" s="75"/>
      <c r="H854" s="74"/>
      <c r="I854" s="74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72"/>
      <c r="B855" s="73"/>
      <c r="C855" s="74"/>
      <c r="D855" s="75"/>
      <c r="E855" s="74"/>
      <c r="F855" s="74"/>
      <c r="G855" s="75"/>
      <c r="H855" s="74"/>
      <c r="I855" s="74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72"/>
      <c r="B856" s="73"/>
      <c r="C856" s="74"/>
      <c r="D856" s="75"/>
      <c r="E856" s="74"/>
      <c r="F856" s="74"/>
      <c r="G856" s="75"/>
      <c r="H856" s="74"/>
      <c r="I856" s="74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72"/>
      <c r="B857" s="73"/>
      <c r="C857" s="74"/>
      <c r="D857" s="75"/>
      <c r="E857" s="74"/>
      <c r="F857" s="74"/>
      <c r="G857" s="75"/>
      <c r="H857" s="74"/>
      <c r="I857" s="74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72"/>
      <c r="B858" s="73"/>
      <c r="C858" s="74"/>
      <c r="D858" s="75"/>
      <c r="E858" s="74"/>
      <c r="F858" s="74"/>
      <c r="G858" s="75"/>
      <c r="H858" s="74"/>
      <c r="I858" s="74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72"/>
      <c r="B859" s="73"/>
      <c r="C859" s="74"/>
      <c r="D859" s="75"/>
      <c r="E859" s="74"/>
      <c r="F859" s="74"/>
      <c r="G859" s="75"/>
      <c r="H859" s="74"/>
      <c r="I859" s="74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72"/>
      <c r="B860" s="73"/>
      <c r="C860" s="74"/>
      <c r="D860" s="75"/>
      <c r="E860" s="74"/>
      <c r="F860" s="74"/>
      <c r="G860" s="75"/>
      <c r="H860" s="74"/>
      <c r="I860" s="74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72"/>
      <c r="B861" s="73"/>
      <c r="C861" s="74"/>
      <c r="D861" s="75"/>
      <c r="E861" s="74"/>
      <c r="F861" s="74"/>
      <c r="G861" s="75"/>
      <c r="H861" s="74"/>
      <c r="I861" s="74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72"/>
      <c r="B862" s="73"/>
      <c r="C862" s="74"/>
      <c r="D862" s="75"/>
      <c r="E862" s="74"/>
      <c r="F862" s="74"/>
      <c r="G862" s="75"/>
      <c r="H862" s="74"/>
      <c r="I862" s="74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72"/>
      <c r="B863" s="73"/>
      <c r="C863" s="74"/>
      <c r="D863" s="75"/>
      <c r="E863" s="74"/>
      <c r="F863" s="74"/>
      <c r="G863" s="75"/>
      <c r="H863" s="74"/>
      <c r="I863" s="74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72"/>
      <c r="B864" s="73"/>
      <c r="C864" s="74"/>
      <c r="D864" s="75"/>
      <c r="E864" s="74"/>
      <c r="F864" s="74"/>
      <c r="G864" s="75"/>
      <c r="H864" s="74"/>
      <c r="I864" s="74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72"/>
      <c r="B865" s="73"/>
      <c r="C865" s="74"/>
      <c r="D865" s="75"/>
      <c r="E865" s="74"/>
      <c r="F865" s="74"/>
      <c r="G865" s="75"/>
      <c r="H865" s="74"/>
      <c r="I865" s="74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72"/>
      <c r="B866" s="73"/>
      <c r="C866" s="74"/>
      <c r="D866" s="75"/>
      <c r="E866" s="74"/>
      <c r="F866" s="74"/>
      <c r="G866" s="75"/>
      <c r="H866" s="74"/>
      <c r="I866" s="74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72"/>
      <c r="B867" s="73"/>
      <c r="C867" s="74"/>
      <c r="D867" s="75"/>
      <c r="E867" s="74"/>
      <c r="F867" s="74"/>
      <c r="G867" s="75"/>
      <c r="H867" s="74"/>
      <c r="I867" s="74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72"/>
      <c r="B868" s="73"/>
      <c r="C868" s="74"/>
      <c r="D868" s="75"/>
      <c r="E868" s="74"/>
      <c r="F868" s="74"/>
      <c r="G868" s="75"/>
      <c r="H868" s="74"/>
      <c r="I868" s="74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72"/>
      <c r="B869" s="73"/>
      <c r="C869" s="74"/>
      <c r="D869" s="75"/>
      <c r="E869" s="74"/>
      <c r="F869" s="74"/>
      <c r="G869" s="75"/>
      <c r="H869" s="74"/>
      <c r="I869" s="74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72"/>
      <c r="B870" s="73"/>
      <c r="C870" s="74"/>
      <c r="D870" s="75"/>
      <c r="E870" s="74"/>
      <c r="F870" s="74"/>
      <c r="G870" s="75"/>
      <c r="H870" s="74"/>
      <c r="I870" s="74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72"/>
      <c r="B871" s="73"/>
      <c r="C871" s="74"/>
      <c r="D871" s="75"/>
      <c r="E871" s="74"/>
      <c r="F871" s="74"/>
      <c r="G871" s="75"/>
      <c r="H871" s="74"/>
      <c r="I871" s="74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72"/>
      <c r="B872" s="73"/>
      <c r="C872" s="74"/>
      <c r="D872" s="75"/>
      <c r="E872" s="74"/>
      <c r="F872" s="74"/>
      <c r="G872" s="75"/>
      <c r="H872" s="74"/>
      <c r="I872" s="74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72"/>
      <c r="B873" s="73"/>
      <c r="C873" s="74"/>
      <c r="D873" s="75"/>
      <c r="E873" s="74"/>
      <c r="F873" s="74"/>
      <c r="G873" s="75"/>
      <c r="H873" s="74"/>
      <c r="I873" s="74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72"/>
      <c r="B874" s="73"/>
      <c r="C874" s="74"/>
      <c r="D874" s="75"/>
      <c r="E874" s="74"/>
      <c r="F874" s="74"/>
      <c r="G874" s="75"/>
      <c r="H874" s="74"/>
      <c r="I874" s="74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72"/>
      <c r="B875" s="73"/>
      <c r="C875" s="74"/>
      <c r="D875" s="75"/>
      <c r="E875" s="74"/>
      <c r="F875" s="74"/>
      <c r="G875" s="75"/>
      <c r="H875" s="74"/>
      <c r="I875" s="74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72"/>
      <c r="B876" s="73"/>
      <c r="C876" s="74"/>
      <c r="D876" s="75"/>
      <c r="E876" s="74"/>
      <c r="F876" s="74"/>
      <c r="G876" s="75"/>
      <c r="H876" s="74"/>
      <c r="I876" s="74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72"/>
      <c r="B877" s="73"/>
      <c r="C877" s="74"/>
      <c r="D877" s="75"/>
      <c r="E877" s="74"/>
      <c r="F877" s="74"/>
      <c r="G877" s="75"/>
      <c r="H877" s="74"/>
      <c r="I877" s="74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72"/>
      <c r="B878" s="73"/>
      <c r="C878" s="74"/>
      <c r="D878" s="75"/>
      <c r="E878" s="74"/>
      <c r="F878" s="74"/>
      <c r="G878" s="75"/>
      <c r="H878" s="74"/>
      <c r="I878" s="74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72"/>
      <c r="B879" s="73"/>
      <c r="C879" s="74"/>
      <c r="D879" s="75"/>
      <c r="E879" s="74"/>
      <c r="F879" s="74"/>
      <c r="G879" s="75"/>
      <c r="H879" s="74"/>
      <c r="I879" s="74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72"/>
      <c r="B880" s="73"/>
      <c r="C880" s="74"/>
      <c r="D880" s="75"/>
      <c r="E880" s="74"/>
      <c r="F880" s="74"/>
      <c r="G880" s="75"/>
      <c r="H880" s="74"/>
      <c r="I880" s="74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72"/>
      <c r="B881" s="73"/>
      <c r="C881" s="74"/>
      <c r="D881" s="75"/>
      <c r="E881" s="74"/>
      <c r="F881" s="74"/>
      <c r="G881" s="75"/>
      <c r="H881" s="74"/>
      <c r="I881" s="74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72"/>
      <c r="B882" s="73"/>
      <c r="C882" s="74"/>
      <c r="D882" s="75"/>
      <c r="E882" s="74"/>
      <c r="F882" s="74"/>
      <c r="G882" s="75"/>
      <c r="H882" s="74"/>
      <c r="I882" s="74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72"/>
      <c r="B883" s="73"/>
      <c r="C883" s="74"/>
      <c r="D883" s="75"/>
      <c r="E883" s="74"/>
      <c r="F883" s="74"/>
      <c r="G883" s="75"/>
      <c r="H883" s="74"/>
      <c r="I883" s="74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72"/>
      <c r="B884" s="73"/>
      <c r="C884" s="74"/>
      <c r="D884" s="75"/>
      <c r="E884" s="74"/>
      <c r="F884" s="74"/>
      <c r="G884" s="75"/>
      <c r="H884" s="74"/>
      <c r="I884" s="74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72"/>
      <c r="B885" s="73"/>
      <c r="C885" s="74"/>
      <c r="D885" s="75"/>
      <c r="E885" s="74"/>
      <c r="F885" s="74"/>
      <c r="G885" s="75"/>
      <c r="H885" s="74"/>
      <c r="I885" s="74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72"/>
      <c r="B886" s="73"/>
      <c r="C886" s="74"/>
      <c r="D886" s="75"/>
      <c r="E886" s="74"/>
      <c r="F886" s="74"/>
      <c r="G886" s="75"/>
      <c r="H886" s="74"/>
      <c r="I886" s="74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72"/>
      <c r="B887" s="73"/>
      <c r="C887" s="74"/>
      <c r="D887" s="75"/>
      <c r="E887" s="74"/>
      <c r="F887" s="74"/>
      <c r="G887" s="75"/>
      <c r="H887" s="74"/>
      <c r="I887" s="74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72"/>
      <c r="B888" s="73"/>
      <c r="C888" s="74"/>
      <c r="D888" s="75"/>
      <c r="E888" s="74"/>
      <c r="F888" s="74"/>
      <c r="G888" s="75"/>
      <c r="H888" s="74"/>
      <c r="I888" s="74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72"/>
      <c r="B889" s="73"/>
      <c r="C889" s="74"/>
      <c r="D889" s="75"/>
      <c r="E889" s="74"/>
      <c r="F889" s="74"/>
      <c r="G889" s="75"/>
      <c r="H889" s="74"/>
      <c r="I889" s="74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72"/>
      <c r="B890" s="73"/>
      <c r="C890" s="74"/>
      <c r="D890" s="75"/>
      <c r="E890" s="74"/>
      <c r="F890" s="74"/>
      <c r="G890" s="75"/>
      <c r="H890" s="74"/>
      <c r="I890" s="74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72"/>
      <c r="B891" s="73"/>
      <c r="C891" s="74"/>
      <c r="D891" s="75"/>
      <c r="E891" s="74"/>
      <c r="F891" s="74"/>
      <c r="G891" s="75"/>
      <c r="H891" s="74"/>
      <c r="I891" s="74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72"/>
      <c r="B892" s="73"/>
      <c r="C892" s="74"/>
      <c r="D892" s="75"/>
      <c r="E892" s="74"/>
      <c r="F892" s="74"/>
      <c r="G892" s="75"/>
      <c r="H892" s="74"/>
      <c r="I892" s="74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72"/>
      <c r="B893" s="73"/>
      <c r="C893" s="74"/>
      <c r="D893" s="75"/>
      <c r="E893" s="74"/>
      <c r="F893" s="74"/>
      <c r="G893" s="75"/>
      <c r="H893" s="74"/>
      <c r="I893" s="74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72"/>
      <c r="B894" s="73"/>
      <c r="C894" s="74"/>
      <c r="D894" s="75"/>
      <c r="E894" s="74"/>
      <c r="F894" s="74"/>
      <c r="G894" s="75"/>
      <c r="H894" s="74"/>
      <c r="I894" s="74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72"/>
      <c r="B895" s="73"/>
      <c r="C895" s="74"/>
      <c r="D895" s="75"/>
      <c r="E895" s="74"/>
      <c r="F895" s="74"/>
      <c r="G895" s="75"/>
      <c r="H895" s="74"/>
      <c r="I895" s="74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72"/>
      <c r="B896" s="73"/>
      <c r="C896" s="74"/>
      <c r="D896" s="75"/>
      <c r="E896" s="74"/>
      <c r="F896" s="74"/>
      <c r="G896" s="75"/>
      <c r="H896" s="74"/>
      <c r="I896" s="74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72"/>
      <c r="B897" s="73"/>
      <c r="C897" s="74"/>
      <c r="D897" s="75"/>
      <c r="E897" s="74"/>
      <c r="F897" s="74"/>
      <c r="G897" s="75"/>
      <c r="H897" s="74"/>
      <c r="I897" s="74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72"/>
      <c r="B898" s="73"/>
      <c r="C898" s="74"/>
      <c r="D898" s="75"/>
      <c r="E898" s="74"/>
      <c r="F898" s="74"/>
      <c r="G898" s="75"/>
      <c r="H898" s="74"/>
      <c r="I898" s="74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72"/>
      <c r="B899" s="73"/>
      <c r="C899" s="74"/>
      <c r="D899" s="75"/>
      <c r="E899" s="74"/>
      <c r="F899" s="74"/>
      <c r="G899" s="75"/>
      <c r="H899" s="74"/>
      <c r="I899" s="74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72"/>
      <c r="B900" s="73"/>
      <c r="C900" s="74"/>
      <c r="D900" s="75"/>
      <c r="E900" s="74"/>
      <c r="F900" s="74"/>
      <c r="G900" s="75"/>
      <c r="H900" s="74"/>
      <c r="I900" s="74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72"/>
      <c r="B901" s="73"/>
      <c r="C901" s="74"/>
      <c r="D901" s="75"/>
      <c r="E901" s="74"/>
      <c r="F901" s="74"/>
      <c r="G901" s="75"/>
      <c r="H901" s="74"/>
      <c r="I901" s="74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72"/>
      <c r="B902" s="73"/>
      <c r="C902" s="74"/>
      <c r="D902" s="75"/>
      <c r="E902" s="74"/>
      <c r="F902" s="74"/>
      <c r="G902" s="75"/>
      <c r="H902" s="74"/>
      <c r="I902" s="74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72"/>
      <c r="B903" s="73"/>
      <c r="C903" s="74"/>
      <c r="D903" s="75"/>
      <c r="E903" s="74"/>
      <c r="F903" s="74"/>
      <c r="G903" s="75"/>
      <c r="H903" s="74"/>
      <c r="I903" s="74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72"/>
      <c r="B904" s="73"/>
      <c r="C904" s="74"/>
      <c r="D904" s="75"/>
      <c r="E904" s="74"/>
      <c r="F904" s="74"/>
      <c r="G904" s="75"/>
      <c r="H904" s="74"/>
      <c r="I904" s="74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72"/>
      <c r="B905" s="73"/>
      <c r="C905" s="74"/>
      <c r="D905" s="75"/>
      <c r="E905" s="74"/>
      <c r="F905" s="74"/>
      <c r="G905" s="75"/>
      <c r="H905" s="74"/>
      <c r="I905" s="74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72"/>
      <c r="B906" s="73"/>
      <c r="C906" s="74"/>
      <c r="D906" s="75"/>
      <c r="E906" s="74"/>
      <c r="F906" s="74"/>
      <c r="G906" s="75"/>
      <c r="H906" s="74"/>
      <c r="I906" s="74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72"/>
      <c r="B907" s="73"/>
      <c r="C907" s="74"/>
      <c r="D907" s="75"/>
      <c r="E907" s="74"/>
      <c r="F907" s="74"/>
      <c r="G907" s="75"/>
      <c r="H907" s="74"/>
      <c r="I907" s="74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72"/>
      <c r="B908" s="73"/>
      <c r="C908" s="74"/>
      <c r="D908" s="75"/>
      <c r="E908" s="74"/>
      <c r="F908" s="74"/>
      <c r="G908" s="75"/>
      <c r="H908" s="74"/>
      <c r="I908" s="74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72"/>
      <c r="B909" s="73"/>
      <c r="C909" s="74"/>
      <c r="D909" s="75"/>
      <c r="E909" s="74"/>
      <c r="F909" s="74"/>
      <c r="G909" s="75"/>
      <c r="H909" s="74"/>
      <c r="I909" s="74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72"/>
      <c r="B910" s="73"/>
      <c r="C910" s="74"/>
      <c r="D910" s="75"/>
      <c r="E910" s="74"/>
      <c r="F910" s="74"/>
      <c r="G910" s="75"/>
      <c r="H910" s="74"/>
      <c r="I910" s="74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72"/>
      <c r="B911" s="73"/>
      <c r="C911" s="74"/>
      <c r="D911" s="75"/>
      <c r="E911" s="74"/>
      <c r="F911" s="74"/>
      <c r="G911" s="75"/>
      <c r="H911" s="74"/>
      <c r="I911" s="74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72"/>
      <c r="B912" s="73"/>
      <c r="C912" s="74"/>
      <c r="D912" s="75"/>
      <c r="E912" s="74"/>
      <c r="F912" s="74"/>
      <c r="G912" s="75"/>
      <c r="H912" s="74"/>
      <c r="I912" s="74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72"/>
      <c r="B913" s="73"/>
      <c r="C913" s="74"/>
      <c r="D913" s="75"/>
      <c r="E913" s="74"/>
      <c r="F913" s="74"/>
      <c r="G913" s="75"/>
      <c r="H913" s="74"/>
      <c r="I913" s="74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72"/>
      <c r="B914" s="73"/>
      <c r="C914" s="74"/>
      <c r="D914" s="75"/>
      <c r="E914" s="74"/>
      <c r="F914" s="74"/>
      <c r="G914" s="75"/>
      <c r="H914" s="74"/>
      <c r="I914" s="74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72"/>
      <c r="B915" s="73"/>
      <c r="C915" s="74"/>
      <c r="D915" s="75"/>
      <c r="E915" s="74"/>
      <c r="F915" s="74"/>
      <c r="G915" s="75"/>
      <c r="H915" s="74"/>
      <c r="I915" s="74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72"/>
      <c r="B916" s="73"/>
      <c r="C916" s="74"/>
      <c r="D916" s="75"/>
      <c r="E916" s="74"/>
      <c r="F916" s="74"/>
      <c r="G916" s="75"/>
      <c r="H916" s="74"/>
      <c r="I916" s="74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72"/>
      <c r="B917" s="73"/>
      <c r="C917" s="74"/>
      <c r="D917" s="75"/>
      <c r="E917" s="74"/>
      <c r="F917" s="74"/>
      <c r="G917" s="75"/>
      <c r="H917" s="74"/>
      <c r="I917" s="74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72"/>
      <c r="B918" s="73"/>
      <c r="C918" s="74"/>
      <c r="D918" s="75"/>
      <c r="E918" s="74"/>
      <c r="F918" s="74"/>
      <c r="G918" s="75"/>
      <c r="H918" s="74"/>
      <c r="I918" s="74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72"/>
      <c r="B919" s="73"/>
      <c r="C919" s="74"/>
      <c r="D919" s="75"/>
      <c r="E919" s="74"/>
      <c r="F919" s="74"/>
      <c r="G919" s="75"/>
      <c r="H919" s="74"/>
      <c r="I919" s="74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72"/>
      <c r="B920" s="73"/>
      <c r="C920" s="74"/>
      <c r="D920" s="75"/>
      <c r="E920" s="74"/>
      <c r="F920" s="74"/>
      <c r="G920" s="75"/>
      <c r="H920" s="74"/>
      <c r="I920" s="74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72"/>
      <c r="B921" s="73"/>
      <c r="C921" s="74"/>
      <c r="D921" s="75"/>
      <c r="E921" s="74"/>
      <c r="F921" s="74"/>
      <c r="G921" s="75"/>
      <c r="H921" s="74"/>
      <c r="I921" s="74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72"/>
      <c r="B922" s="73"/>
      <c r="C922" s="74"/>
      <c r="D922" s="75"/>
      <c r="E922" s="74"/>
      <c r="F922" s="74"/>
      <c r="G922" s="75"/>
      <c r="H922" s="74"/>
      <c r="I922" s="74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72"/>
      <c r="B923" s="73"/>
      <c r="C923" s="74"/>
      <c r="D923" s="75"/>
      <c r="E923" s="74"/>
      <c r="F923" s="74"/>
      <c r="G923" s="75"/>
      <c r="H923" s="74"/>
      <c r="I923" s="74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72"/>
      <c r="B924" s="73"/>
      <c r="C924" s="74"/>
      <c r="D924" s="75"/>
      <c r="E924" s="74"/>
      <c r="F924" s="74"/>
      <c r="G924" s="75"/>
      <c r="H924" s="74"/>
      <c r="I924" s="74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72"/>
      <c r="B925" s="73"/>
      <c r="C925" s="74"/>
      <c r="D925" s="75"/>
      <c r="E925" s="74"/>
      <c r="F925" s="74"/>
      <c r="G925" s="75"/>
      <c r="H925" s="74"/>
      <c r="I925" s="74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72"/>
      <c r="B926" s="73"/>
      <c r="C926" s="74"/>
      <c r="D926" s="75"/>
      <c r="E926" s="74"/>
      <c r="F926" s="74"/>
      <c r="G926" s="75"/>
      <c r="H926" s="74"/>
      <c r="I926" s="74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72"/>
      <c r="B927" s="73"/>
      <c r="C927" s="74"/>
      <c r="D927" s="75"/>
      <c r="E927" s="74"/>
      <c r="F927" s="74"/>
      <c r="G927" s="75"/>
      <c r="H927" s="74"/>
      <c r="I927" s="74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72"/>
      <c r="B928" s="73"/>
      <c r="C928" s="74"/>
      <c r="D928" s="75"/>
      <c r="E928" s="74"/>
      <c r="F928" s="74"/>
      <c r="G928" s="75"/>
      <c r="H928" s="74"/>
      <c r="I928" s="74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72"/>
      <c r="B929" s="73"/>
      <c r="C929" s="74"/>
      <c r="D929" s="75"/>
      <c r="E929" s="74"/>
      <c r="F929" s="74"/>
      <c r="G929" s="75"/>
      <c r="H929" s="74"/>
      <c r="I929" s="74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72"/>
      <c r="B930" s="73"/>
      <c r="C930" s="74"/>
      <c r="D930" s="75"/>
      <c r="E930" s="74"/>
      <c r="F930" s="74"/>
      <c r="G930" s="75"/>
      <c r="H930" s="74"/>
      <c r="I930" s="74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72"/>
      <c r="B931" s="73"/>
      <c r="C931" s="74"/>
      <c r="D931" s="75"/>
      <c r="E931" s="74"/>
      <c r="F931" s="74"/>
      <c r="G931" s="75"/>
      <c r="H931" s="74"/>
      <c r="I931" s="74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72"/>
      <c r="B932" s="73"/>
      <c r="C932" s="74"/>
      <c r="D932" s="75"/>
      <c r="E932" s="74"/>
      <c r="F932" s="74"/>
      <c r="G932" s="75"/>
      <c r="H932" s="74"/>
      <c r="I932" s="74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72"/>
      <c r="B933" s="73"/>
      <c r="C933" s="74"/>
      <c r="D933" s="75"/>
      <c r="E933" s="74"/>
      <c r="F933" s="74"/>
      <c r="G933" s="75"/>
      <c r="H933" s="74"/>
      <c r="I933" s="74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72"/>
      <c r="B934" s="73"/>
      <c r="C934" s="74"/>
      <c r="D934" s="75"/>
      <c r="E934" s="74"/>
      <c r="F934" s="74"/>
      <c r="G934" s="75"/>
      <c r="H934" s="74"/>
      <c r="I934" s="74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72"/>
      <c r="B935" s="73"/>
      <c r="C935" s="74"/>
      <c r="D935" s="75"/>
      <c r="E935" s="74"/>
      <c r="F935" s="74"/>
      <c r="G935" s="75"/>
      <c r="H935" s="74"/>
      <c r="I935" s="74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72"/>
      <c r="B936" s="73"/>
      <c r="C936" s="74"/>
      <c r="D936" s="75"/>
      <c r="E936" s="74"/>
      <c r="F936" s="74"/>
      <c r="G936" s="75"/>
      <c r="H936" s="74"/>
      <c r="I936" s="74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72"/>
      <c r="B937" s="73"/>
      <c r="C937" s="74"/>
      <c r="D937" s="75"/>
      <c r="E937" s="74"/>
      <c r="F937" s="74"/>
      <c r="G937" s="75"/>
      <c r="H937" s="74"/>
      <c r="I937" s="74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72"/>
      <c r="B938" s="73"/>
      <c r="C938" s="74"/>
      <c r="D938" s="75"/>
      <c r="E938" s="74"/>
      <c r="F938" s="74"/>
      <c r="G938" s="75"/>
      <c r="H938" s="74"/>
      <c r="I938" s="74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72"/>
      <c r="B939" s="73"/>
      <c r="C939" s="74"/>
      <c r="D939" s="75"/>
      <c r="E939" s="74"/>
      <c r="F939" s="74"/>
      <c r="G939" s="75"/>
      <c r="H939" s="74"/>
      <c r="I939" s="74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72"/>
      <c r="B940" s="73"/>
      <c r="C940" s="74"/>
      <c r="D940" s="75"/>
      <c r="E940" s="74"/>
      <c r="F940" s="74"/>
      <c r="G940" s="75"/>
      <c r="H940" s="74"/>
      <c r="I940" s="74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72"/>
      <c r="B941" s="73"/>
      <c r="C941" s="74"/>
      <c r="D941" s="75"/>
      <c r="E941" s="74"/>
      <c r="F941" s="74"/>
      <c r="G941" s="75"/>
      <c r="H941" s="74"/>
      <c r="I941" s="74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72"/>
      <c r="B942" s="73"/>
      <c r="C942" s="74"/>
      <c r="D942" s="75"/>
      <c r="E942" s="74"/>
      <c r="F942" s="74"/>
      <c r="G942" s="75"/>
      <c r="H942" s="74"/>
      <c r="I942" s="74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72"/>
      <c r="B943" s="73"/>
      <c r="C943" s="74"/>
      <c r="D943" s="75"/>
      <c r="E943" s="74"/>
      <c r="F943" s="74"/>
      <c r="G943" s="75"/>
      <c r="H943" s="74"/>
      <c r="I943" s="74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72"/>
      <c r="B944" s="73"/>
      <c r="C944" s="74"/>
      <c r="D944" s="75"/>
      <c r="E944" s="74"/>
      <c r="F944" s="74"/>
      <c r="G944" s="75"/>
      <c r="H944" s="74"/>
      <c r="I944" s="74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72"/>
      <c r="B945" s="73"/>
      <c r="C945" s="74"/>
      <c r="D945" s="75"/>
      <c r="E945" s="74"/>
      <c r="F945" s="74"/>
      <c r="G945" s="75"/>
      <c r="H945" s="74"/>
      <c r="I945" s="74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72"/>
      <c r="B946" s="73"/>
      <c r="C946" s="74"/>
      <c r="D946" s="75"/>
      <c r="E946" s="74"/>
      <c r="F946" s="74"/>
      <c r="G946" s="75"/>
      <c r="H946" s="74"/>
      <c r="I946" s="74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72"/>
      <c r="B947" s="73"/>
      <c r="C947" s="74"/>
      <c r="D947" s="75"/>
      <c r="E947" s="74"/>
      <c r="F947" s="74"/>
      <c r="G947" s="75"/>
      <c r="H947" s="74"/>
      <c r="I947" s="74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72"/>
      <c r="B948" s="73"/>
      <c r="C948" s="74"/>
      <c r="D948" s="75"/>
      <c r="E948" s="74"/>
      <c r="F948" s="74"/>
      <c r="G948" s="75"/>
      <c r="H948" s="74"/>
      <c r="I948" s="74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72"/>
      <c r="B949" s="73"/>
      <c r="C949" s="74"/>
      <c r="D949" s="75"/>
      <c r="E949" s="74"/>
      <c r="F949" s="74"/>
      <c r="G949" s="75"/>
      <c r="H949" s="74"/>
      <c r="I949" s="74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72"/>
      <c r="B950" s="73"/>
      <c r="C950" s="74"/>
      <c r="D950" s="75"/>
      <c r="E950" s="74"/>
      <c r="F950" s="74"/>
      <c r="G950" s="75"/>
      <c r="H950" s="74"/>
      <c r="I950" s="74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72"/>
      <c r="B951" s="73"/>
      <c r="C951" s="74"/>
      <c r="D951" s="75"/>
      <c r="E951" s="74"/>
      <c r="F951" s="74"/>
      <c r="G951" s="75"/>
      <c r="H951" s="74"/>
      <c r="I951" s="74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72"/>
      <c r="B952" s="73"/>
      <c r="C952" s="74"/>
      <c r="D952" s="75"/>
      <c r="E952" s="74"/>
      <c r="F952" s="74"/>
      <c r="G952" s="75"/>
      <c r="H952" s="74"/>
      <c r="I952" s="74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72"/>
      <c r="B953" s="73"/>
      <c r="C953" s="74"/>
      <c r="D953" s="75"/>
      <c r="E953" s="74"/>
      <c r="F953" s="74"/>
      <c r="G953" s="75"/>
      <c r="H953" s="74"/>
      <c r="I953" s="74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72"/>
      <c r="B954" s="73"/>
      <c r="C954" s="74"/>
      <c r="D954" s="75"/>
      <c r="E954" s="74"/>
      <c r="F954" s="74"/>
      <c r="G954" s="75"/>
      <c r="H954" s="74"/>
      <c r="I954" s="74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72"/>
      <c r="B955" s="73"/>
      <c r="C955" s="74"/>
      <c r="D955" s="75"/>
      <c r="E955" s="74"/>
      <c r="F955" s="74"/>
      <c r="G955" s="75"/>
      <c r="H955" s="74"/>
      <c r="I955" s="74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72"/>
      <c r="B956" s="73"/>
      <c r="C956" s="74"/>
      <c r="D956" s="75"/>
      <c r="E956" s="74"/>
      <c r="F956" s="74"/>
      <c r="G956" s="75"/>
      <c r="H956" s="74"/>
      <c r="I956" s="74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72"/>
      <c r="B957" s="73"/>
      <c r="C957" s="74"/>
      <c r="D957" s="75"/>
      <c r="E957" s="74"/>
      <c r="F957" s="74"/>
      <c r="G957" s="75"/>
      <c r="H957" s="74"/>
      <c r="I957" s="74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72"/>
      <c r="B958" s="73"/>
      <c r="C958" s="74"/>
      <c r="D958" s="75"/>
      <c r="E958" s="74"/>
      <c r="F958" s="74"/>
      <c r="G958" s="75"/>
      <c r="H958" s="74"/>
      <c r="I958" s="74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72"/>
      <c r="B959" s="73"/>
      <c r="C959" s="74"/>
      <c r="D959" s="75"/>
      <c r="E959" s="74"/>
      <c r="F959" s="74"/>
      <c r="G959" s="75"/>
      <c r="H959" s="74"/>
      <c r="I959" s="74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72"/>
      <c r="B960" s="73"/>
      <c r="C960" s="74"/>
      <c r="D960" s="75"/>
      <c r="E960" s="74"/>
      <c r="F960" s="74"/>
      <c r="G960" s="75"/>
      <c r="H960" s="74"/>
      <c r="I960" s="74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72"/>
      <c r="B961" s="73"/>
      <c r="C961" s="74"/>
      <c r="D961" s="75"/>
      <c r="E961" s="74"/>
      <c r="F961" s="74"/>
      <c r="G961" s="75"/>
      <c r="H961" s="74"/>
      <c r="I961" s="74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72"/>
      <c r="B962" s="73"/>
      <c r="C962" s="74"/>
      <c r="D962" s="75"/>
      <c r="E962" s="74"/>
      <c r="F962" s="74"/>
      <c r="G962" s="75"/>
      <c r="H962" s="74"/>
      <c r="I962" s="74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72"/>
      <c r="B963" s="73"/>
      <c r="C963" s="74"/>
      <c r="D963" s="75"/>
      <c r="E963" s="74"/>
      <c r="F963" s="74"/>
      <c r="G963" s="75"/>
      <c r="H963" s="74"/>
      <c r="I963" s="74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72"/>
      <c r="B964" s="73"/>
      <c r="C964" s="74"/>
      <c r="D964" s="75"/>
      <c r="E964" s="74"/>
      <c r="F964" s="74"/>
      <c r="G964" s="75"/>
      <c r="H964" s="74"/>
      <c r="I964" s="74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72"/>
      <c r="B965" s="73"/>
      <c r="C965" s="74"/>
      <c r="D965" s="75"/>
      <c r="E965" s="74"/>
      <c r="F965" s="74"/>
      <c r="G965" s="75"/>
      <c r="H965" s="74"/>
      <c r="I965" s="74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72"/>
      <c r="B966" s="73"/>
      <c r="C966" s="74"/>
      <c r="D966" s="75"/>
      <c r="E966" s="74"/>
      <c r="F966" s="74"/>
      <c r="G966" s="75"/>
      <c r="H966" s="74"/>
      <c r="I966" s="74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72"/>
      <c r="B967" s="73"/>
      <c r="C967" s="74"/>
      <c r="D967" s="75"/>
      <c r="E967" s="74"/>
      <c r="F967" s="74"/>
      <c r="G967" s="75"/>
      <c r="H967" s="74"/>
      <c r="I967" s="74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72"/>
      <c r="B968" s="73"/>
      <c r="C968" s="74"/>
      <c r="D968" s="75"/>
      <c r="E968" s="74"/>
      <c r="F968" s="74"/>
      <c r="G968" s="75"/>
      <c r="H968" s="74"/>
      <c r="I968" s="74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72"/>
      <c r="B969" s="73"/>
      <c r="C969" s="74"/>
      <c r="D969" s="75"/>
      <c r="E969" s="74"/>
      <c r="F969" s="74"/>
      <c r="G969" s="75"/>
      <c r="H969" s="74"/>
      <c r="I969" s="74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72"/>
      <c r="B970" s="73"/>
      <c r="C970" s="74"/>
      <c r="D970" s="75"/>
      <c r="E970" s="74"/>
      <c r="F970" s="74"/>
      <c r="G970" s="75"/>
      <c r="H970" s="74"/>
      <c r="I970" s="74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72"/>
      <c r="B971" s="73"/>
      <c r="C971" s="74"/>
      <c r="D971" s="75"/>
      <c r="E971" s="74"/>
      <c r="F971" s="74"/>
      <c r="G971" s="75"/>
      <c r="H971" s="74"/>
      <c r="I971" s="74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72"/>
      <c r="B972" s="73"/>
      <c r="C972" s="74"/>
      <c r="D972" s="75"/>
      <c r="E972" s="74"/>
      <c r="F972" s="74"/>
      <c r="G972" s="75"/>
      <c r="H972" s="74"/>
      <c r="I972" s="74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72"/>
      <c r="B973" s="73"/>
      <c r="C973" s="74"/>
      <c r="D973" s="75"/>
      <c r="E973" s="74"/>
      <c r="F973" s="74"/>
      <c r="G973" s="75"/>
      <c r="H973" s="74"/>
      <c r="I973" s="74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72"/>
      <c r="B974" s="73"/>
      <c r="C974" s="74"/>
      <c r="D974" s="75"/>
      <c r="E974" s="74"/>
      <c r="F974" s="74"/>
      <c r="G974" s="75"/>
      <c r="H974" s="74"/>
      <c r="I974" s="74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72"/>
      <c r="B975" s="73"/>
      <c r="C975" s="74"/>
      <c r="D975" s="75"/>
      <c r="E975" s="74"/>
      <c r="F975" s="74"/>
      <c r="G975" s="75"/>
      <c r="H975" s="74"/>
      <c r="I975" s="74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72"/>
      <c r="B976" s="73"/>
      <c r="C976" s="74"/>
      <c r="D976" s="75"/>
      <c r="E976" s="74"/>
      <c r="F976" s="74"/>
      <c r="G976" s="75"/>
      <c r="H976" s="74"/>
      <c r="I976" s="74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72"/>
      <c r="B977" s="73"/>
      <c r="C977" s="74"/>
      <c r="D977" s="75"/>
      <c r="E977" s="74"/>
      <c r="F977" s="74"/>
      <c r="G977" s="75"/>
      <c r="H977" s="74"/>
      <c r="I977" s="74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72"/>
      <c r="B978" s="73"/>
      <c r="C978" s="74"/>
      <c r="D978" s="75"/>
      <c r="E978" s="74"/>
      <c r="F978" s="74"/>
      <c r="G978" s="75"/>
      <c r="H978" s="74"/>
      <c r="I978" s="74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72"/>
      <c r="B979" s="73"/>
      <c r="C979" s="74"/>
      <c r="D979" s="75"/>
      <c r="E979" s="74"/>
      <c r="F979" s="74"/>
      <c r="G979" s="75"/>
      <c r="H979" s="74"/>
      <c r="I979" s="74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72"/>
      <c r="B980" s="73"/>
      <c r="C980" s="74"/>
      <c r="D980" s="75"/>
      <c r="E980" s="74"/>
      <c r="F980" s="74"/>
      <c r="G980" s="75"/>
      <c r="H980" s="74"/>
      <c r="I980" s="74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72"/>
      <c r="B981" s="73"/>
      <c r="C981" s="74"/>
      <c r="D981" s="75"/>
      <c r="E981" s="74"/>
      <c r="F981" s="74"/>
      <c r="G981" s="75"/>
      <c r="H981" s="74"/>
      <c r="I981" s="74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72"/>
      <c r="B982" s="73"/>
      <c r="C982" s="74"/>
      <c r="D982" s="75"/>
      <c r="E982" s="74"/>
      <c r="F982" s="74"/>
      <c r="G982" s="75"/>
      <c r="H982" s="74"/>
      <c r="I982" s="74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72"/>
      <c r="B983" s="73"/>
      <c r="C983" s="74"/>
      <c r="D983" s="75"/>
      <c r="E983" s="74"/>
      <c r="F983" s="74"/>
      <c r="G983" s="75"/>
      <c r="H983" s="74"/>
      <c r="I983" s="74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72"/>
      <c r="B984" s="73"/>
      <c r="C984" s="74"/>
      <c r="D984" s="75"/>
      <c r="E984" s="74"/>
      <c r="F984" s="74"/>
      <c r="G984" s="75"/>
      <c r="H984" s="74"/>
      <c r="I984" s="74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72"/>
      <c r="B985" s="73"/>
      <c r="C985" s="74"/>
      <c r="D985" s="75"/>
      <c r="E985" s="74"/>
      <c r="F985" s="74"/>
      <c r="G985" s="75"/>
      <c r="H985" s="74"/>
      <c r="I985" s="74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72"/>
      <c r="B986" s="73"/>
      <c r="C986" s="74"/>
      <c r="D986" s="75"/>
      <c r="E986" s="74"/>
      <c r="F986" s="74"/>
      <c r="G986" s="75"/>
      <c r="H986" s="74"/>
      <c r="I986" s="74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72"/>
      <c r="B987" s="73"/>
      <c r="C987" s="74"/>
      <c r="D987" s="75"/>
      <c r="E987" s="74"/>
      <c r="F987" s="74"/>
      <c r="G987" s="75"/>
      <c r="H987" s="74"/>
      <c r="I987" s="74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72"/>
      <c r="B988" s="73"/>
      <c r="C988" s="74"/>
      <c r="D988" s="75"/>
      <c r="E988" s="74"/>
      <c r="F988" s="74"/>
      <c r="G988" s="75"/>
      <c r="H988" s="74"/>
      <c r="I988" s="74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72"/>
      <c r="B989" s="73"/>
      <c r="C989" s="74"/>
      <c r="D989" s="75"/>
      <c r="E989" s="74"/>
      <c r="F989" s="74"/>
      <c r="G989" s="75"/>
      <c r="H989" s="74"/>
      <c r="I989" s="74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72"/>
      <c r="B990" s="73"/>
      <c r="C990" s="74"/>
      <c r="D990" s="75"/>
      <c r="E990" s="74"/>
      <c r="F990" s="74"/>
      <c r="G990" s="75"/>
      <c r="H990" s="74"/>
      <c r="I990" s="74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72"/>
      <c r="B991" s="73"/>
      <c r="C991" s="74"/>
      <c r="D991" s="75"/>
      <c r="E991" s="74"/>
      <c r="F991" s="74"/>
      <c r="G991" s="75"/>
      <c r="H991" s="74"/>
      <c r="I991" s="74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72"/>
      <c r="B992" s="73"/>
      <c r="C992" s="74"/>
      <c r="D992" s="75"/>
      <c r="E992" s="74"/>
      <c r="F992" s="74"/>
      <c r="G992" s="75"/>
      <c r="H992" s="74"/>
      <c r="I992" s="74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72"/>
      <c r="B993" s="73"/>
      <c r="C993" s="74"/>
      <c r="D993" s="75"/>
      <c r="E993" s="74"/>
      <c r="F993" s="74"/>
      <c r="G993" s="75"/>
      <c r="H993" s="74"/>
      <c r="I993" s="74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72"/>
      <c r="B994" s="73"/>
      <c r="C994" s="74"/>
      <c r="D994" s="75"/>
      <c r="E994" s="74"/>
      <c r="F994" s="74"/>
      <c r="G994" s="75"/>
      <c r="H994" s="74"/>
      <c r="I994" s="74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72"/>
      <c r="B995" s="73"/>
      <c r="C995" s="74"/>
      <c r="D995" s="75"/>
      <c r="E995" s="74"/>
      <c r="F995" s="74"/>
      <c r="G995" s="75"/>
      <c r="H995" s="74"/>
      <c r="I995" s="74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72"/>
      <c r="B996" s="73"/>
      <c r="C996" s="74"/>
      <c r="D996" s="75"/>
      <c r="E996" s="74"/>
      <c r="F996" s="74"/>
      <c r="G996" s="75"/>
      <c r="H996" s="74"/>
      <c r="I996" s="74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72"/>
      <c r="B997" s="73"/>
      <c r="C997" s="74"/>
      <c r="D997" s="75"/>
      <c r="E997" s="74"/>
      <c r="F997" s="74"/>
      <c r="G997" s="75"/>
      <c r="H997" s="74"/>
      <c r="I997" s="74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72"/>
      <c r="B998" s="73"/>
      <c r="C998" s="74"/>
      <c r="D998" s="75"/>
      <c r="E998" s="74"/>
      <c r="F998" s="74"/>
      <c r="G998" s="75"/>
      <c r="H998" s="74"/>
      <c r="I998" s="74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72"/>
      <c r="B999" s="73"/>
      <c r="C999" s="74"/>
      <c r="D999" s="75"/>
      <c r="E999" s="74"/>
      <c r="F999" s="74"/>
      <c r="G999" s="75"/>
      <c r="H999" s="74"/>
      <c r="I999" s="74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72"/>
      <c r="B1000" s="73"/>
      <c r="C1000" s="74"/>
      <c r="D1000" s="75"/>
      <c r="E1000" s="74"/>
      <c r="F1000" s="74"/>
      <c r="G1000" s="75"/>
      <c r="H1000" s="74"/>
      <c r="I1000" s="74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autoFilter ref="$A$1:$I$62"/>
  <hyperlinks>
    <hyperlink r:id="rId1" ref="G2"/>
    <hyperlink r:id="rId2" ref="G3"/>
    <hyperlink r:id="rId3" ref="G4"/>
    <hyperlink r:id="rId4" ref="G5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7"/>
    <hyperlink r:id="rId33" ref="G38"/>
    <hyperlink r:id="rId34" ref="G39"/>
    <hyperlink r:id="rId35" ref="G40"/>
    <hyperlink r:id="rId36" ref="G41"/>
    <hyperlink r:id="rId37" ref="G42"/>
    <hyperlink r:id="rId38" ref="G43"/>
    <hyperlink r:id="rId39" ref="G44"/>
    <hyperlink r:id="rId40" ref="G45"/>
    <hyperlink r:id="rId41" ref="G46"/>
    <hyperlink r:id="rId42" ref="G47"/>
    <hyperlink r:id="rId43" ref="G48"/>
    <hyperlink r:id="rId44" ref="G49"/>
    <hyperlink r:id="rId45" ref="G50"/>
    <hyperlink r:id="rId46" ref="G51"/>
    <hyperlink r:id="rId47" ref="G52"/>
    <hyperlink r:id="rId48" ref="G53"/>
    <hyperlink r:id="rId49" ref="G54"/>
    <hyperlink r:id="rId50" ref="G55"/>
    <hyperlink r:id="rId51" ref="G56"/>
    <hyperlink r:id="rId52" ref="G57"/>
    <hyperlink r:id="rId53" ref="G58"/>
    <hyperlink r:id="rId54" ref="G59"/>
    <hyperlink r:id="rId55" ref="G60"/>
    <hyperlink r:id="rId56" ref="G61"/>
    <hyperlink r:id="rId57" ref="G62"/>
    <hyperlink r:id="rId58" ref="G63"/>
    <hyperlink r:id="rId59" ref="G64"/>
    <hyperlink r:id="rId60" ref="G65"/>
    <hyperlink r:id="rId61" ref="G66"/>
    <hyperlink r:id="rId62" ref="G67"/>
    <hyperlink r:id="rId63" ref="G68"/>
  </hyperlinks>
  <drawing r:id="rId64"/>
  <tableParts count="1">
    <tablePart r:id="rId66"/>
  </tableParts>
</worksheet>
</file>