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Сводка суточный\2019\Сентябрь 2019\"/>
    </mc:Choice>
  </mc:AlternateContent>
  <bookViews>
    <workbookView xWindow="-105" yWindow="-105" windowWidth="23250" windowHeight="12570" tabRatio="599" activeTab="5"/>
  </bookViews>
  <sheets>
    <sheet name="Main data" sheetId="7" r:id="rId1"/>
    <sheet name="General data " sheetId="28" r:id="rId2"/>
    <sheet name="Workover" sheetId="12" r:id="rId3"/>
    <sheet name="_" sheetId="24" state="hidden" r:id="rId4"/>
    <sheet name="Fluid density calculator" sheetId="25" state="hidden" r:id="rId5"/>
    <sheet name="Transport" sheetId="11" r:id="rId6"/>
    <sheet name="ESP" sheetId="18" r:id="rId7"/>
    <sheet name="Graphs" sheetId="26" r:id="rId8"/>
    <sheet name="Months" sheetId="21" r:id="rId9"/>
  </sheets>
  <definedNames>
    <definedName name="_xlnm.Print_Area" localSheetId="1">'General data '!$A$1:$AC$69</definedName>
    <definedName name="_xlnm.Print_Area" localSheetId="7">Graphs!$A$1:$AG$29</definedName>
    <definedName name="_xlnm.Print_Area" localSheetId="0">'Main data'!$A$1:$Q$50</definedName>
    <definedName name="_xlnm.Print_Area" localSheetId="8">Months!$A$1:$K$44</definedName>
    <definedName name="_xlnm.Print_Area" localSheetId="5">Transport!$A$1:$L$80</definedName>
    <definedName name="_xlnm.Print_Area" localSheetId="2">Workover!$A$1:$P$66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28" l="1"/>
  <c r="J34" i="7" l="1"/>
  <c r="L36" i="7" l="1"/>
  <c r="L35" i="7"/>
  <c r="L34" i="7"/>
  <c r="H36" i="7"/>
  <c r="H35" i="7"/>
  <c r="G21" i="12" l="1"/>
  <c r="G22" i="12"/>
  <c r="G27" i="12"/>
  <c r="N28" i="28" l="1"/>
  <c r="O28" i="28" s="1"/>
  <c r="P39" i="7" l="1"/>
  <c r="B36" i="7" l="1"/>
  <c r="D36" i="7" s="1"/>
  <c r="G31" i="12" l="1"/>
  <c r="B39" i="7" l="1"/>
  <c r="D39" i="7" s="1"/>
  <c r="C15" i="21" l="1"/>
  <c r="B34" i="7" l="1"/>
  <c r="D34" i="7" s="1"/>
  <c r="B38" i="7" l="1"/>
  <c r="B40" i="7"/>
  <c r="B35" i="7"/>
  <c r="D35" i="7" s="1"/>
  <c r="P35" i="7" l="1"/>
  <c r="P36" i="7"/>
  <c r="P37" i="7"/>
  <c r="P38" i="7"/>
  <c r="P40" i="7"/>
  <c r="P34" i="7"/>
  <c r="L37" i="7"/>
  <c r="L38" i="7"/>
  <c r="L39" i="7"/>
  <c r="L40" i="7"/>
  <c r="H37" i="7"/>
  <c r="H38" i="7"/>
  <c r="H39" i="7"/>
  <c r="H40" i="7"/>
  <c r="H34" i="7"/>
  <c r="D38" i="7"/>
  <c r="D40" i="7"/>
  <c r="E9" i="11" l="1"/>
  <c r="E10" i="11"/>
  <c r="G10" i="11"/>
  <c r="G11" i="11"/>
  <c r="E12" i="11"/>
  <c r="G12" i="11"/>
  <c r="E13" i="11"/>
  <c r="G13" i="11"/>
  <c r="E14" i="11"/>
  <c r="G36" i="11"/>
  <c r="G37" i="11"/>
  <c r="G38" i="11"/>
  <c r="G40" i="11"/>
  <c r="G41" i="11"/>
  <c r="G42" i="11"/>
  <c r="G43" i="11"/>
  <c r="G44" i="11"/>
  <c r="G45" i="11"/>
  <c r="G47" i="11"/>
  <c r="G50" i="11"/>
  <c r="G51" i="11"/>
  <c r="G55" i="11"/>
  <c r="F58" i="11" l="1"/>
  <c r="H58" i="11"/>
  <c r="I58" i="11"/>
  <c r="J58" i="11"/>
  <c r="K58" i="11"/>
  <c r="L58" i="11"/>
  <c r="D58" i="11"/>
  <c r="F64" i="11"/>
  <c r="H64" i="11"/>
  <c r="I64" i="11"/>
  <c r="J64" i="11"/>
  <c r="K64" i="11"/>
  <c r="L64" i="11"/>
  <c r="D64" i="11"/>
  <c r="D39" i="12"/>
  <c r="F65" i="11" l="1"/>
  <c r="K65" i="11"/>
  <c r="J65" i="11"/>
  <c r="D65" i="11"/>
  <c r="I65" i="11"/>
  <c r="L65" i="11"/>
  <c r="H65" i="11"/>
  <c r="C9" i="21" l="1"/>
  <c r="C10" i="21"/>
  <c r="C11" i="21"/>
  <c r="C12" i="21"/>
  <c r="C13" i="21"/>
  <c r="C14" i="21"/>
  <c r="AG10" i="26" l="1"/>
  <c r="AG9" i="26"/>
  <c r="AG8" i="26" l="1"/>
  <c r="N17" i="28" l="1"/>
  <c r="O17" i="28" s="1"/>
  <c r="N51" i="28"/>
  <c r="M52" i="28"/>
  <c r="O52" i="28"/>
  <c r="P52" i="28"/>
  <c r="Q52" i="28"/>
  <c r="N55" i="28"/>
  <c r="O55" i="28" s="1"/>
  <c r="N60" i="28"/>
  <c r="N64" i="28"/>
  <c r="O64" i="28" s="1"/>
  <c r="P64" i="28" s="1"/>
  <c r="N66" i="28"/>
  <c r="N68" i="28"/>
  <c r="O68" i="28" s="1"/>
  <c r="P17" i="28" l="1"/>
  <c r="N69" i="28"/>
  <c r="O66" i="28"/>
  <c r="P66" i="28" s="1"/>
  <c r="O60" i="28"/>
  <c r="P60" i="28" s="1"/>
  <c r="R52" i="28"/>
  <c r="P28" i="28"/>
  <c r="P68" i="28"/>
  <c r="B8" i="7" l="1"/>
  <c r="C8" i="21"/>
  <c r="F41" i="7" l="1"/>
  <c r="N41" i="7"/>
  <c r="K11" i="21" l="1"/>
  <c r="I11" i="21"/>
  <c r="G11" i="21"/>
  <c r="K10" i="21"/>
  <c r="I10" i="21"/>
  <c r="G10" i="21"/>
  <c r="K9" i="21"/>
  <c r="I9" i="21"/>
  <c r="G9" i="21"/>
  <c r="K8" i="21"/>
  <c r="I8" i="21"/>
  <c r="G8" i="21"/>
  <c r="B37" i="7" l="1"/>
  <c r="E38" i="7"/>
  <c r="C40" i="7"/>
  <c r="G40" i="7"/>
  <c r="I40" i="7"/>
  <c r="K40" i="7"/>
  <c r="M40" i="7"/>
  <c r="O40" i="7"/>
  <c r="Q40" i="7"/>
  <c r="G37" i="7"/>
  <c r="K37" i="7"/>
  <c r="O37" i="7"/>
  <c r="G38" i="7"/>
  <c r="I38" i="7"/>
  <c r="K38" i="7"/>
  <c r="M38" i="7"/>
  <c r="O38" i="7"/>
  <c r="Q38" i="7"/>
  <c r="O34" i="7"/>
  <c r="Q34" i="7"/>
  <c r="O35" i="7"/>
  <c r="Q35" i="7"/>
  <c r="O36" i="7"/>
  <c r="Q36" i="7"/>
  <c r="D37" i="7" l="1"/>
  <c r="E37" i="7" s="1"/>
  <c r="Q37" i="7"/>
  <c r="P41" i="7"/>
  <c r="M37" i="7"/>
  <c r="I37" i="7"/>
  <c r="C37" i="7"/>
  <c r="C38" i="7"/>
  <c r="E40" i="7"/>
  <c r="C20" i="7" l="1"/>
  <c r="B20" i="7"/>
  <c r="D20" i="7" l="1"/>
  <c r="T9" i="18" l="1"/>
  <c r="AE11" i="26" l="1"/>
  <c r="AF11" i="26"/>
  <c r="AD11" i="26" l="1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AG11" i="26" l="1"/>
  <c r="L39" i="12"/>
  <c r="K39" i="12"/>
  <c r="J39" i="12"/>
  <c r="I39" i="12"/>
  <c r="H39" i="12"/>
  <c r="F39" i="12"/>
  <c r="G39" i="12" l="1"/>
  <c r="K35" i="7" l="1"/>
  <c r="M35" i="7" l="1"/>
  <c r="Q39" i="7"/>
  <c r="Q41" i="7" s="1"/>
  <c r="O39" i="7"/>
  <c r="O41" i="7" s="1"/>
  <c r="K39" i="7"/>
  <c r="G39" i="7"/>
  <c r="M36" i="7"/>
  <c r="K36" i="7"/>
  <c r="I36" i="7"/>
  <c r="G36" i="7"/>
  <c r="I35" i="7"/>
  <c r="G35" i="7"/>
  <c r="I34" i="7"/>
  <c r="G34" i="7"/>
  <c r="I39" i="7" l="1"/>
  <c r="I41" i="7" s="1"/>
  <c r="H41" i="7"/>
  <c r="M39" i="7"/>
  <c r="G41" i="7"/>
  <c r="D41" i="7"/>
  <c r="C36" i="7"/>
  <c r="C34" i="7"/>
  <c r="E34" i="7"/>
  <c r="E39" i="7"/>
  <c r="C39" i="7"/>
  <c r="E36" i="7"/>
  <c r="C35" i="7"/>
  <c r="E35" i="7"/>
  <c r="C41" i="7" l="1"/>
  <c r="E41" i="7"/>
  <c r="I19" i="21"/>
  <c r="K19" i="21" l="1"/>
  <c r="G57" i="11" l="1"/>
  <c r="G12" i="21" l="1"/>
  <c r="G13" i="21"/>
  <c r="G14" i="21"/>
  <c r="G15" i="21"/>
  <c r="G16" i="21"/>
  <c r="G17" i="21"/>
  <c r="G18" i="21"/>
  <c r="G19" i="21"/>
  <c r="I18" i="21" l="1"/>
  <c r="K18" i="21"/>
  <c r="S21" i="18" l="1"/>
  <c r="K17" i="21" l="1"/>
  <c r="I17" i="21"/>
  <c r="K16" i="21" l="1"/>
  <c r="I16" i="21"/>
  <c r="K15" i="21"/>
  <c r="I15" i="21"/>
  <c r="K14" i="21"/>
  <c r="I14" i="21"/>
  <c r="K13" i="21"/>
  <c r="I13" i="21"/>
  <c r="K12" i="21"/>
  <c r="I12" i="21"/>
  <c r="E58" i="11"/>
  <c r="G58" i="11" l="1"/>
  <c r="B41" i="7"/>
  <c r="V21" i="18" l="1"/>
  <c r="S29" i="18"/>
  <c r="S23" i="18"/>
  <c r="L8" i="7"/>
  <c r="M8" i="7" s="1"/>
  <c r="C109" i="24"/>
  <c r="C106" i="24"/>
  <c r="C107" i="24" s="1"/>
  <c r="D106" i="24"/>
  <c r="C103" i="24"/>
  <c r="C100" i="24"/>
  <c r="C101" i="24" s="1"/>
  <c r="D100" i="24"/>
  <c r="D59" i="24"/>
  <c r="C62" i="24"/>
  <c r="T10" i="18"/>
  <c r="Q3" i="7"/>
  <c r="Q4" i="7" s="1"/>
  <c r="S15" i="18"/>
  <c r="S26" i="18"/>
  <c r="S12" i="18"/>
  <c r="G63" i="11"/>
  <c r="E63" i="11"/>
  <c r="E62" i="11"/>
  <c r="G61" i="11"/>
  <c r="E61" i="11"/>
  <c r="G60" i="11"/>
  <c r="E60" i="11"/>
  <c r="G59" i="11"/>
  <c r="E59" i="11"/>
  <c r="H8" i="7"/>
  <c r="I8" i="7" s="1"/>
  <c r="B54" i="12"/>
  <c r="D54" i="12"/>
  <c r="E54" i="12"/>
  <c r="F54" i="12"/>
  <c r="G54" i="12"/>
  <c r="H54" i="12"/>
  <c r="I54" i="12"/>
  <c r="J54" i="12"/>
  <c r="K54" i="12"/>
  <c r="L54" i="12"/>
  <c r="A12" i="25"/>
  <c r="C6" i="25"/>
  <c r="A6" i="25" s="1"/>
  <c r="C7" i="24"/>
  <c r="E7" i="24" s="1"/>
  <c r="C8" i="24"/>
  <c r="E8" i="24" s="1"/>
  <c r="C6" i="24"/>
  <c r="E6" i="24" s="1"/>
  <c r="C5" i="24"/>
  <c r="E5" i="24" s="1"/>
  <c r="C94" i="24"/>
  <c r="C95" i="24" s="1"/>
  <c r="C88" i="24"/>
  <c r="C89" i="24" s="1"/>
  <c r="C82" i="24"/>
  <c r="C83" i="24" s="1"/>
  <c r="C76" i="24"/>
  <c r="E76" i="24" s="1"/>
  <c r="C75" i="24"/>
  <c r="E75" i="24" s="1"/>
  <c r="C74" i="24"/>
  <c r="E74" i="24" s="1"/>
  <c r="C68" i="24"/>
  <c r="E68" i="24" s="1"/>
  <c r="C67" i="24"/>
  <c r="E67" i="24" s="1"/>
  <c r="C66" i="24"/>
  <c r="E66" i="24" s="1"/>
  <c r="C65" i="24"/>
  <c r="E65" i="24" s="1"/>
  <c r="C59" i="24"/>
  <c r="C60" i="24" s="1"/>
  <c r="C51" i="24"/>
  <c r="E51" i="24" s="1"/>
  <c r="C49" i="24"/>
  <c r="E49" i="24" s="1"/>
  <c r="C48" i="24"/>
  <c r="E48" i="24" s="1"/>
  <c r="C47" i="24"/>
  <c r="E47" i="24" s="1"/>
  <c r="C46" i="24"/>
  <c r="E46" i="24" s="1"/>
  <c r="C45" i="24"/>
  <c r="E45" i="24" s="1"/>
  <c r="C44" i="24"/>
  <c r="E44" i="24" s="1"/>
  <c r="C43" i="24"/>
  <c r="E43" i="24" s="1"/>
  <c r="C42" i="24"/>
  <c r="E42" i="24" s="1"/>
  <c r="C41" i="24"/>
  <c r="E41" i="24" s="1"/>
  <c r="C40" i="24"/>
  <c r="E40" i="24" s="1"/>
  <c r="C39" i="24"/>
  <c r="E39" i="24" s="1"/>
  <c r="C38" i="24"/>
  <c r="E38" i="24" s="1"/>
  <c r="C37" i="24"/>
  <c r="E37" i="24" s="1"/>
  <c r="C36" i="24"/>
  <c r="E36" i="24" s="1"/>
  <c r="C35" i="24"/>
  <c r="E35" i="24" s="1"/>
  <c r="C34" i="24"/>
  <c r="E34" i="24" s="1"/>
  <c r="C33" i="24"/>
  <c r="E33" i="24" s="1"/>
  <c r="C32" i="24"/>
  <c r="E32" i="24" s="1"/>
  <c r="C31" i="24"/>
  <c r="E31" i="24" s="1"/>
  <c r="C30" i="24"/>
  <c r="E30" i="24" s="1"/>
  <c r="C24" i="24"/>
  <c r="E24" i="24" s="1"/>
  <c r="C23" i="24"/>
  <c r="E23" i="24" s="1"/>
  <c r="C22" i="24"/>
  <c r="E22" i="24" s="1"/>
  <c r="C21" i="24"/>
  <c r="E21" i="24" s="1"/>
  <c r="C20" i="24"/>
  <c r="E20" i="24" s="1"/>
  <c r="C19" i="24"/>
  <c r="E19" i="24" s="1"/>
  <c r="C18" i="24"/>
  <c r="E18" i="24" s="1"/>
  <c r="C17" i="24"/>
  <c r="E17" i="24" s="1"/>
  <c r="C16" i="24"/>
  <c r="E16" i="24" s="1"/>
  <c r="C10" i="24"/>
  <c r="E10" i="24" s="1"/>
  <c r="C9" i="24"/>
  <c r="E9" i="24" s="1"/>
  <c r="C4" i="24"/>
  <c r="E4" i="24" s="1"/>
  <c r="E94" i="24"/>
  <c r="E95" i="24" s="1"/>
  <c r="F94" i="24" s="1"/>
  <c r="C97" i="24"/>
  <c r="C91" i="24"/>
  <c r="U23" i="18"/>
  <c r="S30" i="18"/>
  <c r="S13" i="18"/>
  <c r="T11" i="18"/>
  <c r="T12" i="18"/>
  <c r="T13" i="18"/>
  <c r="T14" i="18"/>
  <c r="T15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Q26" i="18"/>
  <c r="Q27" i="18"/>
  <c r="Q28" i="18"/>
  <c r="Q29" i="18"/>
  <c r="Q30" i="18"/>
  <c r="P26" i="18"/>
  <c r="P27" i="18"/>
  <c r="P28" i="18"/>
  <c r="P29" i="18"/>
  <c r="P30" i="18"/>
  <c r="O26" i="18"/>
  <c r="O27" i="18"/>
  <c r="O28" i="18"/>
  <c r="O29" i="18"/>
  <c r="O30" i="18"/>
  <c r="N26" i="18"/>
  <c r="N27" i="18"/>
  <c r="N28" i="18"/>
  <c r="N29" i="18"/>
  <c r="N30" i="18"/>
  <c r="R19" i="18"/>
  <c r="R20" i="18"/>
  <c r="R21" i="18"/>
  <c r="R22" i="18"/>
  <c r="R23" i="18"/>
  <c r="R24" i="18"/>
  <c r="Q18" i="18"/>
  <c r="Q19" i="18"/>
  <c r="Q20" i="18"/>
  <c r="Q21" i="18"/>
  <c r="Q22" i="18"/>
  <c r="P18" i="18"/>
  <c r="P19" i="18"/>
  <c r="P20" i="18"/>
  <c r="P21" i="18"/>
  <c r="O18" i="18"/>
  <c r="O19" i="18"/>
  <c r="O20" i="18"/>
  <c r="O21" i="18"/>
  <c r="N18" i="18"/>
  <c r="N19" i="18"/>
  <c r="N20" i="18"/>
  <c r="N21" i="18"/>
  <c r="Q17" i="18"/>
  <c r="P17" i="18"/>
  <c r="O17" i="18"/>
  <c r="N17" i="18"/>
  <c r="Q15" i="18"/>
  <c r="P15" i="18"/>
  <c r="O15" i="18"/>
  <c r="Q12" i="18"/>
  <c r="P12" i="18"/>
  <c r="O12" i="18"/>
  <c r="N12" i="18"/>
  <c r="Q11" i="18"/>
  <c r="P11" i="18"/>
  <c r="O11" i="18"/>
  <c r="N11" i="18"/>
  <c r="P10" i="18"/>
  <c r="O10" i="18"/>
  <c r="N10" i="18"/>
  <c r="V30" i="18"/>
  <c r="U30" i="18"/>
  <c r="R30" i="18"/>
  <c r="V29" i="18"/>
  <c r="U29" i="18"/>
  <c r="R29" i="18"/>
  <c r="V28" i="18"/>
  <c r="U28" i="18"/>
  <c r="R28" i="18"/>
  <c r="V27" i="18"/>
  <c r="U27" i="18"/>
  <c r="R27" i="18"/>
  <c r="V26" i="18"/>
  <c r="U26" i="18"/>
  <c r="R26" i="18"/>
  <c r="V25" i="18"/>
  <c r="U25" i="18"/>
  <c r="R25" i="18"/>
  <c r="Q25" i="18"/>
  <c r="P25" i="18"/>
  <c r="O25" i="18"/>
  <c r="N25" i="18"/>
  <c r="V24" i="18"/>
  <c r="U24" i="18"/>
  <c r="Q24" i="18"/>
  <c r="P24" i="18"/>
  <c r="O24" i="18"/>
  <c r="N24" i="18"/>
  <c r="V23" i="18"/>
  <c r="Q23" i="18"/>
  <c r="P23" i="18"/>
  <c r="O23" i="18"/>
  <c r="N23" i="18"/>
  <c r="V22" i="18"/>
  <c r="U22" i="18"/>
  <c r="P22" i="18"/>
  <c r="O22" i="18"/>
  <c r="N22" i="18"/>
  <c r="U21" i="18"/>
  <c r="V20" i="18"/>
  <c r="U20" i="18"/>
  <c r="V19" i="18"/>
  <c r="U19" i="18"/>
  <c r="S19" i="18"/>
  <c r="U18" i="18"/>
  <c r="R18" i="18"/>
  <c r="V17" i="18"/>
  <c r="U17" i="18"/>
  <c r="R17" i="18"/>
  <c r="V16" i="18"/>
  <c r="U16" i="18"/>
  <c r="R16" i="18"/>
  <c r="Q16" i="18"/>
  <c r="P16" i="18"/>
  <c r="O16" i="18"/>
  <c r="N16" i="18"/>
  <c r="V15" i="18"/>
  <c r="U15" i="18"/>
  <c r="R15" i="18"/>
  <c r="N15" i="18"/>
  <c r="U14" i="18"/>
  <c r="R14" i="18"/>
  <c r="Q14" i="18"/>
  <c r="P14" i="18"/>
  <c r="O14" i="18"/>
  <c r="N14" i="18"/>
  <c r="V13" i="18"/>
  <c r="U13" i="18"/>
  <c r="R13" i="18"/>
  <c r="Q13" i="18"/>
  <c r="P13" i="18"/>
  <c r="O13" i="18"/>
  <c r="N13" i="18"/>
  <c r="V12" i="18"/>
  <c r="U12" i="18"/>
  <c r="R12" i="18"/>
  <c r="V11" i="18"/>
  <c r="U11" i="18"/>
  <c r="R11" i="18"/>
  <c r="V10" i="18"/>
  <c r="U10" i="18"/>
  <c r="S10" i="18"/>
  <c r="R10" i="18"/>
  <c r="Q10" i="18"/>
  <c r="U9" i="18"/>
  <c r="R9" i="18"/>
  <c r="Q9" i="18"/>
  <c r="P9" i="18"/>
  <c r="O9" i="18"/>
  <c r="N9" i="18"/>
  <c r="E64" i="11" l="1"/>
  <c r="E65" i="11" s="1"/>
  <c r="G64" i="11"/>
  <c r="G65" i="11" s="1"/>
  <c r="C63" i="24"/>
  <c r="F8" i="7"/>
  <c r="G8" i="7" s="1"/>
  <c r="C13" i="24"/>
  <c r="C8" i="25"/>
  <c r="A8" i="25" s="1"/>
  <c r="A4" i="25" s="1"/>
  <c r="B4" i="25" s="1"/>
  <c r="E100" i="24"/>
  <c r="E101" i="24" s="1"/>
  <c r="F100" i="24" s="1"/>
  <c r="C54" i="24"/>
  <c r="C27" i="24"/>
  <c r="C110" i="24"/>
  <c r="C77" i="24"/>
  <c r="E59" i="24"/>
  <c r="E60" i="24" s="1"/>
  <c r="F59" i="24" s="1"/>
  <c r="E69" i="24"/>
  <c r="F68" i="24" s="1"/>
  <c r="E77" i="24"/>
  <c r="F75" i="24" s="1"/>
  <c r="C98" i="24"/>
  <c r="G94" i="24" s="1"/>
  <c r="C92" i="24"/>
  <c r="C69" i="24"/>
  <c r="E88" i="24"/>
  <c r="E82" i="24"/>
  <c r="E83" i="24" s="1"/>
  <c r="F82" i="24" s="1"/>
  <c r="C11" i="24"/>
  <c r="C85" i="24"/>
  <c r="C86" i="24" s="1"/>
  <c r="C71" i="24"/>
  <c r="C79" i="24"/>
  <c r="C104" i="24"/>
  <c r="E106" i="24"/>
  <c r="C52" i="24"/>
  <c r="E52" i="24"/>
  <c r="F31" i="24" s="1"/>
  <c r="C25" i="24"/>
  <c r="E25" i="24"/>
  <c r="F17" i="24" s="1"/>
  <c r="E11" i="24"/>
  <c r="F5" i="24" s="1"/>
  <c r="G59" i="24" l="1"/>
  <c r="P54" i="28" s="1"/>
  <c r="C80" i="24"/>
  <c r="G75" i="24" s="1"/>
  <c r="P62" i="28" s="1"/>
  <c r="G82" i="24"/>
  <c r="P65" i="28" s="1"/>
  <c r="C14" i="24"/>
  <c r="G5" i="24" s="1"/>
  <c r="P11" i="28" s="1"/>
  <c r="F76" i="24"/>
  <c r="F65" i="24"/>
  <c r="F67" i="24"/>
  <c r="G100" i="24"/>
  <c r="P49" i="28" s="1"/>
  <c r="F22" i="24"/>
  <c r="C55" i="24"/>
  <c r="G31" i="24" s="1"/>
  <c r="P30" i="28" s="1"/>
  <c r="F23" i="24"/>
  <c r="C28" i="24"/>
  <c r="F20" i="24"/>
  <c r="F16" i="24"/>
  <c r="F18" i="24"/>
  <c r="F19" i="24"/>
  <c r="F24" i="24"/>
  <c r="F66" i="24"/>
  <c r="C72" i="24"/>
  <c r="H94" i="24"/>
  <c r="G95" i="24"/>
  <c r="L94" i="24"/>
  <c r="E89" i="24"/>
  <c r="F88" i="24" s="1"/>
  <c r="G88" i="24" s="1"/>
  <c r="P67" i="28" s="1"/>
  <c r="F74" i="24"/>
  <c r="F21" i="24"/>
  <c r="E107" i="24"/>
  <c r="F106" i="24" s="1"/>
  <c r="G106" i="24" s="1"/>
  <c r="P53" i="28" s="1"/>
  <c r="F33" i="24"/>
  <c r="F42" i="24"/>
  <c r="F39" i="24"/>
  <c r="F38" i="24"/>
  <c r="F51" i="24"/>
  <c r="F41" i="24"/>
  <c r="F32" i="24"/>
  <c r="F37" i="24"/>
  <c r="F46" i="24"/>
  <c r="F34" i="24"/>
  <c r="F40" i="24"/>
  <c r="F49" i="24"/>
  <c r="F45" i="24"/>
  <c r="F36" i="24"/>
  <c r="F35" i="24"/>
  <c r="F48" i="24"/>
  <c r="F47" i="24"/>
  <c r="F30" i="24"/>
  <c r="F44" i="24"/>
  <c r="F43" i="24"/>
  <c r="F8" i="24"/>
  <c r="F7" i="24"/>
  <c r="F9" i="24"/>
  <c r="F10" i="24"/>
  <c r="F6" i="24"/>
  <c r="F4" i="24"/>
  <c r="P55" i="28" l="1"/>
  <c r="H5" i="24"/>
  <c r="O11" i="28" s="1"/>
  <c r="H59" i="24"/>
  <c r="J59" i="24" s="1"/>
  <c r="K59" i="24" s="1"/>
  <c r="M54" i="28" s="1"/>
  <c r="R54" i="28" s="1"/>
  <c r="H82" i="24"/>
  <c r="O65" i="28" s="1"/>
  <c r="L95" i="24"/>
  <c r="F29" i="18"/>
  <c r="L82" i="24"/>
  <c r="Q65" i="28" s="1"/>
  <c r="Q66" i="28" s="1"/>
  <c r="G83" i="24"/>
  <c r="L59" i="24"/>
  <c r="Q54" i="28" s="1"/>
  <c r="G60" i="24"/>
  <c r="G8" i="24"/>
  <c r="P14" i="28" s="1"/>
  <c r="G6" i="24"/>
  <c r="P12" i="28" s="1"/>
  <c r="G74" i="24"/>
  <c r="P61" i="28" s="1"/>
  <c r="G76" i="24"/>
  <c r="P63" i="28" s="1"/>
  <c r="G9" i="24"/>
  <c r="P15" i="28" s="1"/>
  <c r="G4" i="24"/>
  <c r="P10" i="28" s="1"/>
  <c r="G10" i="24"/>
  <c r="P16" i="28" s="1"/>
  <c r="G7" i="24"/>
  <c r="P13" i="28" s="1"/>
  <c r="H100" i="24"/>
  <c r="J100" i="24" s="1"/>
  <c r="K100" i="24" s="1"/>
  <c r="M49" i="28" s="1"/>
  <c r="R49" i="28" s="1"/>
  <c r="G101" i="24"/>
  <c r="L100" i="24"/>
  <c r="Q49" i="28" s="1"/>
  <c r="G67" i="24"/>
  <c r="P58" i="28" s="1"/>
  <c r="G68" i="24"/>
  <c r="P59" i="28" s="1"/>
  <c r="G21" i="24"/>
  <c r="P23" i="28" s="1"/>
  <c r="L31" i="24"/>
  <c r="Q30" i="28" s="1"/>
  <c r="H31" i="24"/>
  <c r="O30" i="28" s="1"/>
  <c r="G43" i="24"/>
  <c r="P42" i="28" s="1"/>
  <c r="G30" i="24"/>
  <c r="P29" i="28" s="1"/>
  <c r="G48" i="24"/>
  <c r="P47" i="28" s="1"/>
  <c r="G36" i="24"/>
  <c r="P35" i="28" s="1"/>
  <c r="G49" i="24"/>
  <c r="P48" i="28" s="1"/>
  <c r="G34" i="24"/>
  <c r="P33" i="28" s="1"/>
  <c r="G37" i="24"/>
  <c r="P36" i="28" s="1"/>
  <c r="G41" i="24"/>
  <c r="P40" i="28" s="1"/>
  <c r="G38" i="24"/>
  <c r="P37" i="28" s="1"/>
  <c r="G42" i="24"/>
  <c r="P41" i="28" s="1"/>
  <c r="G44" i="24"/>
  <c r="P43" i="28" s="1"/>
  <c r="G47" i="24"/>
  <c r="P46" i="28" s="1"/>
  <c r="G35" i="24"/>
  <c r="P34" i="28" s="1"/>
  <c r="G45" i="24"/>
  <c r="P44" i="28" s="1"/>
  <c r="G40" i="24"/>
  <c r="P39" i="28" s="1"/>
  <c r="G46" i="24"/>
  <c r="P45" i="28" s="1"/>
  <c r="G32" i="24"/>
  <c r="P31" i="28" s="1"/>
  <c r="G51" i="24"/>
  <c r="P50" i="28" s="1"/>
  <c r="G39" i="24"/>
  <c r="P38" i="28" s="1"/>
  <c r="G33" i="24"/>
  <c r="P32" i="28" s="1"/>
  <c r="G16" i="24"/>
  <c r="P18" i="28" s="1"/>
  <c r="G24" i="24"/>
  <c r="P27" i="28" s="1"/>
  <c r="G18" i="24"/>
  <c r="P20" i="28" s="1"/>
  <c r="G20" i="24"/>
  <c r="P22" i="28" s="1"/>
  <c r="G17" i="24"/>
  <c r="P19" i="28" s="1"/>
  <c r="G22" i="24"/>
  <c r="P25" i="28" s="1"/>
  <c r="G19" i="24"/>
  <c r="P21" i="28" s="1"/>
  <c r="G23" i="24"/>
  <c r="P26" i="28" s="1"/>
  <c r="G65" i="24"/>
  <c r="P56" i="28" s="1"/>
  <c r="J94" i="24"/>
  <c r="K94" i="24" s="1"/>
  <c r="G66" i="24"/>
  <c r="P57" i="28" s="1"/>
  <c r="H88" i="24"/>
  <c r="O67" i="28" s="1"/>
  <c r="G89" i="24"/>
  <c r="L88" i="24"/>
  <c r="Q67" i="28" s="1"/>
  <c r="Q68" i="28" s="1"/>
  <c r="H75" i="24"/>
  <c r="O62" i="28" s="1"/>
  <c r="L75" i="24"/>
  <c r="Q62" i="28" s="1"/>
  <c r="G107" i="24"/>
  <c r="H106" i="24"/>
  <c r="J106" i="24" s="1"/>
  <c r="K106" i="24" s="1"/>
  <c r="M53" i="28" s="1"/>
  <c r="L106" i="24"/>
  <c r="Q53" i="28" s="1"/>
  <c r="L5" i="24"/>
  <c r="Q11" i="28" s="1"/>
  <c r="J82" i="24" l="1"/>
  <c r="K82" i="24" s="1"/>
  <c r="M65" i="28" s="1"/>
  <c r="R65" i="28" s="1"/>
  <c r="R66" i="28" s="1"/>
  <c r="Q55" i="28"/>
  <c r="J5" i="24"/>
  <c r="K5" i="24" s="1"/>
  <c r="R53" i="28"/>
  <c r="R55" i="28" s="1"/>
  <c r="M55" i="28"/>
  <c r="P51" i="28"/>
  <c r="P69" i="28" s="1"/>
  <c r="M66" i="28"/>
  <c r="L51" i="24"/>
  <c r="Q50" i="28" s="1"/>
  <c r="L45" i="24"/>
  <c r="Q44" i="28" s="1"/>
  <c r="L101" i="24"/>
  <c r="L10" i="24"/>
  <c r="Q16" i="28" s="1"/>
  <c r="L65" i="24"/>
  <c r="Q56" i="28" s="1"/>
  <c r="H17" i="24"/>
  <c r="O19" i="28" s="1"/>
  <c r="L16" i="24"/>
  <c r="Q18" i="28" s="1"/>
  <c r="H32" i="24"/>
  <c r="O31" i="28" s="1"/>
  <c r="F14" i="18"/>
  <c r="H34" i="24"/>
  <c r="O33" i="28" s="1"/>
  <c r="L21" i="24"/>
  <c r="Q23" i="28" s="1"/>
  <c r="H4" i="24"/>
  <c r="O10" i="28" s="1"/>
  <c r="K60" i="24"/>
  <c r="H24" i="24"/>
  <c r="O27" i="28" s="1"/>
  <c r="L74" i="24"/>
  <c r="Q61" i="28" s="1"/>
  <c r="L20" i="24"/>
  <c r="Q22" i="28" s="1"/>
  <c r="L46" i="24"/>
  <c r="Q45" i="28" s="1"/>
  <c r="H47" i="24"/>
  <c r="O46" i="28" s="1"/>
  <c r="L38" i="24"/>
  <c r="Q37" i="28" s="1"/>
  <c r="H49" i="24"/>
  <c r="O48" i="28" s="1"/>
  <c r="L43" i="24"/>
  <c r="Q42" i="28" s="1"/>
  <c r="H68" i="24"/>
  <c r="O59" i="28" s="1"/>
  <c r="L9" i="24"/>
  <c r="Q15" i="28" s="1"/>
  <c r="L8" i="24"/>
  <c r="Q14" i="28" s="1"/>
  <c r="H22" i="24"/>
  <c r="O25" i="28" s="1"/>
  <c r="L33" i="24"/>
  <c r="Q32" i="28" s="1"/>
  <c r="H66" i="24"/>
  <c r="O57" i="28" s="1"/>
  <c r="L18" i="24"/>
  <c r="Q20" i="28" s="1"/>
  <c r="L40" i="24"/>
  <c r="L44" i="24"/>
  <c r="Q43" i="28" s="1"/>
  <c r="H41" i="24"/>
  <c r="O40" i="28" s="1"/>
  <c r="H36" i="24"/>
  <c r="O35" i="28" s="1"/>
  <c r="J31" i="24"/>
  <c r="K31" i="24" s="1"/>
  <c r="M30" i="28" s="1"/>
  <c r="R30" i="28" s="1"/>
  <c r="H67" i="24"/>
  <c r="O58" i="28" s="1"/>
  <c r="H76" i="24"/>
  <c r="O63" i="28" s="1"/>
  <c r="F18" i="18"/>
  <c r="F21" i="18"/>
  <c r="L83" i="24"/>
  <c r="L60" i="24"/>
  <c r="L76" i="24"/>
  <c r="Q63" i="28" s="1"/>
  <c r="L6" i="24"/>
  <c r="Q12" i="28" s="1"/>
  <c r="H7" i="24"/>
  <c r="O13" i="28" s="1"/>
  <c r="H74" i="24"/>
  <c r="O61" i="28" s="1"/>
  <c r="H9" i="24"/>
  <c r="O15" i="28" s="1"/>
  <c r="H6" i="24"/>
  <c r="O12" i="28" s="1"/>
  <c r="H8" i="24"/>
  <c r="O14" i="28" s="1"/>
  <c r="G77" i="24"/>
  <c r="H10" i="24"/>
  <c r="O16" i="28" s="1"/>
  <c r="L4" i="24"/>
  <c r="Q10" i="28" s="1"/>
  <c r="L7" i="24"/>
  <c r="Q13" i="28" s="1"/>
  <c r="G11" i="24"/>
  <c r="L66" i="24"/>
  <c r="Q57" i="28" s="1"/>
  <c r="K101" i="24"/>
  <c r="H43" i="24"/>
  <c r="O42" i="28" s="1"/>
  <c r="H38" i="24"/>
  <c r="O37" i="28" s="1"/>
  <c r="H21" i="24"/>
  <c r="O23" i="28" s="1"/>
  <c r="L24" i="24"/>
  <c r="Q27" i="28" s="1"/>
  <c r="L49" i="24"/>
  <c r="Q48" i="28" s="1"/>
  <c r="L67" i="24"/>
  <c r="Q58" i="28" s="1"/>
  <c r="L36" i="24"/>
  <c r="Q35" i="28" s="1"/>
  <c r="L68" i="24"/>
  <c r="Q59" i="28" s="1"/>
  <c r="L39" i="24"/>
  <c r="Q38" i="28" s="1"/>
  <c r="L30" i="24"/>
  <c r="Q29" i="28" s="1"/>
  <c r="F27" i="18"/>
  <c r="H46" i="24"/>
  <c r="O45" i="28" s="1"/>
  <c r="H45" i="24"/>
  <c r="O44" i="28" s="1"/>
  <c r="H42" i="24"/>
  <c r="O41" i="28" s="1"/>
  <c r="L34" i="24"/>
  <c r="Q33" i="28" s="1"/>
  <c r="H33" i="24"/>
  <c r="O32" i="28" s="1"/>
  <c r="H44" i="24"/>
  <c r="O43" i="28" s="1"/>
  <c r="H37" i="24"/>
  <c r="O36" i="28" s="1"/>
  <c r="L37" i="24"/>
  <c r="Q36" i="28" s="1"/>
  <c r="H48" i="24"/>
  <c r="O47" i="28" s="1"/>
  <c r="L48" i="24"/>
  <c r="Q47" i="28" s="1"/>
  <c r="F10" i="18"/>
  <c r="H40" i="24"/>
  <c r="O39" i="28" s="1"/>
  <c r="H30" i="24"/>
  <c r="O29" i="28" s="1"/>
  <c r="L41" i="24"/>
  <c r="Q40" i="28" s="1"/>
  <c r="L42" i="24"/>
  <c r="Q41" i="28" s="1"/>
  <c r="F16" i="18"/>
  <c r="L32" i="24"/>
  <c r="Q31" i="28" s="1"/>
  <c r="H16" i="24"/>
  <c r="O18" i="28" s="1"/>
  <c r="H65" i="24"/>
  <c r="O56" i="28" s="1"/>
  <c r="G52" i="24"/>
  <c r="L47" i="24"/>
  <c r="Q46" i="28" s="1"/>
  <c r="H39" i="24"/>
  <c r="O38" i="28" s="1"/>
  <c r="H51" i="24"/>
  <c r="O50" i="28" s="1"/>
  <c r="H35" i="24"/>
  <c r="O34" i="28" s="1"/>
  <c r="L35" i="24"/>
  <c r="Q34" i="28" s="1"/>
  <c r="H20" i="24"/>
  <c r="O22" i="28" s="1"/>
  <c r="G25" i="24"/>
  <c r="H18" i="24"/>
  <c r="O20" i="28" s="1"/>
  <c r="L17" i="24"/>
  <c r="Q19" i="28" s="1"/>
  <c r="L23" i="24"/>
  <c r="Q26" i="28" s="1"/>
  <c r="H23" i="24"/>
  <c r="O26" i="28" s="1"/>
  <c r="L22" i="24"/>
  <c r="Q25" i="28" s="1"/>
  <c r="H19" i="24"/>
  <c r="O21" i="28" s="1"/>
  <c r="L19" i="24"/>
  <c r="Q21" i="28" s="1"/>
  <c r="G69" i="24"/>
  <c r="K95" i="24"/>
  <c r="L89" i="24"/>
  <c r="J88" i="24"/>
  <c r="K88" i="24" s="1"/>
  <c r="M67" i="28" s="1"/>
  <c r="J76" i="24"/>
  <c r="K76" i="24" s="1"/>
  <c r="M63" i="28" s="1"/>
  <c r="R63" i="28" s="1"/>
  <c r="K83" i="24"/>
  <c r="J75" i="24"/>
  <c r="K75" i="24" s="1"/>
  <c r="M62" i="28" s="1"/>
  <c r="R62" i="28" s="1"/>
  <c r="L107" i="24"/>
  <c r="K107" i="24"/>
  <c r="M11" i="28" l="1"/>
  <c r="R11" i="28" s="1"/>
  <c r="J68" i="24"/>
  <c r="K68" i="24" s="1"/>
  <c r="M59" i="28" s="1"/>
  <c r="R59" i="28" s="1"/>
  <c r="J67" i="24"/>
  <c r="K67" i="24" s="1"/>
  <c r="M58" i="28" s="1"/>
  <c r="R58" i="28" s="1"/>
  <c r="J47" i="24"/>
  <c r="K47" i="24" s="1"/>
  <c r="M46" i="28" s="1"/>
  <c r="R46" i="28" s="1"/>
  <c r="J34" i="24"/>
  <c r="K34" i="24" s="1"/>
  <c r="M33" i="28" s="1"/>
  <c r="R33" i="28" s="1"/>
  <c r="J41" i="24"/>
  <c r="K41" i="24" s="1"/>
  <c r="M40" i="28" s="1"/>
  <c r="R40" i="28" s="1"/>
  <c r="J49" i="24"/>
  <c r="K49" i="24" s="1"/>
  <c r="M48" i="28" s="1"/>
  <c r="R48" i="28" s="1"/>
  <c r="J4" i="24"/>
  <c r="K4" i="24" s="1"/>
  <c r="M10" i="28" s="1"/>
  <c r="R10" i="28" s="1"/>
  <c r="J24" i="24"/>
  <c r="K24" i="24" s="1"/>
  <c r="M27" i="28" s="1"/>
  <c r="R27" i="28" s="1"/>
  <c r="R67" i="28"/>
  <c r="R68" i="28" s="1"/>
  <c r="M68" i="28"/>
  <c r="Q60" i="28"/>
  <c r="J22" i="24"/>
  <c r="K22" i="24" s="1"/>
  <c r="M25" i="28" s="1"/>
  <c r="R25" i="28" s="1"/>
  <c r="Q17" i="28"/>
  <c r="Q64" i="28"/>
  <c r="Q28" i="28"/>
  <c r="Q39" i="28"/>
  <c r="Q51" i="28" s="1"/>
  <c r="J17" i="24"/>
  <c r="K17" i="24" s="1"/>
  <c r="M19" i="28" s="1"/>
  <c r="R19" i="28" s="1"/>
  <c r="J40" i="24"/>
  <c r="K40" i="24" s="1"/>
  <c r="M39" i="28" s="1"/>
  <c r="R39" i="28" s="1"/>
  <c r="J9" i="24"/>
  <c r="K9" i="24" s="1"/>
  <c r="M15" i="28" s="1"/>
  <c r="R15" i="28" s="1"/>
  <c r="J66" i="24"/>
  <c r="K66" i="24" s="1"/>
  <c r="M57" i="28" s="1"/>
  <c r="R57" i="28" s="1"/>
  <c r="J65" i="24"/>
  <c r="K65" i="24" s="1"/>
  <c r="M56" i="28" s="1"/>
  <c r="J44" i="24"/>
  <c r="K44" i="24" s="1"/>
  <c r="M43" i="28" s="1"/>
  <c r="R43" i="28" s="1"/>
  <c r="J46" i="24"/>
  <c r="K46" i="24" s="1"/>
  <c r="J38" i="24"/>
  <c r="K38" i="24" s="1"/>
  <c r="J10" i="24"/>
  <c r="K10" i="24" s="1"/>
  <c r="M16" i="28" s="1"/>
  <c r="R16" i="28" s="1"/>
  <c r="J36" i="24"/>
  <c r="K36" i="24" s="1"/>
  <c r="M35" i="28" s="1"/>
  <c r="R35" i="28" s="1"/>
  <c r="J30" i="24"/>
  <c r="K30" i="24" s="1"/>
  <c r="M29" i="28" s="1"/>
  <c r="J32" i="24"/>
  <c r="K32" i="24" s="1"/>
  <c r="M31" i="28" s="1"/>
  <c r="R31" i="28" s="1"/>
  <c r="F30" i="18"/>
  <c r="F13" i="18"/>
  <c r="F17" i="18"/>
  <c r="F19" i="18"/>
  <c r="F26" i="18"/>
  <c r="F22" i="18"/>
  <c r="F28" i="18"/>
  <c r="J74" i="24"/>
  <c r="K74" i="24" s="1"/>
  <c r="M61" i="28" s="1"/>
  <c r="L77" i="24"/>
  <c r="J19" i="24"/>
  <c r="K19" i="24" s="1"/>
  <c r="M21" i="28" s="1"/>
  <c r="R21" i="28" s="1"/>
  <c r="J16" i="24"/>
  <c r="K16" i="24" s="1"/>
  <c r="M18" i="28" s="1"/>
  <c r="J21" i="24"/>
  <c r="K21" i="24" s="1"/>
  <c r="M23" i="28" s="1"/>
  <c r="R23" i="28" s="1"/>
  <c r="J7" i="24"/>
  <c r="K7" i="24" s="1"/>
  <c r="M13" i="28" s="1"/>
  <c r="R13" i="28" s="1"/>
  <c r="J6" i="24"/>
  <c r="K6" i="24" s="1"/>
  <c r="M12" i="28" s="1"/>
  <c r="R12" i="28" s="1"/>
  <c r="J8" i="24"/>
  <c r="K8" i="24" s="1"/>
  <c r="M14" i="28" s="1"/>
  <c r="R14" i="28" s="1"/>
  <c r="L11" i="24"/>
  <c r="J43" i="24"/>
  <c r="K43" i="24" s="1"/>
  <c r="M42" i="28" s="1"/>
  <c r="R42" i="28" s="1"/>
  <c r="F15" i="18"/>
  <c r="F25" i="18"/>
  <c r="L69" i="24"/>
  <c r="F23" i="18"/>
  <c r="J45" i="24"/>
  <c r="K45" i="24" s="1"/>
  <c r="M44" i="28" s="1"/>
  <c r="R44" i="28" s="1"/>
  <c r="J33" i="24"/>
  <c r="K33" i="24" s="1"/>
  <c r="M32" i="28" s="1"/>
  <c r="R32" i="28" s="1"/>
  <c r="F12" i="18"/>
  <c r="J42" i="24"/>
  <c r="K42" i="24" s="1"/>
  <c r="M41" i="28" s="1"/>
  <c r="R41" i="28" s="1"/>
  <c r="F24" i="18"/>
  <c r="J48" i="24"/>
  <c r="K48" i="24" s="1"/>
  <c r="M47" i="28" s="1"/>
  <c r="R47" i="28" s="1"/>
  <c r="J37" i="24"/>
  <c r="K37" i="24" s="1"/>
  <c r="M36" i="28" s="1"/>
  <c r="R36" i="28" s="1"/>
  <c r="F11" i="18"/>
  <c r="D8" i="7"/>
  <c r="J39" i="24"/>
  <c r="K39" i="24" s="1"/>
  <c r="M38" i="28" s="1"/>
  <c r="R38" i="28" s="1"/>
  <c r="J35" i="24"/>
  <c r="K35" i="24" s="1"/>
  <c r="M34" i="28" s="1"/>
  <c r="R34" i="28" s="1"/>
  <c r="J51" i="24"/>
  <c r="K51" i="24" s="1"/>
  <c r="M50" i="28" s="1"/>
  <c r="R50" i="28" s="1"/>
  <c r="L52" i="24"/>
  <c r="J20" i="24"/>
  <c r="K20" i="24" s="1"/>
  <c r="M22" i="28" s="1"/>
  <c r="R22" i="28" s="1"/>
  <c r="L25" i="24"/>
  <c r="J18" i="24"/>
  <c r="K18" i="24" s="1"/>
  <c r="M20" i="28" s="1"/>
  <c r="R20" i="28" s="1"/>
  <c r="J23" i="24"/>
  <c r="K23" i="24" s="1"/>
  <c r="M26" i="28" s="1"/>
  <c r="R26" i="28" s="1"/>
  <c r="K89" i="24"/>
  <c r="Q69" i="28" l="1"/>
  <c r="R18" i="28"/>
  <c r="R28" i="28" s="1"/>
  <c r="M28" i="28"/>
  <c r="R17" i="28"/>
  <c r="R61" i="28"/>
  <c r="R64" i="28" s="1"/>
  <c r="M64" i="28"/>
  <c r="M45" i="28"/>
  <c r="R45" i="28" s="1"/>
  <c r="R29" i="28"/>
  <c r="M37" i="28"/>
  <c r="R37" i="28" s="1"/>
  <c r="R56" i="28"/>
  <c r="R60" i="28" s="1"/>
  <c r="M60" i="28"/>
  <c r="M17" i="28"/>
  <c r="K69" i="24"/>
  <c r="K77" i="24"/>
  <c r="K11" i="24"/>
  <c r="K52" i="24"/>
  <c r="K25" i="24"/>
  <c r="M51" i="28" l="1"/>
  <c r="M69" i="28" s="1"/>
  <c r="R51" i="28"/>
  <c r="R69" i="28" s="1"/>
  <c r="E8" i="7" l="1"/>
  <c r="C8" i="7"/>
  <c r="K34" i="7" l="1"/>
  <c r="K41" i="7" s="1"/>
  <c r="J8" i="7"/>
  <c r="K8" i="7" s="1"/>
  <c r="L41" i="7"/>
  <c r="M34" i="7"/>
  <c r="M41" i="7" s="1"/>
</calcChain>
</file>

<file path=xl/sharedStrings.xml><?xml version="1.0" encoding="utf-8"?>
<sst xmlns="http://schemas.openxmlformats.org/spreadsheetml/2006/main" count="894" uniqueCount="481">
  <si>
    <t>00-00</t>
  </si>
  <si>
    <t>02-00</t>
  </si>
  <si>
    <t>04-00</t>
  </si>
  <si>
    <t>06-00</t>
  </si>
  <si>
    <t>08-00</t>
  </si>
  <si>
    <t>10-00</t>
  </si>
  <si>
    <t>12-00</t>
  </si>
  <si>
    <t>14-00</t>
  </si>
  <si>
    <t>16-00</t>
  </si>
  <si>
    <t>18-00</t>
  </si>
  <si>
    <t>20-00</t>
  </si>
  <si>
    <t>22-00</t>
  </si>
  <si>
    <t>24-00</t>
  </si>
  <si>
    <t xml:space="preserve">"Emir-Oil" LLP </t>
  </si>
  <si>
    <t xml:space="preserve">Daily Production Summary Report
</t>
  </si>
  <si>
    <t>t</t>
  </si>
  <si>
    <t>m3</t>
  </si>
  <si>
    <t>Yessen</t>
  </si>
  <si>
    <t>Yemir</t>
  </si>
  <si>
    <t>Kariman</t>
  </si>
  <si>
    <t>Dolinnoe</t>
  </si>
  <si>
    <t>Aksaz</t>
  </si>
  <si>
    <t>N.Kariman</t>
  </si>
  <si>
    <t>Borly</t>
  </si>
  <si>
    <t>Aidai</t>
  </si>
  <si>
    <r>
      <t>N Kariman-2</t>
    </r>
    <r>
      <rPr>
        <sz val="11"/>
        <color theme="1"/>
        <rFont val="Calibri"/>
        <family val="2"/>
        <charset val="204"/>
        <scheme val="minor"/>
      </rPr>
      <t/>
    </r>
  </si>
  <si>
    <t>Field</t>
  </si>
  <si>
    <t>ф / natural flow</t>
  </si>
  <si>
    <t>Alatobe</t>
  </si>
  <si>
    <t>Begesh</t>
  </si>
  <si>
    <t>Водовоз / water truck</t>
  </si>
  <si>
    <t>Автокран / autocrane</t>
  </si>
  <si>
    <t>Полуприцеп / semitrailer</t>
  </si>
  <si>
    <t>ЦА-320 / cementing unit</t>
  </si>
  <si>
    <t>ППУ / steam truck</t>
  </si>
  <si>
    <t>Вакуум / vacuum truck</t>
  </si>
  <si>
    <t>Экскаватор / excavator</t>
  </si>
  <si>
    <t>АДПН / dewaxing unit</t>
  </si>
  <si>
    <t>Самосвал /dump truck</t>
  </si>
  <si>
    <t xml:space="preserve"> (нефтевоз) / oil truck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</si>
  <si>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</si>
  <si>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</si>
  <si>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</si>
  <si>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</si>
  <si>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</si>
  <si>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</si>
  <si>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</si>
  <si>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</si>
  <si>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</si>
  <si>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</si>
  <si>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</si>
  <si>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</si>
  <si>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Oil production</t>
  </si>
  <si>
    <t>Gas production</t>
  </si>
  <si>
    <t xml:space="preserve">Summary of water consumption, m3/Сводка по расходам воды, м3 </t>
  </si>
  <si>
    <t xml:space="preserve">Summary of production and use of gas, m3/Сводка по добыче и использованию газа, м3 </t>
  </si>
  <si>
    <t>Total/Всего</t>
  </si>
  <si>
    <t>Field / Месторождение</t>
  </si>
  <si>
    <t xml:space="preserve">Water metering / Показания счетчика </t>
  </si>
  <si>
    <t xml:space="preserve">Production / Добыча </t>
  </si>
  <si>
    <t xml:space="preserve">daily / сут </t>
  </si>
  <si>
    <t>monthly / мес</t>
  </si>
  <si>
    <t xml:space="preserve">Own use / На собств. </t>
  </si>
  <si>
    <t xml:space="preserve">Delivery / Сдача </t>
  </si>
  <si>
    <t xml:space="preserve"> Well / № скв </t>
  </si>
  <si>
    <t xml:space="preserve"> THP, atm / Ртр, атм </t>
  </si>
  <si>
    <t xml:space="preserve">Annulus P, atm / Рзатр, атм </t>
  </si>
  <si>
    <t xml:space="preserve">Flow line p, atm / Рвык, атм </t>
  </si>
  <si>
    <t xml:space="preserve">Date of replacement / Дата замены </t>
  </si>
  <si>
    <t xml:space="preserve">Actual operated time / Время работы, час </t>
  </si>
  <si>
    <t>Result / Результат</t>
  </si>
  <si>
    <t xml:space="preserve">Date / Дата спуска </t>
  </si>
  <si>
    <t xml:space="preserve">Scraper / Скребкование </t>
  </si>
  <si>
    <t xml:space="preserve">Level, m / Уровень м </t>
  </si>
  <si>
    <t xml:space="preserve">Emir Oil / Емир Ойл </t>
  </si>
  <si>
    <t xml:space="preserve">Date / Дата отбивки </t>
  </si>
  <si>
    <t xml:space="preserve">GOR m3/t /  Газовый фактор, м3/т </t>
  </si>
  <si>
    <t xml:space="preserve">Date of measurement / Дата замера </t>
  </si>
  <si>
    <t xml:space="preserve">Cause of standby / Причина остановки </t>
  </si>
  <si>
    <t xml:space="preserve">Borehole researches / Скважинные исследования </t>
  </si>
  <si>
    <t xml:space="preserve">Tool depth / Глубина спуска оборудования </t>
  </si>
  <si>
    <t xml:space="preserve">Comments / Примечание </t>
  </si>
  <si>
    <t>Total for Yessen / Итого по месторождению Есен:</t>
  </si>
  <si>
    <t>Total for Borly / Итого по месторождению Борлы:</t>
  </si>
  <si>
    <t>Total for Aidai / Итого по месторождению Айдай:</t>
  </si>
  <si>
    <t>Total for Dolinnoe / Итого по месторождению Долинное:</t>
  </si>
  <si>
    <t>Total for Aksaz / Итого по месторождению Аксаз:</t>
  </si>
  <si>
    <t xml:space="preserve">Vehicle name / Наименование техники </t>
  </si>
  <si>
    <t xml:space="preserve">Plate number / Гос.номер </t>
  </si>
  <si>
    <t xml:space="preserve">Contractor / Подрядчик </t>
  </si>
  <si>
    <t xml:space="preserve">Time / Время </t>
  </si>
  <si>
    <t xml:space="preserve">from / от </t>
  </si>
  <si>
    <t xml:space="preserve">till / до </t>
  </si>
  <si>
    <t xml:space="preserve">Start of WO / Начало ремонта </t>
  </si>
  <si>
    <t xml:space="preserve">Remainings in group unit / Остатки на ГУ </t>
  </si>
  <si>
    <t xml:space="preserve">№ of tanks / № техн. Емкостей </t>
  </si>
  <si>
    <t>Remainings at wellsite tanks / Остатки на скважинах (амбарные емкости)</t>
  </si>
  <si>
    <t xml:space="preserve">Well / № скв. </t>
  </si>
  <si>
    <t>Total, m3 / Итого, m3</t>
  </si>
  <si>
    <t xml:space="preserve">Well stock by category / Фонд скважин по категориям </t>
  </si>
  <si>
    <t xml:space="preserve">well / скв </t>
  </si>
  <si>
    <t xml:space="preserve">Producing / Действ. </t>
  </si>
  <si>
    <t xml:space="preserve">naturally flowing / фонт </t>
  </si>
  <si>
    <t xml:space="preserve">pump / мех. </t>
  </si>
  <si>
    <t xml:space="preserve">Awaiting WO / В ож. осв. </t>
  </si>
  <si>
    <t xml:space="preserve">Exploration / Разведочный </t>
  </si>
  <si>
    <t>bbl</t>
  </si>
  <si>
    <t>Mscf</t>
  </si>
  <si>
    <t xml:space="preserve">Well / скв </t>
  </si>
  <si>
    <t xml:space="preserve">In standby / Вр. прост. </t>
  </si>
  <si>
    <t xml:space="preserve">Non-producing / В безд. </t>
  </si>
  <si>
    <t xml:space="preserve">Standby / Остановка </t>
  </si>
  <si>
    <t>Month</t>
  </si>
  <si>
    <t>Maximum production potential</t>
  </si>
  <si>
    <t>Oil export</t>
  </si>
  <si>
    <t>Gas export to KTG</t>
  </si>
  <si>
    <t>Total / Всего</t>
  </si>
  <si>
    <t xml:space="preserve">Test WO / В осв. </t>
  </si>
  <si>
    <t xml:space="preserve">Work time / Отр.вр. </t>
  </si>
  <si>
    <t xml:space="preserve">Operating type / Способ эксплуатации </t>
  </si>
  <si>
    <t xml:space="preserve">Nightshift work time/ Из них ноч.вр. </t>
  </si>
  <si>
    <t>No. of trips / Кол-во рейсов</t>
  </si>
  <si>
    <t>Maximum production potential/ План</t>
  </si>
  <si>
    <t>Liquid/Жидкость</t>
  </si>
  <si>
    <t>Oil production/Добыча нефти</t>
  </si>
  <si>
    <t>Gas production/Газ добыча</t>
  </si>
  <si>
    <t>Oil export/Сдача нефти</t>
  </si>
  <si>
    <t>Gas export to KTG/Сдача газа</t>
  </si>
  <si>
    <t>Main activities/concerns / Основные виды деятельности / проблемы</t>
  </si>
  <si>
    <t>Closed. The well is finished, drilling is experienced</t>
  </si>
  <si>
    <t>Closed temporarily.Awaiting prolongation of the exploration contract</t>
  </si>
  <si>
    <t>Oil</t>
  </si>
  <si>
    <t>Gas</t>
  </si>
  <si>
    <t>Kariman (loading out from Dolinnoe)</t>
  </si>
  <si>
    <t>Emir-6</t>
  </si>
  <si>
    <t>N.Kariman-1</t>
  </si>
  <si>
    <t>N.Kariman-2</t>
  </si>
  <si>
    <t>Aidai-1</t>
  </si>
  <si>
    <t>Borly-2</t>
  </si>
  <si>
    <t>Emir</t>
  </si>
  <si>
    <t>Aksaz-1</t>
  </si>
  <si>
    <t>Aksaz-2</t>
  </si>
  <si>
    <t>Aksaz-3</t>
  </si>
  <si>
    <t>Aksaz-4</t>
  </si>
  <si>
    <t>Aksaz-6</t>
  </si>
  <si>
    <t>Aksaz-105</t>
  </si>
  <si>
    <t>Aksaz-106</t>
  </si>
  <si>
    <t>Dolinnoe-1</t>
  </si>
  <si>
    <t>Dolinnoe-2</t>
  </si>
  <si>
    <t>Dolinnoe-3</t>
  </si>
  <si>
    <t>Dolinnoe-5</t>
  </si>
  <si>
    <t>Dolinnoe-6</t>
  </si>
  <si>
    <t>Dolinnoe-7</t>
  </si>
  <si>
    <t>Dolinnoe-8</t>
  </si>
  <si>
    <t>Dolinnoe-110</t>
  </si>
  <si>
    <t>Dolinnoe-112</t>
  </si>
  <si>
    <t>Kariman-1-Т</t>
  </si>
  <si>
    <t>Kariman-2-Т</t>
  </si>
  <si>
    <t>Kariman-3-Т</t>
  </si>
  <si>
    <t>Kariman-4-Т</t>
  </si>
  <si>
    <t>Kariman-5-Т</t>
  </si>
  <si>
    <t>Kariman-6-Т</t>
  </si>
  <si>
    <t>Kariman-7-Т</t>
  </si>
  <si>
    <t>Kariman-8-Т</t>
  </si>
  <si>
    <t>Kariman-10-Т</t>
  </si>
  <si>
    <t>Kariman-11-Т</t>
  </si>
  <si>
    <t>Kariman-12</t>
  </si>
  <si>
    <t>Kariman-13</t>
  </si>
  <si>
    <t>Kariman-113</t>
  </si>
  <si>
    <t>Kariman-114</t>
  </si>
  <si>
    <t>Kariman-116</t>
  </si>
  <si>
    <t>Kariman-117</t>
  </si>
  <si>
    <t>Kariman-118</t>
  </si>
  <si>
    <t>Kariman-119</t>
  </si>
  <si>
    <t>Kariman-120</t>
  </si>
  <si>
    <t>Kariman-121</t>
  </si>
  <si>
    <t>Kariman-123</t>
  </si>
  <si>
    <t>Kariman-124</t>
  </si>
  <si>
    <t>Emir-1</t>
  </si>
  <si>
    <t>Emir-2</t>
  </si>
  <si>
    <t>Emir-5</t>
  </si>
  <si>
    <t>Total for Emir / Итого по месторождению Емир:</t>
  </si>
  <si>
    <t>Yessen-1</t>
  </si>
  <si>
    <t>Yessen-2</t>
  </si>
  <si>
    <t>Yessen-3</t>
  </si>
  <si>
    <t>Awiting WO/ОКРС</t>
  </si>
  <si>
    <t>Oil export m3 / Вывоз нефти м3</t>
  </si>
  <si>
    <t>Water drainage / слив воды (m3)</t>
  </si>
  <si>
    <t>Own needs / Сообст нужды</t>
  </si>
  <si>
    <t>Monthly plan / План за месяц (t)</t>
  </si>
  <si>
    <t>Fact for the month / Факт за месяц (t)</t>
  </si>
  <si>
    <t>Remainder / Остаток (t)</t>
  </si>
  <si>
    <t>ton</t>
  </si>
  <si>
    <t>U-Входяшее напряжение в вольтах / Incoming voltage</t>
  </si>
  <si>
    <t>2. I-Сила тока в амперах / Current, A</t>
  </si>
  <si>
    <t>3.  R-kОm Сопротивление изоляции / Insulation R</t>
  </si>
  <si>
    <t>7. Гц-Частота вращения в герцах / Frequency, Hz</t>
  </si>
  <si>
    <t>Descent depth / Глубина спуска</t>
  </si>
  <si>
    <t xml:space="preserve">Daily production /суточная добыча (t) </t>
  </si>
  <si>
    <t xml:space="preserve"> Remarks / Примечание </t>
  </si>
  <si>
    <t>Uinlet, V / U-Входяшее напряжение в вольтах</t>
  </si>
  <si>
    <t>4. Загрузка ПЭД ЭЦН в -% / Load of ESP in%</t>
  </si>
  <si>
    <t>6. P-Давление на приеме насоса / Pump intake pressure</t>
  </si>
  <si>
    <t xml:space="preserve">Insulation R / R-kОm Сопротивление изоляции </t>
  </si>
  <si>
    <t xml:space="preserve">Load of ESP in% / Загрузка ПЭД ЭЦН в -% </t>
  </si>
  <si>
    <t xml:space="preserve">Pump intake pressure / Давление на приеме насоса </t>
  </si>
  <si>
    <t xml:space="preserve">Frequency, Hz / Частота вращения в герцах </t>
  </si>
  <si>
    <t xml:space="preserve">Date / Дата </t>
  </si>
  <si>
    <t>21-00</t>
  </si>
  <si>
    <t>16-30</t>
  </si>
  <si>
    <t>20-30</t>
  </si>
  <si>
    <t>Воронка 950м</t>
  </si>
  <si>
    <t>Воронка 3240м</t>
  </si>
  <si>
    <t xml:space="preserve">16.04.2017
    </t>
  </si>
  <si>
    <t>Torch / Факел</t>
  </si>
  <si>
    <t xml:space="preserve">Current, A /                Сила тока в амперах </t>
  </si>
  <si>
    <t xml:space="preserve">Daily, m3 /                   В сутки, м3 </t>
  </si>
  <si>
    <t xml:space="preserve">Monthly, m3 /            В месяц, м3 </t>
  </si>
  <si>
    <t>Oil temperature of SEM / Температура масла ПЭД</t>
  </si>
  <si>
    <t>5. Температура масла ПЭД / Oil temperature of SEM</t>
  </si>
  <si>
    <t>Awiting WO / ОКРС</t>
  </si>
  <si>
    <t>tуст, ⁰С / THT 0C</t>
  </si>
  <si>
    <t>Total for N.Kariman / Итого по месторождению С.Кариман:</t>
  </si>
  <si>
    <t xml:space="preserve"> ESP type / Тип ЭЦН </t>
  </si>
  <si>
    <t>Date of replacement / Дата замены щтуцера</t>
  </si>
  <si>
    <t>Total MKS Logistics / Всего MKS Logistics</t>
  </si>
  <si>
    <t>Total Ecoterra / Всего Ecoterra</t>
  </si>
  <si>
    <t>ESP / УЭЦН</t>
  </si>
  <si>
    <t>Total</t>
  </si>
  <si>
    <t xml:space="preserve">Dolinnoe-12 </t>
  </si>
  <si>
    <t>890</t>
  </si>
  <si>
    <t>Отказ ТМС.</t>
  </si>
  <si>
    <t>067</t>
  </si>
  <si>
    <t>Closed.  /  Закрыто.</t>
  </si>
  <si>
    <t xml:space="preserve">Work activities work shop, instruments, electricity and gas plant / Проделанные работы ЦПО,  КИП и А, энергослужбы , УППГ, ЦДНГ </t>
  </si>
  <si>
    <t>079</t>
  </si>
  <si>
    <t>Gas production / Данные по замерам скважин (газ)</t>
  </si>
  <si>
    <t>Wells</t>
  </si>
  <si>
    <t>Sale of oil / Реализация нефти</t>
  </si>
  <si>
    <t>Export / Экспорт</t>
  </si>
  <si>
    <t xml:space="preserve">Domestic / Внутренний </t>
  </si>
  <si>
    <t>Наименование</t>
  </si>
  <si>
    <t xml:space="preserve">Aksaz
</t>
  </si>
  <si>
    <t xml:space="preserve">Kariman
</t>
  </si>
  <si>
    <t xml:space="preserve">Emir
</t>
  </si>
  <si>
    <t xml:space="preserve">Arrival from fields (tons, gross) / Приход брутто, тн </t>
  </si>
  <si>
    <t>Средняя обводненность по м/р / average watercut, %</t>
  </si>
  <si>
    <t>Arrival from the field (tons,net) / Приход с м/р нетто,тн</t>
  </si>
  <si>
    <t>Remainder, ton / Остаток, тн</t>
  </si>
  <si>
    <t>725</t>
  </si>
  <si>
    <t>Шлюмберже</t>
  </si>
  <si>
    <t>.</t>
  </si>
  <si>
    <t>Organization / Организация</t>
  </si>
  <si>
    <t>Date of descent / Дата спуска</t>
  </si>
  <si>
    <t>N.Kariman-3</t>
  </si>
  <si>
    <t>Ø, мм / choke size, mm</t>
  </si>
  <si>
    <t xml:space="preserve"> </t>
  </si>
  <si>
    <t>Intermediate NET</t>
  </si>
  <si>
    <t>Actual NET, t</t>
  </si>
  <si>
    <t>Oil density</t>
  </si>
  <si>
    <t>Fluid Density (fluid)</t>
  </si>
  <si>
    <t>Fluid, m3 GROSS</t>
  </si>
  <si>
    <t>Fluid, m3 NET</t>
  </si>
  <si>
    <t>Ansagan watercut</t>
  </si>
  <si>
    <t>Average WC%</t>
  </si>
  <si>
    <t>Production
Gross,t</t>
  </si>
  <si>
    <t>Proportion/
Ratio</t>
  </si>
  <si>
    <t>Actual, WC%</t>
  </si>
  <si>
    <t>Ansagan NET</t>
  </si>
  <si>
    <t>D1</t>
  </si>
  <si>
    <t>Объем</t>
  </si>
  <si>
    <t>Плотность</t>
  </si>
  <si>
    <t>Вес</t>
  </si>
  <si>
    <t>Обводненность %</t>
  </si>
  <si>
    <t>Жидкость, м3</t>
  </si>
  <si>
    <t>Жидкость, кг/м3</t>
  </si>
  <si>
    <t>Жидкость,тн</t>
  </si>
  <si>
    <t>Нефть</t>
  </si>
  <si>
    <t>Вода</t>
  </si>
  <si>
    <t>Fluid, t(Oil GROSS)/ 
Жидкость, тн</t>
  </si>
  <si>
    <t xml:space="preserve">Fluid, t(Oil GROSS)/ 
 Жидкость, м3 </t>
  </si>
  <si>
    <t>Export to Ansagan / Вывоз на Ансаган</t>
  </si>
  <si>
    <t>092</t>
  </si>
  <si>
    <t>081</t>
  </si>
  <si>
    <t>095</t>
  </si>
  <si>
    <t xml:space="preserve">Produced Remainings in Field / Остатки на месторождений </t>
  </si>
  <si>
    <t>тн</t>
  </si>
  <si>
    <t>тыс.m3</t>
  </si>
  <si>
    <t>Months Production Summary Report</t>
  </si>
  <si>
    <t>085</t>
  </si>
  <si>
    <t xml:space="preserve">Слив воды </t>
  </si>
  <si>
    <t>м3</t>
  </si>
  <si>
    <t>Oil production / Данные по замерам скважин (нефть)</t>
  </si>
  <si>
    <t xml:space="preserve">                                                                                               </t>
  </si>
  <si>
    <t>N Kariman-3</t>
  </si>
  <si>
    <t>Вакуум (АЦН) / vacuum truck</t>
  </si>
  <si>
    <t>1555 ЕО</t>
  </si>
  <si>
    <t>519</t>
  </si>
  <si>
    <t>701</t>
  </si>
  <si>
    <t>ямобур / Amour</t>
  </si>
  <si>
    <t>071</t>
  </si>
  <si>
    <t xml:space="preserve">ППУ / steam truck   </t>
  </si>
  <si>
    <t>Автогрейдер / Motor grader</t>
  </si>
  <si>
    <t>Бульдозер / Bulldozer</t>
  </si>
  <si>
    <t xml:space="preserve">по програме  работа </t>
  </si>
  <si>
    <t>периодическии</t>
  </si>
  <si>
    <t>15:45-16:45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</si>
  <si>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</si>
  <si>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Ecotehnix</t>
  </si>
  <si>
    <t>КРС</t>
  </si>
  <si>
    <t>Крос Ойл</t>
  </si>
  <si>
    <t>Manufacture of skid r / w watches / pos. / Изготовление салазки ж/д вах/пос.</t>
  </si>
  <si>
    <t>Manual revision of trenches for shift workers / Ручную доработка  транщей для вахтового пос.</t>
  </si>
  <si>
    <t>Installation of sewer pipes of the pipes of the camp. / Монтаж канализция труб труб кемпа.</t>
  </si>
  <si>
    <t>Installation of a cable and sockets of a mini-camp (electrician) / Монтаж  кабель и розетки мини кемпа (электрик)</t>
  </si>
  <si>
    <t>Revision and cleaning of the filter. / Ревизия и чистка фильтра.</t>
  </si>
  <si>
    <t xml:space="preserve">       </t>
  </si>
  <si>
    <t>148</t>
  </si>
  <si>
    <t xml:space="preserve">   </t>
  </si>
  <si>
    <r>
      <t xml:space="preserve">tуст, ⁰С / THT </t>
    </r>
    <r>
      <rPr>
        <b/>
        <vertAlign val="superscript"/>
        <sz val="10"/>
        <rFont val="Calibri"/>
        <family val="2"/>
        <charset val="204"/>
        <scheme val="minor"/>
      </rPr>
      <t>0</t>
    </r>
    <r>
      <rPr>
        <b/>
        <sz val="10"/>
        <rFont val="Calibri"/>
        <family val="2"/>
        <charset val="204"/>
        <scheme val="minor"/>
      </rPr>
      <t>C</t>
    </r>
  </si>
  <si>
    <t>Loading out to Ecotera / Вывоз на Экотехникс</t>
  </si>
  <si>
    <t>083</t>
  </si>
  <si>
    <t>866</t>
  </si>
  <si>
    <t>по заявке</t>
  </si>
  <si>
    <t>412 по заявке</t>
  </si>
  <si>
    <t>976 по заявке</t>
  </si>
  <si>
    <t>280 по заявке</t>
  </si>
  <si>
    <t>192 по заяке</t>
  </si>
  <si>
    <t>Autotower /Автовышка АГП</t>
  </si>
  <si>
    <t>109 по заявке</t>
  </si>
  <si>
    <t>Заклин</t>
  </si>
  <si>
    <t>Воронка 3864м</t>
  </si>
  <si>
    <t>149</t>
  </si>
  <si>
    <t>недогруз</t>
  </si>
  <si>
    <t>019</t>
  </si>
  <si>
    <t>039</t>
  </si>
  <si>
    <t>667</t>
  </si>
  <si>
    <t>013</t>
  </si>
  <si>
    <t>ЦА-320/plunger pump assembly</t>
  </si>
  <si>
    <t xml:space="preserve"> WO / КРС</t>
  </si>
  <si>
    <t>654</t>
  </si>
  <si>
    <t>ожидание  недогруз</t>
  </si>
  <si>
    <t>982</t>
  </si>
  <si>
    <t>504</t>
  </si>
  <si>
    <t>11-00</t>
  </si>
  <si>
    <t>Стоп нет связи ТМС</t>
  </si>
  <si>
    <t>Watercut, % /
Обводненность, %</t>
  </si>
  <si>
    <t>Oil (net),tn /
Нефть (нетто), тн</t>
  </si>
  <si>
    <t>Oil (net), m3 / 
Нефть (нетто), м3</t>
  </si>
  <si>
    <t>Daily production /
Суточная добыча (bbl)</t>
  </si>
  <si>
    <t xml:space="preserve"> ожидание недогруз</t>
  </si>
  <si>
    <t>Воронка на гл. 932,91</t>
  </si>
  <si>
    <t>Воронка + пакер на гл. 3096</t>
  </si>
  <si>
    <t>Воронка на гл. 2974,68</t>
  </si>
  <si>
    <t>КГЛ на гл. 3234,85-1081,17</t>
  </si>
  <si>
    <t>Пакер на гл.3391,02 Воронка на гл.3400,80</t>
  </si>
  <si>
    <t>MT5-50DP  ST 525  на гл.2963м</t>
  </si>
  <si>
    <t xml:space="preserve">МТ5А-25-DP 630 ST на гл. 3142,95 </t>
  </si>
  <si>
    <t>D460N-CR-ST 549std 3372,42</t>
  </si>
  <si>
    <t>МТ5 - 25DP - ST 630 на гл 3267 м</t>
  </si>
  <si>
    <t>MT5-25DP 630 на гл.3163</t>
  </si>
  <si>
    <t>Воронка на гл. 3802,39</t>
  </si>
  <si>
    <t>Воронка + КГЛ на гл. 2528</t>
  </si>
  <si>
    <t>Воронка на гл. 2146</t>
  </si>
  <si>
    <t>Воронка на НКТ-670</t>
  </si>
  <si>
    <t>Воронка на глубине 295,5</t>
  </si>
  <si>
    <t>Воронка + КГЛ на гл. 3307</t>
  </si>
  <si>
    <t>Воронка + КГЛ на гл. 2848,74</t>
  </si>
  <si>
    <t>Воронка на гл. 949,73</t>
  </si>
  <si>
    <t>Воронка+пакер на гл. 3402</t>
  </si>
  <si>
    <t xml:space="preserve">МТ5А-60-DP 543 ST на гл. 3403,99 </t>
  </si>
  <si>
    <t xml:space="preserve">МТ5А-25-DP на гл. 2903 </t>
  </si>
  <si>
    <t xml:space="preserve">МТ5А-60-DP на гл. 3404,28 </t>
  </si>
  <si>
    <t xml:space="preserve">МТ5Ф25DPFL-CT630 на гл. 3250,09 </t>
  </si>
  <si>
    <t>MT5-25DP 630-3235</t>
  </si>
  <si>
    <t xml:space="preserve">MT5-50DP ST 525 </t>
  </si>
  <si>
    <t>МТ5А-60</t>
  </si>
  <si>
    <t xml:space="preserve">МТ5А-25-DP  </t>
  </si>
  <si>
    <t xml:space="preserve">МТ5А-60-DP </t>
  </si>
  <si>
    <t>МТ5Ф 25DPFL-CT630</t>
  </si>
  <si>
    <t>MT5-25DP 630-3235м</t>
  </si>
  <si>
    <t>МТ5А-25-DP-CT630</t>
  </si>
  <si>
    <t>D460N- CR-ST 549std</t>
  </si>
  <si>
    <t xml:space="preserve">МТ5 - 25DP - ST 630 </t>
  </si>
  <si>
    <t xml:space="preserve">MT5-25DP 630 </t>
  </si>
  <si>
    <t xml:space="preserve">ожидание недогруз </t>
  </si>
  <si>
    <t>D460N-CR-CT 183 на гл. 3387,32</t>
  </si>
  <si>
    <t xml:space="preserve">D460N-CR-CT 183 </t>
  </si>
  <si>
    <t>096</t>
  </si>
  <si>
    <t>0</t>
  </si>
  <si>
    <t xml:space="preserve">00-00                       </t>
  </si>
  <si>
    <t>19-00</t>
  </si>
  <si>
    <t>405</t>
  </si>
  <si>
    <t>406</t>
  </si>
  <si>
    <t>Kariman-1</t>
  </si>
  <si>
    <t>АКСУ</t>
  </si>
  <si>
    <t xml:space="preserve">SINGLE WELL DATA / ДАННЫЕ ПО СКВАЖИНАМ </t>
  </si>
  <si>
    <t>Total on all fields / Всего по всем месторождениям</t>
  </si>
  <si>
    <t>Total for Kariman / Итого по месторождению Кариман:</t>
  </si>
  <si>
    <t>Воронка  на гл  3819,57м</t>
  </si>
  <si>
    <t>Погрузчик многофунк / Loader multifunctional</t>
  </si>
  <si>
    <t>MKS Logistics</t>
  </si>
  <si>
    <t>PPU/ППУ</t>
  </si>
  <si>
    <t>нет изоляции закрыто.</t>
  </si>
  <si>
    <t xml:space="preserve">Type of WO /        Вид ремонта </t>
  </si>
  <si>
    <t>Evacuation / Откачка</t>
  </si>
  <si>
    <t xml:space="preserve">Steaming/Пропарка </t>
  </si>
  <si>
    <t>Contractor</t>
  </si>
  <si>
    <t>16-00ч.</t>
  </si>
  <si>
    <t>С.Кариман -2</t>
  </si>
  <si>
    <t>D285EZ - FL-CT 630</t>
  </si>
  <si>
    <t>MT-25DP  ST 630</t>
  </si>
  <si>
    <t>MT-25DP  ST 630  на гл.3391м</t>
  </si>
  <si>
    <t>D285EZ - FL-CT 630    на гл  3318,39</t>
  </si>
  <si>
    <t>3810м</t>
  </si>
  <si>
    <t>Глубин манометр</t>
  </si>
  <si>
    <t>Date:  26.09.2019</t>
  </si>
  <si>
    <t>Vacuum truck / Вакуум</t>
  </si>
  <si>
    <t>382</t>
  </si>
  <si>
    <t>3541,2</t>
  </si>
  <si>
    <t>Date: 29.09.2019</t>
  </si>
  <si>
    <t>Date:  29.09.2019</t>
  </si>
  <si>
    <t>1372</t>
  </si>
  <si>
    <t>1680107</t>
  </si>
  <si>
    <t>1680363</t>
  </si>
  <si>
    <t>1680471</t>
  </si>
  <si>
    <t>3543,2</t>
  </si>
  <si>
    <t>3546,7</t>
  </si>
  <si>
    <t>3548,4</t>
  </si>
  <si>
    <t>1188</t>
  </si>
  <si>
    <t>1374,4</t>
  </si>
  <si>
    <t>1376,4</t>
  </si>
  <si>
    <t>1379,5</t>
  </si>
  <si>
    <t>1680660</t>
  </si>
  <si>
    <t>1680848</t>
  </si>
  <si>
    <t>1681080</t>
  </si>
  <si>
    <t>3551,1</t>
  </si>
  <si>
    <t>3553,5</t>
  </si>
  <si>
    <t>3556,4</t>
  </si>
  <si>
    <t>1381,4</t>
  </si>
  <si>
    <t>1383,2</t>
  </si>
  <si>
    <t>1386,3</t>
  </si>
  <si>
    <t>1681264</t>
  </si>
  <si>
    <t>1681537</t>
  </si>
  <si>
    <t>1681733</t>
  </si>
  <si>
    <t>3559,2</t>
  </si>
  <si>
    <t>3562,1</t>
  </si>
  <si>
    <t>3565,1</t>
  </si>
  <si>
    <t>Editing the AGZU program for measuring the Kariman well No. 123.  / Редактирование программы АГЗУ для проведения замера скважины «Кариман» №123.</t>
  </si>
  <si>
    <t xml:space="preserve"> Inspection of the state of the gas meter. M-100 on the flare line of GU Kariman and bypassing GU measuring instruments. "Kariman."  / Осмотр состояния счетчика газа СВГ. М-100 на факельной линии ГУ «Кариман» и обход средств измерения ГУ. «Кариман». </t>
  </si>
  <si>
    <t xml:space="preserve">Production of blanks for the bypass line for the oil meter on the barn line of the Yessen well No. 2. / Изготовления заготовок байпасной линии  для счетчика нефти на амбарную линию скважины «Есен» №2. </t>
  </si>
  <si>
    <t>Dismantling the ceiling lining in the civil defense warehouse of the shift camp.  / Демонтаж обшивки потолка в складе гражданской обороны вахтового поселка.</t>
  </si>
  <si>
    <t>Turning of flanges after gas cutting, manufacturing of gon * G1 * 8pcs and G ½ 2pcs. / Токарная обработка фланцев после обработки газорезкой, изготовления сгонов G1* 8шт и G ½ 2шт.</t>
  </si>
  <si>
    <t>Dismantling of old heat insulation with installation of new heat insulation on separator No. 2 at Aksaz UPPG  / Демонтаж старой тепло изоляции с монтажом новой тепло изоляции на сепараторе №2 на УППГ«Аксаз»</t>
  </si>
  <si>
    <t xml:space="preserve"> Installation of searchlights on poles, pulling of logging cables to the installation site of DES-15kW for power supply of Yessen well No. 2 / Монтаж прожекторов на опоры ,протяжка каротажных кабелей к месту установки ДЭС-15кВт для энергоснабжения скважины «Есен»№2</t>
  </si>
  <si>
    <t>Откачка нефти с амбарнои емкости на , Долинное 6 / Pumping oil from a barn tank to , Dolinnoe 6</t>
  </si>
  <si>
    <t xml:space="preserve">Пропарка  амбарный емкость  Долинное 6 / Steaming barn capacity  Dolinnoe 6/ </t>
  </si>
  <si>
    <t>900м</t>
  </si>
  <si>
    <t>Петрологин 68,5кг,ф36-54мм.</t>
  </si>
  <si>
    <t>п/о. 0-60м</t>
  </si>
  <si>
    <t>п/о. 0-40м</t>
  </si>
  <si>
    <t>п/о. 0-20м</t>
  </si>
  <si>
    <t>Ожидание светового дня. Ожидание распоряжения руководства. Во время ожиданий, профилактика станка АРБ-100( мойка привентора, ГУП.). Ожидание светового дня. / Waiting the light of day for . Waiting for orders from management. Waiting the light of day for .</t>
  </si>
  <si>
    <t>открыто</t>
  </si>
  <si>
    <t>1*34-2*34 18*57-19*57 22*11-23*11</t>
  </si>
  <si>
    <t>Подъем УБТ 3 1/2 -5шт + инструмент овершот 136мм. Спуск торцевой фрез 140мм + УБТ 3 1/2 -5шт + СБТ 2 7/8 - 24шт посадка на глубине 279,55м. Монтаж вкдущей трубы. Фрезеровка с глубины -279,55м. На выходе металичиский стружки и пласмассовые элементы эл. кабеля / UBT 3 1/2 -5pcs lifting + 136mm overshot tool. Descent of end mills 140mm + UBT 3 1/2 -5pcs + SBT 2 7/8 - 24pcs landing at a depth of 279.55m. Installation of a pipe. Milling from a depth of -279.55m. Metal chips and plastic elements of cable electric output.</t>
  </si>
  <si>
    <t>До родъем БТ 2 7/8 "Правый" -158шт. + переводник 65х73 + БТ 2 3/8 "П" -74шт. Всего БТ 302шт + переводник 76х65мм + метчик резьбевой "Правы" 26*60 Пустой. / Before the BT 2 7/8 Right plug -158 pieces. + sub 65x73 + BT 2 3/8 "P" -74pcs. Total BT 302pcs + sub 76x65mm + threaded tap "Right" 26 * 60 Empty.</t>
  </si>
  <si>
    <t>До спуск СБТ 2 7/8 - всего 280шт с замером. / Prior to the descent of SBT 2 7/8 - only 280pcs with measurement.</t>
  </si>
  <si>
    <t>1388,7</t>
  </si>
  <si>
    <t>1390,6</t>
  </si>
  <si>
    <t>1392,5</t>
  </si>
  <si>
    <t>1681957</t>
  </si>
  <si>
    <t>1682188</t>
  </si>
  <si>
    <t>1682415</t>
  </si>
  <si>
    <t>3567,3</t>
  </si>
  <si>
    <t>3569,5</t>
  </si>
  <si>
    <t>3570,2</t>
  </si>
  <si>
    <t>29</t>
  </si>
  <si>
    <t>4403</t>
  </si>
  <si>
    <t>4801</t>
  </si>
  <si>
    <t>5199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</si>
</sst>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\ _₽_-;\-* #,##0.00\ _₽_-;_-* &quot;-&quot;??\ _₽_-;_-@_-"/>
    <numFmt numFmtId="165" formatCode="_-* #,##0.00_-;\-* #,##0.00_-;_-* &quot;-&quot;??_-;_-@_-"/>
    <numFmt numFmtId="166" formatCode="_(&quot;$&quot;* #,##0_);_(&quot;$&quot;* \(#,##0\);_(&quot;$&quot;* &quot;-&quot;_);_(@_)"/>
    <numFmt numFmtId="167" formatCode="#,##0.00_);\(#,##0.00\);&quot;- &quot;"/>
    <numFmt numFmtId="168" formatCode="_(&quot;$&quot;* #,##0.00_);_(&quot;$&quot;* \(#,##0.00\);_(&quot;$&quot;* &quot;-&quot;_);_(@_)"/>
    <numFmt numFmtId="169" formatCode="0.000_)"/>
    <numFmt numFmtId="170" formatCode="_ &quot;Rp&quot;\ * #,##0.00_ ;_ &quot;Rp&quot;\ * \-#,##0.00_ ;_ &quot;Rp&quot;\ * &quot;-&quot;??_ ;_ @_ "/>
    <numFmt numFmtId="171" formatCode="0.000"/>
    <numFmt numFmtId="172" formatCode="0.0%"/>
    <numFmt numFmtId="173" formatCode="0.0000"/>
    <numFmt numFmtId="174" formatCode="_(* #,##0.00_);_(* \(#,##0.00\);_(* &quot;-&quot;??_);_(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</font>
    <font>
      <sz val="11"/>
      <name val="Tms Rmn"/>
    </font>
    <font>
      <b/>
      <sz val="10"/>
      <name val="Times New Roman"/>
      <family val="1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vertAlign val="superscript"/>
      <sz val="1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rgb="FF1F497D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2" fillId="0" borderId="0"/>
    <xf numFmtId="167" fontId="4" fillId="0" borderId="0" applyProtection="0">
      <protection locked="0"/>
    </xf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6" fontId="6" fillId="0" borderId="1" applyBorder="0"/>
    <xf numFmtId="168" fontId="4" fillId="0" borderId="0">
      <protection locked="0"/>
    </xf>
    <xf numFmtId="170" fontId="3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70" fontId="2" fillId="0" borderId="0"/>
    <xf numFmtId="165" fontId="2" fillId="0" borderId="0" applyFont="0" applyFill="0" applyBorder="0" applyAlignment="0" applyProtection="0"/>
    <xf numFmtId="0" fontId="16" fillId="0" borderId="0"/>
    <xf numFmtId="174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Fill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622">
    <xf numFmtId="0" fontId="0" fillId="0" borderId="0" xfId="0"/>
    <xf numFmtId="0" fontId="11" fillId="0" borderId="0" xfId="0" applyFont="1" applyAlignment="1">
      <alignment horizontal="left"/>
    </xf>
    <xf numFmtId="0" fontId="10" fillId="0" borderId="0" xfId="0" applyFont="1" applyBorder="1" applyAlignment="1"/>
    <xf numFmtId="0" fontId="9" fillId="0" borderId="0" xfId="15" applyFont="1" applyFill="1" applyBorder="1" applyAlignment="1">
      <alignment vertical="center"/>
    </xf>
    <xf numFmtId="0" fontId="0" fillId="0" borderId="0" xfId="0" applyFont="1"/>
    <xf numFmtId="0" fontId="7" fillId="0" borderId="0" xfId="0" applyFont="1"/>
    <xf numFmtId="0" fontId="10" fillId="0" borderId="2" xfId="15" applyNumberFormat="1" applyFont="1" applyFill="1" applyBorder="1" applyAlignment="1">
      <alignment horizontal="center" vertical="center" wrapText="1"/>
    </xf>
    <xf numFmtId="0" fontId="7" fillId="0" borderId="0" xfId="0" applyNumberFormat="1" applyFont="1"/>
    <xf numFmtId="0" fontId="10" fillId="2" borderId="2" xfId="15" applyNumberFormat="1" applyFont="1" applyFill="1" applyBorder="1" applyAlignment="1">
      <alignment horizontal="center" vertical="center" wrapText="1"/>
    </xf>
    <xf numFmtId="0" fontId="10" fillId="0" borderId="2" xfId="17" applyNumberFormat="1" applyFont="1" applyFill="1" applyBorder="1" applyAlignment="1">
      <alignment horizontal="center" vertical="center" wrapText="1"/>
    </xf>
    <xf numFmtId="0" fontId="12" fillId="0" borderId="0" xfId="0" applyFont="1"/>
    <xf numFmtId="0" fontId="8" fillId="2" borderId="2" xfId="15" applyNumberFormat="1" applyFont="1" applyFill="1" applyBorder="1" applyAlignment="1">
      <alignment horizontal="center" vertical="center" wrapText="1"/>
    </xf>
    <xf numFmtId="0" fontId="8" fillId="0" borderId="2" xfId="17" applyNumberFormat="1" applyFont="1" applyFill="1" applyBorder="1" applyAlignment="1">
      <alignment horizontal="center" vertical="center" wrapText="1"/>
    </xf>
    <xf numFmtId="0" fontId="10" fillId="5" borderId="2" xfId="17" applyNumberFormat="1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0" fillId="0" borderId="2" xfId="0" applyFill="1" applyBorder="1"/>
    <xf numFmtId="10" fontId="0" fillId="0" borderId="2" xfId="18" applyNumberFormat="1" applyFont="1" applyFill="1" applyBorder="1"/>
    <xf numFmtId="9" fontId="0" fillId="0" borderId="2" xfId="18" applyFont="1" applyFill="1" applyBorder="1"/>
    <xf numFmtId="2" fontId="0" fillId="0" borderId="2" xfId="0" applyNumberFormat="1" applyFill="1" applyBorder="1"/>
    <xf numFmtId="172" fontId="0" fillId="0" borderId="2" xfId="18" applyNumberFormat="1" applyFont="1" applyFill="1" applyBorder="1"/>
    <xf numFmtId="173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15" fillId="0" borderId="2" xfId="0" applyFont="1" applyFill="1" applyBorder="1"/>
    <xf numFmtId="0" fontId="15" fillId="0" borderId="2" xfId="0" applyFont="1" applyBorder="1"/>
    <xf numFmtId="0" fontId="0" fillId="0" borderId="2" xfId="0" applyBorder="1"/>
    <xf numFmtId="9" fontId="0" fillId="0" borderId="2" xfId="18" applyFont="1" applyBorder="1"/>
    <xf numFmtId="0" fontId="15" fillId="12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 wrapText="1"/>
    </xf>
    <xf numFmtId="0" fontId="0" fillId="0" borderId="0" xfId="0" applyFill="1" applyBorder="1"/>
    <xf numFmtId="10" fontId="0" fillId="0" borderId="0" xfId="18" applyNumberFormat="1" applyFont="1" applyFill="1" applyBorder="1"/>
    <xf numFmtId="9" fontId="0" fillId="0" borderId="0" xfId="18" applyFont="1" applyFill="1" applyBorder="1"/>
    <xf numFmtId="2" fontId="0" fillId="0" borderId="0" xfId="0" applyNumberFormat="1" applyFill="1" applyBorder="1"/>
    <xf numFmtId="172" fontId="0" fillId="0" borderId="0" xfId="18" applyNumberFormat="1" applyFont="1" applyFill="1" applyBorder="1"/>
    <xf numFmtId="0" fontId="10" fillId="0" borderId="0" xfId="17" applyNumberFormat="1" applyFont="1" applyFill="1" applyBorder="1" applyAlignment="1">
      <alignment horizontal="center" vertical="center" wrapText="1"/>
    </xf>
    <xf numFmtId="17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8" fillId="0" borderId="0" xfId="15" applyNumberFormat="1" applyFont="1" applyFill="1" applyBorder="1" applyAlignment="1">
      <alignment horizontal="center" vertical="center" wrapText="1"/>
    </xf>
    <xf numFmtId="10" fontId="15" fillId="0" borderId="2" xfId="18" applyNumberFormat="1" applyFont="1" applyFill="1" applyBorder="1"/>
    <xf numFmtId="9" fontId="15" fillId="0" borderId="2" xfId="18" applyFont="1" applyFill="1" applyBorder="1"/>
    <xf numFmtId="2" fontId="15" fillId="0" borderId="2" xfId="0" applyNumberFormat="1" applyFont="1" applyFill="1" applyBorder="1"/>
    <xf numFmtId="172" fontId="15" fillId="0" borderId="2" xfId="18" applyNumberFormat="1" applyFont="1" applyFill="1" applyBorder="1"/>
    <xf numFmtId="173" fontId="15" fillId="0" borderId="2" xfId="0" applyNumberFormat="1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0" fontId="10" fillId="0" borderId="2" xfId="17" applyFont="1" applyFill="1" applyBorder="1" applyAlignment="1">
      <alignment horizontal="center" vertical="center" wrapText="1"/>
    </xf>
    <xf numFmtId="172" fontId="0" fillId="0" borderId="2" xfId="18" applyNumberFormat="1" applyFont="1" applyBorder="1"/>
    <xf numFmtId="0" fontId="15" fillId="0" borderId="0" xfId="0" applyFont="1" applyAlignment="1">
      <alignment horizontal="center"/>
    </xf>
    <xf numFmtId="0" fontId="15" fillId="12" borderId="15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15" fillId="12" borderId="16" xfId="0" applyFont="1" applyFill="1" applyBorder="1" applyAlignment="1">
      <alignment horizontal="center"/>
    </xf>
    <xf numFmtId="0" fontId="15" fillId="0" borderId="20" xfId="0" applyFont="1" applyBorder="1"/>
    <xf numFmtId="0" fontId="15" fillId="0" borderId="3" xfId="0" applyFont="1" applyBorder="1"/>
    <xf numFmtId="0" fontId="15" fillId="0" borderId="42" xfId="0" applyFont="1" applyBorder="1"/>
    <xf numFmtId="9" fontId="0" fillId="0" borderId="0" xfId="0" applyNumberFormat="1" applyAlignment="1">
      <alignment horizontal="center"/>
    </xf>
    <xf numFmtId="4" fontId="0" fillId="0" borderId="2" xfId="0" applyNumberFormat="1" applyBorder="1"/>
    <xf numFmtId="173" fontId="0" fillId="13" borderId="2" xfId="0" applyNumberFormat="1" applyFill="1" applyBorder="1"/>
    <xf numFmtId="173" fontId="0" fillId="0" borderId="0" xfId="0" applyNumberFormat="1"/>
    <xf numFmtId="9" fontId="0" fillId="0" borderId="2" xfId="18" applyNumberFormat="1" applyFont="1" applyBorder="1"/>
    <xf numFmtId="172" fontId="0" fillId="0" borderId="2" xfId="0" applyNumberFormat="1" applyBorder="1"/>
    <xf numFmtId="2" fontId="15" fillId="0" borderId="2" xfId="0" applyNumberFormat="1" applyFont="1" applyBorder="1"/>
    <xf numFmtId="0" fontId="10" fillId="0" borderId="0" xfId="0" applyNumberFormat="1" applyFont="1" applyAlignment="1">
      <alignment horizontal="center" vertical="center" wrapText="1"/>
    </xf>
    <xf numFmtId="0" fontId="10" fillId="0" borderId="0" xfId="17" applyNumberFormat="1" applyFont="1" applyFill="1" applyBorder="1" applyAlignment="1">
      <alignment horizontal="center" vertical="center" wrapText="1"/>
    </xf>
    <xf numFmtId="0" fontId="8" fillId="0" borderId="2" xfId="17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8" fillId="0" borderId="0" xfId="0" applyNumberFormat="1" applyFont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top" wrapText="1"/>
    </xf>
    <xf numFmtId="0" fontId="8" fillId="3" borderId="7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/>
    <xf numFmtId="2" fontId="8" fillId="3" borderId="2" xfId="17" applyNumberFormat="1" applyFont="1" applyFill="1" applyBorder="1" applyAlignment="1">
      <alignment horizontal="center" vertical="center" wrapText="1"/>
    </xf>
    <xf numFmtId="0" fontId="8" fillId="0" borderId="2" xfId="15" applyNumberFormat="1" applyFont="1" applyFill="1" applyBorder="1" applyAlignment="1">
      <alignment horizontal="left" vertical="center" wrapText="1"/>
    </xf>
    <xf numFmtId="14" fontId="10" fillId="2" borderId="2" xfId="15" applyNumberFormat="1" applyFont="1" applyFill="1" applyBorder="1" applyAlignment="1">
      <alignment horizontal="center" vertical="center" wrapText="1"/>
    </xf>
    <xf numFmtId="0" fontId="10" fillId="2" borderId="2" xfId="17" applyNumberFormat="1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 wrapText="1"/>
    </xf>
    <xf numFmtId="0" fontId="10" fillId="0" borderId="2" xfId="17" applyNumberFormat="1" applyFont="1" applyFill="1" applyBorder="1" applyAlignment="1">
      <alignment horizontal="center" vertical="center"/>
    </xf>
    <xf numFmtId="0" fontId="10" fillId="0" borderId="2" xfId="15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0" fontId="10" fillId="0" borderId="0" xfId="0" applyNumberFormat="1" applyFont="1" applyFill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4" fontId="8" fillId="0" borderId="0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10" fillId="0" borderId="0" xfId="17" applyNumberFormat="1" applyFont="1" applyFill="1" applyBorder="1" applyAlignment="1">
      <alignment horizontal="center" vertical="top" wrapText="1"/>
    </xf>
    <xf numFmtId="0" fontId="8" fillId="0" borderId="0" xfId="17" applyNumberFormat="1" applyFont="1" applyFill="1" applyBorder="1" applyAlignment="1">
      <alignment horizontal="center" vertical="top" wrapText="1"/>
    </xf>
    <xf numFmtId="0" fontId="8" fillId="3" borderId="3" xfId="17" applyNumberFormat="1" applyFont="1" applyFill="1" applyBorder="1" applyAlignment="1">
      <alignment horizontal="center" vertical="top" wrapText="1"/>
    </xf>
    <xf numFmtId="0" fontId="8" fillId="3" borderId="42" xfId="17" applyNumberFormat="1" applyFont="1" applyFill="1" applyBorder="1" applyAlignment="1">
      <alignment horizontal="center" vertical="top" wrapText="1"/>
    </xf>
    <xf numFmtId="0" fontId="8" fillId="3" borderId="13" xfId="17" applyNumberFormat="1" applyFont="1" applyFill="1" applyBorder="1" applyAlignment="1">
      <alignment horizontal="center" vertical="top"/>
    </xf>
    <xf numFmtId="2" fontId="10" fillId="0" borderId="2" xfId="17" applyNumberFormat="1" applyFont="1" applyFill="1" applyBorder="1" applyAlignment="1">
      <alignment horizontal="center" vertical="top"/>
    </xf>
    <xf numFmtId="0" fontId="10" fillId="0" borderId="2" xfId="17" applyNumberFormat="1" applyFont="1" applyFill="1" applyBorder="1" applyAlignment="1">
      <alignment horizontal="center" vertical="top" wrapText="1"/>
    </xf>
    <xf numFmtId="0" fontId="10" fillId="2" borderId="7" xfId="17" applyNumberFormat="1" applyFont="1" applyFill="1" applyBorder="1" applyAlignment="1">
      <alignment horizontal="center" vertical="top" wrapText="1"/>
    </xf>
    <xf numFmtId="0" fontId="10" fillId="0" borderId="7" xfId="17" applyNumberFormat="1" applyFont="1" applyFill="1" applyBorder="1" applyAlignment="1">
      <alignment horizontal="center" vertical="top" wrapText="1"/>
    </xf>
    <xf numFmtId="0" fontId="8" fillId="0" borderId="0" xfId="17" applyNumberFormat="1" applyFont="1" applyFill="1" applyBorder="1" applyAlignment="1">
      <alignment vertical="top" wrapText="1"/>
    </xf>
    <xf numFmtId="0" fontId="8" fillId="0" borderId="0" xfId="17" applyNumberFormat="1" applyFont="1" applyFill="1" applyBorder="1" applyAlignment="1">
      <alignment horizontal="left" vertical="top" wrapText="1"/>
    </xf>
    <xf numFmtId="0" fontId="10" fillId="0" borderId="2" xfId="0" applyNumberFormat="1" applyFont="1" applyBorder="1" applyAlignment="1">
      <alignment horizontal="center" vertical="top" wrapText="1"/>
    </xf>
    <xf numFmtId="0" fontId="10" fillId="0" borderId="3" xfId="17" applyNumberFormat="1" applyFont="1" applyFill="1" applyBorder="1" applyAlignment="1">
      <alignment horizontal="center" vertical="top"/>
    </xf>
    <xf numFmtId="0" fontId="10" fillId="0" borderId="3" xfId="17" applyNumberFormat="1" applyFont="1" applyFill="1" applyBorder="1" applyAlignment="1">
      <alignment horizontal="center" vertical="top" wrapText="1"/>
    </xf>
    <xf numFmtId="0" fontId="8" fillId="3" borderId="17" xfId="17" applyNumberFormat="1" applyFont="1" applyFill="1" applyBorder="1" applyAlignment="1">
      <alignment horizontal="center" vertical="top" wrapText="1"/>
    </xf>
    <xf numFmtId="0" fontId="8" fillId="3" borderId="9" xfId="17" applyNumberFormat="1" applyFont="1" applyFill="1" applyBorder="1" applyAlignment="1">
      <alignment horizontal="center" vertical="top"/>
    </xf>
    <xf numFmtId="0" fontId="8" fillId="3" borderId="10" xfId="17" applyNumberFormat="1" applyFont="1" applyFill="1" applyBorder="1" applyAlignment="1">
      <alignment horizontal="center" vertical="top"/>
    </xf>
    <xf numFmtId="0" fontId="8" fillId="0" borderId="0" xfId="17" applyNumberFormat="1" applyFont="1" applyFill="1" applyBorder="1" applyAlignment="1">
      <alignment horizontal="center" vertical="top"/>
    </xf>
    <xf numFmtId="0" fontId="8" fillId="3" borderId="13" xfId="17" applyNumberFormat="1" applyFont="1" applyFill="1" applyBorder="1" applyAlignment="1">
      <alignment horizontal="center" vertical="top" wrapText="1"/>
    </xf>
    <xf numFmtId="0" fontId="8" fillId="3" borderId="14" xfId="17" applyNumberFormat="1" applyFont="1" applyFill="1" applyBorder="1" applyAlignment="1">
      <alignment horizontal="center" vertical="top" wrapText="1"/>
    </xf>
    <xf numFmtId="0" fontId="10" fillId="0" borderId="7" xfId="17" applyNumberFormat="1" applyFont="1" applyFill="1" applyBorder="1" applyAlignment="1">
      <alignment horizontal="center" vertical="top"/>
    </xf>
    <xf numFmtId="0" fontId="8" fillId="3" borderId="17" xfId="17" applyNumberFormat="1" applyFont="1" applyFill="1" applyBorder="1" applyAlignment="1">
      <alignment horizontal="center" vertical="top"/>
    </xf>
    <xf numFmtId="0" fontId="8" fillId="3" borderId="17" xfId="17" applyNumberFormat="1" applyFont="1" applyFill="1" applyBorder="1" applyAlignment="1">
      <alignment horizontal="left" vertical="top"/>
    </xf>
    <xf numFmtId="0" fontId="10" fillId="3" borderId="9" xfId="17" applyNumberFormat="1" applyFont="1" applyFill="1" applyBorder="1" applyAlignment="1">
      <alignment horizontal="left" vertical="top"/>
    </xf>
    <xf numFmtId="0" fontId="9" fillId="3" borderId="9" xfId="17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left" vertical="top"/>
    </xf>
    <xf numFmtId="0" fontId="17" fillId="3" borderId="9" xfId="0" applyNumberFormat="1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10" fillId="0" borderId="2" xfId="0" applyNumberFormat="1" applyFont="1" applyBorder="1" applyAlignment="1">
      <alignment horizontal="center"/>
    </xf>
    <xf numFmtId="14" fontId="10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7" fillId="0" borderId="7" xfId="0" applyNumberFormat="1" applyFont="1" applyBorder="1" applyAlignment="1">
      <alignment horizontal="left" vertical="center" wrapText="1"/>
    </xf>
    <xf numFmtId="0" fontId="8" fillId="0" borderId="2" xfId="15" applyNumberFormat="1" applyFont="1" applyFill="1" applyBorder="1" applyAlignment="1">
      <alignment horizontal="left" vertical="top" wrapText="1"/>
    </xf>
    <xf numFmtId="0" fontId="10" fillId="2" borderId="2" xfId="0" applyNumberFormat="1" applyFont="1" applyFill="1" applyBorder="1" applyAlignment="1">
      <alignment horizontal="center" vertical="center" wrapText="1"/>
    </xf>
    <xf numFmtId="0" fontId="8" fillId="2" borderId="2" xfId="15" applyNumberFormat="1" applyFont="1" applyFill="1" applyBorder="1" applyAlignment="1">
      <alignment horizontal="left" vertical="top" wrapText="1"/>
    </xf>
    <xf numFmtId="14" fontId="7" fillId="2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horizontal="left" vertical="top" wrapText="1"/>
    </xf>
    <xf numFmtId="14" fontId="10" fillId="1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0" fontId="20" fillId="0" borderId="7" xfId="0" applyNumberFormat="1" applyFont="1" applyBorder="1" applyAlignment="1">
      <alignment horizontal="left" vertical="center" wrapText="1"/>
    </xf>
    <xf numFmtId="0" fontId="10" fillId="3" borderId="2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8" fillId="2" borderId="2" xfId="15" applyNumberFormat="1" applyFont="1" applyFill="1" applyBorder="1" applyAlignment="1">
      <alignment horizontal="center" vertical="center"/>
    </xf>
    <xf numFmtId="0" fontId="10" fillId="0" borderId="7" xfId="17" applyNumberFormat="1" applyFont="1" applyFill="1" applyBorder="1" applyAlignment="1">
      <alignment horizontal="center" vertical="center"/>
    </xf>
    <xf numFmtId="49" fontId="10" fillId="0" borderId="2" xfId="15" applyNumberFormat="1" applyFont="1" applyFill="1" applyBorder="1" applyAlignment="1">
      <alignment horizontal="center" vertical="center"/>
    </xf>
    <xf numFmtId="0" fontId="8" fillId="0" borderId="2" xfId="15" applyNumberFormat="1" applyFont="1" applyFill="1" applyBorder="1" applyAlignment="1">
      <alignment horizontal="center" vertical="center"/>
    </xf>
    <xf numFmtId="0" fontId="8" fillId="0" borderId="2" xfId="17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/>
    </xf>
    <xf numFmtId="0" fontId="17" fillId="0" borderId="18" xfId="0" applyNumberFormat="1" applyFont="1" applyFill="1" applyBorder="1" applyAlignment="1">
      <alignment horizontal="center" vertical="center"/>
    </xf>
    <xf numFmtId="0" fontId="17" fillId="0" borderId="17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 textRotation="90"/>
    </xf>
    <xf numFmtId="0" fontId="19" fillId="0" borderId="0" xfId="15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1" fontId="7" fillId="0" borderId="0" xfId="0" applyNumberFormat="1" applyFont="1"/>
    <xf numFmtId="0" fontId="17" fillId="3" borderId="11" xfId="0" applyNumberFormat="1" applyFont="1" applyFill="1" applyBorder="1" applyAlignment="1">
      <alignment horizontal="center" vertical="center"/>
    </xf>
    <xf numFmtId="14" fontId="17" fillId="3" borderId="11" xfId="0" applyNumberFormat="1" applyFont="1" applyFill="1" applyBorder="1" applyAlignment="1">
      <alignment horizontal="center"/>
    </xf>
    <xf numFmtId="171" fontId="17" fillId="3" borderId="16" xfId="0" applyNumberFormat="1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17" fillId="0" borderId="7" xfId="0" applyNumberFormat="1" applyFont="1" applyBorder="1" applyAlignment="1">
      <alignment horizontal="center"/>
    </xf>
    <xf numFmtId="171" fontId="7" fillId="0" borderId="9" xfId="0" applyNumberFormat="1" applyFont="1" applyBorder="1" applyAlignment="1">
      <alignment horizontal="center"/>
    </xf>
    <xf numFmtId="2" fontId="7" fillId="0" borderId="0" xfId="0" applyNumberFormat="1" applyFont="1"/>
    <xf numFmtId="2" fontId="8" fillId="3" borderId="7" xfId="17" applyNumberFormat="1" applyFont="1" applyFill="1" applyBorder="1" applyAlignment="1">
      <alignment horizontal="center" vertical="center" wrapText="1"/>
    </xf>
    <xf numFmtId="0" fontId="8" fillId="0" borderId="2" xfId="17" applyNumberFormat="1" applyFont="1" applyFill="1" applyBorder="1" applyAlignment="1">
      <alignment horizontal="left" vertical="center" wrapText="1"/>
    </xf>
    <xf numFmtId="1" fontId="8" fillId="0" borderId="0" xfId="0" applyNumberFormat="1" applyFont="1" applyAlignment="1">
      <alignment horizontal="left" vertical="top" wrapText="1"/>
    </xf>
    <xf numFmtId="2" fontId="8" fillId="0" borderId="0" xfId="0" applyNumberFormat="1" applyFont="1" applyAlignment="1">
      <alignment horizontal="left" vertical="top" wrapText="1"/>
    </xf>
    <xf numFmtId="2" fontId="10" fillId="0" borderId="0" xfId="0" applyNumberFormat="1" applyFont="1" applyAlignment="1">
      <alignment horizontal="left" vertical="top" wrapText="1"/>
    </xf>
    <xf numFmtId="2" fontId="10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0" fontId="0" fillId="0" borderId="0" xfId="0" applyNumberFormat="1" applyFont="1"/>
    <xf numFmtId="2" fontId="8" fillId="3" borderId="2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Border="1" applyAlignment="1">
      <alignment wrapText="1"/>
    </xf>
    <xf numFmtId="0" fontId="7" fillId="0" borderId="17" xfId="0" applyNumberFormat="1" applyFont="1" applyBorder="1" applyAlignment="1">
      <alignment wrapText="1"/>
    </xf>
    <xf numFmtId="4" fontId="22" fillId="0" borderId="2" xfId="21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wrapText="1"/>
    </xf>
    <xf numFmtId="4" fontId="7" fillId="0" borderId="7" xfId="0" applyNumberFormat="1" applyFont="1" applyBorder="1" applyAlignment="1">
      <alignment horizontal="center" wrapText="1"/>
    </xf>
    <xf numFmtId="4" fontId="22" fillId="0" borderId="2" xfId="0" applyNumberFormat="1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4" fontId="7" fillId="0" borderId="2" xfId="21" applyNumberFormat="1" applyFont="1" applyBorder="1" applyAlignment="1">
      <alignment horizontal="center" vertical="center" wrapText="1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22" fillId="0" borderId="0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9" xfId="0" applyNumberFormat="1" applyFont="1" applyBorder="1" applyAlignment="1">
      <alignment horizontal="center" wrapText="1"/>
    </xf>
    <xf numFmtId="4" fontId="7" fillId="0" borderId="10" xfId="0" applyNumberFormat="1" applyFont="1" applyBorder="1" applyAlignment="1">
      <alignment horizontal="center" wrapText="1"/>
    </xf>
    <xf numFmtId="0" fontId="7" fillId="0" borderId="0" xfId="0" applyNumberFormat="1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vertical="top"/>
    </xf>
    <xf numFmtId="0" fontId="10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vertical="top"/>
    </xf>
    <xf numFmtId="2" fontId="8" fillId="2" borderId="0" xfId="0" applyNumberFormat="1" applyFont="1" applyFill="1" applyAlignment="1">
      <alignment horizontal="center" vertical="top"/>
    </xf>
    <xf numFmtId="0" fontId="10" fillId="2" borderId="0" xfId="0" applyNumberFormat="1" applyFont="1" applyFill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center" vertical="top"/>
    </xf>
    <xf numFmtId="0" fontId="10" fillId="0" borderId="41" xfId="0" applyNumberFormat="1" applyFont="1" applyBorder="1" applyAlignment="1">
      <alignment vertical="top" wrapText="1"/>
    </xf>
    <xf numFmtId="0" fontId="8" fillId="3" borderId="11" xfId="0" applyNumberFormat="1" applyFont="1" applyFill="1" applyBorder="1" applyAlignment="1">
      <alignment horizontal="center" vertical="top" wrapText="1"/>
    </xf>
    <xf numFmtId="0" fontId="8" fillId="3" borderId="18" xfId="0" applyNumberFormat="1" applyFont="1" applyFill="1" applyBorder="1" applyAlignment="1">
      <alignment horizontal="center" vertical="top" wrapText="1"/>
    </xf>
    <xf numFmtId="2" fontId="10" fillId="2" borderId="17" xfId="0" applyNumberFormat="1" applyFont="1" applyFill="1" applyBorder="1" applyAlignment="1">
      <alignment horizontal="center" vertical="top" wrapText="1"/>
    </xf>
    <xf numFmtId="4" fontId="10" fillId="7" borderId="9" xfId="0" applyNumberFormat="1" applyFont="1" applyFill="1" applyBorder="1" applyAlignment="1">
      <alignment horizontal="center" vertical="top" wrapText="1"/>
    </xf>
    <xf numFmtId="2" fontId="10" fillId="0" borderId="9" xfId="0" applyNumberFormat="1" applyFont="1" applyFill="1" applyBorder="1" applyAlignment="1">
      <alignment horizontal="center" vertical="top" wrapText="1"/>
    </xf>
    <xf numFmtId="2" fontId="10" fillId="7" borderId="9" xfId="0" applyNumberFormat="1" applyFont="1" applyFill="1" applyBorder="1" applyAlignment="1">
      <alignment horizontal="center" vertical="top" wrapText="1"/>
    </xf>
    <xf numFmtId="171" fontId="10" fillId="0" borderId="9" xfId="0" applyNumberFormat="1" applyFont="1" applyBorder="1" applyAlignment="1">
      <alignment horizontal="center" vertical="top" wrapText="1"/>
    </xf>
    <xf numFmtId="171" fontId="10" fillId="7" borderId="9" xfId="0" applyNumberFormat="1" applyFont="1" applyFill="1" applyBorder="1" applyAlignment="1">
      <alignment horizontal="center" vertical="top" wrapText="1"/>
    </xf>
    <xf numFmtId="2" fontId="10" fillId="0" borderId="9" xfId="0" applyNumberFormat="1" applyFont="1" applyBorder="1" applyAlignment="1">
      <alignment horizontal="center" vertical="top" wrapText="1"/>
    </xf>
    <xf numFmtId="3" fontId="10" fillId="0" borderId="9" xfId="0" applyNumberFormat="1" applyFont="1" applyBorder="1" applyAlignment="1">
      <alignment horizontal="center" vertical="top" wrapText="1"/>
    </xf>
    <xf numFmtId="3" fontId="10" fillId="7" borderId="9" xfId="0" applyNumberFormat="1" applyFont="1" applyFill="1" applyBorder="1" applyAlignment="1">
      <alignment horizontal="center" vertical="top" wrapText="1"/>
    </xf>
    <xf numFmtId="0" fontId="7" fillId="0" borderId="35" xfId="0" applyNumberFormat="1" applyFont="1" applyFill="1" applyBorder="1" applyAlignment="1">
      <alignment vertical="top"/>
    </xf>
    <xf numFmtId="0" fontId="7" fillId="0" borderId="31" xfId="0" applyNumberFormat="1" applyFont="1" applyFill="1" applyBorder="1" applyAlignment="1">
      <alignment vertical="top"/>
    </xf>
    <xf numFmtId="0" fontId="10" fillId="0" borderId="0" xfId="17" applyNumberFormat="1" applyFont="1" applyFill="1" applyBorder="1" applyAlignment="1">
      <alignment horizontal="left" vertical="top" wrapText="1"/>
    </xf>
    <xf numFmtId="0" fontId="7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0" fillId="0" borderId="18" xfId="17" applyNumberFormat="1" applyFont="1" applyFill="1" applyBorder="1" applyAlignment="1">
      <alignment horizontal="left" vertical="top" wrapText="1"/>
    </xf>
    <xf numFmtId="3" fontId="10" fillId="0" borderId="2" xfId="17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49" fontId="17" fillId="0" borderId="0" xfId="0" applyNumberFormat="1" applyFont="1" applyFill="1" applyBorder="1" applyAlignment="1">
      <alignment vertical="top"/>
    </xf>
    <xf numFmtId="0" fontId="10" fillId="0" borderId="0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vertical="top" wrapText="1"/>
    </xf>
    <xf numFmtId="3" fontId="10" fillId="0" borderId="2" xfId="0" applyNumberFormat="1" applyFont="1" applyBorder="1" applyAlignment="1">
      <alignment horizontal="center" vertical="top" wrapText="1"/>
    </xf>
    <xf numFmtId="0" fontId="10" fillId="0" borderId="7" xfId="0" applyNumberFormat="1" applyFont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top" wrapText="1"/>
    </xf>
    <xf numFmtId="0" fontId="10" fillId="0" borderId="18" xfId="0" applyNumberFormat="1" applyFont="1" applyBorder="1" applyAlignment="1">
      <alignment vertical="top" wrapText="1"/>
    </xf>
    <xf numFmtId="3" fontId="10" fillId="0" borderId="2" xfId="0" applyNumberFormat="1" applyFont="1" applyBorder="1" applyAlignment="1">
      <alignment vertical="top" wrapText="1"/>
    </xf>
    <xf numFmtId="0" fontId="10" fillId="0" borderId="2" xfId="0" applyNumberFormat="1" applyFont="1" applyBorder="1" applyAlignment="1">
      <alignment vertical="top" wrapText="1"/>
    </xf>
    <xf numFmtId="0" fontId="10" fillId="0" borderId="7" xfId="0" applyNumberFormat="1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2" fontId="7" fillId="0" borderId="0" xfId="0" applyNumberFormat="1" applyFont="1" applyFill="1" applyBorder="1" applyAlignment="1">
      <alignment horizontal="center" vertical="top"/>
    </xf>
    <xf numFmtId="171" fontId="7" fillId="0" borderId="0" xfId="0" applyNumberFormat="1" applyFont="1" applyFill="1" applyBorder="1" applyAlignment="1">
      <alignment horizontal="center" vertical="top"/>
    </xf>
    <xf numFmtId="171" fontId="17" fillId="0" borderId="0" xfId="0" applyNumberFormat="1" applyFont="1" applyFill="1" applyBorder="1" applyAlignment="1">
      <alignment vertical="top"/>
    </xf>
    <xf numFmtId="0" fontId="8" fillId="3" borderId="17" xfId="0" applyNumberFormat="1" applyFont="1" applyFill="1" applyBorder="1" applyAlignment="1">
      <alignment vertical="top" wrapText="1"/>
    </xf>
    <xf numFmtId="3" fontId="8" fillId="3" borderId="9" xfId="0" applyNumberFormat="1" applyFont="1" applyFill="1" applyBorder="1" applyAlignment="1">
      <alignment horizontal="center" vertical="top" wrapText="1"/>
    </xf>
    <xf numFmtId="0" fontId="8" fillId="3" borderId="9" xfId="0" applyNumberFormat="1" applyFont="1" applyFill="1" applyBorder="1" applyAlignment="1">
      <alignment horizontal="center" vertical="top" wrapText="1"/>
    </xf>
    <xf numFmtId="0" fontId="10" fillId="0" borderId="0" xfId="17" applyNumberFormat="1" applyFont="1" applyFill="1" applyBorder="1" applyAlignment="1">
      <alignment vertical="top" wrapText="1"/>
    </xf>
    <xf numFmtId="0" fontId="8" fillId="0" borderId="41" xfId="17" applyNumberFormat="1" applyFont="1" applyFill="1" applyBorder="1" applyAlignment="1">
      <alignment vertical="top"/>
    </xf>
    <xf numFmtId="0" fontId="7" fillId="0" borderId="0" xfId="0" applyNumberFormat="1" applyFont="1" applyAlignment="1">
      <alignment vertical="top" wrapText="1"/>
    </xf>
    <xf numFmtId="171" fontId="7" fillId="0" borderId="2" xfId="0" applyNumberFormat="1" applyFont="1" applyFill="1" applyBorder="1" applyAlignment="1">
      <alignment horizontal="center" vertical="top"/>
    </xf>
    <xf numFmtId="171" fontId="7" fillId="0" borderId="2" xfId="0" applyNumberFormat="1" applyFont="1" applyBorder="1" applyAlignment="1">
      <alignment horizontal="center" vertical="top"/>
    </xf>
    <xf numFmtId="171" fontId="7" fillId="0" borderId="7" xfId="0" applyNumberFormat="1" applyFont="1" applyBorder="1" applyAlignment="1">
      <alignment horizontal="center" vertical="top"/>
    </xf>
    <xf numFmtId="2" fontId="7" fillId="0" borderId="2" xfId="0" applyNumberFormat="1" applyFont="1" applyFill="1" applyBorder="1" applyAlignment="1">
      <alignment horizontal="center" vertical="top"/>
    </xf>
    <xf numFmtId="2" fontId="7" fillId="0" borderId="2" xfId="0" applyNumberFormat="1" applyFont="1" applyBorder="1" applyAlignment="1">
      <alignment horizontal="center" vertical="top"/>
    </xf>
    <xf numFmtId="2" fontId="7" fillId="0" borderId="7" xfId="0" applyNumberFormat="1" applyFont="1" applyBorder="1" applyAlignment="1">
      <alignment horizontal="center" vertical="top"/>
    </xf>
    <xf numFmtId="0" fontId="10" fillId="0" borderId="18" xfId="17" applyNumberFormat="1" applyFont="1" applyFill="1" applyBorder="1" applyAlignment="1">
      <alignment vertical="top" wrapText="1"/>
    </xf>
    <xf numFmtId="171" fontId="10" fillId="2" borderId="2" xfId="17" applyNumberFormat="1" applyFont="1" applyFill="1" applyBorder="1" applyAlignment="1">
      <alignment vertical="top" wrapText="1"/>
    </xf>
    <xf numFmtId="171" fontId="10" fillId="7" borderId="2" xfId="17" applyNumberFormat="1" applyFont="1" applyFill="1" applyBorder="1" applyAlignment="1">
      <alignment vertical="top" wrapText="1"/>
    </xf>
    <xf numFmtId="171" fontId="10" fillId="0" borderId="2" xfId="17" applyNumberFormat="1" applyFont="1" applyFill="1" applyBorder="1" applyAlignment="1">
      <alignment vertical="top" wrapText="1"/>
    </xf>
    <xf numFmtId="171" fontId="10" fillId="7" borderId="7" xfId="17" applyNumberFormat="1" applyFont="1" applyFill="1" applyBorder="1" applyAlignment="1">
      <alignment vertical="top" wrapText="1"/>
    </xf>
    <xf numFmtId="0" fontId="8" fillId="3" borderId="17" xfId="17" applyNumberFormat="1" applyFont="1" applyFill="1" applyBorder="1" applyAlignment="1">
      <alignment vertical="top" wrapText="1"/>
    </xf>
    <xf numFmtId="171" fontId="8" fillId="3" borderId="9" xfId="17" applyNumberFormat="1" applyFont="1" applyFill="1" applyBorder="1" applyAlignment="1">
      <alignment vertical="top" wrapText="1"/>
    </xf>
    <xf numFmtId="171" fontId="10" fillId="7" borderId="28" xfId="17" applyNumberFormat="1" applyFont="1" applyFill="1" applyBorder="1" applyAlignment="1">
      <alignment vertical="top" wrapText="1"/>
    </xf>
    <xf numFmtId="4" fontId="22" fillId="0" borderId="2" xfId="21" applyNumberFormat="1" applyFont="1" applyBorder="1" applyAlignment="1">
      <alignment horizontal="center" vertical="top" wrapText="1"/>
    </xf>
    <xf numFmtId="4" fontId="22" fillId="0" borderId="2" xfId="0" applyNumberFormat="1" applyFont="1" applyBorder="1" applyAlignment="1">
      <alignment horizontal="center" vertical="top" wrapText="1"/>
    </xf>
    <xf numFmtId="4" fontId="7" fillId="0" borderId="2" xfId="0" applyNumberFormat="1" applyFont="1" applyBorder="1" applyAlignment="1">
      <alignment horizontal="center" vertical="top" wrapText="1"/>
    </xf>
    <xf numFmtId="4" fontId="7" fillId="0" borderId="7" xfId="0" applyNumberFormat="1" applyFont="1" applyBorder="1" applyAlignment="1">
      <alignment horizontal="center" vertical="top" wrapText="1"/>
    </xf>
    <xf numFmtId="4" fontId="22" fillId="0" borderId="2" xfId="0" applyNumberFormat="1" applyFont="1" applyBorder="1" applyAlignment="1">
      <alignment horizontal="center" vertical="top"/>
    </xf>
    <xf numFmtId="2" fontId="10" fillId="0" borderId="3" xfId="17" applyNumberFormat="1" applyFont="1" applyFill="1" applyBorder="1" applyAlignment="1">
      <alignment horizontal="center" vertical="top"/>
    </xf>
    <xf numFmtId="2" fontId="8" fillId="3" borderId="9" xfId="17" applyNumberFormat="1" applyFont="1" applyFill="1" applyBorder="1" applyAlignment="1">
      <alignment horizontal="center" vertical="top"/>
    </xf>
    <xf numFmtId="0" fontId="17" fillId="2" borderId="0" xfId="0" applyNumberFormat="1" applyFont="1" applyFill="1" applyBorder="1" applyAlignment="1">
      <alignment horizontal="center" vertical="top" wrapText="1"/>
    </xf>
    <xf numFmtId="0" fontId="10" fillId="2" borderId="0" xfId="0" applyNumberFormat="1" applyFont="1" applyFill="1" applyBorder="1" applyAlignment="1">
      <alignment horizontal="left" vertical="top" wrapText="1"/>
    </xf>
    <xf numFmtId="49" fontId="10" fillId="2" borderId="2" xfId="15" applyNumberFormat="1" applyFont="1" applyFill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top" wrapText="1"/>
    </xf>
    <xf numFmtId="0" fontId="8" fillId="0" borderId="2" xfId="17" applyNumberFormat="1" applyFont="1" applyFill="1" applyBorder="1" applyAlignment="1">
      <alignment horizontal="center" vertical="top"/>
    </xf>
    <xf numFmtId="10" fontId="7" fillId="0" borderId="2" xfId="18" applyNumberFormat="1" applyFont="1" applyFill="1" applyBorder="1" applyAlignment="1">
      <alignment horizontal="center" vertical="top"/>
    </xf>
    <xf numFmtId="10" fontId="7" fillId="0" borderId="2" xfId="18" applyNumberFormat="1" applyFont="1" applyBorder="1" applyAlignment="1">
      <alignment horizontal="center" vertical="top"/>
    </xf>
    <xf numFmtId="10" fontId="7" fillId="0" borderId="7" xfId="18" applyNumberFormat="1" applyFont="1" applyBorder="1" applyAlignment="1">
      <alignment horizontal="center" vertical="top"/>
    </xf>
    <xf numFmtId="0" fontId="8" fillId="2" borderId="2" xfId="17" applyNumberFormat="1" applyFont="1" applyFill="1" applyBorder="1" applyAlignment="1">
      <alignment horizontal="left" vertical="center" wrapText="1"/>
    </xf>
    <xf numFmtId="0" fontId="8" fillId="3" borderId="2" xfId="17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2" xfId="15" applyNumberFormat="1" applyFont="1" applyFill="1" applyBorder="1" applyAlignment="1">
      <alignment horizontal="center" vertical="center" wrapText="1"/>
    </xf>
    <xf numFmtId="0" fontId="17" fillId="3" borderId="9" xfId="0" applyNumberFormat="1" applyFont="1" applyFill="1" applyBorder="1" applyAlignment="1">
      <alignment horizontal="center"/>
    </xf>
    <xf numFmtId="0" fontId="17" fillId="3" borderId="2" xfId="0" applyNumberFormat="1" applyFont="1" applyFill="1" applyBorder="1" applyAlignment="1">
      <alignment horizontal="center"/>
    </xf>
    <xf numFmtId="0" fontId="17" fillId="3" borderId="15" xfId="0" applyNumberFormat="1" applyFont="1" applyFill="1" applyBorder="1" applyAlignment="1">
      <alignment horizontal="center" vertical="center"/>
    </xf>
    <xf numFmtId="4" fontId="7" fillId="2" borderId="2" xfId="31" applyNumberFormat="1" applyFont="1" applyFill="1" applyBorder="1" applyAlignment="1">
      <alignment horizontal="center" vertical="top"/>
    </xf>
    <xf numFmtId="4" fontId="7" fillId="0" borderId="2" xfId="31" applyNumberFormat="1" applyFont="1" applyBorder="1" applyAlignment="1">
      <alignment horizontal="center" vertical="top"/>
    </xf>
    <xf numFmtId="4" fontId="7" fillId="0" borderId="2" xfId="31" applyNumberFormat="1" applyFont="1" applyBorder="1" applyAlignment="1">
      <alignment horizontal="center"/>
    </xf>
    <xf numFmtId="4" fontId="7" fillId="0" borderId="2" xfId="31" applyNumberFormat="1" applyFont="1" applyBorder="1"/>
    <xf numFmtId="2" fontId="7" fillId="0" borderId="9" xfId="0" applyNumberFormat="1" applyFont="1" applyBorder="1" applyAlignment="1">
      <alignment horizontal="center" vertical="top"/>
    </xf>
    <xf numFmtId="4" fontId="7" fillId="0" borderId="9" xfId="31" applyNumberFormat="1" applyFont="1" applyBorder="1"/>
    <xf numFmtId="0" fontId="7" fillId="2" borderId="2" xfId="0" applyFont="1" applyFill="1" applyBorder="1" applyAlignment="1">
      <alignment horizont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" xfId="17" applyNumberFormat="1" applyFont="1" applyFill="1" applyBorder="1" applyAlignment="1">
      <alignment horizontal="center" vertical="center"/>
    </xf>
    <xf numFmtId="4" fontId="7" fillId="0" borderId="2" xfId="31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 wrapText="1"/>
    </xf>
    <xf numFmtId="0" fontId="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Font="1" applyFill="1" applyBorder="1" applyAlignment="1">
      <alignment vertical="top"/>
    </xf>
    <xf numFmtId="0" fontId="10" fillId="0" borderId="0" xfId="0" applyNumberFormat="1" applyFont="1" applyFill="1" applyAlignment="1">
      <alignment horizontal="left" vertical="top" wrapText="1"/>
    </xf>
    <xf numFmtId="0" fontId="12" fillId="0" borderId="0" xfId="0" applyFont="1" applyAlignment="1">
      <alignment vertical="top"/>
    </xf>
    <xf numFmtId="0" fontId="10" fillId="2" borderId="0" xfId="0" applyNumberFormat="1" applyFont="1" applyFill="1" applyAlignment="1">
      <alignment horizontal="center" vertical="top" wrapText="1"/>
    </xf>
    <xf numFmtId="0" fontId="10" fillId="0" borderId="0" xfId="0" applyNumberFormat="1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17" fillId="3" borderId="18" xfId="0" applyNumberFormat="1" applyFont="1" applyFill="1" applyBorder="1" applyAlignment="1">
      <alignment horizontal="left"/>
    </xf>
    <xf numFmtId="0" fontId="8" fillId="0" borderId="2" xfId="17" applyNumberFormat="1" applyFont="1" applyFill="1" applyBorder="1" applyAlignment="1">
      <alignment horizontal="left" vertical="top" wrapText="1"/>
    </xf>
    <xf numFmtId="0" fontId="8" fillId="2" borderId="18" xfId="15" applyNumberFormat="1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left"/>
    </xf>
    <xf numFmtId="0" fontId="21" fillId="0" borderId="0" xfId="0" applyNumberFormat="1" applyFont="1" applyAlignment="1">
      <alignment horizontal="left" vertical="center"/>
    </xf>
    <xf numFmtId="0" fontId="8" fillId="0" borderId="18" xfId="17" applyNumberFormat="1" applyFont="1" applyFill="1" applyBorder="1" applyAlignment="1">
      <alignment horizontal="left" vertical="top"/>
    </xf>
    <xf numFmtId="49" fontId="10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171" fontId="7" fillId="0" borderId="2" xfId="0" applyNumberFormat="1" applyFont="1" applyFill="1" applyBorder="1" applyAlignment="1">
      <alignment horizontal="center"/>
    </xf>
    <xf numFmtId="171" fontId="7" fillId="0" borderId="2" xfId="0" applyNumberFormat="1" applyFont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17" fillId="0" borderId="7" xfId="0" applyNumberFormat="1" applyFont="1" applyBorder="1" applyAlignment="1">
      <alignment horizontal="center"/>
    </xf>
    <xf numFmtId="171" fontId="17" fillId="0" borderId="10" xfId="0" applyNumberFormat="1" applyFont="1" applyBorder="1" applyAlignment="1">
      <alignment horizontal="center"/>
    </xf>
    <xf numFmtId="0" fontId="23" fillId="0" borderId="2" xfId="17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left" vertical="top" wrapText="1"/>
    </xf>
    <xf numFmtId="0" fontId="10" fillId="0" borderId="2" xfId="0" applyNumberFormat="1" applyFont="1" applyBorder="1" applyAlignment="1">
      <alignment horizontal="center" vertical="center"/>
    </xf>
    <xf numFmtId="171" fontId="7" fillId="0" borderId="2" xfId="17" applyNumberFormat="1" applyFont="1" applyFill="1" applyBorder="1" applyAlignment="1">
      <alignment vertical="top" wrapText="1"/>
    </xf>
    <xf numFmtId="171" fontId="17" fillId="3" borderId="9" xfId="17" applyNumberFormat="1" applyFont="1" applyFill="1" applyBorder="1" applyAlignment="1">
      <alignment vertical="top" wrapText="1"/>
    </xf>
    <xf numFmtId="0" fontId="10" fillId="2" borderId="3" xfId="17" applyNumberFormat="1" applyFont="1" applyFill="1" applyBorder="1" applyAlignment="1">
      <alignment horizontal="center" vertical="top"/>
    </xf>
    <xf numFmtId="14" fontId="10" fillId="0" borderId="0" xfId="0" applyNumberFormat="1" applyFont="1" applyAlignment="1">
      <alignment horizontal="center" vertical="top"/>
    </xf>
    <xf numFmtId="0" fontId="10" fillId="0" borderId="0" xfId="0" applyNumberFormat="1" applyFont="1" applyAlignment="1">
      <alignment horizontal="center" vertical="top"/>
    </xf>
    <xf numFmtId="2" fontId="10" fillId="0" borderId="0" xfId="0" applyNumberFormat="1" applyFont="1" applyFill="1" applyAlignment="1">
      <alignment horizontal="center" vertical="top"/>
    </xf>
    <xf numFmtId="10" fontId="10" fillId="0" borderId="0" xfId="0" applyNumberFormat="1" applyFont="1" applyFill="1" applyAlignment="1">
      <alignment horizontal="center" vertical="top"/>
    </xf>
    <xf numFmtId="0" fontId="10" fillId="0" borderId="0" xfId="0" applyNumberFormat="1" applyFont="1" applyFill="1" applyAlignment="1">
      <alignment horizontal="center" vertical="top"/>
    </xf>
    <xf numFmtId="0" fontId="10" fillId="0" borderId="0" xfId="0" applyNumberFormat="1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/>
    </xf>
    <xf numFmtId="10" fontId="8" fillId="3" borderId="2" xfId="17" applyNumberFormat="1" applyFont="1" applyFill="1" applyBorder="1" applyAlignment="1">
      <alignment horizontal="center" vertical="center" wrapText="1"/>
    </xf>
    <xf numFmtId="14" fontId="10" fillId="2" borderId="2" xfId="17" applyNumberFormat="1" applyFont="1" applyFill="1" applyBorder="1" applyAlignment="1">
      <alignment horizontal="center" vertical="center" wrapText="1"/>
    </xf>
    <xf numFmtId="0" fontId="10" fillId="2" borderId="2" xfId="17" applyNumberFormat="1" applyFont="1" applyFill="1" applyBorder="1" applyAlignment="1">
      <alignment horizontal="center" vertical="center" wrapText="1"/>
    </xf>
    <xf numFmtId="2" fontId="10" fillId="4" borderId="2" xfId="17" applyNumberFormat="1" applyFont="1" applyFill="1" applyBorder="1" applyAlignment="1">
      <alignment horizontal="center" vertical="center" wrapText="1"/>
    </xf>
    <xf numFmtId="10" fontId="10" fillId="7" borderId="2" xfId="14" applyNumberFormat="1" applyFont="1" applyFill="1" applyBorder="1" applyAlignment="1">
      <alignment horizontal="center" vertical="center" wrapText="1"/>
    </xf>
    <xf numFmtId="2" fontId="10" fillId="6" borderId="2" xfId="14" applyNumberFormat="1" applyFont="1" applyFill="1" applyBorder="1" applyAlignment="1">
      <alignment horizontal="center" vertical="center" wrapText="1"/>
    </xf>
    <xf numFmtId="20" fontId="10" fillId="2" borderId="2" xfId="17" applyNumberFormat="1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0" fontId="10" fillId="0" borderId="2" xfId="17" applyNumberFormat="1" applyFont="1" applyFill="1" applyBorder="1" applyAlignment="1">
      <alignment horizontal="left" vertical="center" wrapText="1"/>
    </xf>
    <xf numFmtId="0" fontId="10" fillId="8" borderId="2" xfId="17" applyNumberFormat="1" applyFont="1" applyFill="1" applyBorder="1" applyAlignment="1">
      <alignment horizontal="left" vertical="center" wrapText="1"/>
    </xf>
    <xf numFmtId="14" fontId="10" fillId="8" borderId="2" xfId="17" applyNumberFormat="1" applyFont="1" applyFill="1" applyBorder="1" applyAlignment="1">
      <alignment horizontal="left" vertical="center" wrapText="1"/>
    </xf>
    <xf numFmtId="0" fontId="10" fillId="8" borderId="2" xfId="17" applyNumberFormat="1" applyFont="1" applyFill="1" applyBorder="1" applyAlignment="1">
      <alignment horizontal="left" vertical="center"/>
    </xf>
    <xf numFmtId="0" fontId="10" fillId="0" borderId="7" xfId="17" applyNumberFormat="1" applyFont="1" applyBorder="1" applyAlignment="1">
      <alignment horizontal="left" vertical="center" wrapText="1"/>
    </xf>
    <xf numFmtId="2" fontId="10" fillId="4" borderId="2" xfId="0" applyNumberFormat="1" applyFont="1" applyFill="1" applyBorder="1" applyAlignment="1">
      <alignment horizontal="center" vertical="center" wrapText="1"/>
    </xf>
    <xf numFmtId="0" fontId="10" fillId="2" borderId="7" xfId="17" applyNumberFormat="1" applyFont="1" applyFill="1" applyBorder="1" applyAlignment="1">
      <alignment horizontal="left" vertical="center" wrapText="1"/>
    </xf>
    <xf numFmtId="17" fontId="10" fillId="2" borderId="2" xfId="17" applyNumberFormat="1" applyFont="1" applyFill="1" applyBorder="1" applyAlignment="1">
      <alignment horizontal="center" vertical="center" wrapText="1"/>
    </xf>
    <xf numFmtId="14" fontId="10" fillId="0" borderId="2" xfId="17" applyNumberFormat="1" applyFont="1" applyFill="1" applyBorder="1" applyAlignment="1">
      <alignment horizontal="center" vertical="center" wrapText="1"/>
    </xf>
    <xf numFmtId="0" fontId="10" fillId="0" borderId="7" xfId="17" applyNumberFormat="1" applyFont="1" applyBorder="1" applyAlignment="1">
      <alignment horizontal="left" vertical="center"/>
    </xf>
    <xf numFmtId="0" fontId="8" fillId="3" borderId="2" xfId="17" applyNumberFormat="1" applyFont="1" applyFill="1" applyBorder="1" applyAlignment="1">
      <alignment horizontal="left" vertical="center" wrapText="1"/>
    </xf>
    <xf numFmtId="0" fontId="8" fillId="3" borderId="2" xfId="17" applyNumberFormat="1" applyFont="1" applyFill="1" applyBorder="1" applyAlignment="1">
      <alignment horizontal="left" vertical="center"/>
    </xf>
    <xf numFmtId="0" fontId="8" fillId="3" borderId="7" xfId="17" applyNumberFormat="1" applyFont="1" applyFill="1" applyBorder="1" applyAlignment="1">
      <alignment horizontal="left" vertical="center"/>
    </xf>
    <xf numFmtId="14" fontId="10" fillId="0" borderId="2" xfId="17" applyNumberFormat="1" applyFont="1" applyFill="1" applyBorder="1" applyAlignment="1">
      <alignment horizontal="center" vertical="center"/>
    </xf>
    <xf numFmtId="14" fontId="10" fillId="8" borderId="2" xfId="17" applyNumberFormat="1" applyFont="1" applyFill="1" applyBorder="1" applyAlignment="1">
      <alignment horizontal="left" vertical="center"/>
    </xf>
    <xf numFmtId="0" fontId="10" fillId="2" borderId="2" xfId="17" applyNumberFormat="1" applyFont="1" applyFill="1" applyBorder="1" applyAlignment="1">
      <alignment horizontal="left" vertical="center" wrapText="1"/>
    </xf>
    <xf numFmtId="0" fontId="8" fillId="3" borderId="7" xfId="17" applyNumberFormat="1" applyFont="1" applyFill="1" applyBorder="1" applyAlignment="1">
      <alignment horizontal="left" vertical="center" wrapText="1"/>
    </xf>
    <xf numFmtId="0" fontId="7" fillId="2" borderId="2" xfId="17" applyNumberFormat="1" applyFont="1" applyFill="1" applyBorder="1" applyAlignment="1">
      <alignment horizontal="center" vertical="center" wrapText="1"/>
    </xf>
    <xf numFmtId="17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17" fontId="10" fillId="8" borderId="2" xfId="17" applyNumberFormat="1" applyFont="1" applyFill="1" applyBorder="1" applyAlignment="1">
      <alignment horizontal="left" vertical="center" wrapText="1"/>
    </xf>
    <xf numFmtId="0" fontId="17" fillId="2" borderId="2" xfId="17" applyNumberFormat="1" applyFont="1" applyFill="1" applyBorder="1" applyAlignment="1">
      <alignment horizontal="left" vertical="center" wrapText="1"/>
    </xf>
    <xf numFmtId="14" fontId="10" fillId="2" borderId="2" xfId="17" applyNumberFormat="1" applyFont="1" applyFill="1" applyBorder="1" applyAlignment="1">
      <alignment horizontal="left" vertical="center" wrapText="1"/>
    </xf>
    <xf numFmtId="0" fontId="10" fillId="2" borderId="7" xfId="17" applyNumberFormat="1" applyFont="1" applyFill="1" applyBorder="1" applyAlignment="1">
      <alignment horizontal="left" vertical="center"/>
    </xf>
    <xf numFmtId="2" fontId="8" fillId="3" borderId="9" xfId="17" applyNumberFormat="1" applyFont="1" applyFill="1" applyBorder="1" applyAlignment="1">
      <alignment horizontal="center" vertical="center"/>
    </xf>
    <xf numFmtId="14" fontId="10" fillId="0" borderId="2" xfId="0" applyNumberFormat="1" applyFont="1" applyFill="1" applyBorder="1" applyAlignment="1">
      <alignment horizontal="center" vertical="top" wrapText="1"/>
    </xf>
    <xf numFmtId="0" fontId="19" fillId="3" borderId="9" xfId="17" applyNumberFormat="1" applyFont="1" applyFill="1" applyBorder="1" applyAlignment="1">
      <alignment horizontal="left" vertical="top"/>
    </xf>
    <xf numFmtId="0" fontId="8" fillId="2" borderId="18" xfId="17" applyNumberFormat="1" applyFont="1" applyFill="1" applyBorder="1" applyAlignment="1">
      <alignment horizontal="left" vertical="top" wrapText="1"/>
    </xf>
    <xf numFmtId="0" fontId="8" fillId="2" borderId="17" xfId="17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left" vertical="top" wrapText="1"/>
    </xf>
    <xf numFmtId="0" fontId="10" fillId="0" borderId="2" xfId="17" applyNumberFormat="1" applyFont="1" applyFill="1" applyBorder="1" applyAlignment="1">
      <alignment horizontal="center" vertical="top"/>
    </xf>
    <xf numFmtId="0" fontId="10" fillId="2" borderId="2" xfId="17" applyNumberFormat="1" applyFont="1" applyFill="1" applyBorder="1" applyAlignment="1">
      <alignment horizontal="center" vertical="top"/>
    </xf>
    <xf numFmtId="0" fontId="8" fillId="3" borderId="2" xfId="17" applyNumberFormat="1" applyFont="1" applyFill="1" applyBorder="1" applyAlignment="1">
      <alignment horizontal="center" vertical="top" wrapText="1"/>
    </xf>
    <xf numFmtId="0" fontId="10" fillId="0" borderId="28" xfId="17" applyNumberFormat="1" applyFont="1" applyFill="1" applyBorder="1" applyAlignment="1">
      <alignment horizontal="center" vertical="top"/>
    </xf>
    <xf numFmtId="0" fontId="10" fillId="0" borderId="6" xfId="17" applyNumberFormat="1" applyFont="1" applyFill="1" applyBorder="1" applyAlignment="1">
      <alignment horizontal="center" vertical="top"/>
    </xf>
    <xf numFmtId="0" fontId="10" fillId="0" borderId="0" xfId="0" applyNumberFormat="1" applyFont="1" applyAlignment="1">
      <alignment horizontal="center" vertical="top" wrapText="1"/>
    </xf>
    <xf numFmtId="0" fontId="8" fillId="3" borderId="7" xfId="17" applyNumberFormat="1" applyFont="1" applyFill="1" applyBorder="1" applyAlignment="1">
      <alignment horizontal="center" vertical="top" wrapText="1"/>
    </xf>
    <xf numFmtId="0" fontId="8" fillId="3" borderId="2" xfId="17" applyNumberFormat="1" applyFont="1" applyFill="1" applyBorder="1" applyAlignment="1">
      <alignment horizontal="center" vertical="top"/>
    </xf>
    <xf numFmtId="0" fontId="7" fillId="3" borderId="15" xfId="0" applyFont="1" applyFill="1" applyBorder="1" applyAlignment="1">
      <alignment vertical="center"/>
    </xf>
    <xf numFmtId="0" fontId="10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 wrapText="1"/>
    </xf>
    <xf numFmtId="0" fontId="8" fillId="3" borderId="2" xfId="17" applyNumberFormat="1" applyFont="1" applyFill="1" applyBorder="1" applyAlignment="1">
      <alignment horizontal="center" vertical="center" wrapText="1"/>
    </xf>
    <xf numFmtId="14" fontId="8" fillId="3" borderId="2" xfId="17" applyNumberFormat="1" applyFont="1" applyFill="1" applyBorder="1" applyAlignment="1">
      <alignment horizontal="center" vertical="center" wrapText="1"/>
    </xf>
    <xf numFmtId="0" fontId="8" fillId="2" borderId="18" xfId="17" applyNumberFormat="1" applyFont="1" applyFill="1" applyBorder="1" applyAlignment="1">
      <alignment horizontal="center" vertical="center" textRotation="90" wrapText="1"/>
    </xf>
    <xf numFmtId="0" fontId="10" fillId="0" borderId="0" xfId="0" applyNumberFormat="1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center" wrapText="1"/>
    </xf>
    <xf numFmtId="14" fontId="10" fillId="2" borderId="9" xfId="17" applyNumberFormat="1" applyFont="1" applyFill="1" applyBorder="1" applyAlignment="1">
      <alignment horizontal="center" vertical="center" wrapText="1"/>
    </xf>
    <xf numFmtId="0" fontId="10" fillId="2" borderId="9" xfId="17" applyNumberFormat="1" applyFont="1" applyFill="1" applyBorder="1" applyAlignment="1">
      <alignment horizontal="center" vertical="center" wrapText="1"/>
    </xf>
    <xf numFmtId="17" fontId="9" fillId="0" borderId="2" xfId="17" applyNumberFormat="1" applyFont="1" applyFill="1" applyBorder="1" applyAlignment="1">
      <alignment horizontal="center" vertical="center"/>
    </xf>
    <xf numFmtId="0" fontId="9" fillId="0" borderId="2" xfId="17" applyNumberFormat="1" applyFont="1" applyFill="1" applyBorder="1" applyAlignment="1">
      <alignment horizontal="center" vertical="center"/>
    </xf>
    <xf numFmtId="0" fontId="9" fillId="0" borderId="2" xfId="17" applyNumberFormat="1" applyFont="1" applyFill="1" applyBorder="1" applyAlignment="1">
      <alignment horizontal="center" vertical="center" wrapText="1"/>
    </xf>
    <xf numFmtId="0" fontId="9" fillId="0" borderId="9" xfId="17" applyNumberFormat="1" applyFont="1" applyFill="1" applyBorder="1" applyAlignment="1">
      <alignment horizontal="center" vertical="center" wrapText="1"/>
    </xf>
    <xf numFmtId="0" fontId="8" fillId="0" borderId="19" xfId="17" applyNumberFormat="1" applyFont="1" applyFill="1" applyBorder="1" applyAlignment="1">
      <alignment horizontal="left" vertical="top"/>
    </xf>
    <xf numFmtId="0" fontId="10" fillId="0" borderId="18" xfId="17" applyNumberFormat="1" applyFont="1" applyFill="1" applyBorder="1" applyAlignment="1">
      <alignment horizontal="left" vertical="top"/>
    </xf>
    <xf numFmtId="0" fontId="10" fillId="0" borderId="2" xfId="17" applyNumberFormat="1" applyFont="1" applyFill="1" applyBorder="1" applyAlignment="1">
      <alignment horizontal="center" vertical="top"/>
    </xf>
    <xf numFmtId="0" fontId="10" fillId="2" borderId="2" xfId="17" applyNumberFormat="1" applyFont="1" applyFill="1" applyBorder="1" applyAlignment="1">
      <alignment horizontal="center" vertical="top"/>
    </xf>
    <xf numFmtId="16" fontId="10" fillId="2" borderId="2" xfId="17" applyNumberFormat="1" applyFont="1" applyFill="1" applyBorder="1" applyAlignment="1">
      <alignment horizontal="center" vertical="center" wrapText="1"/>
    </xf>
    <xf numFmtId="0" fontId="10" fillId="8" borderId="2" xfId="17" applyNumberFormat="1" applyFont="1" applyFill="1" applyBorder="1" applyAlignment="1">
      <alignment horizontal="center" vertical="center" wrapText="1"/>
    </xf>
    <xf numFmtId="0" fontId="10" fillId="0" borderId="2" xfId="17" applyNumberFormat="1" applyFont="1" applyFill="1" applyBorder="1" applyAlignment="1">
      <alignment horizontal="center" vertical="top"/>
    </xf>
    <xf numFmtId="0" fontId="8" fillId="0" borderId="6" xfId="17" applyNumberFormat="1" applyFont="1" applyFill="1" applyBorder="1" applyAlignment="1">
      <alignment horizontal="center" vertical="top"/>
    </xf>
    <xf numFmtId="0" fontId="8" fillId="3" borderId="2" xfId="17" applyNumberFormat="1" applyFont="1" applyFill="1" applyBorder="1" applyAlignment="1">
      <alignment horizontal="center" vertical="top" wrapText="1"/>
    </xf>
    <xf numFmtId="0" fontId="8" fillId="3" borderId="28" xfId="17" applyNumberFormat="1" applyFont="1" applyFill="1" applyBorder="1" applyAlignment="1">
      <alignment horizontal="center" vertical="top" wrapText="1"/>
    </xf>
    <xf numFmtId="0" fontId="10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center" vertical="top" wrapText="1"/>
    </xf>
    <xf numFmtId="0" fontId="8" fillId="3" borderId="18" xfId="17" applyNumberFormat="1" applyFont="1" applyFill="1" applyBorder="1" applyAlignment="1">
      <alignment horizontal="center" vertical="top" wrapText="1"/>
    </xf>
    <xf numFmtId="0" fontId="8" fillId="3" borderId="2" xfId="17" applyNumberFormat="1" applyFont="1" applyFill="1" applyBorder="1" applyAlignment="1">
      <alignment horizontal="center" vertical="top" wrapText="1"/>
    </xf>
    <xf numFmtId="0" fontId="8" fillId="3" borderId="7" xfId="17" applyNumberFormat="1" applyFont="1" applyFill="1" applyBorder="1" applyAlignment="1">
      <alignment horizontal="center" vertical="top" wrapText="1"/>
    </xf>
    <xf numFmtId="0" fontId="10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left" vertical="top"/>
    </xf>
    <xf numFmtId="0" fontId="8" fillId="0" borderId="2" xfId="0" applyNumberFormat="1" applyFont="1" applyBorder="1" applyAlignment="1">
      <alignment horizontal="center" vertical="top" wrapText="1"/>
    </xf>
    <xf numFmtId="0" fontId="8" fillId="0" borderId="2" xfId="17" applyNumberFormat="1" applyFont="1" applyFill="1" applyBorder="1" applyAlignment="1">
      <alignment horizontal="center" vertical="top" wrapText="1"/>
    </xf>
    <xf numFmtId="0" fontId="8" fillId="0" borderId="9" xfId="0" applyNumberFormat="1" applyFont="1" applyBorder="1" applyAlignment="1">
      <alignment horizontal="center" vertical="top" wrapText="1"/>
    </xf>
    <xf numFmtId="0" fontId="8" fillId="0" borderId="9" xfId="17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28" xfId="17" applyNumberFormat="1" applyFont="1" applyFill="1" applyBorder="1" applyAlignment="1">
      <alignment horizontal="center" vertical="top"/>
    </xf>
    <xf numFmtId="0" fontId="10" fillId="0" borderId="2" xfId="17" applyNumberFormat="1" applyFont="1" applyFill="1" applyBorder="1" applyAlignment="1">
      <alignment horizontal="center" vertical="top"/>
    </xf>
    <xf numFmtId="0" fontId="8" fillId="0" borderId="6" xfId="17" applyNumberFormat="1" applyFont="1" applyFill="1" applyBorder="1" applyAlignment="1">
      <alignment horizontal="center" vertical="top"/>
    </xf>
    <xf numFmtId="0" fontId="10" fillId="2" borderId="2" xfId="17" applyNumberFormat="1" applyFont="1" applyFill="1" applyBorder="1" applyAlignment="1">
      <alignment horizontal="center" vertical="top"/>
    </xf>
    <xf numFmtId="0" fontId="8" fillId="3" borderId="18" xfId="17" applyNumberFormat="1" applyFont="1" applyFill="1" applyBorder="1" applyAlignment="1">
      <alignment horizontal="center" vertical="top" wrapText="1"/>
    </xf>
    <xf numFmtId="0" fontId="17" fillId="2" borderId="2" xfId="0" applyNumberFormat="1" applyFont="1" applyFill="1" applyBorder="1" applyAlignment="1">
      <alignment horizontal="center" vertical="top" wrapText="1"/>
    </xf>
    <xf numFmtId="0" fontId="10" fillId="2" borderId="28" xfId="0" applyNumberFormat="1" applyFont="1" applyFill="1" applyBorder="1" applyAlignment="1">
      <alignment horizontal="left" vertical="top" wrapText="1"/>
    </xf>
    <xf numFmtId="0" fontId="10" fillId="2" borderId="26" xfId="0" applyNumberFormat="1" applyFont="1" applyFill="1" applyBorder="1" applyAlignment="1">
      <alignment horizontal="left" vertical="top" wrapText="1"/>
    </xf>
    <xf numFmtId="0" fontId="10" fillId="2" borderId="6" xfId="0" applyNumberFormat="1" applyFont="1" applyFill="1" applyBorder="1" applyAlignment="1">
      <alignment horizontal="left" vertical="top" wrapText="1"/>
    </xf>
    <xf numFmtId="0" fontId="8" fillId="3" borderId="28" xfId="17" applyNumberFormat="1" applyFont="1" applyFill="1" applyBorder="1" applyAlignment="1">
      <alignment horizontal="center" vertical="top" wrapText="1"/>
    </xf>
    <xf numFmtId="0" fontId="8" fillId="3" borderId="26" xfId="17" applyNumberFormat="1" applyFont="1" applyFill="1" applyBorder="1" applyAlignment="1">
      <alignment horizontal="center" vertical="top" wrapText="1"/>
    </xf>
    <xf numFmtId="0" fontId="8" fillId="3" borderId="27" xfId="17" applyNumberFormat="1" applyFont="1" applyFill="1" applyBorder="1" applyAlignment="1">
      <alignment horizontal="center" vertical="top" wrapText="1"/>
    </xf>
    <xf numFmtId="0" fontId="8" fillId="3" borderId="6" xfId="17" applyNumberFormat="1" applyFont="1" applyFill="1" applyBorder="1" applyAlignment="1">
      <alignment horizontal="center" vertical="top" wrapText="1"/>
    </xf>
    <xf numFmtId="0" fontId="17" fillId="9" borderId="23" xfId="0" applyNumberFormat="1" applyFont="1" applyFill="1" applyBorder="1" applyAlignment="1">
      <alignment horizontal="center" vertical="top" wrapText="1"/>
    </xf>
    <xf numFmtId="0" fontId="17" fillId="9" borderId="4" xfId="0" applyNumberFormat="1" applyFont="1" applyFill="1" applyBorder="1" applyAlignment="1">
      <alignment horizontal="center" vertical="top" wrapText="1"/>
    </xf>
    <xf numFmtId="0" fontId="8" fillId="9" borderId="4" xfId="0" applyNumberFormat="1" applyFont="1" applyFill="1" applyBorder="1" applyAlignment="1">
      <alignment horizontal="center" vertical="top" wrapText="1"/>
    </xf>
    <xf numFmtId="0" fontId="8" fillId="9" borderId="5" xfId="0" applyNumberFormat="1" applyFont="1" applyFill="1" applyBorder="1" applyAlignment="1">
      <alignment horizontal="center" vertical="top" wrapText="1"/>
    </xf>
    <xf numFmtId="0" fontId="10" fillId="0" borderId="0" xfId="0" applyNumberFormat="1" applyFont="1" applyFill="1" applyBorder="1" applyAlignment="1">
      <alignment horizontal="center" vertical="top" wrapText="1"/>
    </xf>
    <xf numFmtId="0" fontId="10" fillId="0" borderId="40" xfId="0" applyNumberFormat="1" applyFont="1" applyFill="1" applyBorder="1" applyAlignment="1">
      <alignment horizontal="center" vertical="top" wrapText="1"/>
    </xf>
    <xf numFmtId="0" fontId="17" fillId="3" borderId="38" xfId="0" applyNumberFormat="1" applyFont="1" applyFill="1" applyBorder="1" applyAlignment="1">
      <alignment horizontal="center" vertical="top" wrapText="1"/>
    </xf>
    <xf numFmtId="0" fontId="17" fillId="3" borderId="24" xfId="0" applyNumberFormat="1" applyFont="1" applyFill="1" applyBorder="1" applyAlignment="1">
      <alignment horizontal="center" vertical="top" wrapText="1"/>
    </xf>
    <xf numFmtId="0" fontId="17" fillId="3" borderId="25" xfId="0" applyNumberFormat="1" applyFont="1" applyFill="1" applyBorder="1" applyAlignment="1">
      <alignment horizontal="center" vertical="top" wrapText="1"/>
    </xf>
    <xf numFmtId="0" fontId="17" fillId="3" borderId="29" xfId="0" applyNumberFormat="1" applyFont="1" applyFill="1" applyBorder="1" applyAlignment="1">
      <alignment horizontal="center" vertical="top" wrapText="1"/>
    </xf>
    <xf numFmtId="0" fontId="17" fillId="3" borderId="37" xfId="0" applyNumberFormat="1" applyFont="1" applyFill="1" applyBorder="1" applyAlignment="1">
      <alignment horizontal="center" vertical="top" wrapText="1"/>
    </xf>
    <xf numFmtId="0" fontId="17" fillId="3" borderId="39" xfId="0" applyNumberFormat="1" applyFont="1" applyFill="1" applyBorder="1" applyAlignment="1">
      <alignment horizontal="center" vertical="top" wrapText="1"/>
    </xf>
    <xf numFmtId="0" fontId="10" fillId="0" borderId="0" xfId="0" applyNumberFormat="1" applyFont="1" applyAlignment="1">
      <alignment horizontal="left" vertical="top"/>
    </xf>
    <xf numFmtId="0" fontId="8" fillId="3" borderId="33" xfId="0" applyNumberFormat="1" applyFont="1" applyFill="1" applyBorder="1" applyAlignment="1">
      <alignment horizontal="center" vertical="top" wrapText="1"/>
    </xf>
    <xf numFmtId="0" fontId="8" fillId="3" borderId="34" xfId="0" applyNumberFormat="1" applyFont="1" applyFill="1" applyBorder="1" applyAlignment="1">
      <alignment horizontal="center" vertical="top" wrapText="1"/>
    </xf>
    <xf numFmtId="0" fontId="8" fillId="3" borderId="20" xfId="17" applyNumberFormat="1" applyFont="1" applyFill="1" applyBorder="1" applyAlignment="1">
      <alignment horizontal="center" vertical="top" wrapText="1"/>
    </xf>
    <xf numFmtId="0" fontId="8" fillId="3" borderId="12" xfId="17" applyNumberFormat="1" applyFont="1" applyFill="1" applyBorder="1" applyAlignment="1">
      <alignment horizontal="center" vertical="top" wrapText="1"/>
    </xf>
    <xf numFmtId="0" fontId="8" fillId="3" borderId="19" xfId="17" applyNumberFormat="1" applyFont="1" applyFill="1" applyBorder="1" applyAlignment="1">
      <alignment horizontal="center" vertical="top" wrapText="1"/>
    </xf>
    <xf numFmtId="0" fontId="17" fillId="11" borderId="28" xfId="0" applyFont="1" applyFill="1" applyBorder="1" applyAlignment="1">
      <alignment horizontal="center" vertical="top"/>
    </xf>
    <xf numFmtId="0" fontId="17" fillId="11" borderId="27" xfId="0" applyFont="1" applyFill="1" applyBorder="1" applyAlignment="1">
      <alignment horizontal="center" vertical="top"/>
    </xf>
    <xf numFmtId="0" fontId="8" fillId="3" borderId="23" xfId="0" applyNumberFormat="1" applyFont="1" applyFill="1" applyBorder="1" applyAlignment="1">
      <alignment horizontal="center" vertical="top" wrapText="1"/>
    </xf>
    <xf numFmtId="0" fontId="8" fillId="3" borderId="4" xfId="0" applyNumberFormat="1" applyFont="1" applyFill="1" applyBorder="1" applyAlignment="1">
      <alignment horizontal="center" vertical="top" wrapText="1"/>
    </xf>
    <xf numFmtId="0" fontId="8" fillId="3" borderId="5" xfId="0" applyNumberFormat="1" applyFont="1" applyFill="1" applyBorder="1" applyAlignment="1">
      <alignment horizontal="center" vertical="top" wrapText="1"/>
    </xf>
    <xf numFmtId="0" fontId="17" fillId="3" borderId="21" xfId="0" applyFont="1" applyFill="1" applyBorder="1" applyAlignment="1">
      <alignment horizontal="left" vertical="top" wrapText="1"/>
    </xf>
    <xf numFmtId="0" fontId="17" fillId="3" borderId="26" xfId="0" applyFont="1" applyFill="1" applyBorder="1" applyAlignment="1">
      <alignment horizontal="left" vertical="top" wrapText="1"/>
    </xf>
    <xf numFmtId="0" fontId="17" fillId="3" borderId="6" xfId="0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left" vertical="top" wrapText="1"/>
    </xf>
    <xf numFmtId="4" fontId="17" fillId="7" borderId="30" xfId="0" applyNumberFormat="1" applyFont="1" applyFill="1" applyBorder="1" applyAlignment="1">
      <alignment horizontal="center" vertical="top"/>
    </xf>
    <xf numFmtId="4" fontId="17" fillId="7" borderId="35" xfId="0" applyNumberFormat="1" applyFont="1" applyFill="1" applyBorder="1" applyAlignment="1">
      <alignment horizontal="center" vertical="top"/>
    </xf>
    <xf numFmtId="4" fontId="17" fillId="7" borderId="31" xfId="0" applyNumberFormat="1" applyFont="1" applyFill="1" applyBorder="1" applyAlignment="1">
      <alignment horizontal="center" vertical="top"/>
    </xf>
    <xf numFmtId="0" fontId="17" fillId="3" borderId="28" xfId="0" applyFont="1" applyFill="1" applyBorder="1" applyAlignment="1">
      <alignment horizontal="center" vertical="top"/>
    </xf>
    <xf numFmtId="0" fontId="17" fillId="3" borderId="6" xfId="0" applyFont="1" applyFill="1" applyBorder="1" applyAlignment="1">
      <alignment horizontal="center" vertical="top"/>
    </xf>
    <xf numFmtId="0" fontId="17" fillId="11" borderId="6" xfId="0" applyFont="1" applyFill="1" applyBorder="1" applyAlignment="1">
      <alignment horizontal="center" vertical="top"/>
    </xf>
    <xf numFmtId="0" fontId="8" fillId="3" borderId="21" xfId="0" applyNumberFormat="1" applyFont="1" applyFill="1" applyBorder="1" applyAlignment="1">
      <alignment horizontal="center" vertical="top" wrapText="1"/>
    </xf>
    <xf numFmtId="0" fontId="8" fillId="3" borderId="26" xfId="0" applyNumberFormat="1" applyFont="1" applyFill="1" applyBorder="1" applyAlignment="1">
      <alignment horizontal="center" vertical="top" wrapText="1"/>
    </xf>
    <xf numFmtId="0" fontId="8" fillId="3" borderId="6" xfId="0" applyNumberFormat="1" applyFont="1" applyFill="1" applyBorder="1" applyAlignment="1">
      <alignment horizontal="center" vertical="top" wrapText="1"/>
    </xf>
    <xf numFmtId="0" fontId="17" fillId="3" borderId="22" xfId="0" applyFont="1" applyFill="1" applyBorder="1" applyAlignment="1">
      <alignment horizontal="left" vertical="top" wrapText="1"/>
    </xf>
    <xf numFmtId="0" fontId="17" fillId="3" borderId="3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21" xfId="0" applyFont="1" applyFill="1" applyBorder="1" applyAlignment="1">
      <alignment horizontal="left" vertical="top"/>
    </xf>
    <xf numFmtId="0" fontId="17" fillId="3" borderId="26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8" fillId="3" borderId="23" xfId="17" applyNumberFormat="1" applyFont="1" applyFill="1" applyBorder="1" applyAlignment="1">
      <alignment horizontal="center" vertical="top" wrapText="1"/>
    </xf>
    <xf numFmtId="0" fontId="8" fillId="3" borderId="4" xfId="17" applyNumberFormat="1" applyFont="1" applyFill="1" applyBorder="1" applyAlignment="1">
      <alignment horizontal="center" vertical="top" wrapText="1"/>
    </xf>
    <xf numFmtId="0" fontId="8" fillId="3" borderId="5" xfId="17" applyNumberFormat="1" applyFont="1" applyFill="1" applyBorder="1" applyAlignment="1">
      <alignment horizontal="center" vertical="top" wrapText="1"/>
    </xf>
    <xf numFmtId="0" fontId="17" fillId="3" borderId="23" xfId="0" applyFont="1" applyFill="1" applyBorder="1" applyAlignment="1">
      <alignment horizontal="center" vertical="top"/>
    </xf>
    <xf numFmtId="0" fontId="17" fillId="3" borderId="4" xfId="0" applyFont="1" applyFill="1" applyBorder="1" applyAlignment="1">
      <alignment horizontal="center" vertical="top"/>
    </xf>
    <xf numFmtId="0" fontId="17" fillId="3" borderId="5" xfId="0" applyFont="1" applyFill="1" applyBorder="1" applyAlignment="1">
      <alignment horizontal="center" vertical="top"/>
    </xf>
    <xf numFmtId="0" fontId="10" fillId="0" borderId="0" xfId="0" applyNumberFormat="1" applyFont="1" applyAlignment="1">
      <alignment horizontal="left" vertical="top" wrapText="1"/>
    </xf>
    <xf numFmtId="0" fontId="8" fillId="3" borderId="11" xfId="17" applyNumberFormat="1" applyFont="1" applyFill="1" applyBorder="1" applyAlignment="1">
      <alignment horizontal="center" vertical="center" wrapText="1"/>
    </xf>
    <xf numFmtId="0" fontId="8" fillId="3" borderId="16" xfId="17" applyNumberFormat="1" applyFont="1" applyFill="1" applyBorder="1" applyAlignment="1">
      <alignment horizontal="center" vertical="center" wrapText="1"/>
    </xf>
    <xf numFmtId="0" fontId="8" fillId="3" borderId="2" xfId="17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9" xfId="17" applyNumberFormat="1" applyFont="1" applyFill="1" applyBorder="1" applyAlignment="1">
      <alignment horizontal="left" vertical="center"/>
    </xf>
    <xf numFmtId="0" fontId="8" fillId="3" borderId="10" xfId="17" applyNumberFormat="1" applyFont="1" applyFill="1" applyBorder="1" applyAlignment="1">
      <alignment horizontal="left" vertical="center"/>
    </xf>
    <xf numFmtId="0" fontId="8" fillId="3" borderId="7" xfId="17" applyNumberFormat="1" applyFont="1" applyFill="1" applyBorder="1" applyAlignment="1">
      <alignment horizontal="center" vertical="center" wrapText="1"/>
    </xf>
    <xf numFmtId="14" fontId="8" fillId="3" borderId="2" xfId="17" applyNumberFormat="1" applyFont="1" applyFill="1" applyBorder="1" applyAlignment="1">
      <alignment horizontal="center" vertical="center" wrapText="1"/>
    </xf>
    <xf numFmtId="0" fontId="8" fillId="3" borderId="2" xfId="17" applyNumberFormat="1" applyFont="1" applyFill="1" applyBorder="1" applyAlignment="1">
      <alignment horizontal="center" vertical="center"/>
    </xf>
    <xf numFmtId="0" fontId="8" fillId="3" borderId="18" xfId="17" applyNumberFormat="1" applyFont="1" applyFill="1" applyBorder="1" applyAlignment="1">
      <alignment horizontal="center" vertical="center" textRotation="90" wrapText="1"/>
    </xf>
    <xf numFmtId="0" fontId="8" fillId="2" borderId="18" xfId="17" applyNumberFormat="1" applyFont="1" applyFill="1" applyBorder="1" applyAlignment="1">
      <alignment horizontal="center" vertical="center" textRotation="90" wrapText="1"/>
    </xf>
    <xf numFmtId="0" fontId="8" fillId="3" borderId="17" xfId="0" applyNumberFormat="1" applyFont="1" applyFill="1" applyBorder="1" applyAlignment="1">
      <alignment horizontal="left" vertical="center"/>
    </xf>
    <xf numFmtId="0" fontId="8" fillId="3" borderId="9" xfId="0" applyNumberFormat="1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10" fillId="0" borderId="0" xfId="0" applyNumberFormat="1" applyFont="1" applyAlignment="1">
      <alignment horizontal="center" vertical="top" wrapText="1"/>
    </xf>
    <xf numFmtId="0" fontId="8" fillId="3" borderId="16" xfId="17" applyNumberFormat="1" applyFont="1" applyFill="1" applyBorder="1" applyAlignment="1">
      <alignment horizontal="center" vertical="top"/>
    </xf>
    <xf numFmtId="0" fontId="8" fillId="3" borderId="7" xfId="17" applyNumberFormat="1" applyFont="1" applyFill="1" applyBorder="1" applyAlignment="1">
      <alignment horizontal="center" vertical="top"/>
    </xf>
    <xf numFmtId="0" fontId="8" fillId="3" borderId="15" xfId="17" applyNumberFormat="1" applyFont="1" applyFill="1" applyBorder="1" applyAlignment="1">
      <alignment horizontal="center" vertical="top" wrapText="1"/>
    </xf>
    <xf numFmtId="0" fontId="8" fillId="3" borderId="18" xfId="17" applyNumberFormat="1" applyFont="1" applyFill="1" applyBorder="1" applyAlignment="1">
      <alignment horizontal="center" vertical="top" wrapText="1"/>
    </xf>
    <xf numFmtId="0" fontId="8" fillId="0" borderId="0" xfId="17" applyNumberFormat="1" applyFont="1" applyFill="1" applyBorder="1" applyAlignment="1">
      <alignment horizontal="left" vertical="top"/>
    </xf>
    <xf numFmtId="0" fontId="8" fillId="3" borderId="11" xfId="0" applyNumberFormat="1" applyFont="1" applyFill="1" applyBorder="1" applyAlignment="1">
      <alignment horizontal="center" vertical="top"/>
    </xf>
    <xf numFmtId="0" fontId="10" fillId="0" borderId="28" xfId="17" applyNumberFormat="1" applyFont="1" applyFill="1" applyBorder="1" applyAlignment="1">
      <alignment horizontal="center" vertical="top"/>
    </xf>
    <xf numFmtId="0" fontId="10" fillId="0" borderId="6" xfId="17" applyNumberFormat="1" applyFont="1" applyFill="1" applyBorder="1" applyAlignment="1">
      <alignment horizontal="center" vertical="top"/>
    </xf>
    <xf numFmtId="0" fontId="8" fillId="3" borderId="2" xfId="17" applyNumberFormat="1" applyFont="1" applyFill="1" applyBorder="1" applyAlignment="1">
      <alignment horizontal="center" vertical="top" wrapText="1"/>
    </xf>
    <xf numFmtId="0" fontId="8" fillId="3" borderId="43" xfId="17" applyNumberFormat="1" applyFont="1" applyFill="1" applyBorder="1" applyAlignment="1">
      <alignment horizontal="center" vertical="top" wrapText="1"/>
    </xf>
    <xf numFmtId="0" fontId="8" fillId="3" borderId="11" xfId="17" applyNumberFormat="1" applyFont="1" applyFill="1" applyBorder="1" applyAlignment="1">
      <alignment horizontal="center" vertical="top" wrapText="1"/>
    </xf>
    <xf numFmtId="0" fontId="8" fillId="3" borderId="16" xfId="17" applyNumberFormat="1" applyFont="1" applyFill="1" applyBorder="1" applyAlignment="1">
      <alignment horizontal="center" vertical="top" wrapText="1"/>
    </xf>
    <xf numFmtId="0" fontId="8" fillId="3" borderId="29" xfId="17" applyNumberFormat="1" applyFont="1" applyFill="1" applyBorder="1" applyAlignment="1">
      <alignment horizontal="center" vertical="top" wrapText="1"/>
    </xf>
    <xf numFmtId="0" fontId="8" fillId="3" borderId="44" xfId="17" applyNumberFormat="1" applyFont="1" applyFill="1" applyBorder="1" applyAlignment="1">
      <alignment horizontal="center" vertical="top" wrapText="1"/>
    </xf>
    <xf numFmtId="0" fontId="8" fillId="3" borderId="30" xfId="17" applyNumberFormat="1" applyFont="1" applyFill="1" applyBorder="1" applyAlignment="1">
      <alignment horizontal="center" vertical="top"/>
    </xf>
    <xf numFmtId="0" fontId="8" fillId="3" borderId="8" xfId="17" applyNumberFormat="1" applyFont="1" applyFill="1" applyBorder="1" applyAlignment="1">
      <alignment horizontal="center" vertical="top"/>
    </xf>
    <xf numFmtId="0" fontId="8" fillId="0" borderId="20" xfId="17" applyNumberFormat="1" applyFont="1" applyFill="1" applyBorder="1" applyAlignment="1">
      <alignment horizontal="left" vertical="top"/>
    </xf>
    <xf numFmtId="0" fontId="8" fillId="0" borderId="12" xfId="17" applyNumberFormat="1" applyFont="1" applyFill="1" applyBorder="1" applyAlignment="1">
      <alignment horizontal="left" vertical="top"/>
    </xf>
    <xf numFmtId="0" fontId="8" fillId="0" borderId="19" xfId="17" applyNumberFormat="1" applyFont="1" applyFill="1" applyBorder="1" applyAlignment="1">
      <alignment horizontal="left" vertical="top"/>
    </xf>
    <xf numFmtId="0" fontId="10" fillId="0" borderId="2" xfId="17" applyNumberFormat="1" applyFont="1" applyFill="1" applyBorder="1" applyAlignment="1">
      <alignment horizontal="center" vertical="top"/>
    </xf>
    <xf numFmtId="0" fontId="8" fillId="0" borderId="20" xfId="17" applyNumberFormat="1" applyFont="1" applyFill="1" applyBorder="1" applyAlignment="1">
      <alignment horizontal="left" vertical="top" wrapText="1"/>
    </xf>
    <xf numFmtId="0" fontId="8" fillId="0" borderId="12" xfId="17" applyNumberFormat="1" applyFont="1" applyFill="1" applyBorder="1" applyAlignment="1">
      <alignment horizontal="left" vertical="top" wrapText="1"/>
    </xf>
    <xf numFmtId="0" fontId="8" fillId="0" borderId="19" xfId="17" applyNumberFormat="1" applyFont="1" applyFill="1" applyBorder="1" applyAlignment="1">
      <alignment horizontal="left" vertical="top" wrapText="1"/>
    </xf>
    <xf numFmtId="0" fontId="8" fillId="3" borderId="30" xfId="17" applyNumberFormat="1" applyFont="1" applyFill="1" applyBorder="1" applyAlignment="1">
      <alignment horizontal="center" vertical="top" wrapText="1"/>
    </xf>
    <xf numFmtId="0" fontId="8" fillId="3" borderId="8" xfId="17" applyNumberFormat="1" applyFont="1" applyFill="1" applyBorder="1" applyAlignment="1">
      <alignment horizontal="center" vertical="top" wrapText="1"/>
    </xf>
    <xf numFmtId="0" fontId="8" fillId="0" borderId="28" xfId="17" applyNumberFormat="1" applyFont="1" applyFill="1" applyBorder="1" applyAlignment="1">
      <alignment horizontal="center" vertical="top"/>
    </xf>
    <xf numFmtId="0" fontId="8" fillId="0" borderId="6" xfId="17" applyNumberFormat="1" applyFont="1" applyFill="1" applyBorder="1" applyAlignment="1">
      <alignment horizontal="center" vertical="top"/>
    </xf>
    <xf numFmtId="0" fontId="8" fillId="0" borderId="28" xfId="17" applyNumberFormat="1" applyFont="1" applyFill="1" applyBorder="1" applyAlignment="1">
      <alignment horizontal="left" vertical="top"/>
    </xf>
    <xf numFmtId="0" fontId="8" fillId="0" borderId="6" xfId="17" applyNumberFormat="1" applyFont="1" applyFill="1" applyBorder="1" applyAlignment="1">
      <alignment horizontal="left" vertical="top"/>
    </xf>
    <xf numFmtId="0" fontId="10" fillId="2" borderId="28" xfId="17" applyNumberFormat="1" applyFont="1" applyFill="1" applyBorder="1" applyAlignment="1">
      <alignment horizontal="center" vertical="top"/>
    </xf>
    <xf numFmtId="0" fontId="10" fillId="2" borderId="6" xfId="17" applyNumberFormat="1" applyFont="1" applyFill="1" applyBorder="1" applyAlignment="1">
      <alignment horizontal="center" vertical="top"/>
    </xf>
    <xf numFmtId="0" fontId="10" fillId="2" borderId="2" xfId="17" applyNumberFormat="1" applyFont="1" applyFill="1" applyBorder="1" applyAlignment="1">
      <alignment horizontal="center" vertical="top"/>
    </xf>
    <xf numFmtId="0" fontId="8" fillId="3" borderId="23" xfId="0" applyNumberFormat="1" applyFont="1" applyFill="1" applyBorder="1" applyAlignment="1">
      <alignment horizontal="center" vertical="top"/>
    </xf>
    <xf numFmtId="0" fontId="8" fillId="3" borderId="4" xfId="0" applyNumberFormat="1" applyFont="1" applyFill="1" applyBorder="1" applyAlignment="1">
      <alignment horizontal="center" vertical="top"/>
    </xf>
    <xf numFmtId="0" fontId="8" fillId="3" borderId="5" xfId="0" applyNumberFormat="1" applyFont="1" applyFill="1" applyBorder="1" applyAlignment="1">
      <alignment horizontal="center" vertical="top"/>
    </xf>
    <xf numFmtId="0" fontId="8" fillId="3" borderId="32" xfId="17" applyNumberFormat="1" applyFont="1" applyFill="1" applyBorder="1" applyAlignment="1">
      <alignment horizontal="center" vertical="top" wrapText="1"/>
    </xf>
    <xf numFmtId="0" fontId="8" fillId="3" borderId="36" xfId="17" applyNumberFormat="1" applyFont="1" applyFill="1" applyBorder="1" applyAlignment="1">
      <alignment horizontal="center" vertical="top" wrapText="1"/>
    </xf>
    <xf numFmtId="0" fontId="8" fillId="3" borderId="11" xfId="17" applyNumberFormat="1" applyFont="1" applyFill="1" applyBorder="1" applyAlignment="1">
      <alignment horizontal="center" vertical="top"/>
    </xf>
    <xf numFmtId="0" fontId="10" fillId="0" borderId="2" xfId="0" applyNumberFormat="1" applyFont="1" applyBorder="1" applyAlignment="1">
      <alignment horizontal="left" vertical="top" wrapText="1"/>
    </xf>
    <xf numFmtId="0" fontId="10" fillId="0" borderId="7" xfId="0" applyNumberFormat="1" applyFont="1" applyBorder="1" applyAlignment="1">
      <alignment horizontal="left" vertical="top" wrapText="1"/>
    </xf>
    <xf numFmtId="0" fontId="10" fillId="0" borderId="9" xfId="0" applyNumberFormat="1" applyFont="1" applyBorder="1" applyAlignment="1">
      <alignment horizontal="left" vertical="top" wrapText="1"/>
    </xf>
    <xf numFmtId="0" fontId="10" fillId="0" borderId="10" xfId="0" applyNumberFormat="1" applyFont="1" applyBorder="1" applyAlignment="1">
      <alignment horizontal="left" vertical="top" wrapText="1"/>
    </xf>
    <xf numFmtId="0" fontId="8" fillId="3" borderId="7" xfId="17" applyNumberFormat="1" applyFont="1" applyFill="1" applyBorder="1" applyAlignment="1">
      <alignment horizontal="center" vertical="top" wrapText="1"/>
    </xf>
    <xf numFmtId="0" fontId="7" fillId="0" borderId="2" xfId="0" applyNumberFormat="1" applyFont="1" applyFill="1" applyBorder="1" applyAlignment="1">
      <alignment horizontal="left" vertical="top" wrapText="1"/>
    </xf>
    <xf numFmtId="0" fontId="7" fillId="0" borderId="7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7" fillId="0" borderId="9" xfId="0" applyNumberFormat="1" applyFont="1" applyFill="1" applyBorder="1" applyAlignment="1">
      <alignment horizontal="left" vertical="top" wrapText="1"/>
    </xf>
    <xf numFmtId="0" fontId="7" fillId="0" borderId="10" xfId="0" applyNumberFormat="1" applyFont="1" applyFill="1" applyBorder="1" applyAlignment="1">
      <alignment horizontal="left" vertical="top" wrapText="1"/>
    </xf>
    <xf numFmtId="0" fontId="9" fillId="0" borderId="28" xfId="15" applyNumberFormat="1" applyFont="1" applyFill="1" applyBorder="1" applyAlignment="1">
      <alignment horizontal="left" vertical="center"/>
    </xf>
    <xf numFmtId="0" fontId="9" fillId="0" borderId="26" xfId="15" applyNumberFormat="1" applyFont="1" applyFill="1" applyBorder="1" applyAlignment="1">
      <alignment horizontal="left" vertical="center"/>
    </xf>
    <xf numFmtId="0" fontId="9" fillId="0" borderId="27" xfId="15" applyNumberFormat="1" applyFont="1" applyFill="1" applyBorder="1" applyAlignment="1">
      <alignment horizontal="left" vertical="center"/>
    </xf>
    <xf numFmtId="0" fontId="10" fillId="0" borderId="28" xfId="0" applyNumberFormat="1" applyFont="1" applyFill="1" applyBorder="1" applyAlignment="1">
      <alignment horizontal="left" vertical="center" wrapText="1"/>
    </xf>
    <xf numFmtId="0" fontId="10" fillId="0" borderId="26" xfId="0" applyNumberFormat="1" applyFont="1" applyFill="1" applyBorder="1" applyAlignment="1">
      <alignment horizontal="left" vertical="center" wrapText="1"/>
    </xf>
    <xf numFmtId="0" fontId="10" fillId="0" borderId="27" xfId="0" applyNumberFormat="1" applyFont="1" applyFill="1" applyBorder="1" applyAlignment="1">
      <alignment horizontal="left" vertical="center" wrapText="1"/>
    </xf>
    <xf numFmtId="0" fontId="10" fillId="0" borderId="28" xfId="0" applyNumberFormat="1" applyFont="1" applyFill="1" applyBorder="1" applyAlignment="1">
      <alignment horizontal="left" vertical="center"/>
    </xf>
    <xf numFmtId="0" fontId="10" fillId="0" borderId="26" xfId="0" applyNumberFormat="1" applyFont="1" applyFill="1" applyBorder="1" applyAlignment="1">
      <alignment horizontal="left" vertical="center"/>
    </xf>
    <xf numFmtId="0" fontId="10" fillId="0" borderId="27" xfId="0" applyNumberFormat="1" applyFont="1" applyFill="1" applyBorder="1" applyAlignment="1">
      <alignment horizontal="left" vertical="center"/>
    </xf>
    <xf numFmtId="0" fontId="10" fillId="0" borderId="28" xfId="15" applyNumberFormat="1" applyFont="1" applyFill="1" applyBorder="1" applyAlignment="1">
      <alignment horizontal="left" vertical="center" wrapText="1"/>
    </xf>
    <xf numFmtId="0" fontId="10" fillId="0" borderId="26" xfId="15" applyNumberFormat="1" applyFont="1" applyFill="1" applyBorder="1" applyAlignment="1">
      <alignment horizontal="left" vertical="center" wrapText="1"/>
    </xf>
    <xf numFmtId="0" fontId="10" fillId="0" borderId="27" xfId="15" applyNumberFormat="1" applyFont="1" applyFill="1" applyBorder="1" applyAlignment="1">
      <alignment horizontal="left" vertical="center" wrapText="1"/>
    </xf>
    <xf numFmtId="0" fontId="19" fillId="0" borderId="30" xfId="15" applyNumberFormat="1" applyFont="1" applyFill="1" applyBorder="1" applyAlignment="1">
      <alignment horizontal="center" vertical="center"/>
    </xf>
    <xf numFmtId="0" fontId="19" fillId="0" borderId="35" xfId="15" applyNumberFormat="1" applyFont="1" applyFill="1" applyBorder="1" applyAlignment="1">
      <alignment horizontal="center" vertical="center"/>
    </xf>
    <xf numFmtId="0" fontId="19" fillId="0" borderId="31" xfId="15" applyNumberFormat="1" applyFont="1" applyFill="1" applyBorder="1" applyAlignment="1">
      <alignment horizontal="center" vertical="center"/>
    </xf>
    <xf numFmtId="0" fontId="19" fillId="0" borderId="28" xfId="15" applyNumberFormat="1" applyFont="1" applyFill="1" applyBorder="1" applyAlignment="1">
      <alignment horizontal="center" vertical="center"/>
    </xf>
    <xf numFmtId="0" fontId="19" fillId="0" borderId="26" xfId="15" applyNumberFormat="1" applyFont="1" applyFill="1" applyBorder="1" applyAlignment="1">
      <alignment horizontal="center" vertical="center"/>
    </xf>
    <xf numFmtId="0" fontId="19" fillId="0" borderId="27" xfId="15" applyNumberFormat="1" applyFont="1" applyFill="1" applyBorder="1" applyAlignment="1">
      <alignment horizontal="center" vertical="center"/>
    </xf>
    <xf numFmtId="0" fontId="8" fillId="3" borderId="2" xfId="15" applyNumberFormat="1" applyFont="1" applyFill="1" applyBorder="1" applyAlignment="1">
      <alignment horizontal="center" vertical="center"/>
    </xf>
    <xf numFmtId="0" fontId="8" fillId="3" borderId="2" xfId="15" applyNumberFormat="1" applyFont="1" applyFill="1" applyBorder="1" applyAlignment="1">
      <alignment horizontal="center" vertical="center" wrapText="1"/>
    </xf>
    <xf numFmtId="0" fontId="8" fillId="3" borderId="7" xfId="15" applyNumberFormat="1" applyFont="1" applyFill="1" applyBorder="1" applyAlignment="1">
      <alignment horizontal="center" vertical="center" wrapText="1"/>
    </xf>
    <xf numFmtId="0" fontId="8" fillId="3" borderId="15" xfId="0" applyNumberFormat="1" applyFont="1" applyFill="1" applyBorder="1" applyAlignment="1">
      <alignment horizontal="center" vertical="center"/>
    </xf>
    <xf numFmtId="0" fontId="8" fillId="3" borderId="11" xfId="0" applyNumberFormat="1" applyFont="1" applyFill="1" applyBorder="1" applyAlignment="1">
      <alignment horizontal="center" vertical="center"/>
    </xf>
    <xf numFmtId="0" fontId="8" fillId="3" borderId="16" xfId="0" applyNumberFormat="1" applyFont="1" applyFill="1" applyBorder="1" applyAlignment="1">
      <alignment horizontal="center" vertical="center"/>
    </xf>
    <xf numFmtId="0" fontId="8" fillId="3" borderId="3" xfId="15" applyNumberFormat="1" applyFont="1" applyFill="1" applyBorder="1" applyAlignment="1">
      <alignment horizontal="center" vertical="center" wrapText="1"/>
    </xf>
    <xf numFmtId="0" fontId="8" fillId="3" borderId="13" xfId="15" applyNumberFormat="1" applyFont="1" applyFill="1" applyBorder="1" applyAlignment="1">
      <alignment horizontal="center" vertical="center" wrapText="1"/>
    </xf>
    <xf numFmtId="0" fontId="8" fillId="3" borderId="18" xfId="0" applyNumberFormat="1" applyFont="1" applyFill="1" applyBorder="1" applyAlignment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0" fontId="8" fillId="3" borderId="18" xfId="0" applyNumberFormat="1" applyFont="1" applyFill="1" applyBorder="1" applyAlignment="1">
      <alignment horizontal="center" vertical="center" textRotation="90"/>
    </xf>
    <xf numFmtId="0" fontId="10" fillId="0" borderId="0" xfId="0" applyNumberFormat="1" applyFont="1" applyAlignment="1">
      <alignment horizontal="center" vertical="center" wrapText="1"/>
    </xf>
    <xf numFmtId="0" fontId="8" fillId="3" borderId="18" xfId="15" applyNumberFormat="1" applyFont="1" applyFill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top" wrapText="1"/>
    </xf>
    <xf numFmtId="0" fontId="8" fillId="3" borderId="18" xfId="15" applyNumberFormat="1" applyFont="1" applyFill="1" applyBorder="1" applyAlignment="1">
      <alignment horizontal="center" vertical="center" textRotation="90" wrapText="1"/>
    </xf>
    <xf numFmtId="0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0" fontId="17" fillId="3" borderId="7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center" wrapText="1"/>
    </xf>
    <xf numFmtId="0" fontId="8" fillId="3" borderId="18" xfId="15" applyNumberFormat="1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 wrapText="1"/>
    </xf>
    <xf numFmtId="0" fontId="17" fillId="3" borderId="15" xfId="0" applyNumberFormat="1" applyFont="1" applyFill="1" applyBorder="1" applyAlignment="1">
      <alignment horizontal="center"/>
    </xf>
    <xf numFmtId="0" fontId="17" fillId="3" borderId="11" xfId="0" applyNumberFormat="1" applyFont="1" applyFill="1" applyBorder="1" applyAlignment="1">
      <alignment horizontal="center"/>
    </xf>
    <xf numFmtId="0" fontId="17" fillId="3" borderId="16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 vertical="center" wrapText="1"/>
    </xf>
    <xf numFmtId="0" fontId="17" fillId="3" borderId="2" xfId="0" applyNumberFormat="1" applyFont="1" applyFill="1" applyBorder="1" applyAlignment="1">
      <alignment horizontal="center" vertical="center"/>
    </xf>
    <xf numFmtId="0" fontId="17" fillId="3" borderId="18" xfId="0" applyNumberFormat="1" applyFont="1" applyFill="1" applyBorder="1" applyAlignment="1">
      <alignment horizontal="center" vertical="center"/>
    </xf>
    <xf numFmtId="0" fontId="17" fillId="3" borderId="17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/>
    </xf>
    <xf numFmtId="2" fontId="8" fillId="3" borderId="11" xfId="0" applyNumberFormat="1" applyFont="1" applyFill="1" applyBorder="1" applyAlignment="1">
      <alignment horizontal="center" vertical="center" wrapText="1"/>
    </xf>
    <xf numFmtId="2" fontId="8" fillId="3" borderId="16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left" vertical="top"/>
    </xf>
    <xf numFmtId="0" fontId="17" fillId="3" borderId="15" xfId="0" applyNumberFormat="1" applyFont="1" applyFill="1" applyBorder="1" applyAlignment="1">
      <alignment horizontal="center" vertical="center"/>
    </xf>
    <xf numFmtId="2" fontId="8" fillId="3" borderId="33" xfId="0" applyNumberFormat="1" applyFont="1" applyFill="1" applyBorder="1" applyAlignment="1">
      <alignment horizontal="center" vertical="center" wrapText="1"/>
    </xf>
    <xf numFmtId="2" fontId="8" fillId="3" borderId="34" xfId="0" applyNumberFormat="1" applyFont="1" applyFill="1" applyBorder="1" applyAlignment="1">
      <alignment horizontal="center" vertical="center" wrapText="1"/>
    </xf>
    <xf numFmtId="171" fontId="7" fillId="7" borderId="2" xfId="17" applyNumberFormat="1" applyFont="1" applyFill="1" applyBorder="1" applyAlignment="1">
      <alignment vertical="top" wrapText="1"/>
    </xf>
    <xf numFmtId="171" fontId="7" fillId="2" borderId="2" xfId="17" applyNumberFormat="1" applyFont="1" applyFill="1" applyBorder="1" applyAlignment="1">
      <alignment vertical="top" wrapText="1"/>
    </xf>
    <xf numFmtId="171" fontId="7" fillId="2" borderId="2" xfId="17" applyNumberFormat="1" applyFont="1" applyFill="1" applyBorder="1" applyAlignment="1">
      <alignment horizontal="right" vertical="top" wrapText="1"/>
    </xf>
    <xf numFmtId="171" fontId="7" fillId="0" borderId="2" xfId="17" applyNumberFormat="1" applyFont="1" applyFill="1" applyBorder="1" applyAlignment="1">
      <alignment horizontal="right" vertical="top" wrapText="1"/>
    </xf>
    <xf numFmtId="0" fontId="7" fillId="0" borderId="2" xfId="17" applyNumberFormat="1" applyFont="1" applyFill="1" applyBorder="1" applyAlignment="1">
      <alignment horizontal="center" vertical="top"/>
    </xf>
    <xf numFmtId="2" fontId="7" fillId="0" borderId="2" xfId="17" applyNumberFormat="1" applyFont="1" applyFill="1" applyBorder="1" applyAlignment="1">
      <alignment horizontal="center" vertical="top"/>
    </xf>
    <xf numFmtId="0" fontId="7" fillId="2" borderId="2" xfId="17" applyNumberFormat="1" applyFont="1" applyFill="1" applyBorder="1" applyAlignment="1">
      <alignment horizontal="center" vertical="top"/>
    </xf>
    <xf numFmtId="2" fontId="7" fillId="0" borderId="2" xfId="0" applyNumberFormat="1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top"/>
    </xf>
    <xf numFmtId="0" fontId="8" fillId="3" borderId="21" xfId="17" applyNumberFormat="1" applyFont="1" applyFill="1" applyBorder="1" applyAlignment="1">
      <alignment horizontal="center" vertical="top" wrapText="1"/>
    </xf>
    <xf numFmtId="0" fontId="8" fillId="0" borderId="21" xfId="17" applyNumberFormat="1" applyFont="1" applyFill="1" applyBorder="1" applyAlignment="1">
      <alignment horizontal="left" vertical="top"/>
    </xf>
    <xf numFmtId="0" fontId="8" fillId="3" borderId="22" xfId="17" applyNumberFormat="1" applyFont="1" applyFill="1" applyBorder="1" applyAlignment="1">
      <alignment horizontal="left" vertical="top"/>
    </xf>
    <xf numFmtId="0" fontId="8" fillId="3" borderId="15" xfId="0" applyNumberFormat="1" applyFont="1" applyFill="1" applyBorder="1" applyAlignment="1">
      <alignment horizontal="center" vertical="top"/>
    </xf>
    <xf numFmtId="0" fontId="10" fillId="0" borderId="18" xfId="17" applyNumberFormat="1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</cellXfs>
  <cellStyles count="32">
    <cellStyle name="2decimal" xfId="2"/>
    <cellStyle name="Comma  - Style1" xfId="3"/>
    <cellStyle name="Comma  - Style2" xfId="4"/>
    <cellStyle name="Comma  - Style3" xfId="5"/>
    <cellStyle name="Comma  - Style4" xfId="6"/>
    <cellStyle name="Comma  - Style5" xfId="7"/>
    <cellStyle name="Comma  - Style6" xfId="8"/>
    <cellStyle name="Comma  - Style7" xfId="9"/>
    <cellStyle name="Comma  - Style8" xfId="10"/>
    <cellStyle name="Currency [0]b" xfId="11"/>
    <cellStyle name="currency(2)" xfId="12"/>
    <cellStyle name="Normal - Style1" xfId="13"/>
    <cellStyle name="Normal - Style1 2" xfId="19"/>
    <cellStyle name="Normal 2" xfId="14"/>
    <cellStyle name="Normal 2 2" xfId="25"/>
    <cellStyle name="Normal 2 3" xfId="28"/>
    <cellStyle name="Normal 2 4" xfId="30"/>
    <cellStyle name="Normal_Blank Daily" xfId="26"/>
    <cellStyle name="Обычный" xfId="0" builtinId="0"/>
    <cellStyle name="Обычный 2" xfId="15"/>
    <cellStyle name="Обычный 2 2" xfId="17"/>
    <cellStyle name="Обычный 3" xfId="1"/>
    <cellStyle name="Обычный 4" xfId="23"/>
    <cellStyle name="Обычный 5" xfId="24"/>
    <cellStyle name="Обычный 6" xfId="27"/>
    <cellStyle name="Обычный 7" xfId="21"/>
    <cellStyle name="Обычный 7 2" xfId="29"/>
    <cellStyle name="Процентный" xfId="18" builtinId="5"/>
    <cellStyle name="Финансовый" xfId="31" builtinId="3"/>
    <cellStyle name="Финансовый 2" xfId="16"/>
    <cellStyle name="Финансовый 2 2" xfId="20"/>
    <cellStyle name="Финансовый 3" xfId="22"/>
  </cellStyles>
  <dxfs count="0"/>
  <tableStyles count="0" defaultTableStyle="TableStyleMedium9" defaultPivotStyle="PivotStyleLight16"/>
  <colors>
    <mruColors>
      <color rgb="FFFFCCFF"/>
      <color rgb="FFCCFFFF"/>
      <color rgb="FFFF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OIL PRODUCTION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Graphs!$A$9:$B$9</c:f>
              <c:strCache>
                <c:ptCount val="2"/>
                <c:pt idx="0">
                  <c:v>Oil</c:v>
                </c:pt>
                <c:pt idx="1">
                  <c:v>bbl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Graphs!$C$7:$AF$7</c:f>
              <c:numCache>
                <c:formatCode>m/d/yyyy</c:formatCode>
                <c:ptCount val="30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Graphs!$C$9:$AF$9</c:f>
              <c:numCache>
                <c:formatCode>0.00</c:formatCode>
                <c:ptCount val="30"/>
                <c:pt idx="0">
                  <c:v>2828.28</c:v>
                </c:pt>
                <c:pt idx="1">
                  <c:v>2818.61</c:v>
                </c:pt>
                <c:pt idx="2">
                  <c:v>2800.29</c:v>
                </c:pt>
                <c:pt idx="3">
                  <c:v>2817.9</c:v>
                </c:pt>
                <c:pt idx="4">
                  <c:v>2805.95</c:v>
                </c:pt>
                <c:pt idx="5">
                  <c:v>2708.21</c:v>
                </c:pt>
                <c:pt idx="6">
                  <c:v>2703.65</c:v>
                </c:pt>
                <c:pt idx="7">
                  <c:v>2726.65</c:v>
                </c:pt>
                <c:pt idx="8">
                  <c:v>2624.77</c:v>
                </c:pt>
                <c:pt idx="9">
                  <c:v>2607.35</c:v>
                </c:pt>
                <c:pt idx="10">
                  <c:v>2623.42</c:v>
                </c:pt>
                <c:pt idx="11">
                  <c:v>2091.2199999999998</c:v>
                </c:pt>
                <c:pt idx="12">
                  <c:v>1887.09</c:v>
                </c:pt>
                <c:pt idx="13">
                  <c:v>2260.12</c:v>
                </c:pt>
                <c:pt idx="14">
                  <c:v>2623.82</c:v>
                </c:pt>
                <c:pt idx="15">
                  <c:v>2127.62</c:v>
                </c:pt>
                <c:pt idx="16">
                  <c:v>1818.56</c:v>
                </c:pt>
                <c:pt idx="17">
                  <c:v>1817.15</c:v>
                </c:pt>
                <c:pt idx="18">
                  <c:v>1705.03</c:v>
                </c:pt>
                <c:pt idx="19">
                  <c:v>1865.38</c:v>
                </c:pt>
                <c:pt idx="20">
                  <c:v>1996.54</c:v>
                </c:pt>
                <c:pt idx="21">
                  <c:v>2281.79</c:v>
                </c:pt>
                <c:pt idx="22">
                  <c:v>1968.12</c:v>
                </c:pt>
                <c:pt idx="23">
                  <c:v>1560.65</c:v>
                </c:pt>
                <c:pt idx="24">
                  <c:v>1576.86</c:v>
                </c:pt>
                <c:pt idx="25">
                  <c:v>1743.12</c:v>
                </c:pt>
                <c:pt idx="26">
                  <c:v>1812.63</c:v>
                </c:pt>
                <c:pt idx="27">
                  <c:v>1810.75</c:v>
                </c:pt>
                <c:pt idx="28">
                  <c:v>1846.94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F5-4827-BB6E-72DDFDF2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79040"/>
        <c:axId val="1363386112"/>
      </c:lineChart>
      <c:lineChart>
        <c:grouping val="stacked"/>
        <c:varyColors val="0"/>
        <c:ser>
          <c:idx val="0"/>
          <c:order val="0"/>
          <c:tx>
            <c:strRef>
              <c:f>Graphs!$A$8:$B$8</c:f>
              <c:strCache>
                <c:ptCount val="2"/>
                <c:pt idx="0">
                  <c:v>Oil</c:v>
                </c:pt>
                <c:pt idx="1">
                  <c:v>ton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Graphs!$C$7:$AF$7</c:f>
              <c:numCache>
                <c:formatCode>m/d/yyyy</c:formatCode>
                <c:ptCount val="30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Graphs!$C$8:$AF$8</c:f>
              <c:numCache>
                <c:formatCode>0.00</c:formatCode>
                <c:ptCount val="30"/>
                <c:pt idx="0">
                  <c:v>335.14</c:v>
                </c:pt>
                <c:pt idx="1">
                  <c:v>329.36</c:v>
                </c:pt>
                <c:pt idx="2">
                  <c:v>333.1</c:v>
                </c:pt>
                <c:pt idx="3">
                  <c:v>317.55</c:v>
                </c:pt>
                <c:pt idx="4">
                  <c:v>339.38</c:v>
                </c:pt>
                <c:pt idx="5">
                  <c:v>324.83999999999997</c:v>
                </c:pt>
                <c:pt idx="6">
                  <c:v>330.04</c:v>
                </c:pt>
                <c:pt idx="7">
                  <c:v>340.7</c:v>
                </c:pt>
                <c:pt idx="8">
                  <c:v>318.88</c:v>
                </c:pt>
                <c:pt idx="9">
                  <c:v>324.17</c:v>
                </c:pt>
                <c:pt idx="10">
                  <c:v>317.44</c:v>
                </c:pt>
                <c:pt idx="11">
                  <c:v>259.57</c:v>
                </c:pt>
                <c:pt idx="12">
                  <c:v>220.77</c:v>
                </c:pt>
                <c:pt idx="13">
                  <c:v>270.39999999999998</c:v>
                </c:pt>
                <c:pt idx="14">
                  <c:v>329.15</c:v>
                </c:pt>
                <c:pt idx="15">
                  <c:v>242.81</c:v>
                </c:pt>
                <c:pt idx="16">
                  <c:v>203.43</c:v>
                </c:pt>
                <c:pt idx="17">
                  <c:v>210.91</c:v>
                </c:pt>
                <c:pt idx="18">
                  <c:v>196.45</c:v>
                </c:pt>
                <c:pt idx="19">
                  <c:v>217.01</c:v>
                </c:pt>
                <c:pt idx="20">
                  <c:v>236.38</c:v>
                </c:pt>
                <c:pt idx="21">
                  <c:v>274.74</c:v>
                </c:pt>
                <c:pt idx="22">
                  <c:v>235.57</c:v>
                </c:pt>
                <c:pt idx="23">
                  <c:v>188.53</c:v>
                </c:pt>
                <c:pt idx="24">
                  <c:v>200.13</c:v>
                </c:pt>
                <c:pt idx="25">
                  <c:v>204.38</c:v>
                </c:pt>
                <c:pt idx="26">
                  <c:v>230.32</c:v>
                </c:pt>
                <c:pt idx="27">
                  <c:v>225.8</c:v>
                </c:pt>
                <c:pt idx="28">
                  <c:v>229.58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F5-4827-BB6E-72DDFDF2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2848"/>
        <c:axId val="1363393184"/>
      </c:lineChart>
      <c:dateAx>
        <c:axId val="136337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86112"/>
        <c:crosses val="autoZero"/>
        <c:auto val="1"/>
        <c:lblOffset val="100"/>
        <c:baseTimeUnit val="days"/>
      </c:dateAx>
      <c:valAx>
        <c:axId val="1363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79040"/>
        <c:crosses val="autoZero"/>
        <c:crossBetween val="between"/>
      </c:valAx>
      <c:valAx>
        <c:axId val="13633931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63382848"/>
        <c:crosses val="max"/>
        <c:crossBetween val="between"/>
      </c:valAx>
      <c:dateAx>
        <c:axId val="1363382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3393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GAS PRODUCTION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Graphs!$A$11:$B$11</c:f>
              <c:strCache>
                <c:ptCount val="2"/>
                <c:pt idx="0">
                  <c:v>Gas</c:v>
                </c:pt>
                <c:pt idx="1">
                  <c:v>Mscf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Graphs!$C$7:$AF$7</c:f>
              <c:numCache>
                <c:formatCode>m/d/yyyy</c:formatCode>
                <c:ptCount val="30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Graphs!$C$11:$AF$11</c:f>
              <c:numCache>
                <c:formatCode>0.000</c:formatCode>
                <c:ptCount val="30"/>
                <c:pt idx="0">
                  <c:v>4049532.8304889994</c:v>
                </c:pt>
                <c:pt idx="1">
                  <c:v>4247577.4813425997</c:v>
                </c:pt>
                <c:pt idx="2">
                  <c:v>4564311.1955082295</c:v>
                </c:pt>
                <c:pt idx="3">
                  <c:v>4649571.3953220397</c:v>
                </c:pt>
                <c:pt idx="4">
                  <c:v>4430104.8676482197</c:v>
                </c:pt>
                <c:pt idx="5">
                  <c:v>4374685.56119591</c:v>
                </c:pt>
                <c:pt idx="6">
                  <c:v>4411215.0524303894</c:v>
                </c:pt>
                <c:pt idx="7">
                  <c:v>4222415.7813188499</c:v>
                </c:pt>
                <c:pt idx="8">
                  <c:v>4094633.8976249034</c:v>
                </c:pt>
                <c:pt idx="9">
                  <c:v>4014520.1041892846</c:v>
                </c:pt>
                <c:pt idx="10">
                  <c:v>3255234.9939259328</c:v>
                </c:pt>
                <c:pt idx="11">
                  <c:v>3042342.6446049847</c:v>
                </c:pt>
                <c:pt idx="12">
                  <c:v>3242471.5670872191</c:v>
                </c:pt>
                <c:pt idx="13">
                  <c:v>3794832.8598485896</c:v>
                </c:pt>
                <c:pt idx="14">
                  <c:v>4649419.5422552293</c:v>
                </c:pt>
                <c:pt idx="15">
                  <c:v>4502535.2490499197</c:v>
                </c:pt>
                <c:pt idx="16">
                  <c:v>3815255.3316011997</c:v>
                </c:pt>
                <c:pt idx="17">
                  <c:v>4121917.3028239897</c:v>
                </c:pt>
                <c:pt idx="18">
                  <c:v>3966472.7344105998</c:v>
                </c:pt>
                <c:pt idx="19">
                  <c:v>4309321.6446008794</c:v>
                </c:pt>
                <c:pt idx="20">
                  <c:v>4024455.8856653292</c:v>
                </c:pt>
                <c:pt idx="21">
                  <c:v>3666898.4167944998</c:v>
                </c:pt>
                <c:pt idx="22">
                  <c:v>4175080.0020741699</c:v>
                </c:pt>
                <c:pt idx="23">
                  <c:v>4012629.0037874994</c:v>
                </c:pt>
                <c:pt idx="24">
                  <c:v>3743471.2086001099</c:v>
                </c:pt>
                <c:pt idx="25">
                  <c:v>3723825.6595148998</c:v>
                </c:pt>
                <c:pt idx="26">
                  <c:v>3696534.4850891395</c:v>
                </c:pt>
                <c:pt idx="27">
                  <c:v>3614020.3537579216</c:v>
                </c:pt>
                <c:pt idx="28">
                  <c:v>3939838.4127854598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33-40BE-A289-B0034FEE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0672"/>
        <c:axId val="1363390464"/>
      </c:lineChart>
      <c:lineChart>
        <c:grouping val="stacked"/>
        <c:varyColors val="0"/>
        <c:ser>
          <c:idx val="0"/>
          <c:order val="0"/>
          <c:tx>
            <c:strRef>
              <c:f>Graphs!$A$10:$B$10</c:f>
              <c:strCache>
                <c:ptCount val="2"/>
                <c:pt idx="0">
                  <c:v>Gas</c:v>
                </c:pt>
                <c:pt idx="1">
                  <c:v>m3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Graphs!$C$7:$AF$7</c:f>
              <c:numCache>
                <c:formatCode>m/d/yyyy</c:formatCode>
                <c:ptCount val="30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</c:numCache>
            </c:numRef>
          </c:cat>
          <c:val>
            <c:numRef>
              <c:f>Graphs!$C$10:$AF$10</c:f>
              <c:numCache>
                <c:formatCode>0.000</c:formatCode>
                <c:ptCount val="30"/>
                <c:pt idx="0">
                  <c:v>114670</c:v>
                </c:pt>
                <c:pt idx="1">
                  <c:v>120278</c:v>
                </c:pt>
                <c:pt idx="2">
                  <c:v>129246.9</c:v>
                </c:pt>
                <c:pt idx="3">
                  <c:v>131661.20000000001</c:v>
                </c:pt>
                <c:pt idx="4">
                  <c:v>125446.6</c:v>
                </c:pt>
                <c:pt idx="5">
                  <c:v>123877.3</c:v>
                </c:pt>
                <c:pt idx="6">
                  <c:v>124911.7</c:v>
                </c:pt>
                <c:pt idx="7">
                  <c:v>119565.5</c:v>
                </c:pt>
                <c:pt idx="8">
                  <c:v>115947.12</c:v>
                </c:pt>
                <c:pt idx="9">
                  <c:v>113678.55</c:v>
                </c:pt>
                <c:pt idx="10">
                  <c:v>92177.99</c:v>
                </c:pt>
                <c:pt idx="11">
                  <c:v>86149.55</c:v>
                </c:pt>
                <c:pt idx="12">
                  <c:v>91816.57</c:v>
                </c:pt>
                <c:pt idx="13">
                  <c:v>107457.7</c:v>
                </c:pt>
                <c:pt idx="14">
                  <c:v>131656.9</c:v>
                </c:pt>
                <c:pt idx="15">
                  <c:v>127497.60000000001</c:v>
                </c:pt>
                <c:pt idx="16">
                  <c:v>108036</c:v>
                </c:pt>
                <c:pt idx="17">
                  <c:v>116719.7</c:v>
                </c:pt>
                <c:pt idx="18">
                  <c:v>112318</c:v>
                </c:pt>
                <c:pt idx="19">
                  <c:v>122026.4</c:v>
                </c:pt>
                <c:pt idx="20">
                  <c:v>113959.9</c:v>
                </c:pt>
                <c:pt idx="21">
                  <c:v>103835</c:v>
                </c:pt>
                <c:pt idx="22">
                  <c:v>118225.1</c:v>
                </c:pt>
                <c:pt idx="23">
                  <c:v>113625</c:v>
                </c:pt>
                <c:pt idx="24">
                  <c:v>106003.3</c:v>
                </c:pt>
                <c:pt idx="25">
                  <c:v>105447</c:v>
                </c:pt>
                <c:pt idx="26">
                  <c:v>104674.2</c:v>
                </c:pt>
                <c:pt idx="27">
                  <c:v>102337.66</c:v>
                </c:pt>
                <c:pt idx="28">
                  <c:v>111563.8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33-40BE-A289-B0034FEE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91552"/>
        <c:axId val="1363392096"/>
      </c:lineChart>
      <c:dateAx>
        <c:axId val="1363380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0464"/>
        <c:crosses val="autoZero"/>
        <c:auto val="1"/>
        <c:lblOffset val="100"/>
        <c:baseTimeUnit val="days"/>
      </c:dateAx>
      <c:valAx>
        <c:axId val="13633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80672"/>
        <c:crosses val="autoZero"/>
        <c:crossBetween val="between"/>
      </c:valAx>
      <c:valAx>
        <c:axId val="13633920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363391552"/>
        <c:crosses val="max"/>
        <c:crossBetween val="between"/>
      </c:valAx>
      <c:dateAx>
        <c:axId val="1363391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633920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Production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99119872399226E-2"/>
          <c:y val="0.14221281452454704"/>
          <c:w val="0.72622882899063068"/>
          <c:h val="0.675227287114519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Months!$C$6:$C$7</c:f>
              <c:strCache>
                <c:ptCount val="2"/>
                <c:pt idx="0">
                  <c:v>Maximum production potential</c:v>
                </c:pt>
                <c:pt idx="1">
                  <c:v>bbl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Months!$A$8:$A$19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Months!$C$8:$C$19</c:f>
              <c:numCache>
                <c:formatCode>#,##0.00</c:formatCode>
                <c:ptCount val="12"/>
                <c:pt idx="0">
                  <c:v>101726.25</c:v>
                </c:pt>
                <c:pt idx="1">
                  <c:v>86773.5</c:v>
                </c:pt>
                <c:pt idx="2">
                  <c:v>98089.5</c:v>
                </c:pt>
                <c:pt idx="3">
                  <c:v>98800.5</c:v>
                </c:pt>
                <c:pt idx="4">
                  <c:v>84188.25</c:v>
                </c:pt>
                <c:pt idx="5">
                  <c:v>86829.75</c:v>
                </c:pt>
                <c:pt idx="6">
                  <c:v>90588.45</c:v>
                </c:pt>
                <c:pt idx="7">
                  <c:v>83128.05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7-4284-AB5A-630325E53DF5}"/>
            </c:ext>
          </c:extLst>
        </c:ser>
        <c:ser>
          <c:idx val="3"/>
          <c:order val="3"/>
          <c:tx>
            <c:strRef>
              <c:f>Months!$E$6:$E$7</c:f>
              <c:strCache>
                <c:ptCount val="2"/>
                <c:pt idx="0">
                  <c:v>Oil production</c:v>
                </c:pt>
                <c:pt idx="1">
                  <c:v>bbl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Months!$A$8:$A$19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Months!$E$8:$E$19</c:f>
              <c:numCache>
                <c:formatCode>#,##0.00</c:formatCode>
                <c:ptCount val="12"/>
                <c:pt idx="0">
                  <c:v>87699.36000000003</c:v>
                </c:pt>
                <c:pt idx="1">
                  <c:v>80316.27</c:v>
                </c:pt>
                <c:pt idx="2">
                  <c:v>79267.31</c:v>
                </c:pt>
                <c:pt idx="3">
                  <c:v>76952.929999999993</c:v>
                </c:pt>
                <c:pt idx="4">
                  <c:v>69676.91</c:v>
                </c:pt>
                <c:pt idx="5">
                  <c:v>70999.009999999995</c:v>
                </c:pt>
                <c:pt idx="6">
                  <c:v>73336.19</c:v>
                </c:pt>
                <c:pt idx="7">
                  <c:v>68407.259999999995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07-4284-AB5A-630325E5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382304"/>
        <c:axId val="13633833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Months!$B$6:$B$7</c15:sqref>
                        </c15:formulaRef>
                      </c:ext>
                    </c:extLst>
                    <c:strCache>
                      <c:ptCount val="2"/>
                      <c:pt idx="0">
                        <c:v>Maximum production potential</c:v>
                      </c:pt>
                      <c:pt idx="1">
                        <c:v>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Months!$B$8:$B$19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13563.5</c:v>
                      </c:pt>
                      <c:pt idx="1">
                        <c:v>11569.8</c:v>
                      </c:pt>
                      <c:pt idx="2">
                        <c:v>13078.6</c:v>
                      </c:pt>
                      <c:pt idx="3">
                        <c:v>13173.4</c:v>
                      </c:pt>
                      <c:pt idx="4">
                        <c:v>11225.1</c:v>
                      </c:pt>
                      <c:pt idx="5">
                        <c:v>11577.3</c:v>
                      </c:pt>
                      <c:pt idx="6">
                        <c:v>12078.46</c:v>
                      </c:pt>
                      <c:pt idx="7">
                        <c:v>11083.74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A07-4284-AB5A-630325E53D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Months!$D$6:$D$7</c15:sqref>
                        </c15:formulaRef>
                      </c:ext>
                    </c:extLst>
                    <c:strCache>
                      <c:ptCount val="2"/>
                      <c:pt idx="0">
                        <c:v>Oil production</c:v>
                      </c:pt>
                      <c:pt idx="1">
                        <c:v>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Months!$D$8:$D$19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11675.15</c:v>
                      </c:pt>
                      <c:pt idx="1">
                        <c:v>10670.38</c:v>
                      </c:pt>
                      <c:pt idx="2">
                        <c:v>10531.51</c:v>
                      </c:pt>
                      <c:pt idx="3">
                        <c:v>10234.200000000001</c:v>
                      </c:pt>
                      <c:pt idx="4">
                        <c:v>9253.99</c:v>
                      </c:pt>
                      <c:pt idx="5">
                        <c:v>9437.4599999999991</c:v>
                      </c:pt>
                      <c:pt idx="6">
                        <c:v>9731.76</c:v>
                      </c:pt>
                      <c:pt idx="7">
                        <c:v>9057.92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A07-4284-AB5A-630325E53D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Months!$F$6:$F$7</c15:sqref>
                        </c15:formulaRef>
                      </c:ext>
                    </c:extLst>
                    <c:strCache>
                      <c:ptCount val="2"/>
                      <c:pt idx="0">
                        <c:v>Gas production</c:v>
                      </c:pt>
                      <c:pt idx="1">
                        <c:v>тыс.m3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Months!$F$8:$F$19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4262.12</c:v>
                      </c:pt>
                      <c:pt idx="1">
                        <c:v>3828.6</c:v>
                      </c:pt>
                      <c:pt idx="2">
                        <c:v>3768.1</c:v>
                      </c:pt>
                      <c:pt idx="3">
                        <c:v>3477.88</c:v>
                      </c:pt>
                      <c:pt idx="4">
                        <c:v>3709.93</c:v>
                      </c:pt>
                      <c:pt idx="5">
                        <c:v>3635.59</c:v>
                      </c:pt>
                      <c:pt idx="6">
                        <c:v>3509.98</c:v>
                      </c:pt>
                      <c:pt idx="7">
                        <c:v>3501.72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A07-4284-AB5A-630325E53DF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Months!$I$6:$I$7</c:f>
              <c:strCache>
                <c:ptCount val="2"/>
                <c:pt idx="0">
                  <c:v>Oil export</c:v>
                </c:pt>
                <c:pt idx="1">
                  <c:v>bbl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Months!$A$8:$A$19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Months!$I$8:$I$19</c:f>
              <c:numCache>
                <c:formatCode>#,##0.00</c:formatCode>
                <c:ptCount val="12"/>
                <c:pt idx="0">
                  <c:v>92291.642560975612</c:v>
                </c:pt>
                <c:pt idx="1">
                  <c:v>88217.01984756098</c:v>
                </c:pt>
                <c:pt idx="2">
                  <c:v>76913.537073170737</c:v>
                </c:pt>
                <c:pt idx="3">
                  <c:v>76913.537073170737</c:v>
                </c:pt>
                <c:pt idx="4">
                  <c:v>65362.700731707315</c:v>
                </c:pt>
                <c:pt idx="5">
                  <c:v>76913.537073170737</c:v>
                </c:pt>
                <c:pt idx="6">
                  <c:v>55368.849634146347</c:v>
                </c:pt>
                <c:pt idx="7">
                  <c:v>43841.022926829275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7-4284-AB5A-630325E5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2304"/>
        <c:axId val="13633833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Months!$G$6:$G$7</c15:sqref>
                        </c15:formulaRef>
                      </c:ext>
                    </c:extLst>
                    <c:strCache>
                      <c:ptCount val="2"/>
                      <c:pt idx="0">
                        <c:v>Gas production</c:v>
                      </c:pt>
                      <c:pt idx="1">
                        <c:v>Mscf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Months!$G$8:$G$19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150515.34723540398</c:v>
                      </c:pt>
                      <c:pt idx="1">
                        <c:v>135205.73292761997</c:v>
                      </c:pt>
                      <c:pt idx="2">
                        <c:v>133069.19559226997</c:v>
                      </c:pt>
                      <c:pt idx="3">
                        <c:v>122820.17302259599</c:v>
                      </c:pt>
                      <c:pt idx="4">
                        <c:v>131014.94143033097</c:v>
                      </c:pt>
                      <c:pt idx="5">
                        <c:v>128389.64910785299</c:v>
                      </c:pt>
                      <c:pt idx="6">
                        <c:v>123953.77382366599</c:v>
                      </c:pt>
                      <c:pt idx="7">
                        <c:v>123662.07467672398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0A07-4284-AB5A-630325E53D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Months!$H$6:$H$7</c15:sqref>
                        </c15:formulaRef>
                      </c:ext>
                    </c:extLst>
                    <c:strCache>
                      <c:ptCount val="2"/>
                      <c:pt idx="0">
                        <c:v>Oil export</c:v>
                      </c:pt>
                      <c:pt idx="1">
                        <c:v>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Months!$H$8:$H$19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12033</c:v>
                      </c:pt>
                      <c:pt idx="1">
                        <c:v>11501.75</c:v>
                      </c:pt>
                      <c:pt idx="2">
                        <c:v>10028</c:v>
                      </c:pt>
                      <c:pt idx="3">
                        <c:v>10028</c:v>
                      </c:pt>
                      <c:pt idx="4">
                        <c:v>8522</c:v>
                      </c:pt>
                      <c:pt idx="5">
                        <c:v>10028</c:v>
                      </c:pt>
                      <c:pt idx="6">
                        <c:v>7219</c:v>
                      </c:pt>
                      <c:pt idx="7">
                        <c:v>5716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A07-4284-AB5A-630325E53D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Months!$J$6:$J$7</c15:sqref>
                        </c15:formulaRef>
                      </c:ext>
                    </c:extLst>
                    <c:strCache>
                      <c:ptCount val="2"/>
                      <c:pt idx="0">
                        <c:v>Gas export to KTG</c:v>
                      </c:pt>
                      <c:pt idx="1">
                        <c:v>тыс.m3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Months!$J$8:$J$19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3753.9</c:v>
                      </c:pt>
                      <c:pt idx="1">
                        <c:v>3342.39</c:v>
                      </c:pt>
                      <c:pt idx="2">
                        <c:v>3372.11</c:v>
                      </c:pt>
                      <c:pt idx="3">
                        <c:v>3085.19</c:v>
                      </c:pt>
                      <c:pt idx="4">
                        <c:v>2706.14</c:v>
                      </c:pt>
                      <c:pt idx="5">
                        <c:v>3098.21</c:v>
                      </c:pt>
                      <c:pt idx="6">
                        <c:v>3245.62</c:v>
                      </c:pt>
                      <c:pt idx="7">
                        <c:v>3106.2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A07-4284-AB5A-630325E53DF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Months!$K$6:$K$7</c15:sqref>
                        </c15:formulaRef>
                      </c:ext>
                    </c:extLst>
                    <c:strCache>
                      <c:ptCount val="2"/>
                      <c:pt idx="0">
                        <c:v>Gas export to KTG</c:v>
                      </c:pt>
                      <c:pt idx="1">
                        <c:v>Mscf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Months!$A$8:$A$19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Months!$K$8:$K$19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132567.72732512999</c:v>
                      </c:pt>
                      <c:pt idx="1">
                        <c:v>118035.38883141299</c:v>
                      </c:pt>
                      <c:pt idx="2">
                        <c:v>119084.94072573699</c:v>
                      </c:pt>
                      <c:pt idx="3">
                        <c:v>108952.456556173</c:v>
                      </c:pt>
                      <c:pt idx="4">
                        <c:v>95566.432143537982</c:v>
                      </c:pt>
                      <c:pt idx="5">
                        <c:v>109412.25351660699</c:v>
                      </c:pt>
                      <c:pt idx="6">
                        <c:v>114617.98853485398</c:v>
                      </c:pt>
                      <c:pt idx="7">
                        <c:v>109694.41770353998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A07-4284-AB5A-630325E53DF5}"/>
                  </c:ext>
                </c:extLst>
              </c15:ser>
            </c15:filteredLineSeries>
          </c:ext>
        </c:extLst>
      </c:lineChart>
      <c:catAx>
        <c:axId val="136338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83392"/>
        <c:crosses val="autoZero"/>
        <c:auto val="1"/>
        <c:lblAlgn val="ctr"/>
        <c:lblOffset val="100"/>
        <c:noMultiLvlLbl val="0"/>
      </c:catAx>
      <c:valAx>
        <c:axId val="1363383392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178594</xdr:rowOff>
    </xdr:from>
    <xdr:to>
      <xdr:col>1</xdr:col>
      <xdr:colOff>3432</xdr:colOff>
      <xdr:row>4</xdr:row>
      <xdr:rowOff>35867</xdr:rowOff>
    </xdr:to>
    <xdr:pic>
      <xdr:nvPicPr>
        <xdr:cNvPr id="3" name="Рисунок 1" descr="Logotype_eo_2016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4" y="178594"/>
          <a:ext cx="533401" cy="58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523874</xdr:colOff>
      <xdr:row>0</xdr:row>
      <xdr:rowOff>178594</xdr:rowOff>
    </xdr:from>
    <xdr:to>
      <xdr:col>1</xdr:col>
      <xdr:colOff>3432</xdr:colOff>
      <xdr:row>4</xdr:row>
      <xdr:rowOff>35867</xdr:rowOff>
    </xdr:to>
    <xdr:pic>
      <xdr:nvPicPr>
        <xdr:cNvPr id="4" name="Рисунок 1" descr="Logotype_eo_2016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4" y="169069"/>
          <a:ext cx="533401" cy="55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523874</xdr:colOff>
      <xdr:row>0</xdr:row>
      <xdr:rowOff>178594</xdr:rowOff>
    </xdr:from>
    <xdr:to>
      <xdr:col>1</xdr:col>
      <xdr:colOff>3432</xdr:colOff>
      <xdr:row>4</xdr:row>
      <xdr:rowOff>35867</xdr:rowOff>
    </xdr:to>
    <xdr:pic>
      <xdr:nvPicPr>
        <xdr:cNvPr id="5" name="Рисунок 1" descr="Logotype_eo_201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4" y="169069"/>
          <a:ext cx="533401" cy="55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378278</xdr:colOff>
      <xdr:row>0</xdr:row>
      <xdr:rowOff>182336</xdr:rowOff>
    </xdr:from>
    <xdr:ext cx="666750" cy="625928"/>
    <xdr:pic>
      <xdr:nvPicPr>
        <xdr:cNvPr id="2" name="Рисунок 1" descr="Logotype_eo_2016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0421" y="182336"/>
          <a:ext cx="666750" cy="6259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460373</xdr:colOff>
      <xdr:row>1</xdr:row>
      <xdr:rowOff>1059</xdr:rowOff>
    </xdr:from>
    <xdr:to>
      <xdr:col>0</xdr:col>
      <xdr:colOff>1041398</xdr:colOff>
      <xdr:row>3</xdr:row>
      <xdr:rowOff>169334</xdr:rowOff>
    </xdr:to>
    <xdr:pic>
      <xdr:nvPicPr>
        <xdr:cNvPr id="3" name="Рисунок 2" descr="Logotype_eo_2016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0373" y="187326"/>
          <a:ext cx="581025" cy="5408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49557</xdr:colOff>
      <xdr:row>1</xdr:row>
      <xdr:rowOff>20506</xdr:rowOff>
    </xdr:from>
    <xdr:to>
      <xdr:col>0</xdr:col>
      <xdr:colOff>577749</xdr:colOff>
      <xdr:row>3</xdr:row>
      <xdr:rowOff>174176</xdr:rowOff>
    </xdr:to>
    <xdr:pic>
      <xdr:nvPicPr>
        <xdr:cNvPr id="3" name="Рисунок 1" descr="Logotype_eo_2016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57" y="195131"/>
          <a:ext cx="528192" cy="502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517071</xdr:colOff>
      <xdr:row>1</xdr:row>
      <xdr:rowOff>6804</xdr:rowOff>
    </xdr:from>
    <xdr:to>
      <xdr:col>0</xdr:col>
      <xdr:colOff>1009650</xdr:colOff>
      <xdr:row>4</xdr:row>
      <xdr:rowOff>57422</xdr:rowOff>
    </xdr:to>
    <xdr:pic>
      <xdr:nvPicPr>
        <xdr:cNvPr id="2" name="Рисунок 1" descr="Logotype_eo_2016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071" y="187779"/>
          <a:ext cx="492579" cy="5935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12</xdr:row>
      <xdr:rowOff>32658</xdr:rowOff>
    </xdr:from>
    <xdr:to>
      <xdr:col>14</xdr:col>
      <xdr:colOff>1032238</xdr:colOff>
      <xdr:row>27</xdr:row>
      <xdr:rowOff>114845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EF930A94-A79C-440B-AD46-81D6EE035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69941</xdr:colOff>
      <xdr:row>12</xdr:row>
      <xdr:rowOff>29119</xdr:rowOff>
    </xdr:from>
    <xdr:to>
      <xdr:col>32</xdr:col>
      <xdr:colOff>81642</xdr:colOff>
      <xdr:row>27</xdr:row>
      <xdr:rowOff>128451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64A31FD1-CDE3-4D93-9FDF-5E0684CA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202746</xdr:colOff>
      <xdr:row>0</xdr:row>
      <xdr:rowOff>168729</xdr:rowOff>
    </xdr:from>
    <xdr:to>
      <xdr:col>0</xdr:col>
      <xdr:colOff>695325</xdr:colOff>
      <xdr:row>4</xdr:row>
      <xdr:rowOff>38372</xdr:rowOff>
    </xdr:to>
    <xdr:pic>
      <xdr:nvPicPr>
        <xdr:cNvPr id="4" name="Рисунок 3" descr="Logotype_eo_2016">
          <a:extLst>
            <a:ext uri="{FF2B5EF4-FFF2-40B4-BE49-F238E27FC236}">
              <a16:creationId xmlns:a16="http://schemas.microsoft.com/office/drawing/2014/main" xmlns="" id="{E1747150-F052-4855-8504-59BDA56FF384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2746" y="168729"/>
          <a:ext cx="492579" cy="5935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261937</xdr:colOff>
      <xdr:row>1</xdr:row>
      <xdr:rowOff>35719</xdr:rowOff>
    </xdr:from>
    <xdr:to>
      <xdr:col>0</xdr:col>
      <xdr:colOff>701992</xdr:colOff>
      <xdr:row>4</xdr:row>
      <xdr:rowOff>30480</xdr:rowOff>
    </xdr:to>
    <xdr:pic>
      <xdr:nvPicPr>
        <xdr:cNvPr id="2" name="Рисунок 1" descr="Logotype_eo_2016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226219"/>
          <a:ext cx="4476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35719</xdr:colOff>
      <xdr:row>20</xdr:row>
      <xdr:rowOff>28575</xdr:rowOff>
    </xdr:from>
    <xdr:to>
      <xdr:col>10</xdr:col>
      <xdr:colOff>964406</xdr:colOff>
      <xdr:row>43</xdr:row>
      <xdr:rowOff>119063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51"/>
  <sheetViews>
    <sheetView showGridLines="0" view="pageBreakPreview" topLeftCell="A13" zoomScale="98" zoomScaleNormal="70" zoomScaleSheetLayoutView="98" workbookViewId="0">
      <selection activeCell="B41" sqref="B41"/>
    </sheetView>
  </sheetViews>
  <sheetFormatPr defaultColWidth="9.140625" defaultRowHeight="15" x14ac:dyDescent="0.25"/>
  <cols>
    <col min="1" max="8" width="15.7109375" style="406" customWidth="1"/>
    <col min="9" max="9" width="15.7109375" style="77" customWidth="1"/>
    <col min="10" max="17" width="15.7109375" style="189" customWidth="1"/>
    <col min="18" max="16384" width="9.140625" style="4"/>
  </cols>
  <sheetData>
    <row r="1" spans="1:24" s="288" customFormat="1" ht="13.9" customHeight="1" x14ac:dyDescent="0.25">
      <c r="A1" s="406"/>
      <c r="B1" s="406"/>
      <c r="C1" s="406"/>
      <c r="D1" s="406"/>
      <c r="E1" s="406"/>
      <c r="F1" s="406"/>
      <c r="G1" s="406"/>
      <c r="H1" s="406"/>
      <c r="I1" s="77"/>
      <c r="J1" s="189"/>
      <c r="K1" s="189"/>
      <c r="L1" s="189"/>
      <c r="M1" s="189"/>
      <c r="N1" s="189"/>
      <c r="O1" s="189"/>
      <c r="P1" s="189"/>
      <c r="Q1" s="189"/>
    </row>
    <row r="2" spans="1:24" s="288" customFormat="1" ht="13.9" customHeight="1" x14ac:dyDescent="0.25">
      <c r="A2" s="190"/>
      <c r="B2" s="404" t="s">
        <v>420</v>
      </c>
      <c r="C2" s="82"/>
      <c r="D2" s="406"/>
      <c r="E2" s="406"/>
      <c r="F2" s="406"/>
      <c r="G2" s="406"/>
      <c r="H2" s="406"/>
      <c r="I2" s="77"/>
      <c r="J2" s="189"/>
      <c r="K2" s="191"/>
      <c r="L2" s="191"/>
      <c r="M2" s="403"/>
      <c r="N2" s="189"/>
      <c r="O2" s="193" t="s">
        <v>189</v>
      </c>
      <c r="P2" s="193"/>
      <c r="Q2" s="194">
        <v>11470.36</v>
      </c>
    </row>
    <row r="3" spans="1:24" s="288" customFormat="1" ht="13.9" customHeight="1" x14ac:dyDescent="0.25">
      <c r="A3" s="190"/>
      <c r="B3" s="404" t="s">
        <v>13</v>
      </c>
      <c r="C3" s="82"/>
      <c r="D3" s="406"/>
      <c r="E3" s="406"/>
      <c r="F3" s="406"/>
      <c r="G3" s="406"/>
      <c r="H3" s="406"/>
      <c r="I3" s="77"/>
      <c r="J3" s="189"/>
      <c r="K3" s="403"/>
      <c r="L3" s="403"/>
      <c r="M3" s="195"/>
      <c r="N3" s="189"/>
      <c r="O3" s="196" t="s">
        <v>190</v>
      </c>
      <c r="P3" s="196"/>
      <c r="Q3" s="194">
        <f>Graphs!AG8</f>
        <v>7786.53</v>
      </c>
    </row>
    <row r="4" spans="1:24" s="288" customFormat="1" ht="13.9" customHeight="1" x14ac:dyDescent="0.25">
      <c r="A4" s="190"/>
      <c r="B4" s="457" t="s">
        <v>14</v>
      </c>
      <c r="C4" s="457"/>
      <c r="D4" s="457"/>
      <c r="E4" s="406"/>
      <c r="F4" s="406"/>
      <c r="G4" s="406"/>
      <c r="H4" s="406"/>
      <c r="I4" s="77"/>
      <c r="J4" s="189"/>
      <c r="K4" s="403"/>
      <c r="L4" s="403"/>
      <c r="M4" s="403"/>
      <c r="N4" s="189"/>
      <c r="O4" s="196" t="s">
        <v>191</v>
      </c>
      <c r="P4" s="196"/>
      <c r="Q4" s="197">
        <f>Q2-Q3</f>
        <v>3683.8300000000008</v>
      </c>
    </row>
    <row r="5" spans="1:24" s="288" customFormat="1" ht="13.9" customHeight="1" thickBot="1" x14ac:dyDescent="0.3">
      <c r="A5" s="198"/>
      <c r="B5" s="198"/>
      <c r="C5" s="198"/>
      <c r="D5" s="406"/>
      <c r="E5" s="406"/>
      <c r="F5" s="406"/>
      <c r="G5" s="406"/>
      <c r="H5" s="406"/>
      <c r="I5" s="77"/>
      <c r="J5" s="189"/>
      <c r="K5" s="403"/>
      <c r="L5" s="403"/>
      <c r="M5" s="403"/>
      <c r="N5" s="189"/>
      <c r="O5" s="189"/>
      <c r="P5" s="189"/>
      <c r="Q5" s="189"/>
    </row>
    <row r="6" spans="1:24" s="289" customFormat="1" ht="13.9" customHeight="1" x14ac:dyDescent="0.25">
      <c r="A6" s="451" t="s">
        <v>122</v>
      </c>
      <c r="B6" s="445"/>
      <c r="C6" s="199" t="s">
        <v>123</v>
      </c>
      <c r="D6" s="444" t="s">
        <v>124</v>
      </c>
      <c r="E6" s="445"/>
      <c r="F6" s="444" t="s">
        <v>125</v>
      </c>
      <c r="G6" s="445"/>
      <c r="H6" s="444" t="s">
        <v>126</v>
      </c>
      <c r="I6" s="445"/>
      <c r="J6" s="444" t="s">
        <v>127</v>
      </c>
      <c r="K6" s="445"/>
      <c r="L6" s="444" t="s">
        <v>214</v>
      </c>
      <c r="M6" s="445"/>
      <c r="N6" s="437" t="s">
        <v>81</v>
      </c>
      <c r="O6" s="438"/>
      <c r="P6" s="438"/>
      <c r="Q6" s="439"/>
      <c r="R6" s="436"/>
      <c r="S6" s="435"/>
      <c r="T6" s="435"/>
      <c r="U6" s="435"/>
      <c r="V6" s="435"/>
      <c r="W6" s="435"/>
    </row>
    <row r="7" spans="1:24" s="289" customFormat="1" ht="13.9" customHeight="1" x14ac:dyDescent="0.25">
      <c r="A7" s="200" t="s">
        <v>15</v>
      </c>
      <c r="B7" s="64" t="s">
        <v>106</v>
      </c>
      <c r="C7" s="64" t="s">
        <v>16</v>
      </c>
      <c r="D7" s="64" t="s">
        <v>15</v>
      </c>
      <c r="E7" s="64" t="s">
        <v>106</v>
      </c>
      <c r="F7" s="64" t="s">
        <v>16</v>
      </c>
      <c r="G7" s="64" t="s">
        <v>107</v>
      </c>
      <c r="H7" s="64" t="s">
        <v>15</v>
      </c>
      <c r="I7" s="64" t="s">
        <v>106</v>
      </c>
      <c r="J7" s="64" t="s">
        <v>16</v>
      </c>
      <c r="K7" s="64" t="s">
        <v>107</v>
      </c>
      <c r="L7" s="64" t="s">
        <v>16</v>
      </c>
      <c r="M7" s="64" t="s">
        <v>107</v>
      </c>
      <c r="N7" s="440"/>
      <c r="O7" s="441"/>
      <c r="P7" s="441"/>
      <c r="Q7" s="442"/>
      <c r="R7" s="290"/>
      <c r="S7" s="290"/>
      <c r="T7" s="290"/>
      <c r="U7" s="290"/>
      <c r="V7" s="290"/>
      <c r="W7" s="290"/>
    </row>
    <row r="8" spans="1:24" s="289" customFormat="1" ht="13.9" customHeight="1" thickBot="1" x14ac:dyDescent="0.3">
      <c r="A8" s="201">
        <v>382.35</v>
      </c>
      <c r="B8" s="202">
        <f>A8*7.5</f>
        <v>2867.625</v>
      </c>
      <c r="C8" s="203">
        <f>'General data '!M69</f>
        <v>293.66454561775822</v>
      </c>
      <c r="D8" s="203">
        <f>'General data '!P69</f>
        <v>229.57961999999998</v>
      </c>
      <c r="E8" s="204">
        <f>'General data '!R69</f>
        <v>1846.9444267537672</v>
      </c>
      <c r="F8" s="205">
        <f>B41</f>
        <v>111563.8</v>
      </c>
      <c r="G8" s="206">
        <f>F8*35.3146667</f>
        <v>3939838.4127854598</v>
      </c>
      <c r="H8" s="207">
        <f>D23+H23</f>
        <v>753</v>
      </c>
      <c r="I8" s="204">
        <f>H8*6.2893/0.82</f>
        <v>5775.4181707317075</v>
      </c>
      <c r="J8" s="205">
        <f>J41</f>
        <v>108270.8</v>
      </c>
      <c r="K8" s="206">
        <f>J8*35.3146667</f>
        <v>3823547.2153423596</v>
      </c>
      <c r="L8" s="208">
        <f>N41</f>
        <v>0</v>
      </c>
      <c r="M8" s="209">
        <f>L8*35.3146667</f>
        <v>0</v>
      </c>
      <c r="N8" s="210"/>
      <c r="O8" s="210"/>
      <c r="P8" s="210"/>
      <c r="Q8" s="211"/>
      <c r="R8" s="290"/>
      <c r="S8" s="290"/>
      <c r="T8" s="290"/>
      <c r="U8" s="290"/>
      <c r="V8" s="290"/>
      <c r="W8" s="290"/>
    </row>
    <row r="9" spans="1:24" s="219" customFormat="1" ht="13.9" customHeight="1" thickBot="1" x14ac:dyDescent="0.3">
      <c r="A9" s="212"/>
      <c r="B9" s="83"/>
      <c r="C9" s="83"/>
      <c r="D9" s="405"/>
      <c r="E9" s="212"/>
      <c r="F9" s="83"/>
      <c r="G9" s="83"/>
      <c r="H9" s="83"/>
      <c r="I9" s="213"/>
      <c r="J9" s="212"/>
      <c r="K9" s="214"/>
      <c r="L9" s="214"/>
      <c r="M9" s="214"/>
      <c r="N9" s="215"/>
      <c r="O9" s="215"/>
      <c r="P9" s="215"/>
      <c r="Q9" s="215"/>
    </row>
    <row r="10" spans="1:24" s="219" customFormat="1" ht="14.45" customHeight="1" x14ac:dyDescent="0.25">
      <c r="A10" s="451" t="s">
        <v>54</v>
      </c>
      <c r="B10" s="452"/>
      <c r="C10" s="452"/>
      <c r="D10" s="453"/>
      <c r="E10" s="212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</row>
    <row r="11" spans="1:24" s="219" customFormat="1" ht="39.6" customHeight="1" x14ac:dyDescent="0.25">
      <c r="A11" s="407" t="s">
        <v>57</v>
      </c>
      <c r="B11" s="408" t="s">
        <v>58</v>
      </c>
      <c r="C11" s="408" t="s">
        <v>216</v>
      </c>
      <c r="D11" s="409" t="s">
        <v>217</v>
      </c>
      <c r="E11" s="212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</row>
    <row r="12" spans="1:24" s="219" customFormat="1" ht="13.9" customHeight="1" x14ac:dyDescent="0.25">
      <c r="A12" s="217" t="s">
        <v>21</v>
      </c>
      <c r="B12" s="218">
        <v>28162</v>
      </c>
      <c r="C12" s="89"/>
      <c r="D12" s="91"/>
      <c r="E12" s="212"/>
      <c r="F12" s="216"/>
      <c r="G12" s="216"/>
      <c r="I12" s="220"/>
      <c r="J12" s="216"/>
      <c r="K12" s="216"/>
      <c r="L12" s="216"/>
      <c r="M12" s="216"/>
      <c r="N12" s="216"/>
      <c r="O12" s="216"/>
      <c r="P12" s="216"/>
      <c r="Q12" s="216"/>
      <c r="V12" s="443"/>
      <c r="W12" s="443"/>
      <c r="X12" s="192"/>
    </row>
    <row r="13" spans="1:24" s="219" customFormat="1" ht="13.9" customHeight="1" x14ac:dyDescent="0.25">
      <c r="A13" s="217" t="s">
        <v>20</v>
      </c>
      <c r="B13" s="218">
        <v>58307</v>
      </c>
      <c r="C13" s="89"/>
      <c r="D13" s="91">
        <v>27</v>
      </c>
      <c r="E13" s="221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89"/>
      <c r="S13" s="289"/>
      <c r="V13" s="192"/>
      <c r="W13" s="192"/>
      <c r="X13" s="195"/>
    </row>
    <row r="14" spans="1:24" s="219" customFormat="1" ht="13.9" customHeight="1" x14ac:dyDescent="0.25">
      <c r="A14" s="217" t="s">
        <v>19</v>
      </c>
      <c r="B14" s="218">
        <v>18031</v>
      </c>
      <c r="C14" s="89">
        <v>244</v>
      </c>
      <c r="D14" s="91">
        <v>655</v>
      </c>
      <c r="E14" s="221"/>
      <c r="F14" s="222"/>
      <c r="G14" s="222"/>
      <c r="H14" s="222"/>
      <c r="I14" s="222"/>
      <c r="J14" s="222"/>
      <c r="K14" s="222" t="s">
        <v>256</v>
      </c>
      <c r="L14" s="222"/>
      <c r="M14" s="222"/>
      <c r="N14" s="222"/>
      <c r="O14" s="216"/>
      <c r="P14" s="216"/>
      <c r="Q14" s="216"/>
      <c r="R14" s="289"/>
      <c r="S14" s="289"/>
      <c r="V14" s="192"/>
      <c r="W14" s="192"/>
      <c r="X14" s="192"/>
    </row>
    <row r="15" spans="1:24" s="219" customFormat="1" ht="13.9" customHeight="1" x14ac:dyDescent="0.25">
      <c r="A15" s="217" t="s">
        <v>22</v>
      </c>
      <c r="B15" s="223"/>
      <c r="C15" s="94"/>
      <c r="D15" s="224"/>
      <c r="E15" s="221"/>
      <c r="F15" s="222"/>
      <c r="G15" s="222"/>
      <c r="H15" s="225"/>
      <c r="I15" s="225"/>
      <c r="J15" s="225"/>
      <c r="K15" s="225"/>
      <c r="L15" s="225"/>
      <c r="M15" s="225"/>
      <c r="N15" s="225"/>
      <c r="O15" s="216"/>
      <c r="P15" s="216"/>
      <c r="Q15" s="216"/>
      <c r="R15" s="289"/>
      <c r="S15" s="289"/>
    </row>
    <row r="16" spans="1:24" s="219" customFormat="1" ht="13.9" customHeight="1" x14ac:dyDescent="0.25">
      <c r="A16" s="226" t="s">
        <v>139</v>
      </c>
      <c r="B16" s="227"/>
      <c r="C16" s="228"/>
      <c r="D16" s="229"/>
      <c r="E16" s="221"/>
      <c r="F16" s="230"/>
      <c r="G16" s="230"/>
      <c r="H16" s="230"/>
      <c r="I16" s="231"/>
      <c r="J16" s="231" t="s">
        <v>316</v>
      </c>
      <c r="K16" s="231"/>
      <c r="L16" s="232"/>
      <c r="M16" s="232"/>
      <c r="N16" s="232"/>
      <c r="O16" s="216"/>
      <c r="P16" s="216"/>
      <c r="Q16" s="216"/>
      <c r="R16" s="289"/>
      <c r="S16" s="289"/>
    </row>
    <row r="17" spans="1:19" s="219" customFormat="1" ht="13.9" customHeight="1" x14ac:dyDescent="0.25">
      <c r="A17" s="226" t="s">
        <v>17</v>
      </c>
      <c r="B17" s="227"/>
      <c r="C17" s="228"/>
      <c r="D17" s="229"/>
      <c r="E17" s="222"/>
      <c r="F17" s="230"/>
      <c r="G17" s="230"/>
      <c r="H17" s="230"/>
      <c r="I17" s="231"/>
      <c r="J17" s="231"/>
      <c r="K17" s="231"/>
      <c r="L17" s="231"/>
      <c r="M17" s="231"/>
      <c r="N17" s="231"/>
      <c r="O17" s="216" t="s">
        <v>256</v>
      </c>
      <c r="P17" s="216"/>
      <c r="Q17" s="216"/>
      <c r="R17" s="289"/>
      <c r="S17" s="289"/>
    </row>
    <row r="18" spans="1:19" s="219" customFormat="1" ht="13.9" customHeight="1" x14ac:dyDescent="0.25">
      <c r="A18" s="226" t="s">
        <v>23</v>
      </c>
      <c r="B18" s="227" t="s">
        <v>318</v>
      </c>
      <c r="C18" s="228"/>
      <c r="D18" s="229"/>
      <c r="E18" s="190"/>
      <c r="F18" s="230"/>
      <c r="G18" s="230"/>
      <c r="H18" s="230"/>
      <c r="I18" s="232"/>
      <c r="J18" s="232"/>
      <c r="K18" s="232"/>
      <c r="L18" s="232"/>
      <c r="M18" s="232"/>
      <c r="N18" s="232"/>
      <c r="O18" s="216"/>
      <c r="P18" s="216"/>
      <c r="Q18" s="216"/>
      <c r="R18" s="289"/>
      <c r="S18" s="289"/>
    </row>
    <row r="19" spans="1:19" s="219" customFormat="1" ht="13.9" customHeight="1" x14ac:dyDescent="0.25">
      <c r="A19" s="226" t="s">
        <v>24</v>
      </c>
      <c r="B19" s="227"/>
      <c r="C19" s="228"/>
      <c r="D19" s="229"/>
      <c r="E19" s="190"/>
      <c r="F19" s="230"/>
      <c r="G19" s="230"/>
      <c r="H19" s="230"/>
      <c r="I19" s="233"/>
      <c r="J19" s="233"/>
      <c r="K19" s="233"/>
      <c r="L19" s="233"/>
      <c r="M19" s="233"/>
      <c r="N19" s="233"/>
      <c r="O19" s="216"/>
      <c r="P19" s="216"/>
      <c r="Q19" s="216"/>
      <c r="R19" s="289"/>
      <c r="S19" s="289"/>
    </row>
    <row r="20" spans="1:19" s="219" customFormat="1" ht="13.9" customHeight="1" thickBot="1" x14ac:dyDescent="0.3">
      <c r="A20" s="234" t="s">
        <v>56</v>
      </c>
      <c r="B20" s="235">
        <f>SUM(B12:B19)</f>
        <v>104500</v>
      </c>
      <c r="C20" s="236">
        <f>SUM(C12:C19)</f>
        <v>244</v>
      </c>
      <c r="D20" s="236">
        <f>SUM(D12:D19)</f>
        <v>682</v>
      </c>
      <c r="E20" s="190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89"/>
      <c r="S20" s="289"/>
    </row>
    <row r="21" spans="1:19" s="219" customFormat="1" ht="13.9" customHeight="1" thickBot="1" x14ac:dyDescent="0.3">
      <c r="A21" s="237"/>
      <c r="B21" s="83"/>
      <c r="C21" s="83"/>
      <c r="D21" s="190"/>
      <c r="E21" s="238"/>
      <c r="F21" s="238"/>
      <c r="G21" s="238"/>
      <c r="H21" s="238"/>
      <c r="I21" s="239"/>
      <c r="J21" s="189"/>
      <c r="K21" s="189"/>
      <c r="L21" s="189"/>
      <c r="M21" s="189"/>
      <c r="N21" s="189"/>
      <c r="O21" s="189"/>
      <c r="P21" s="189"/>
      <c r="Q21" s="189"/>
      <c r="R21" s="289"/>
      <c r="S21" s="289"/>
    </row>
    <row r="22" spans="1:19" s="219" customFormat="1" ht="13.9" customHeight="1" x14ac:dyDescent="0.25">
      <c r="A22" s="476" t="s">
        <v>238</v>
      </c>
      <c r="B22" s="477"/>
      <c r="C22" s="477"/>
      <c r="D22" s="477"/>
      <c r="E22" s="477"/>
      <c r="F22" s="477"/>
      <c r="G22" s="477"/>
      <c r="H22" s="477"/>
      <c r="I22" s="478"/>
      <c r="J22" s="189"/>
      <c r="K22" s="189"/>
      <c r="L22" s="189"/>
      <c r="M22" s="189"/>
      <c r="N22" s="189"/>
      <c r="O22" s="189"/>
      <c r="P22" s="189"/>
      <c r="Q22" s="189"/>
      <c r="R22" s="289"/>
      <c r="S22" s="289"/>
    </row>
    <row r="23" spans="1:19" s="219" customFormat="1" ht="13.9" customHeight="1" x14ac:dyDescent="0.25">
      <c r="A23" s="470" t="s">
        <v>239</v>
      </c>
      <c r="B23" s="471"/>
      <c r="C23" s="472"/>
      <c r="D23" s="449"/>
      <c r="E23" s="463"/>
      <c r="F23" s="461" t="s">
        <v>240</v>
      </c>
      <c r="G23" s="462"/>
      <c r="H23" s="449">
        <v>753</v>
      </c>
      <c r="I23" s="450"/>
      <c r="J23" s="189"/>
      <c r="K23" s="189"/>
      <c r="L23" s="189"/>
      <c r="M23" s="189"/>
      <c r="N23" s="189"/>
      <c r="O23" s="189"/>
      <c r="P23" s="189"/>
      <c r="Q23" s="189"/>
      <c r="R23" s="289"/>
      <c r="S23" s="289"/>
    </row>
    <row r="24" spans="1:19" s="219" customFormat="1" ht="13.9" customHeight="1" x14ac:dyDescent="0.25">
      <c r="A24" s="464" t="s">
        <v>241</v>
      </c>
      <c r="B24" s="465"/>
      <c r="C24" s="466"/>
      <c r="D24" s="64" t="s">
        <v>242</v>
      </c>
      <c r="E24" s="64" t="s">
        <v>20</v>
      </c>
      <c r="F24" s="64" t="s">
        <v>243</v>
      </c>
      <c r="G24" s="64" t="s">
        <v>22</v>
      </c>
      <c r="H24" s="64" t="s">
        <v>244</v>
      </c>
      <c r="I24" s="65" t="s">
        <v>17</v>
      </c>
      <c r="J24" s="189"/>
      <c r="K24" s="189"/>
      <c r="L24" s="189"/>
      <c r="M24" s="189"/>
      <c r="N24" s="189"/>
      <c r="O24" s="189"/>
      <c r="P24" s="189"/>
      <c r="Q24" s="189"/>
      <c r="R24" s="289"/>
      <c r="S24" s="289"/>
    </row>
    <row r="25" spans="1:19" s="219" customFormat="1" ht="13.9" customHeight="1" x14ac:dyDescent="0.25">
      <c r="A25" s="454" t="s">
        <v>245</v>
      </c>
      <c r="B25" s="455"/>
      <c r="C25" s="456"/>
      <c r="D25" s="243"/>
      <c r="E25" s="243">
        <v>43.28</v>
      </c>
      <c r="F25" s="243">
        <v>311.10000000000002</v>
      </c>
      <c r="G25" s="244"/>
      <c r="H25" s="244"/>
      <c r="I25" s="245"/>
      <c r="J25" s="189"/>
      <c r="K25" s="189"/>
      <c r="L25" s="189"/>
      <c r="M25" s="189"/>
      <c r="N25" s="189"/>
      <c r="O25" s="189"/>
      <c r="P25" s="189"/>
      <c r="Q25" s="189"/>
      <c r="R25" s="289"/>
      <c r="S25" s="289"/>
    </row>
    <row r="26" spans="1:19" s="219" customFormat="1" ht="13.9" customHeight="1" x14ac:dyDescent="0.25">
      <c r="A26" s="454" t="s">
        <v>246</v>
      </c>
      <c r="B26" s="455"/>
      <c r="C26" s="456"/>
      <c r="D26" s="266"/>
      <c r="E26" s="266">
        <v>0.16</v>
      </c>
      <c r="F26" s="266">
        <v>0.05</v>
      </c>
      <c r="G26" s="267"/>
      <c r="H26" s="267"/>
      <c r="I26" s="268"/>
      <c r="J26" s="189"/>
      <c r="K26" s="189"/>
      <c r="L26" s="189"/>
      <c r="M26" s="189"/>
      <c r="N26" s="189"/>
      <c r="O26" s="189"/>
      <c r="P26" s="189"/>
      <c r="Q26" s="189"/>
      <c r="R26" s="289"/>
      <c r="S26" s="289"/>
    </row>
    <row r="27" spans="1:19" s="219" customFormat="1" ht="13.9" customHeight="1" x14ac:dyDescent="0.25">
      <c r="A27" s="454" t="s">
        <v>247</v>
      </c>
      <c r="B27" s="455"/>
      <c r="C27" s="456"/>
      <c r="D27" s="240"/>
      <c r="E27" s="240">
        <v>35.904000000000003</v>
      </c>
      <c r="F27" s="240">
        <v>292.61200000000002</v>
      </c>
      <c r="G27" s="241"/>
      <c r="H27" s="241"/>
      <c r="I27" s="242"/>
      <c r="J27" s="189"/>
      <c r="K27" s="189"/>
      <c r="L27" s="189"/>
      <c r="M27" s="189"/>
      <c r="N27" s="189"/>
      <c r="O27" s="189"/>
      <c r="P27" s="189"/>
      <c r="Q27" s="189"/>
      <c r="R27" s="289"/>
      <c r="S27" s="289"/>
    </row>
    <row r="28" spans="1:19" s="219" customFormat="1" ht="13.9" customHeight="1" thickBot="1" x14ac:dyDescent="0.3">
      <c r="A28" s="467" t="s">
        <v>248</v>
      </c>
      <c r="B28" s="468"/>
      <c r="C28" s="469"/>
      <c r="D28" s="458">
        <v>3931.7310000000002</v>
      </c>
      <c r="E28" s="459"/>
      <c r="F28" s="459"/>
      <c r="G28" s="459"/>
      <c r="H28" s="459"/>
      <c r="I28" s="460"/>
      <c r="J28" s="189"/>
      <c r="K28" s="189"/>
      <c r="L28" s="189"/>
      <c r="M28" s="189"/>
      <c r="N28" s="189"/>
      <c r="O28" s="189"/>
      <c r="P28" s="189"/>
      <c r="Q28" s="189"/>
      <c r="R28" s="289"/>
      <c r="S28" s="289"/>
    </row>
    <row r="29" spans="1:19" s="219" customFormat="1" ht="13.9" customHeight="1" thickBot="1" x14ac:dyDescent="0.3">
      <c r="A29" s="237"/>
      <c r="B29" s="237"/>
      <c r="C29" s="237"/>
      <c r="D29" s="190"/>
      <c r="E29" s="190"/>
      <c r="F29" s="190"/>
      <c r="G29" s="190"/>
      <c r="H29" s="190"/>
      <c r="I29" s="239"/>
      <c r="J29" s="189"/>
      <c r="K29" s="189"/>
      <c r="L29" s="189"/>
      <c r="M29" s="189"/>
      <c r="N29" s="189"/>
      <c r="O29" s="189"/>
      <c r="P29" s="189"/>
      <c r="Q29" s="189"/>
      <c r="R29" s="289"/>
      <c r="S29" s="289"/>
    </row>
    <row r="30" spans="1:19" s="219" customFormat="1" ht="13.9" customHeight="1" x14ac:dyDescent="0.25">
      <c r="A30" s="473" t="s">
        <v>55</v>
      </c>
      <c r="B30" s="474"/>
      <c r="C30" s="474"/>
      <c r="D30" s="474"/>
      <c r="E30" s="474"/>
      <c r="F30" s="474"/>
      <c r="G30" s="474"/>
      <c r="H30" s="474"/>
      <c r="I30" s="474"/>
      <c r="J30" s="474"/>
      <c r="K30" s="474"/>
      <c r="L30" s="474"/>
      <c r="M30" s="474"/>
      <c r="N30" s="474"/>
      <c r="O30" s="474"/>
      <c r="P30" s="474"/>
      <c r="Q30" s="475"/>
      <c r="R30" s="289"/>
      <c r="S30" s="289"/>
    </row>
    <row r="31" spans="1:19" s="219" customFormat="1" ht="13.9" customHeight="1" x14ac:dyDescent="0.25">
      <c r="A31" s="446" t="s">
        <v>57</v>
      </c>
      <c r="B31" s="427" t="s">
        <v>59</v>
      </c>
      <c r="C31" s="428"/>
      <c r="D31" s="428"/>
      <c r="E31" s="430"/>
      <c r="F31" s="427" t="s">
        <v>62</v>
      </c>
      <c r="G31" s="428"/>
      <c r="H31" s="428"/>
      <c r="I31" s="430"/>
      <c r="J31" s="427" t="s">
        <v>63</v>
      </c>
      <c r="K31" s="428"/>
      <c r="L31" s="428"/>
      <c r="M31" s="430"/>
      <c r="N31" s="427" t="s">
        <v>214</v>
      </c>
      <c r="O31" s="428"/>
      <c r="P31" s="428"/>
      <c r="Q31" s="429"/>
      <c r="R31" s="289"/>
      <c r="S31" s="289"/>
    </row>
    <row r="32" spans="1:19" s="219" customFormat="1" ht="13.9" customHeight="1" x14ac:dyDescent="0.25">
      <c r="A32" s="447"/>
      <c r="B32" s="427" t="s">
        <v>60</v>
      </c>
      <c r="C32" s="430"/>
      <c r="D32" s="427" t="s">
        <v>61</v>
      </c>
      <c r="E32" s="430"/>
      <c r="F32" s="427" t="s">
        <v>60</v>
      </c>
      <c r="G32" s="430"/>
      <c r="H32" s="427" t="s">
        <v>61</v>
      </c>
      <c r="I32" s="430"/>
      <c r="J32" s="427" t="s">
        <v>60</v>
      </c>
      <c r="K32" s="430"/>
      <c r="L32" s="427" t="s">
        <v>61</v>
      </c>
      <c r="M32" s="430"/>
      <c r="N32" s="427" t="s">
        <v>60</v>
      </c>
      <c r="O32" s="430"/>
      <c r="P32" s="427" t="s">
        <v>61</v>
      </c>
      <c r="Q32" s="429"/>
      <c r="R32" s="289"/>
      <c r="S32" s="289"/>
    </row>
    <row r="33" spans="1:19" s="219" customFormat="1" ht="13.9" customHeight="1" x14ac:dyDescent="0.25">
      <c r="A33" s="448"/>
      <c r="B33" s="408" t="s">
        <v>16</v>
      </c>
      <c r="C33" s="408" t="s">
        <v>107</v>
      </c>
      <c r="D33" s="408" t="s">
        <v>16</v>
      </c>
      <c r="E33" s="408" t="s">
        <v>107</v>
      </c>
      <c r="F33" s="408" t="s">
        <v>16</v>
      </c>
      <c r="G33" s="408" t="s">
        <v>107</v>
      </c>
      <c r="H33" s="408" t="s">
        <v>16</v>
      </c>
      <c r="I33" s="408" t="s">
        <v>107</v>
      </c>
      <c r="J33" s="408" t="s">
        <v>16</v>
      </c>
      <c r="K33" s="408" t="s">
        <v>107</v>
      </c>
      <c r="L33" s="408" t="s">
        <v>16</v>
      </c>
      <c r="M33" s="402" t="s">
        <v>107</v>
      </c>
      <c r="N33" s="408" t="s">
        <v>16</v>
      </c>
      <c r="O33" s="408" t="s">
        <v>107</v>
      </c>
      <c r="P33" s="408" t="s">
        <v>16</v>
      </c>
      <c r="Q33" s="409" t="s">
        <v>107</v>
      </c>
      <c r="R33" s="289"/>
      <c r="S33" s="289"/>
    </row>
    <row r="34" spans="1:19" s="219" customFormat="1" ht="13.9" customHeight="1" x14ac:dyDescent="0.25">
      <c r="A34" s="246" t="s">
        <v>21</v>
      </c>
      <c r="B34" s="247">
        <f>F34+J34+N34</f>
        <v>6895.8000000000029</v>
      </c>
      <c r="C34" s="248">
        <f t="shared" ref="C34:C40" si="0">B34*35.3146667</f>
        <v>243522.87862986009</v>
      </c>
      <c r="D34" s="249">
        <f>B34+687339.45</f>
        <v>694235.25</v>
      </c>
      <c r="E34" s="248">
        <f t="shared" ref="E34:E40" si="1">D34*35.3146667</f>
        <v>24516686.465141173</v>
      </c>
      <c r="F34" s="322">
        <v>0</v>
      </c>
      <c r="G34" s="602">
        <f t="shared" ref="G34:G40" si="2">F34*35.3146667</f>
        <v>0</v>
      </c>
      <c r="H34" s="322">
        <f>F34</f>
        <v>0</v>
      </c>
      <c r="I34" s="602">
        <f t="shared" ref="I34:I40" si="3">H34*35.3146667</f>
        <v>0</v>
      </c>
      <c r="J34" s="322">
        <f>J41-J35-J36-J37-J38-J39-J40</f>
        <v>6895.8000000000029</v>
      </c>
      <c r="K34" s="248">
        <f t="shared" ref="K34:K40" si="4">J34*35.3146667</f>
        <v>243522.87862986009</v>
      </c>
      <c r="L34" s="322">
        <f>J34+687339.45</f>
        <v>694235.25</v>
      </c>
      <c r="M34" s="253">
        <f>L34*35.3146667</f>
        <v>24516686.465141173</v>
      </c>
      <c r="N34" s="249">
        <v>0</v>
      </c>
      <c r="O34" s="248">
        <f t="shared" ref="O34:O40" si="5">N34*35.3146667</f>
        <v>0</v>
      </c>
      <c r="P34" s="249">
        <f>N34</f>
        <v>0</v>
      </c>
      <c r="Q34" s="250">
        <f>P34*35.3146667</f>
        <v>0</v>
      </c>
      <c r="R34" s="289"/>
      <c r="S34" s="289"/>
    </row>
    <row r="35" spans="1:19" s="219" customFormat="1" ht="13.9" customHeight="1" x14ac:dyDescent="0.25">
      <c r="A35" s="246" t="s">
        <v>20</v>
      </c>
      <c r="B35" s="247">
        <f t="shared" ref="B35" si="6">F35+J35+N35</f>
        <v>51481</v>
      </c>
      <c r="C35" s="248">
        <f>B35*35.3146667</f>
        <v>1818034.3563826999</v>
      </c>
      <c r="D35" s="249">
        <f>B35+1505918</f>
        <v>1557399</v>
      </c>
      <c r="E35" s="248">
        <f t="shared" si="1"/>
        <v>54999026.603913292</v>
      </c>
      <c r="F35" s="603">
        <v>33</v>
      </c>
      <c r="G35" s="602">
        <f t="shared" si="2"/>
        <v>1165.3840011</v>
      </c>
      <c r="H35" s="322">
        <f>F35+19368</f>
        <v>19401</v>
      </c>
      <c r="I35" s="602">
        <f t="shared" si="3"/>
        <v>685139.84864669992</v>
      </c>
      <c r="J35" s="604">
        <v>51448</v>
      </c>
      <c r="K35" s="248">
        <f t="shared" si="4"/>
        <v>1816868.9723815997</v>
      </c>
      <c r="L35" s="322">
        <f>J35+1486704</f>
        <v>1538152</v>
      </c>
      <c r="M35" s="253">
        <f t="shared" ref="M35:M40" si="7">L35*35.3146667</f>
        <v>54319325.213938393</v>
      </c>
      <c r="N35" s="247">
        <v>0</v>
      </c>
      <c r="O35" s="248">
        <f t="shared" si="5"/>
        <v>0</v>
      </c>
      <c r="P35" s="249">
        <f t="shared" ref="P35:P40" si="8">N35</f>
        <v>0</v>
      </c>
      <c r="Q35" s="250">
        <f t="shared" ref="Q35:Q40" si="9">P35*35.3146667</f>
        <v>0</v>
      </c>
      <c r="R35" s="289"/>
      <c r="S35" s="289"/>
    </row>
    <row r="36" spans="1:19" s="219" customFormat="1" ht="13.9" customHeight="1" x14ac:dyDescent="0.25">
      <c r="A36" s="246" t="s">
        <v>19</v>
      </c>
      <c r="B36" s="247">
        <f>F36+J36+N36</f>
        <v>53187</v>
      </c>
      <c r="C36" s="248">
        <f t="shared" si="0"/>
        <v>1878281.1777728999</v>
      </c>
      <c r="D36" s="249">
        <f>B36+814457.99</f>
        <v>867644.99</v>
      </c>
      <c r="E36" s="248">
        <f t="shared" si="1"/>
        <v>30640593.635774828</v>
      </c>
      <c r="F36" s="322">
        <v>3260</v>
      </c>
      <c r="G36" s="602">
        <f t="shared" si="2"/>
        <v>115125.81344199998</v>
      </c>
      <c r="H36" s="322">
        <f>F36+76990</f>
        <v>80250</v>
      </c>
      <c r="I36" s="602">
        <f t="shared" si="3"/>
        <v>2834002.0026749996</v>
      </c>
      <c r="J36" s="605">
        <v>49927</v>
      </c>
      <c r="K36" s="248">
        <f t="shared" si="4"/>
        <v>1763155.3643308999</v>
      </c>
      <c r="L36" s="322">
        <f>J36+737467.99</f>
        <v>787394.99</v>
      </c>
      <c r="M36" s="253">
        <f t="shared" si="7"/>
        <v>27806591.633099832</v>
      </c>
      <c r="N36" s="249">
        <v>0</v>
      </c>
      <c r="O36" s="248">
        <f t="shared" si="5"/>
        <v>0</v>
      </c>
      <c r="P36" s="249">
        <f t="shared" si="8"/>
        <v>0</v>
      </c>
      <c r="Q36" s="250">
        <f t="shared" si="9"/>
        <v>0</v>
      </c>
      <c r="R36" s="289"/>
      <c r="S36" s="289"/>
    </row>
    <row r="37" spans="1:19" s="219" customFormat="1" ht="13.9" customHeight="1" x14ac:dyDescent="0.25">
      <c r="A37" s="246" t="s">
        <v>139</v>
      </c>
      <c r="B37" s="247">
        <f t="shared" ref="B37:B40" si="10">F37+J37+N37</f>
        <v>0</v>
      </c>
      <c r="C37" s="248">
        <f t="shared" si="0"/>
        <v>0</v>
      </c>
      <c r="D37" s="249">
        <f t="shared" ref="D37:D40" si="11">B37</f>
        <v>0</v>
      </c>
      <c r="E37" s="248">
        <f t="shared" si="1"/>
        <v>0</v>
      </c>
      <c r="F37" s="322">
        <v>0</v>
      </c>
      <c r="G37" s="602">
        <f t="shared" si="2"/>
        <v>0</v>
      </c>
      <c r="H37" s="322">
        <f t="shared" ref="H37:H40" si="12">F37</f>
        <v>0</v>
      </c>
      <c r="I37" s="602">
        <f t="shared" si="3"/>
        <v>0</v>
      </c>
      <c r="J37" s="603">
        <v>0</v>
      </c>
      <c r="K37" s="248">
        <f t="shared" si="4"/>
        <v>0</v>
      </c>
      <c r="L37" s="322">
        <f t="shared" ref="L37:L40" si="13">J37</f>
        <v>0</v>
      </c>
      <c r="M37" s="253">
        <f t="shared" si="7"/>
        <v>0</v>
      </c>
      <c r="N37" s="249">
        <v>0</v>
      </c>
      <c r="O37" s="248">
        <f t="shared" si="5"/>
        <v>0</v>
      </c>
      <c r="P37" s="249">
        <f t="shared" si="8"/>
        <v>0</v>
      </c>
      <c r="Q37" s="250">
        <f t="shared" si="9"/>
        <v>0</v>
      </c>
      <c r="R37" s="289"/>
      <c r="S37" s="289"/>
    </row>
    <row r="38" spans="1:19" s="219" customFormat="1" ht="13.9" customHeight="1" x14ac:dyDescent="0.25">
      <c r="A38" s="246" t="s">
        <v>294</v>
      </c>
      <c r="B38" s="247">
        <f t="shared" si="10"/>
        <v>0</v>
      </c>
      <c r="C38" s="248">
        <f>B38*35.3146667</f>
        <v>0</v>
      </c>
      <c r="D38" s="249">
        <f t="shared" si="11"/>
        <v>0</v>
      </c>
      <c r="E38" s="248">
        <f t="shared" si="1"/>
        <v>0</v>
      </c>
      <c r="F38" s="322">
        <v>0</v>
      </c>
      <c r="G38" s="602">
        <f t="shared" si="2"/>
        <v>0</v>
      </c>
      <c r="H38" s="322">
        <f t="shared" si="12"/>
        <v>0</v>
      </c>
      <c r="I38" s="602">
        <f t="shared" si="3"/>
        <v>0</v>
      </c>
      <c r="J38" s="322">
        <v>0</v>
      </c>
      <c r="K38" s="248">
        <f t="shared" si="4"/>
        <v>0</v>
      </c>
      <c r="L38" s="322">
        <f t="shared" si="13"/>
        <v>0</v>
      </c>
      <c r="M38" s="253">
        <f t="shared" si="7"/>
        <v>0</v>
      </c>
      <c r="N38" s="249">
        <v>0</v>
      </c>
      <c r="O38" s="248">
        <f t="shared" si="5"/>
        <v>0</v>
      </c>
      <c r="P38" s="249">
        <f t="shared" si="8"/>
        <v>0</v>
      </c>
      <c r="Q38" s="250">
        <f t="shared" si="9"/>
        <v>0</v>
      </c>
      <c r="R38" s="289"/>
      <c r="S38" s="289"/>
    </row>
    <row r="39" spans="1:19" s="219" customFormat="1" ht="13.9" customHeight="1" x14ac:dyDescent="0.25">
      <c r="A39" s="246" t="s">
        <v>25</v>
      </c>
      <c r="B39" s="247">
        <f>F39+J39+N39</f>
        <v>0</v>
      </c>
      <c r="C39" s="248">
        <f>B39*35.3146667</f>
        <v>0</v>
      </c>
      <c r="D39" s="249">
        <f>B39+175531</f>
        <v>175531</v>
      </c>
      <c r="E39" s="248">
        <f t="shared" si="1"/>
        <v>6198818.7605176996</v>
      </c>
      <c r="F39" s="322">
        <v>0</v>
      </c>
      <c r="G39" s="602">
        <f t="shared" si="2"/>
        <v>0</v>
      </c>
      <c r="H39" s="322">
        <f t="shared" si="12"/>
        <v>0</v>
      </c>
      <c r="I39" s="602">
        <f t="shared" si="3"/>
        <v>0</v>
      </c>
      <c r="J39" s="322">
        <v>0</v>
      </c>
      <c r="K39" s="248">
        <f t="shared" si="4"/>
        <v>0</v>
      </c>
      <c r="L39" s="322">
        <f t="shared" si="13"/>
        <v>0</v>
      </c>
      <c r="M39" s="253">
        <f t="shared" si="7"/>
        <v>0</v>
      </c>
      <c r="N39" s="247">
        <v>0</v>
      </c>
      <c r="O39" s="248">
        <f>N39*35.3146667</f>
        <v>0</v>
      </c>
      <c r="P39" s="249">
        <f>N39+175531</f>
        <v>175531</v>
      </c>
      <c r="Q39" s="250">
        <f t="shared" si="9"/>
        <v>6198818.7605176996</v>
      </c>
      <c r="R39" s="289"/>
      <c r="S39" s="289"/>
    </row>
    <row r="40" spans="1:19" s="219" customFormat="1" ht="13.9" customHeight="1" x14ac:dyDescent="0.25">
      <c r="A40" s="246" t="s">
        <v>17</v>
      </c>
      <c r="B40" s="247">
        <f t="shared" si="10"/>
        <v>0</v>
      </c>
      <c r="C40" s="248">
        <f t="shared" si="0"/>
        <v>0</v>
      </c>
      <c r="D40" s="249">
        <f t="shared" si="11"/>
        <v>0</v>
      </c>
      <c r="E40" s="248">
        <f t="shared" si="1"/>
        <v>0</v>
      </c>
      <c r="F40" s="322">
        <v>0</v>
      </c>
      <c r="G40" s="602">
        <f t="shared" si="2"/>
        <v>0</v>
      </c>
      <c r="H40" s="322">
        <f t="shared" si="12"/>
        <v>0</v>
      </c>
      <c r="I40" s="602">
        <f t="shared" si="3"/>
        <v>0</v>
      </c>
      <c r="J40" s="322">
        <v>0</v>
      </c>
      <c r="K40" s="248">
        <f t="shared" si="4"/>
        <v>0</v>
      </c>
      <c r="L40" s="322">
        <f t="shared" si="13"/>
        <v>0</v>
      </c>
      <c r="M40" s="253">
        <f t="shared" si="7"/>
        <v>0</v>
      </c>
      <c r="N40" s="249">
        <v>0</v>
      </c>
      <c r="O40" s="248">
        <f t="shared" si="5"/>
        <v>0</v>
      </c>
      <c r="P40" s="249">
        <f t="shared" si="8"/>
        <v>0</v>
      </c>
      <c r="Q40" s="250">
        <f t="shared" si="9"/>
        <v>0</v>
      </c>
      <c r="R40" s="289"/>
      <c r="S40" s="289"/>
    </row>
    <row r="41" spans="1:19" s="219" customFormat="1" ht="13.9" customHeight="1" thickBot="1" x14ac:dyDescent="0.3">
      <c r="A41" s="251" t="s">
        <v>56</v>
      </c>
      <c r="B41" s="252">
        <f>SUM(B34:B40)</f>
        <v>111563.8</v>
      </c>
      <c r="C41" s="252">
        <f t="shared" ref="C41:Q41" si="14">SUM(C34:C40)</f>
        <v>3939838.4127854598</v>
      </c>
      <c r="D41" s="252">
        <f t="shared" si="14"/>
        <v>3294810.24</v>
      </c>
      <c r="E41" s="252">
        <f t="shared" si="14"/>
        <v>116355125.46534701</v>
      </c>
      <c r="F41" s="323">
        <f t="shared" si="14"/>
        <v>3293</v>
      </c>
      <c r="G41" s="323">
        <f t="shared" si="14"/>
        <v>116291.19744309998</v>
      </c>
      <c r="H41" s="323">
        <f t="shared" si="14"/>
        <v>99651</v>
      </c>
      <c r="I41" s="323">
        <f t="shared" si="14"/>
        <v>3519141.8513216996</v>
      </c>
      <c r="J41" s="323">
        <v>108270.8</v>
      </c>
      <c r="K41" s="252">
        <f t="shared" si="14"/>
        <v>3823547.2153423596</v>
      </c>
      <c r="L41" s="323">
        <f t="shared" si="14"/>
        <v>3019782.24</v>
      </c>
      <c r="M41" s="252">
        <f t="shared" si="14"/>
        <v>106642603.31217939</v>
      </c>
      <c r="N41" s="252">
        <f t="shared" si="14"/>
        <v>0</v>
      </c>
      <c r="O41" s="252">
        <f t="shared" si="14"/>
        <v>0</v>
      </c>
      <c r="P41" s="252">
        <f t="shared" si="14"/>
        <v>175531</v>
      </c>
      <c r="Q41" s="252">
        <f t="shared" si="14"/>
        <v>6198818.7605176996</v>
      </c>
      <c r="R41" s="289"/>
      <c r="S41" s="289"/>
    </row>
    <row r="42" spans="1:19" s="219" customFormat="1" ht="13.9" customHeight="1" thickBot="1" x14ac:dyDescent="0.3">
      <c r="A42" s="190"/>
      <c r="B42" s="190"/>
      <c r="C42" s="190"/>
      <c r="D42" s="190"/>
      <c r="E42" s="190"/>
      <c r="F42" s="190"/>
      <c r="G42" s="190"/>
      <c r="H42" s="190"/>
      <c r="I42" s="190"/>
      <c r="J42" s="191"/>
      <c r="K42" s="191"/>
      <c r="L42" s="191"/>
      <c r="M42" s="191"/>
      <c r="N42" s="191"/>
      <c r="O42" s="191"/>
      <c r="P42" s="191"/>
      <c r="Q42" s="191"/>
      <c r="R42" s="289"/>
      <c r="S42" s="289"/>
    </row>
    <row r="43" spans="1:19" s="288" customFormat="1" x14ac:dyDescent="0.25">
      <c r="A43" s="431" t="s">
        <v>57</v>
      </c>
      <c r="B43" s="432"/>
      <c r="C43" s="433" t="s">
        <v>128</v>
      </c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4"/>
    </row>
    <row r="44" spans="1:19" s="62" customFormat="1" ht="15.75" customHeight="1" x14ac:dyDescent="0.25">
      <c r="A44" s="423" t="s">
        <v>57</v>
      </c>
      <c r="B44" s="423"/>
      <c r="C44" s="424" t="s">
        <v>448</v>
      </c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6"/>
    </row>
    <row r="45" spans="1:19" s="62" customFormat="1" ht="15" customHeight="1" x14ac:dyDescent="0.25">
      <c r="A45" s="423" t="s">
        <v>57</v>
      </c>
      <c r="B45" s="423"/>
      <c r="C45" s="424" t="s">
        <v>449</v>
      </c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6"/>
    </row>
    <row r="46" spans="1:19" s="62" customFormat="1" x14ac:dyDescent="0.25">
      <c r="A46" s="423" t="s">
        <v>57</v>
      </c>
      <c r="B46" s="423"/>
      <c r="C46" s="424" t="s">
        <v>450</v>
      </c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6"/>
    </row>
    <row r="47" spans="1:19" s="62" customFormat="1" x14ac:dyDescent="0.25">
      <c r="A47" s="423" t="s">
        <v>57</v>
      </c>
      <c r="B47" s="423"/>
      <c r="C47" s="424" t="s">
        <v>451</v>
      </c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6"/>
    </row>
    <row r="48" spans="1:19" s="62" customFormat="1" x14ac:dyDescent="0.25">
      <c r="A48" s="423" t="s">
        <v>57</v>
      </c>
      <c r="B48" s="423"/>
      <c r="C48" s="424" t="s">
        <v>452</v>
      </c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6"/>
    </row>
    <row r="49" spans="1:17" s="62" customFormat="1" ht="15" customHeight="1" x14ac:dyDescent="0.25">
      <c r="A49" s="423" t="s">
        <v>57</v>
      </c>
      <c r="B49" s="423"/>
      <c r="C49" s="424" t="s">
        <v>453</v>
      </c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6"/>
    </row>
    <row r="50" spans="1:17" s="62" customFormat="1" x14ac:dyDescent="0.25">
      <c r="A50" s="423" t="s">
        <v>57</v>
      </c>
      <c r="B50" s="423"/>
      <c r="C50" s="424" t="s">
        <v>454</v>
      </c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6"/>
    </row>
    <row r="51" spans="1:17" s="62" customFormat="1" x14ac:dyDescent="0.25">
      <c r="A51" s="261"/>
      <c r="B51" s="261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</row>
  </sheetData>
  <mergeCells count="54">
    <mergeCell ref="B4:D4"/>
    <mergeCell ref="D28:I28"/>
    <mergeCell ref="F31:I31"/>
    <mergeCell ref="F6:G6"/>
    <mergeCell ref="F23:G23"/>
    <mergeCell ref="D23:E23"/>
    <mergeCell ref="A24:C24"/>
    <mergeCell ref="A28:C28"/>
    <mergeCell ref="A23:C23"/>
    <mergeCell ref="A27:C27"/>
    <mergeCell ref="H6:I6"/>
    <mergeCell ref="A25:C25"/>
    <mergeCell ref="A30:Q30"/>
    <mergeCell ref="A6:B6"/>
    <mergeCell ref="A22:I22"/>
    <mergeCell ref="L6:M6"/>
    <mergeCell ref="D6:E6"/>
    <mergeCell ref="L32:M32"/>
    <mergeCell ref="J32:K32"/>
    <mergeCell ref="A31:A33"/>
    <mergeCell ref="H23:I23"/>
    <mergeCell ref="J6:K6"/>
    <mergeCell ref="A10:D10"/>
    <mergeCell ref="A26:C26"/>
    <mergeCell ref="J31:M31"/>
    <mergeCell ref="B31:E31"/>
    <mergeCell ref="D32:E32"/>
    <mergeCell ref="F32:G32"/>
    <mergeCell ref="B32:C32"/>
    <mergeCell ref="V6:W6"/>
    <mergeCell ref="R6:S6"/>
    <mergeCell ref="T6:U6"/>
    <mergeCell ref="N6:Q7"/>
    <mergeCell ref="V12:W12"/>
    <mergeCell ref="C46:Q46"/>
    <mergeCell ref="P32:Q32"/>
    <mergeCell ref="A46:B46"/>
    <mergeCell ref="A45:B45"/>
    <mergeCell ref="C45:Q45"/>
    <mergeCell ref="N31:Q31"/>
    <mergeCell ref="N32:O32"/>
    <mergeCell ref="A44:B44"/>
    <mergeCell ref="C44:Q44"/>
    <mergeCell ref="H32:I32"/>
    <mergeCell ref="A43:B43"/>
    <mergeCell ref="C43:Q43"/>
    <mergeCell ref="A50:B50"/>
    <mergeCell ref="C50:Q50"/>
    <mergeCell ref="A47:B47"/>
    <mergeCell ref="C47:Q47"/>
    <mergeCell ref="A48:B48"/>
    <mergeCell ref="C48:Q48"/>
    <mergeCell ref="A49:B49"/>
    <mergeCell ref="C49:Q49"/>
  </mergeCells>
  <pageMargins left="0.15748031496062992" right="0.15748031496062992" top="0.27559055118110237" bottom="0.15748031496062992" header="0.15748031496062992" footer="0.31496062992125984"/>
  <pageSetup paperSize="9" scale="47" orientation="landscape" r:id="rId1"/>
  <ignoredErrors>
    <ignoredError sqref="L8 Q40 Q37 Q38 Q35 Q39 Q36 Q34 D41:I41 K41:P41 N37 O35 O34 O36 O37 N36 N35 N34 N38:O38 H39:H40 D40 L39:L40 M39 M40 I39:K39 I40:K40 O39 E39:G39 O40 E40:G40 N40 D39 N39 P39 P34:P38 P40 H37:H38 L37:L38 M38 H34 I38:K38 D37:D38 M37 I37:K37 E38:G38 G36 G35 G34 K36 K34 M36 M35 M34 I36 I35 I34 E36 E35 E34 E37:G37 K35 F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showGridLines="0" view="pageBreakPreview" zoomScale="90" zoomScaleNormal="60" zoomScaleSheetLayoutView="90" zoomScalePageLayoutView="80" workbookViewId="0">
      <pane xSplit="2" ySplit="9" topLeftCell="C34" activePane="bottomRight" state="frozen"/>
      <selection pane="topRight" activeCell="B1" sqref="B1"/>
      <selection pane="bottomLeft" activeCell="A10" sqref="A10"/>
      <selection pane="bottomRight" activeCell="T51" sqref="T51"/>
    </sheetView>
  </sheetViews>
  <sheetFormatPr defaultColWidth="8.85546875" defaultRowHeight="15.75" x14ac:dyDescent="0.25"/>
  <cols>
    <col min="1" max="1" width="4" style="386" customWidth="1"/>
    <col min="2" max="2" width="15.7109375" style="381" customWidth="1"/>
    <col min="3" max="3" width="36.28515625" style="293" customWidth="1"/>
    <col min="4" max="6" width="12.7109375" style="76" customWidth="1"/>
    <col min="7" max="8" width="12.7109375" style="385" customWidth="1"/>
    <col min="9" max="9" width="12.7109375" style="325" customWidth="1"/>
    <col min="10" max="11" width="12.7109375" style="326" customWidth="1"/>
    <col min="12" max="12" width="12.7109375" style="325" customWidth="1"/>
    <col min="13" max="14" width="12.7109375" style="327" customWidth="1"/>
    <col min="15" max="15" width="12.7109375" style="328" customWidth="1"/>
    <col min="16" max="18" width="12.7109375" style="327" customWidth="1"/>
    <col min="19" max="19" width="12.7109375" style="329" customWidth="1"/>
    <col min="20" max="20" width="12.7109375" style="325" customWidth="1"/>
    <col min="21" max="22" width="12.7109375" style="326" customWidth="1"/>
    <col min="23" max="23" width="13.7109375" style="325" customWidth="1"/>
    <col min="24" max="24" width="30.7109375" style="381" customWidth="1"/>
    <col min="25" max="28" width="12.7109375" style="379" customWidth="1"/>
    <col min="29" max="29" width="30.7109375" style="379" customWidth="1"/>
    <col min="30" max="16384" width="8.85546875" style="10"/>
  </cols>
  <sheetData>
    <row r="1" spans="1:29" s="294" customFormat="1" ht="15.75" customHeight="1" x14ac:dyDescent="0.25">
      <c r="A1" s="386"/>
      <c r="B1" s="381"/>
      <c r="C1" s="293"/>
      <c r="D1" s="76"/>
      <c r="E1" s="76"/>
      <c r="F1" s="76"/>
      <c r="G1" s="385"/>
      <c r="H1" s="385"/>
      <c r="I1" s="325"/>
      <c r="J1" s="326"/>
      <c r="K1" s="326"/>
      <c r="L1" s="325"/>
      <c r="M1" s="327"/>
      <c r="N1" s="327"/>
      <c r="O1" s="328"/>
      <c r="P1" s="327"/>
      <c r="Q1" s="327"/>
      <c r="R1" s="327"/>
      <c r="S1" s="329"/>
      <c r="T1" s="325"/>
      <c r="U1" s="326"/>
      <c r="V1" s="326"/>
      <c r="W1" s="325"/>
      <c r="X1" s="381"/>
      <c r="Y1" s="379"/>
      <c r="Z1" s="379"/>
      <c r="AA1" s="379"/>
      <c r="AB1" s="379"/>
      <c r="AC1" s="379"/>
    </row>
    <row r="2" spans="1:29" s="294" customFormat="1" ht="15.75" customHeight="1" x14ac:dyDescent="0.25">
      <c r="A2" s="386"/>
      <c r="B2" s="479"/>
      <c r="C2" s="457" t="s">
        <v>420</v>
      </c>
      <c r="D2" s="457"/>
      <c r="E2" s="457"/>
      <c r="F2" s="385"/>
      <c r="G2" s="385" t="s">
        <v>293</v>
      </c>
      <c r="H2" s="385"/>
      <c r="I2" s="325"/>
      <c r="J2" s="326"/>
      <c r="K2" s="326"/>
      <c r="L2" s="325"/>
      <c r="M2" s="327"/>
      <c r="N2" s="327"/>
      <c r="O2" s="328"/>
      <c r="P2" s="327"/>
      <c r="Q2" s="327"/>
      <c r="R2" s="327"/>
      <c r="S2" s="329"/>
      <c r="T2" s="325"/>
      <c r="U2" s="326"/>
      <c r="V2" s="326"/>
      <c r="W2" s="325"/>
      <c r="X2" s="381"/>
      <c r="Y2" s="379"/>
      <c r="Z2" s="379"/>
      <c r="AA2" s="379"/>
      <c r="AB2" s="379"/>
      <c r="AC2" s="379"/>
    </row>
    <row r="3" spans="1:29" s="294" customFormat="1" ht="15.75" customHeight="1" x14ac:dyDescent="0.25">
      <c r="A3" s="386"/>
      <c r="B3" s="479"/>
      <c r="C3" s="380" t="s">
        <v>13</v>
      </c>
      <c r="D3" s="82"/>
      <c r="E3" s="82"/>
      <c r="F3" s="385"/>
      <c r="G3" s="385"/>
      <c r="H3" s="295"/>
      <c r="I3" s="325"/>
      <c r="J3" s="326"/>
      <c r="K3" s="326"/>
      <c r="L3" s="325"/>
      <c r="M3" s="327"/>
      <c r="N3" s="327"/>
      <c r="O3" s="328"/>
      <c r="P3" s="327"/>
      <c r="Q3" s="327"/>
      <c r="R3" s="327"/>
      <c r="S3" s="329"/>
      <c r="T3" s="325"/>
      <c r="U3" s="326"/>
      <c r="V3" s="326"/>
      <c r="W3" s="325"/>
      <c r="X3" s="381"/>
      <c r="Y3" s="379"/>
      <c r="Z3" s="379"/>
      <c r="AA3" s="379"/>
      <c r="AB3" s="379"/>
      <c r="AC3" s="379"/>
    </row>
    <row r="4" spans="1:29" s="294" customFormat="1" ht="15.75" customHeight="1" x14ac:dyDescent="0.25">
      <c r="A4" s="386"/>
      <c r="B4" s="479"/>
      <c r="C4" s="457" t="s">
        <v>14</v>
      </c>
      <c r="D4" s="457"/>
      <c r="E4" s="82"/>
      <c r="F4" s="385"/>
      <c r="G4" s="385"/>
      <c r="H4" s="385"/>
      <c r="I4" s="325"/>
      <c r="J4" s="326"/>
      <c r="K4" s="326"/>
      <c r="L4" s="325"/>
      <c r="M4" s="327"/>
      <c r="N4" s="327"/>
      <c r="O4" s="328"/>
      <c r="P4" s="327"/>
      <c r="Q4" s="327"/>
      <c r="R4" s="327"/>
      <c r="S4" s="329"/>
      <c r="T4" s="325"/>
      <c r="U4" s="326"/>
      <c r="V4" s="326"/>
      <c r="W4" s="325"/>
      <c r="X4" s="381"/>
      <c r="Y4" s="379"/>
      <c r="Z4" s="379"/>
      <c r="AA4" s="379"/>
      <c r="AB4" s="379"/>
      <c r="AC4" s="379"/>
    </row>
    <row r="5" spans="1:29" s="294" customFormat="1" ht="15.75" customHeight="1" thickBot="1" x14ac:dyDescent="0.3">
      <c r="A5" s="386"/>
      <c r="B5" s="381"/>
      <c r="C5" s="296"/>
      <c r="D5" s="330"/>
      <c r="E5" s="330"/>
      <c r="F5" s="330"/>
      <c r="G5" s="385"/>
      <c r="H5" s="385"/>
      <c r="I5" s="325"/>
      <c r="J5" s="326"/>
      <c r="K5" s="326"/>
      <c r="L5" s="325"/>
      <c r="M5" s="327"/>
      <c r="N5" s="327"/>
      <c r="O5" s="328"/>
      <c r="P5" s="327"/>
      <c r="Q5" s="327"/>
      <c r="R5" s="327"/>
      <c r="S5" s="329"/>
      <c r="T5" s="325"/>
      <c r="U5" s="326"/>
      <c r="V5" s="326"/>
      <c r="W5" s="325"/>
      <c r="X5" s="381"/>
      <c r="Y5" s="379"/>
      <c r="Z5" s="379"/>
      <c r="AA5" s="379"/>
      <c r="AB5" s="379"/>
      <c r="AC5" s="379"/>
    </row>
    <row r="6" spans="1:29" s="297" customFormat="1" ht="19.899999999999999" customHeight="1" x14ac:dyDescent="0.25">
      <c r="A6" s="378"/>
      <c r="B6" s="480" t="s">
        <v>396</v>
      </c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1"/>
    </row>
    <row r="7" spans="1:29" s="297" customFormat="1" ht="19.899999999999999" customHeight="1" x14ac:dyDescent="0.25">
      <c r="A7" s="489" t="s">
        <v>26</v>
      </c>
      <c r="B7" s="488" t="s">
        <v>64</v>
      </c>
      <c r="C7" s="482" t="s">
        <v>119</v>
      </c>
      <c r="D7" s="482" t="s">
        <v>65</v>
      </c>
      <c r="E7" s="482" t="s">
        <v>66</v>
      </c>
      <c r="F7" s="482" t="s">
        <v>67</v>
      </c>
      <c r="G7" s="482" t="s">
        <v>319</v>
      </c>
      <c r="H7" s="482" t="s">
        <v>255</v>
      </c>
      <c r="I7" s="487" t="s">
        <v>68</v>
      </c>
      <c r="J7" s="482" t="s">
        <v>69</v>
      </c>
      <c r="K7" s="482" t="s">
        <v>73</v>
      </c>
      <c r="L7" s="483"/>
      <c r="M7" s="482" t="s">
        <v>59</v>
      </c>
      <c r="N7" s="482"/>
      <c r="O7" s="483"/>
      <c r="P7" s="483"/>
      <c r="Q7" s="483"/>
      <c r="R7" s="483"/>
      <c r="S7" s="483"/>
      <c r="T7" s="483"/>
      <c r="U7" s="483"/>
      <c r="V7" s="482" t="s">
        <v>111</v>
      </c>
      <c r="W7" s="482"/>
      <c r="X7" s="482"/>
      <c r="Y7" s="482" t="s">
        <v>79</v>
      </c>
      <c r="Z7" s="482" t="s">
        <v>72</v>
      </c>
      <c r="AA7" s="482"/>
      <c r="AB7" s="482" t="s">
        <v>80</v>
      </c>
      <c r="AC7" s="486" t="s">
        <v>81</v>
      </c>
    </row>
    <row r="8" spans="1:29" s="297" customFormat="1" ht="19.899999999999999" customHeight="1" x14ac:dyDescent="0.25">
      <c r="A8" s="489"/>
      <c r="B8" s="488"/>
      <c r="C8" s="482"/>
      <c r="D8" s="482"/>
      <c r="E8" s="482"/>
      <c r="F8" s="482"/>
      <c r="G8" s="482"/>
      <c r="H8" s="482"/>
      <c r="I8" s="487"/>
      <c r="J8" s="482"/>
      <c r="K8" s="483"/>
      <c r="L8" s="483"/>
      <c r="M8" s="483"/>
      <c r="N8" s="483"/>
      <c r="O8" s="483"/>
      <c r="P8" s="483"/>
      <c r="Q8" s="483"/>
      <c r="R8" s="483"/>
      <c r="S8" s="483"/>
      <c r="T8" s="483"/>
      <c r="U8" s="483"/>
      <c r="V8" s="482"/>
      <c r="W8" s="482"/>
      <c r="X8" s="482"/>
      <c r="Y8" s="482"/>
      <c r="Z8" s="482"/>
      <c r="AA8" s="482"/>
      <c r="AB8" s="482"/>
      <c r="AC8" s="486"/>
    </row>
    <row r="9" spans="1:29" s="297" customFormat="1" ht="55.15" customHeight="1" x14ac:dyDescent="0.25">
      <c r="A9" s="489"/>
      <c r="B9" s="488"/>
      <c r="C9" s="482"/>
      <c r="D9" s="482"/>
      <c r="E9" s="482"/>
      <c r="F9" s="482"/>
      <c r="G9" s="482"/>
      <c r="H9" s="482"/>
      <c r="I9" s="487"/>
      <c r="J9" s="482"/>
      <c r="K9" s="382" t="s">
        <v>74</v>
      </c>
      <c r="L9" s="383" t="s">
        <v>75</v>
      </c>
      <c r="M9" s="68" t="s">
        <v>280</v>
      </c>
      <c r="N9" s="68" t="s">
        <v>279</v>
      </c>
      <c r="O9" s="332" t="s">
        <v>346</v>
      </c>
      <c r="P9" s="68" t="s">
        <v>347</v>
      </c>
      <c r="Q9" s="68" t="s">
        <v>348</v>
      </c>
      <c r="R9" s="68" t="s">
        <v>349</v>
      </c>
      <c r="S9" s="382" t="s">
        <v>76</v>
      </c>
      <c r="T9" s="383" t="s">
        <v>77</v>
      </c>
      <c r="U9" s="382" t="s">
        <v>187</v>
      </c>
      <c r="V9" s="382" t="s">
        <v>90</v>
      </c>
      <c r="W9" s="383" t="s">
        <v>207</v>
      </c>
      <c r="X9" s="382" t="s">
        <v>78</v>
      </c>
      <c r="Y9" s="482"/>
      <c r="Z9" s="382" t="s">
        <v>70</v>
      </c>
      <c r="AA9" s="382" t="s">
        <v>71</v>
      </c>
      <c r="AB9" s="482"/>
      <c r="AC9" s="486"/>
    </row>
    <row r="10" spans="1:29" s="299" customFormat="1" ht="19.899999999999999" customHeight="1" x14ac:dyDescent="0.25">
      <c r="A10" s="490" t="s">
        <v>21</v>
      </c>
      <c r="B10" s="269" t="s">
        <v>140</v>
      </c>
      <c r="C10" s="166" t="s">
        <v>27</v>
      </c>
      <c r="D10" s="9"/>
      <c r="E10" s="9"/>
      <c r="F10" s="9"/>
      <c r="G10" s="9"/>
      <c r="H10" s="9"/>
      <c r="I10" s="333"/>
      <c r="J10" s="334"/>
      <c r="K10" s="334"/>
      <c r="L10" s="333"/>
      <c r="M10" s="335">
        <f>_!K4</f>
        <v>0</v>
      </c>
      <c r="N10" s="335"/>
      <c r="O10" s="336">
        <f>_!H4</f>
        <v>0</v>
      </c>
      <c r="P10" s="337">
        <f>_!G4</f>
        <v>0</v>
      </c>
      <c r="Q10" s="337">
        <f>_!L4</f>
        <v>0</v>
      </c>
      <c r="R10" s="337">
        <f t="shared" ref="R10:R16" si="0">M10*6.2893</f>
        <v>0</v>
      </c>
      <c r="S10" s="9"/>
      <c r="T10" s="333"/>
      <c r="U10" s="334"/>
      <c r="V10" s="338" t="s">
        <v>10</v>
      </c>
      <c r="W10" s="339">
        <v>43688</v>
      </c>
      <c r="X10" s="340" t="s">
        <v>233</v>
      </c>
      <c r="Y10" s="341"/>
      <c r="Z10" s="341"/>
      <c r="AA10" s="342"/>
      <c r="AB10" s="343"/>
      <c r="AC10" s="344"/>
    </row>
    <row r="11" spans="1:29" s="299" customFormat="1" ht="30.75" customHeight="1" x14ac:dyDescent="0.25">
      <c r="A11" s="490"/>
      <c r="B11" s="269" t="s">
        <v>141</v>
      </c>
      <c r="C11" s="166" t="s">
        <v>27</v>
      </c>
      <c r="D11" s="9">
        <v>35</v>
      </c>
      <c r="E11" s="9">
        <v>75</v>
      </c>
      <c r="F11" s="9"/>
      <c r="G11" s="334"/>
      <c r="H11" s="334">
        <v>12</v>
      </c>
      <c r="I11" s="333">
        <v>43736</v>
      </c>
      <c r="J11" s="334">
        <v>9</v>
      </c>
      <c r="K11" s="334"/>
      <c r="L11" s="333"/>
      <c r="M11" s="335">
        <f>_!K5</f>
        <v>1.0038783114620542</v>
      </c>
      <c r="N11" s="345">
        <v>0.86</v>
      </c>
      <c r="O11" s="336">
        <f>_!H5</f>
        <v>0.47425826537487514</v>
      </c>
      <c r="P11" s="337">
        <f>_!G5</f>
        <v>0.45213789177760738</v>
      </c>
      <c r="Q11" s="337">
        <f>_!L5</f>
        <v>0.59601620323966165</v>
      </c>
      <c r="R11" s="337">
        <f t="shared" si="0"/>
        <v>6.3136918642782973</v>
      </c>
      <c r="S11" s="9">
        <v>806.17</v>
      </c>
      <c r="T11" s="333">
        <v>43736</v>
      </c>
      <c r="U11" s="334"/>
      <c r="V11" s="347">
        <v>14824</v>
      </c>
      <c r="W11" s="333">
        <v>43736</v>
      </c>
      <c r="X11" s="340" t="s">
        <v>233</v>
      </c>
      <c r="Y11" s="341" t="s">
        <v>415</v>
      </c>
      <c r="Z11" s="398"/>
      <c r="AA11" s="342"/>
      <c r="AB11" s="341" t="s">
        <v>414</v>
      </c>
      <c r="AC11" s="346"/>
    </row>
    <row r="12" spans="1:29" s="299" customFormat="1" ht="19.899999999999999" customHeight="1" x14ac:dyDescent="0.25">
      <c r="A12" s="490"/>
      <c r="B12" s="269" t="s">
        <v>142</v>
      </c>
      <c r="C12" s="166" t="s">
        <v>27</v>
      </c>
      <c r="D12" s="9"/>
      <c r="E12" s="9"/>
      <c r="F12" s="9"/>
      <c r="G12" s="9"/>
      <c r="H12" s="9"/>
      <c r="I12" s="333"/>
      <c r="J12" s="334"/>
      <c r="K12" s="334"/>
      <c r="L12" s="333"/>
      <c r="M12" s="335">
        <f>_!K6</f>
        <v>0</v>
      </c>
      <c r="N12" s="335"/>
      <c r="O12" s="336">
        <f>_!H6</f>
        <v>0</v>
      </c>
      <c r="P12" s="337">
        <f>_!G6</f>
        <v>0</v>
      </c>
      <c r="Q12" s="337">
        <f>_!L6</f>
        <v>0</v>
      </c>
      <c r="R12" s="337">
        <f t="shared" si="0"/>
        <v>0</v>
      </c>
      <c r="S12" s="9"/>
      <c r="T12" s="333"/>
      <c r="U12" s="334"/>
      <c r="V12" s="334" t="s">
        <v>344</v>
      </c>
      <c r="W12" s="339">
        <v>43681</v>
      </c>
      <c r="X12" s="340" t="s">
        <v>233</v>
      </c>
      <c r="Y12" s="341"/>
      <c r="Z12" s="341"/>
      <c r="AA12" s="342"/>
      <c r="AB12" s="343"/>
      <c r="AC12" s="346"/>
    </row>
    <row r="13" spans="1:29" s="299" customFormat="1" ht="19.899999999999999" customHeight="1" x14ac:dyDescent="0.25">
      <c r="A13" s="490"/>
      <c r="B13" s="269" t="s">
        <v>143</v>
      </c>
      <c r="C13" s="166" t="s">
        <v>27</v>
      </c>
      <c r="D13" s="9">
        <v>105</v>
      </c>
      <c r="E13" s="9">
        <v>155</v>
      </c>
      <c r="F13" s="9">
        <v>9</v>
      </c>
      <c r="G13" s="334">
        <v>9</v>
      </c>
      <c r="H13" s="334">
        <v>10</v>
      </c>
      <c r="I13" s="333">
        <v>43703</v>
      </c>
      <c r="J13" s="334">
        <v>14</v>
      </c>
      <c r="K13" s="334"/>
      <c r="L13" s="333"/>
      <c r="M13" s="335">
        <f>_!K7</f>
        <v>7.1135425578034823</v>
      </c>
      <c r="N13" s="335">
        <v>6.05</v>
      </c>
      <c r="O13" s="336">
        <f>_!H7</f>
        <v>0.4776501475337469</v>
      </c>
      <c r="P13" s="337">
        <f>_!G7</f>
        <v>3.1602166074208311</v>
      </c>
      <c r="Q13" s="337">
        <f>_!L7</f>
        <v>4.2237591652243136</v>
      </c>
      <c r="R13" s="337">
        <f t="shared" si="0"/>
        <v>44.739203208793441</v>
      </c>
      <c r="S13" s="9"/>
      <c r="T13" s="333"/>
      <c r="U13" s="334"/>
      <c r="V13" s="338" t="s">
        <v>5</v>
      </c>
      <c r="W13" s="333">
        <v>43737</v>
      </c>
      <c r="X13" s="340" t="s">
        <v>463</v>
      </c>
      <c r="Y13" s="341"/>
      <c r="Z13" s="341"/>
      <c r="AA13" s="342"/>
      <c r="AB13" s="341"/>
      <c r="AC13" s="346"/>
    </row>
    <row r="14" spans="1:29" s="299" customFormat="1" ht="19.899999999999999" customHeight="1" x14ac:dyDescent="0.25">
      <c r="A14" s="490"/>
      <c r="B14" s="269" t="s">
        <v>144</v>
      </c>
      <c r="C14" s="166" t="s">
        <v>27</v>
      </c>
      <c r="D14" s="9">
        <v>20</v>
      </c>
      <c r="E14" s="9">
        <v>88</v>
      </c>
      <c r="F14" s="9">
        <v>12</v>
      </c>
      <c r="G14" s="334">
        <v>20</v>
      </c>
      <c r="H14" s="334">
        <v>3</v>
      </c>
      <c r="I14" s="333"/>
      <c r="J14" s="334">
        <v>15</v>
      </c>
      <c r="K14" s="334"/>
      <c r="L14" s="333"/>
      <c r="M14" s="335">
        <f>_!K8</f>
        <v>5.0334007901960121</v>
      </c>
      <c r="N14" s="335">
        <v>4.32</v>
      </c>
      <c r="O14" s="336">
        <f>_!H8</f>
        <v>0.48443391185149043</v>
      </c>
      <c r="P14" s="337">
        <f>_!G8</f>
        <v>2.2272455008015615</v>
      </c>
      <c r="Q14" s="337">
        <f>_!L8</f>
        <v>2.9406462909975728</v>
      </c>
      <c r="R14" s="337">
        <f t="shared" si="0"/>
        <v>31.65656758977978</v>
      </c>
      <c r="S14" s="9"/>
      <c r="T14" s="333"/>
      <c r="U14" s="334"/>
      <c r="V14" s="347">
        <v>14824</v>
      </c>
      <c r="W14" s="333">
        <v>43737</v>
      </c>
      <c r="X14" s="340" t="s">
        <v>463</v>
      </c>
      <c r="Y14" s="341"/>
      <c r="Z14" s="341"/>
      <c r="AA14" s="342"/>
      <c r="AB14" s="343"/>
      <c r="AC14" s="346"/>
    </row>
    <row r="15" spans="1:29" s="299" customFormat="1" ht="19.899999999999999" customHeight="1" x14ac:dyDescent="0.25">
      <c r="A15" s="490"/>
      <c r="B15" s="269" t="s">
        <v>145</v>
      </c>
      <c r="C15" s="166"/>
      <c r="D15" s="9"/>
      <c r="E15" s="9"/>
      <c r="F15" s="9"/>
      <c r="G15" s="9"/>
      <c r="H15" s="9"/>
      <c r="I15" s="333"/>
      <c r="J15" s="334"/>
      <c r="K15" s="334"/>
      <c r="L15" s="333"/>
      <c r="M15" s="335">
        <f>_!K9</f>
        <v>0</v>
      </c>
      <c r="N15" s="335"/>
      <c r="O15" s="336">
        <f>_!H9</f>
        <v>0</v>
      </c>
      <c r="P15" s="337">
        <f>_!G9</f>
        <v>0</v>
      </c>
      <c r="Q15" s="337">
        <f>_!L9</f>
        <v>0</v>
      </c>
      <c r="R15" s="337">
        <f t="shared" si="0"/>
        <v>0</v>
      </c>
      <c r="S15" s="9"/>
      <c r="T15" s="333"/>
      <c r="U15" s="334"/>
      <c r="V15" s="334"/>
      <c r="W15" s="348">
        <v>41297</v>
      </c>
      <c r="X15" s="340" t="s">
        <v>185</v>
      </c>
      <c r="Y15" s="341"/>
      <c r="Z15" s="341"/>
      <c r="AA15" s="341"/>
      <c r="AB15" s="343"/>
      <c r="AC15" s="349"/>
    </row>
    <row r="16" spans="1:29" s="299" customFormat="1" ht="19.899999999999999" customHeight="1" x14ac:dyDescent="0.25">
      <c r="A16" s="490"/>
      <c r="B16" s="269" t="s">
        <v>146</v>
      </c>
      <c r="C16" s="166" t="s">
        <v>211</v>
      </c>
      <c r="D16" s="9"/>
      <c r="E16" s="9"/>
      <c r="F16" s="9"/>
      <c r="G16" s="9"/>
      <c r="H16" s="9"/>
      <c r="I16" s="333"/>
      <c r="J16" s="334"/>
      <c r="K16" s="334"/>
      <c r="L16" s="333"/>
      <c r="M16" s="335">
        <f>_!K10</f>
        <v>0</v>
      </c>
      <c r="N16" s="335"/>
      <c r="O16" s="336">
        <f>_!H10</f>
        <v>0</v>
      </c>
      <c r="P16" s="337">
        <f>_!G10</f>
        <v>0</v>
      </c>
      <c r="Q16" s="337">
        <f>_!L10</f>
        <v>0</v>
      </c>
      <c r="R16" s="337">
        <f t="shared" si="0"/>
        <v>0</v>
      </c>
      <c r="S16" s="9"/>
      <c r="T16" s="333"/>
      <c r="U16" s="334"/>
      <c r="V16" s="334"/>
      <c r="W16" s="348"/>
      <c r="X16" s="340" t="s">
        <v>185</v>
      </c>
      <c r="Y16" s="341"/>
      <c r="Z16" s="341"/>
      <c r="AA16" s="341"/>
      <c r="AB16" s="343"/>
      <c r="AC16" s="346"/>
    </row>
    <row r="17" spans="1:29" s="300" customFormat="1" ht="19.899999999999999" customHeight="1" x14ac:dyDescent="0.25">
      <c r="A17" s="493" t="s">
        <v>86</v>
      </c>
      <c r="B17" s="494"/>
      <c r="C17" s="494"/>
      <c r="D17" s="494"/>
      <c r="E17" s="494"/>
      <c r="F17" s="494"/>
      <c r="G17" s="494"/>
      <c r="H17" s="494"/>
      <c r="I17" s="494"/>
      <c r="J17" s="494"/>
      <c r="K17" s="494"/>
      <c r="L17" s="494"/>
      <c r="M17" s="68">
        <f>SUM(M10:M16)</f>
        <v>13.150821659461549</v>
      </c>
      <c r="N17" s="68">
        <f>SUM(N10:N16)</f>
        <v>11.23</v>
      </c>
      <c r="O17" s="332">
        <f>U17/N17+48%</f>
        <v>0.48</v>
      </c>
      <c r="P17" s="68">
        <f>N17-(N17*O17)</f>
        <v>5.8396000000000008</v>
      </c>
      <c r="Q17" s="68">
        <f>SUM(Q10:Q16)</f>
        <v>7.7604216594615485</v>
      </c>
      <c r="R17" s="68">
        <f>SUM(R10:R16)</f>
        <v>82.709462662851521</v>
      </c>
      <c r="S17" s="382"/>
      <c r="T17" s="383"/>
      <c r="U17" s="382"/>
      <c r="V17" s="382"/>
      <c r="W17" s="383"/>
      <c r="X17" s="350"/>
      <c r="Y17" s="351"/>
      <c r="Z17" s="351"/>
      <c r="AA17" s="351"/>
      <c r="AB17" s="351"/>
      <c r="AC17" s="352"/>
    </row>
    <row r="18" spans="1:29" s="299" customFormat="1" ht="19.899999999999999" customHeight="1" x14ac:dyDescent="0.25">
      <c r="A18" s="490" t="s">
        <v>20</v>
      </c>
      <c r="B18" s="269" t="s">
        <v>147</v>
      </c>
      <c r="C18" s="166" t="s">
        <v>27</v>
      </c>
      <c r="D18" s="9">
        <v>13</v>
      </c>
      <c r="E18" s="9">
        <v>16</v>
      </c>
      <c r="F18" s="9">
        <v>12</v>
      </c>
      <c r="G18" s="334">
        <v>20</v>
      </c>
      <c r="H18" s="71">
        <v>20</v>
      </c>
      <c r="I18" s="333">
        <v>43705</v>
      </c>
      <c r="J18" s="334">
        <v>24</v>
      </c>
      <c r="K18" s="9"/>
      <c r="L18" s="348"/>
      <c r="M18" s="335">
        <f>_!K16</f>
        <v>7.363424887824209</v>
      </c>
      <c r="N18" s="335">
        <v>6.09</v>
      </c>
      <c r="O18" s="336">
        <f>_!H16</f>
        <v>0.14551517431978314</v>
      </c>
      <c r="P18" s="337">
        <f>_!G16</f>
        <v>5.2038125883925206</v>
      </c>
      <c r="Q18" s="337">
        <f>_!L16</f>
        <v>6.4772374762167297</v>
      </c>
      <c r="R18" s="337">
        <f t="shared" ref="R18:R27" si="1">M18*6.2893</f>
        <v>46.310788146992799</v>
      </c>
      <c r="S18" s="9">
        <v>3141.02</v>
      </c>
      <c r="T18" s="72">
        <v>43328</v>
      </c>
      <c r="U18" s="334"/>
      <c r="V18" s="334"/>
      <c r="W18" s="353"/>
      <c r="X18" s="340"/>
      <c r="Y18" s="341"/>
      <c r="Z18" s="341"/>
      <c r="AA18" s="342"/>
      <c r="AB18" s="341"/>
      <c r="AC18" s="346"/>
    </row>
    <row r="19" spans="1:29" s="299" customFormat="1" ht="19.899999999999999" customHeight="1" x14ac:dyDescent="0.25">
      <c r="A19" s="490"/>
      <c r="B19" s="269" t="s">
        <v>148</v>
      </c>
      <c r="C19" s="166" t="s">
        <v>27</v>
      </c>
      <c r="D19" s="9">
        <v>13</v>
      </c>
      <c r="E19" s="73">
        <v>0</v>
      </c>
      <c r="F19" s="73">
        <v>12.5</v>
      </c>
      <c r="G19" s="334">
        <v>21</v>
      </c>
      <c r="H19" s="334">
        <v>17</v>
      </c>
      <c r="I19" s="333">
        <v>43652</v>
      </c>
      <c r="J19" s="334">
        <v>24</v>
      </c>
      <c r="K19" s="9"/>
      <c r="L19" s="348" t="s">
        <v>307</v>
      </c>
      <c r="M19" s="335">
        <f>_!K17</f>
        <v>3.6514282708556913</v>
      </c>
      <c r="N19" s="335">
        <v>3.04</v>
      </c>
      <c r="O19" s="336">
        <f>_!H17</f>
        <v>0.1324363249471269</v>
      </c>
      <c r="P19" s="337">
        <f>_!G17</f>
        <v>2.6373935721607342</v>
      </c>
      <c r="Q19" s="337">
        <f>_!L17</f>
        <v>3.2488218430164255</v>
      </c>
      <c r="R19" s="337">
        <f t="shared" si="1"/>
        <v>22.964927823892697</v>
      </c>
      <c r="S19" s="9">
        <v>637.38</v>
      </c>
      <c r="T19" s="333">
        <v>43329</v>
      </c>
      <c r="U19" s="334"/>
      <c r="V19" s="334"/>
      <c r="W19" s="333"/>
      <c r="X19" s="340"/>
      <c r="Y19" s="341"/>
      <c r="Z19" s="341"/>
      <c r="AA19" s="342"/>
      <c r="AB19" s="341"/>
      <c r="AC19" s="346"/>
    </row>
    <row r="20" spans="1:29" s="299" customFormat="1" ht="19.899999999999999" customHeight="1" x14ac:dyDescent="0.25">
      <c r="A20" s="490"/>
      <c r="B20" s="269" t="s">
        <v>149</v>
      </c>
      <c r="C20" s="166" t="s">
        <v>27</v>
      </c>
      <c r="D20" s="73">
        <v>14</v>
      </c>
      <c r="E20" s="9">
        <v>24</v>
      </c>
      <c r="F20" s="73">
        <v>12.5</v>
      </c>
      <c r="G20" s="73">
        <v>25</v>
      </c>
      <c r="H20" s="334">
        <v>10</v>
      </c>
      <c r="I20" s="333">
        <v>43733</v>
      </c>
      <c r="J20" s="334">
        <v>24</v>
      </c>
      <c r="K20" s="9"/>
      <c r="L20" s="348"/>
      <c r="M20" s="335">
        <f>_!K18</f>
        <v>0.93870663459723069</v>
      </c>
      <c r="N20" s="335">
        <v>0.76</v>
      </c>
      <c r="O20" s="336">
        <f>_!H18</f>
        <v>0.12807670848957467</v>
      </c>
      <c r="P20" s="337">
        <f>_!G18</f>
        <v>0.66266170154792325</v>
      </c>
      <c r="Q20" s="337">
        <f>_!L18</f>
        <v>0.84136833614515394</v>
      </c>
      <c r="R20" s="337">
        <f t="shared" si="1"/>
        <v>5.9038076369723633</v>
      </c>
      <c r="S20" s="9">
        <v>13757.3</v>
      </c>
      <c r="T20" s="333">
        <v>43733</v>
      </c>
      <c r="U20" s="334"/>
      <c r="V20" s="338"/>
      <c r="W20" s="333"/>
      <c r="X20" s="340"/>
      <c r="Y20" s="341"/>
      <c r="Z20" s="341"/>
      <c r="AA20" s="342"/>
      <c r="AB20" s="341"/>
      <c r="AC20" s="346"/>
    </row>
    <row r="21" spans="1:29" s="299" customFormat="1" ht="19.899999999999999" customHeight="1" x14ac:dyDescent="0.25">
      <c r="A21" s="490"/>
      <c r="B21" s="269" t="s">
        <v>150</v>
      </c>
      <c r="C21" s="166" t="s">
        <v>351</v>
      </c>
      <c r="D21" s="9"/>
      <c r="E21" s="9"/>
      <c r="F21" s="73"/>
      <c r="G21" s="73"/>
      <c r="H21" s="73"/>
      <c r="I21" s="333"/>
      <c r="J21" s="334"/>
      <c r="K21" s="9"/>
      <c r="L21" s="348"/>
      <c r="M21" s="335">
        <f>_!K19</f>
        <v>0</v>
      </c>
      <c r="N21" s="335"/>
      <c r="O21" s="336">
        <f>_!H19</f>
        <v>0</v>
      </c>
      <c r="P21" s="337">
        <f>_!G19</f>
        <v>0</v>
      </c>
      <c r="Q21" s="337">
        <f>_!L19</f>
        <v>0</v>
      </c>
      <c r="R21" s="337">
        <f t="shared" si="1"/>
        <v>0</v>
      </c>
      <c r="S21" s="9"/>
      <c r="T21" s="333"/>
      <c r="U21" s="334"/>
      <c r="V21" s="334" t="s">
        <v>208</v>
      </c>
      <c r="W21" s="339">
        <v>42702</v>
      </c>
      <c r="X21" s="340" t="s">
        <v>185</v>
      </c>
      <c r="Y21" s="341"/>
      <c r="Z21" s="341"/>
      <c r="AA21" s="341"/>
      <c r="AB21" s="343"/>
      <c r="AC21" s="346"/>
    </row>
    <row r="22" spans="1:29" s="299" customFormat="1" ht="19.899999999999999" customHeight="1" x14ac:dyDescent="0.25">
      <c r="A22" s="490"/>
      <c r="B22" s="269" t="s">
        <v>151</v>
      </c>
      <c r="C22" s="166" t="s">
        <v>352</v>
      </c>
      <c r="D22" s="9"/>
      <c r="E22" s="9"/>
      <c r="F22" s="73"/>
      <c r="G22" s="73"/>
      <c r="H22" s="334"/>
      <c r="I22" s="333"/>
      <c r="J22" s="334"/>
      <c r="K22" s="9"/>
      <c r="L22" s="348"/>
      <c r="M22" s="335">
        <f>_!K20</f>
        <v>0</v>
      </c>
      <c r="N22" s="335"/>
      <c r="O22" s="336">
        <f>_!H20</f>
        <v>0</v>
      </c>
      <c r="P22" s="337">
        <f>_!G20</f>
        <v>0</v>
      </c>
      <c r="Q22" s="337">
        <f>_!L20</f>
        <v>0</v>
      </c>
      <c r="R22" s="337">
        <f t="shared" si="1"/>
        <v>0</v>
      </c>
      <c r="S22" s="9"/>
      <c r="T22" s="333"/>
      <c r="U22" s="334"/>
      <c r="V22" s="347"/>
      <c r="W22" s="339"/>
      <c r="X22" s="340"/>
      <c r="Y22" s="341"/>
      <c r="Z22" s="341"/>
      <c r="AA22" s="354"/>
      <c r="AB22" s="354"/>
      <c r="AC22" s="344"/>
    </row>
    <row r="23" spans="1:29" s="299" customFormat="1" ht="19.899999999999999" customHeight="1" x14ac:dyDescent="0.25">
      <c r="A23" s="490"/>
      <c r="B23" s="269" t="s">
        <v>152</v>
      </c>
      <c r="C23" s="166" t="s">
        <v>27</v>
      </c>
      <c r="D23" s="9">
        <v>16</v>
      </c>
      <c r="E23" s="9">
        <v>50</v>
      </c>
      <c r="F23" s="9">
        <v>12.5</v>
      </c>
      <c r="G23" s="334">
        <v>21</v>
      </c>
      <c r="H23" s="334">
        <v>18</v>
      </c>
      <c r="I23" s="333">
        <v>43652</v>
      </c>
      <c r="J23" s="334">
        <v>24</v>
      </c>
      <c r="K23" s="9"/>
      <c r="L23" s="348"/>
      <c r="M23" s="335">
        <f>_!K21</f>
        <v>9.8189910868975439</v>
      </c>
      <c r="N23" s="335">
        <v>8.3699999999999992</v>
      </c>
      <c r="O23" s="336">
        <f>_!H21</f>
        <v>0.19172710876983573</v>
      </c>
      <c r="P23" s="337">
        <f>_!G21</f>
        <v>6.7652440995964742</v>
      </c>
      <c r="Q23" s="337">
        <f>_!L21</f>
        <v>8.2142351864940188</v>
      </c>
      <c r="R23" s="337">
        <f t="shared" si="1"/>
        <v>61.75458064282472</v>
      </c>
      <c r="S23" s="9">
        <v>2043.48</v>
      </c>
      <c r="T23" s="72">
        <v>43719</v>
      </c>
      <c r="U23" s="334"/>
      <c r="V23" s="334"/>
      <c r="W23" s="333"/>
      <c r="X23" s="355"/>
      <c r="Y23" s="341"/>
      <c r="Z23" s="341"/>
      <c r="AA23" s="342"/>
      <c r="AB23" s="341"/>
      <c r="AC23" s="346"/>
    </row>
    <row r="24" spans="1:29" s="299" customFormat="1" ht="19.899999999999999" customHeight="1" x14ac:dyDescent="0.25">
      <c r="A24" s="490"/>
      <c r="B24" s="269" t="s">
        <v>153</v>
      </c>
      <c r="C24" s="166" t="s">
        <v>399</v>
      </c>
      <c r="D24" s="9">
        <v>120</v>
      </c>
      <c r="E24" s="9">
        <v>105</v>
      </c>
      <c r="F24" s="9"/>
      <c r="G24" s="9"/>
      <c r="H24" s="9"/>
      <c r="I24" s="333"/>
      <c r="J24" s="334"/>
      <c r="K24" s="9"/>
      <c r="L24" s="348"/>
      <c r="M24" s="335"/>
      <c r="N24" s="335"/>
      <c r="O24" s="336"/>
      <c r="P24" s="337"/>
      <c r="Q24" s="337"/>
      <c r="R24" s="337"/>
      <c r="S24" s="9"/>
      <c r="T24" s="72"/>
      <c r="U24" s="334"/>
      <c r="V24" s="334"/>
      <c r="W24" s="333"/>
      <c r="X24" s="355"/>
      <c r="Y24" s="341"/>
      <c r="Z24" s="341"/>
      <c r="AA24" s="342"/>
      <c r="AB24" s="341"/>
      <c r="AC24" s="346"/>
    </row>
    <row r="25" spans="1:29" s="299" customFormat="1" ht="19.899999999999999" customHeight="1" x14ac:dyDescent="0.25">
      <c r="A25" s="490"/>
      <c r="B25" s="269" t="s">
        <v>229</v>
      </c>
      <c r="C25" s="166" t="s">
        <v>212</v>
      </c>
      <c r="D25" s="9"/>
      <c r="E25" s="9"/>
      <c r="F25" s="9"/>
      <c r="G25" s="9"/>
      <c r="H25" s="9"/>
      <c r="I25" s="333"/>
      <c r="J25" s="334"/>
      <c r="K25" s="9"/>
      <c r="L25" s="348"/>
      <c r="M25" s="335">
        <f>_!K22</f>
        <v>0</v>
      </c>
      <c r="N25" s="335"/>
      <c r="O25" s="336">
        <f>_!H22</f>
        <v>0</v>
      </c>
      <c r="P25" s="337">
        <f>_!G22</f>
        <v>0</v>
      </c>
      <c r="Q25" s="337">
        <f>_!L22</f>
        <v>0</v>
      </c>
      <c r="R25" s="337">
        <f t="shared" si="1"/>
        <v>0</v>
      </c>
      <c r="S25" s="9"/>
      <c r="T25" s="333"/>
      <c r="U25" s="334"/>
      <c r="V25" s="334"/>
      <c r="W25" s="333"/>
      <c r="X25" s="340" t="s">
        <v>185</v>
      </c>
      <c r="Y25" s="342"/>
      <c r="Z25" s="341"/>
      <c r="AA25" s="342"/>
      <c r="AB25" s="341"/>
      <c r="AC25" s="346"/>
    </row>
    <row r="26" spans="1:29" s="299" customFormat="1" ht="19.899999999999999" customHeight="1" x14ac:dyDescent="0.25">
      <c r="A26" s="490"/>
      <c r="B26" s="269" t="s">
        <v>154</v>
      </c>
      <c r="C26" s="166" t="s">
        <v>27</v>
      </c>
      <c r="D26" s="9">
        <v>15</v>
      </c>
      <c r="E26" s="73">
        <v>5</v>
      </c>
      <c r="F26" s="9">
        <v>12.5</v>
      </c>
      <c r="G26" s="334">
        <v>23</v>
      </c>
      <c r="H26" s="334">
        <v>16</v>
      </c>
      <c r="I26" s="333">
        <v>43652</v>
      </c>
      <c r="J26" s="334">
        <v>24</v>
      </c>
      <c r="K26" s="9"/>
      <c r="L26" s="348"/>
      <c r="M26" s="335">
        <f>_!K23</f>
        <v>6.4467292307801189</v>
      </c>
      <c r="N26" s="335">
        <v>5.33</v>
      </c>
      <c r="O26" s="336">
        <f>_!H23</f>
        <v>0.15772210040092913</v>
      </c>
      <c r="P26" s="337">
        <f>_!G23</f>
        <v>4.4893412048630479</v>
      </c>
      <c r="Q26" s="337">
        <f>_!L23</f>
        <v>5.6060704356431668</v>
      </c>
      <c r="R26" s="337">
        <f t="shared" si="1"/>
        <v>40.545414151145401</v>
      </c>
      <c r="S26" s="9">
        <v>5935.5</v>
      </c>
      <c r="T26" s="333">
        <v>43727</v>
      </c>
      <c r="U26" s="334"/>
      <c r="V26" s="334"/>
      <c r="W26" s="348"/>
      <c r="X26" s="340"/>
      <c r="Y26" s="341"/>
      <c r="Z26" s="341"/>
      <c r="AA26" s="342"/>
      <c r="AB26" s="341"/>
      <c r="AC26" s="346"/>
    </row>
    <row r="27" spans="1:29" s="299" customFormat="1" ht="19.899999999999999" customHeight="1" x14ac:dyDescent="0.25">
      <c r="A27" s="490"/>
      <c r="B27" s="269" t="s">
        <v>155</v>
      </c>
      <c r="C27" s="166" t="s">
        <v>27</v>
      </c>
      <c r="D27" s="9">
        <v>15</v>
      </c>
      <c r="E27" s="73">
        <v>35</v>
      </c>
      <c r="F27" s="73">
        <v>13.5</v>
      </c>
      <c r="G27" s="334">
        <v>21</v>
      </c>
      <c r="H27" s="334">
        <v>10</v>
      </c>
      <c r="I27" s="333">
        <v>43652</v>
      </c>
      <c r="J27" s="334">
        <v>24</v>
      </c>
      <c r="K27" s="9"/>
      <c r="L27" s="348"/>
      <c r="M27" s="335">
        <f>_!K24</f>
        <v>9.1584031088217372</v>
      </c>
      <c r="N27" s="335">
        <v>7.61</v>
      </c>
      <c r="O27" s="336">
        <f>_!H24</f>
        <v>0.15249056065186653</v>
      </c>
      <c r="P27" s="337">
        <f>_!G24</f>
        <v>6.449546833439296</v>
      </c>
      <c r="Q27" s="337">
        <f>_!L24</f>
        <v>7.9979499422610321</v>
      </c>
      <c r="R27" s="337">
        <f t="shared" si="1"/>
        <v>57.599944672312553</v>
      </c>
      <c r="S27" s="9">
        <v>4948.3999999999996</v>
      </c>
      <c r="T27" s="333">
        <v>43727</v>
      </c>
      <c r="U27" s="9"/>
      <c r="V27" s="339">
        <v>43258</v>
      </c>
      <c r="W27" s="348"/>
      <c r="X27" s="340"/>
      <c r="Y27" s="341"/>
      <c r="Z27" s="341"/>
      <c r="AA27" s="342"/>
      <c r="AB27" s="341"/>
      <c r="AC27" s="346"/>
    </row>
    <row r="28" spans="1:29" s="300" customFormat="1" ht="19.899999999999999" customHeight="1" x14ac:dyDescent="0.25">
      <c r="A28" s="493" t="s">
        <v>85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68">
        <f>SUM(M18:M27)</f>
        <v>37.377683219776529</v>
      </c>
      <c r="N28" s="68">
        <f>SUM(N18:N27)</f>
        <v>31.199999999999996</v>
      </c>
      <c r="O28" s="332">
        <f>U28/N28+16%</f>
        <v>0.16</v>
      </c>
      <c r="P28" s="68">
        <f>N28-(N28*O28)</f>
        <v>26.207999999999998</v>
      </c>
      <c r="Q28" s="68">
        <f>SUM(Q18:Q27)</f>
        <v>32.385683219776524</v>
      </c>
      <c r="R28" s="68">
        <f>SUM(R18:R27)</f>
        <v>235.07946307414053</v>
      </c>
      <c r="S28" s="382"/>
      <c r="T28" s="383"/>
      <c r="U28" s="382"/>
      <c r="V28" s="382"/>
      <c r="W28" s="383"/>
      <c r="X28" s="350"/>
      <c r="Y28" s="350"/>
      <c r="Z28" s="350"/>
      <c r="AA28" s="350"/>
      <c r="AB28" s="351"/>
      <c r="AC28" s="356"/>
    </row>
    <row r="29" spans="1:29" s="299" customFormat="1" ht="19.899999999999999" customHeight="1" x14ac:dyDescent="0.25">
      <c r="A29" s="490" t="s">
        <v>19</v>
      </c>
      <c r="B29" s="269" t="s">
        <v>156</v>
      </c>
      <c r="C29" s="166"/>
      <c r="D29" s="9"/>
      <c r="E29" s="9"/>
      <c r="F29" s="9"/>
      <c r="G29" s="9"/>
      <c r="H29" s="9"/>
      <c r="I29" s="333"/>
      <c r="J29" s="334"/>
      <c r="K29" s="334"/>
      <c r="L29" s="333"/>
      <c r="M29" s="335">
        <f>_!K30</f>
        <v>0</v>
      </c>
      <c r="N29" s="335"/>
      <c r="O29" s="336">
        <f>_!H30</f>
        <v>0</v>
      </c>
      <c r="P29" s="337">
        <f>_!G30</f>
        <v>0</v>
      </c>
      <c r="Q29" s="337">
        <f>_!L30</f>
        <v>0</v>
      </c>
      <c r="R29" s="337">
        <f t="shared" ref="R29:R50" si="2">M29*6.2893</f>
        <v>0</v>
      </c>
      <c r="S29" s="9"/>
      <c r="T29" s="333"/>
      <c r="U29" s="9"/>
      <c r="V29" s="334" t="s">
        <v>4</v>
      </c>
      <c r="W29" s="333">
        <v>43651</v>
      </c>
      <c r="X29" s="340" t="s">
        <v>339</v>
      </c>
      <c r="Y29" s="343"/>
      <c r="Z29" s="341"/>
      <c r="AA29" s="342"/>
      <c r="AB29" s="341"/>
      <c r="AC29" s="346"/>
    </row>
    <row r="30" spans="1:29" s="299" customFormat="1" ht="19.899999999999999" customHeight="1" x14ac:dyDescent="0.25">
      <c r="A30" s="490"/>
      <c r="B30" s="269" t="s">
        <v>157</v>
      </c>
      <c r="C30" s="166" t="s">
        <v>370</v>
      </c>
      <c r="D30" s="9">
        <v>9</v>
      </c>
      <c r="E30" s="73">
        <v>9</v>
      </c>
      <c r="F30" s="9">
        <v>8</v>
      </c>
      <c r="G30" s="334">
        <v>15</v>
      </c>
      <c r="H30" s="334">
        <v>6</v>
      </c>
      <c r="I30" s="333">
        <v>43591</v>
      </c>
      <c r="J30" s="334">
        <v>10</v>
      </c>
      <c r="K30" s="334">
        <v>2245</v>
      </c>
      <c r="L30" s="333">
        <v>43737</v>
      </c>
      <c r="M30" s="335">
        <f>_!K31</f>
        <v>7.2531474094144128</v>
      </c>
      <c r="N30" s="335">
        <v>6.22</v>
      </c>
      <c r="O30" s="336">
        <f>_!H31</f>
        <v>6.8276218783392531E-2</v>
      </c>
      <c r="P30" s="337">
        <f>_!G31</f>
        <v>5.7953219191672982</v>
      </c>
      <c r="Q30" s="337">
        <f>_!L31</f>
        <v>6.8284693285817113</v>
      </c>
      <c r="R30" s="337">
        <f t="shared" si="2"/>
        <v>45.617220002030066</v>
      </c>
      <c r="S30" s="9">
        <v>1338.15</v>
      </c>
      <c r="T30" s="333">
        <v>43732</v>
      </c>
      <c r="U30" s="334"/>
      <c r="V30" s="347" t="s">
        <v>305</v>
      </c>
      <c r="W30" s="333">
        <v>43737</v>
      </c>
      <c r="X30" s="355" t="s">
        <v>333</v>
      </c>
      <c r="Y30" s="341"/>
      <c r="Z30" s="341" t="s">
        <v>459</v>
      </c>
      <c r="AA30" s="342">
        <v>43737</v>
      </c>
      <c r="AB30" s="341" t="s">
        <v>457</v>
      </c>
      <c r="AC30" s="346" t="s">
        <v>458</v>
      </c>
    </row>
    <row r="31" spans="1:29" s="299" customFormat="1" ht="19.899999999999999" customHeight="1" x14ac:dyDescent="0.25">
      <c r="A31" s="490"/>
      <c r="B31" s="269" t="s">
        <v>158</v>
      </c>
      <c r="C31" s="166" t="s">
        <v>371</v>
      </c>
      <c r="D31" s="9">
        <v>11</v>
      </c>
      <c r="E31" s="71">
        <v>12</v>
      </c>
      <c r="F31" s="9">
        <v>11</v>
      </c>
      <c r="G31" s="334">
        <v>33</v>
      </c>
      <c r="H31" s="334">
        <v>18</v>
      </c>
      <c r="I31" s="333">
        <v>43670</v>
      </c>
      <c r="J31" s="357">
        <v>12</v>
      </c>
      <c r="K31" s="334">
        <v>2617</v>
      </c>
      <c r="L31" s="333">
        <v>43737</v>
      </c>
      <c r="M31" s="335">
        <f>_!K32</f>
        <v>13.633618749024819</v>
      </c>
      <c r="N31" s="335">
        <v>11.67</v>
      </c>
      <c r="O31" s="336">
        <f>_!H32</f>
        <v>6.6349178904971454E-2</v>
      </c>
      <c r="P31" s="337">
        <f>_!G32</f>
        <v>10.895705082178983</v>
      </c>
      <c r="Q31" s="337">
        <f>_!L32</f>
        <v>12.859323831203803</v>
      </c>
      <c r="R31" s="337">
        <f t="shared" si="2"/>
        <v>85.745918398241798</v>
      </c>
      <c r="S31" s="9">
        <v>390.33</v>
      </c>
      <c r="T31" s="72">
        <v>43733</v>
      </c>
      <c r="U31" s="347"/>
      <c r="V31" s="347" t="s">
        <v>304</v>
      </c>
      <c r="W31" s="333">
        <v>43737</v>
      </c>
      <c r="X31" s="355" t="s">
        <v>333</v>
      </c>
      <c r="Y31" s="343"/>
      <c r="Z31" s="341"/>
      <c r="AA31" s="342"/>
      <c r="AB31" s="341"/>
      <c r="AC31" s="346"/>
    </row>
    <row r="32" spans="1:29" s="299" customFormat="1" ht="19.899999999999999" customHeight="1" x14ac:dyDescent="0.25">
      <c r="A32" s="490"/>
      <c r="B32" s="269" t="s">
        <v>159</v>
      </c>
      <c r="C32" s="166" t="s">
        <v>372</v>
      </c>
      <c r="D32" s="9">
        <v>9</v>
      </c>
      <c r="E32" s="71">
        <v>9</v>
      </c>
      <c r="F32" s="9">
        <v>8</v>
      </c>
      <c r="G32" s="334">
        <v>16</v>
      </c>
      <c r="H32" s="334">
        <v>10</v>
      </c>
      <c r="I32" s="333">
        <v>43554</v>
      </c>
      <c r="J32" s="334">
        <v>12</v>
      </c>
      <c r="K32" s="334">
        <v>2035</v>
      </c>
      <c r="L32" s="333">
        <v>43737</v>
      </c>
      <c r="M32" s="335">
        <f>_!K33</f>
        <v>25.402945173528632</v>
      </c>
      <c r="N32" s="335">
        <v>21.78</v>
      </c>
      <c r="O32" s="336">
        <f>_!H33</f>
        <v>5.9604539330497606E-2</v>
      </c>
      <c r="P32" s="337">
        <f>_!G33</f>
        <v>20.481813133381763</v>
      </c>
      <c r="Q32" s="337">
        <f>_!L33</f>
        <v>24.104758306910394</v>
      </c>
      <c r="R32" s="337">
        <f t="shared" si="2"/>
        <v>159.76674307987363</v>
      </c>
      <c r="S32" s="9">
        <v>158.62</v>
      </c>
      <c r="T32" s="72">
        <v>43727</v>
      </c>
      <c r="U32" s="334"/>
      <c r="V32" s="347" t="s">
        <v>305</v>
      </c>
      <c r="W32" s="333">
        <v>43737</v>
      </c>
      <c r="X32" s="355" t="s">
        <v>345</v>
      </c>
      <c r="Y32" s="341"/>
      <c r="Z32" s="341"/>
      <c r="AA32" s="342"/>
      <c r="AB32" s="341"/>
      <c r="AC32" s="346"/>
    </row>
    <row r="33" spans="1:29" s="299" customFormat="1" ht="19.899999999999999" customHeight="1" x14ac:dyDescent="0.25">
      <c r="A33" s="490"/>
      <c r="B33" s="269" t="s">
        <v>160</v>
      </c>
      <c r="C33" s="269" t="s">
        <v>373</v>
      </c>
      <c r="D33" s="334">
        <v>8</v>
      </c>
      <c r="E33" s="71">
        <v>8</v>
      </c>
      <c r="F33" s="334">
        <v>8</v>
      </c>
      <c r="G33" s="334">
        <v>10</v>
      </c>
      <c r="H33" s="334">
        <v>15</v>
      </c>
      <c r="I33" s="333">
        <v>43710</v>
      </c>
      <c r="J33" s="334">
        <v>14</v>
      </c>
      <c r="K33" s="334">
        <v>2699</v>
      </c>
      <c r="L33" s="333">
        <v>43737</v>
      </c>
      <c r="M33" s="335">
        <f>_!K34</f>
        <v>14.636546303001765</v>
      </c>
      <c r="N33" s="335">
        <v>12.44</v>
      </c>
      <c r="O33" s="336">
        <f>_!H34</f>
        <v>4.0334140546286396E-2</v>
      </c>
      <c r="P33" s="337">
        <f>_!G34</f>
        <v>11.938243291604197</v>
      </c>
      <c r="Q33" s="337">
        <f>_!L34</f>
        <v>14.134789594605962</v>
      </c>
      <c r="R33" s="337">
        <f t="shared" si="2"/>
        <v>92.053630663468994</v>
      </c>
      <c r="S33" s="358"/>
      <c r="T33" s="72"/>
      <c r="U33" s="334"/>
      <c r="V33" s="347" t="s">
        <v>304</v>
      </c>
      <c r="W33" s="333">
        <v>43737</v>
      </c>
      <c r="X33" s="355" t="s">
        <v>350</v>
      </c>
      <c r="Y33" s="341"/>
      <c r="Z33" s="341"/>
      <c r="AA33" s="342"/>
      <c r="AB33" s="341"/>
      <c r="AC33" s="346"/>
    </row>
    <row r="34" spans="1:29" s="299" customFormat="1" ht="19.899999999999999" customHeight="1" x14ac:dyDescent="0.25">
      <c r="A34" s="490"/>
      <c r="B34" s="269" t="s">
        <v>161</v>
      </c>
      <c r="C34" s="166" t="s">
        <v>353</v>
      </c>
      <c r="D34" s="9"/>
      <c r="E34" s="9"/>
      <c r="F34" s="9"/>
      <c r="G34" s="9"/>
      <c r="H34" s="9"/>
      <c r="I34" s="333"/>
      <c r="J34" s="334"/>
      <c r="K34" s="334">
        <v>2000</v>
      </c>
      <c r="L34" s="333">
        <v>43660</v>
      </c>
      <c r="M34" s="335">
        <f>_!K35</f>
        <v>0</v>
      </c>
      <c r="N34" s="335"/>
      <c r="O34" s="336">
        <f>_!H35</f>
        <v>0</v>
      </c>
      <c r="P34" s="337">
        <f>_!G35</f>
        <v>0</v>
      </c>
      <c r="Q34" s="337">
        <f>_!L35</f>
        <v>0</v>
      </c>
      <c r="R34" s="337">
        <f t="shared" si="2"/>
        <v>0</v>
      </c>
      <c r="S34" s="359"/>
      <c r="T34" s="72"/>
      <c r="U34" s="347"/>
      <c r="V34" s="334" t="s">
        <v>7</v>
      </c>
      <c r="W34" s="333">
        <v>43591</v>
      </c>
      <c r="X34" s="355" t="s">
        <v>220</v>
      </c>
      <c r="Y34" s="341"/>
      <c r="Z34" s="341"/>
      <c r="AA34" s="342"/>
      <c r="AB34" s="360"/>
      <c r="AC34" s="346"/>
    </row>
    <row r="35" spans="1:29" s="299" customFormat="1" ht="19.899999999999999" customHeight="1" x14ac:dyDescent="0.25">
      <c r="A35" s="490"/>
      <c r="B35" s="361" t="s">
        <v>162</v>
      </c>
      <c r="C35" s="166" t="s">
        <v>374</v>
      </c>
      <c r="D35" s="73">
        <v>8</v>
      </c>
      <c r="E35" s="73">
        <v>7</v>
      </c>
      <c r="F35" s="9">
        <v>8</v>
      </c>
      <c r="G35" s="334">
        <v>10</v>
      </c>
      <c r="H35" s="334">
        <v>15</v>
      </c>
      <c r="I35" s="333">
        <v>43639</v>
      </c>
      <c r="J35" s="334">
        <v>9</v>
      </c>
      <c r="K35" s="334">
        <v>1540</v>
      </c>
      <c r="L35" s="333">
        <v>43737</v>
      </c>
      <c r="M35" s="335">
        <f>_!K36</f>
        <v>13.624325276577729</v>
      </c>
      <c r="N35" s="335">
        <v>11.67</v>
      </c>
      <c r="O35" s="336">
        <f>_!H36</f>
        <v>4.8042300059970997E-2</v>
      </c>
      <c r="P35" s="337">
        <f>_!G36</f>
        <v>11.109346358300138</v>
      </c>
      <c r="Q35" s="337">
        <f>_!L36</f>
        <v>13.063671634877867</v>
      </c>
      <c r="R35" s="337">
        <f t="shared" si="2"/>
        <v>85.687468961980301</v>
      </c>
      <c r="S35" s="359">
        <v>235.53</v>
      </c>
      <c r="T35" s="72">
        <v>43734</v>
      </c>
      <c r="U35" s="334"/>
      <c r="V35" s="347" t="s">
        <v>305</v>
      </c>
      <c r="W35" s="333">
        <v>43737</v>
      </c>
      <c r="X35" s="355" t="s">
        <v>341</v>
      </c>
      <c r="Y35" s="343"/>
      <c r="Z35" s="341" t="s">
        <v>460</v>
      </c>
      <c r="AA35" s="342">
        <v>43737</v>
      </c>
      <c r="AB35" s="341" t="s">
        <v>457</v>
      </c>
      <c r="AC35" s="346" t="s">
        <v>458</v>
      </c>
    </row>
    <row r="36" spans="1:29" s="299" customFormat="1" ht="19.899999999999999" customHeight="1" x14ac:dyDescent="0.25">
      <c r="A36" s="490"/>
      <c r="B36" s="269" t="s">
        <v>163</v>
      </c>
      <c r="C36" s="166" t="s">
        <v>354</v>
      </c>
      <c r="D36" s="9">
        <v>4</v>
      </c>
      <c r="E36" s="73">
        <v>4</v>
      </c>
      <c r="F36" s="9"/>
      <c r="G36" s="9"/>
      <c r="H36" s="9"/>
      <c r="I36" s="333"/>
      <c r="J36" s="334"/>
      <c r="K36" s="334">
        <v>2923</v>
      </c>
      <c r="L36" s="333">
        <v>43563</v>
      </c>
      <c r="M36" s="335">
        <f>_!K37</f>
        <v>0</v>
      </c>
      <c r="N36" s="335"/>
      <c r="O36" s="336">
        <f>_!H37</f>
        <v>0</v>
      </c>
      <c r="P36" s="337">
        <f>_!G37</f>
        <v>0</v>
      </c>
      <c r="Q36" s="337">
        <f>_!L37</f>
        <v>0</v>
      </c>
      <c r="R36" s="337">
        <f t="shared" si="2"/>
        <v>0</v>
      </c>
      <c r="S36" s="359"/>
      <c r="T36" s="72"/>
      <c r="U36" s="334"/>
      <c r="V36" s="334" t="s">
        <v>0</v>
      </c>
      <c r="W36" s="339">
        <v>43385</v>
      </c>
      <c r="X36" s="340" t="s">
        <v>233</v>
      </c>
      <c r="Y36" s="343"/>
      <c r="Z36" s="341"/>
      <c r="AA36" s="342"/>
      <c r="AB36" s="341"/>
      <c r="AC36" s="346"/>
    </row>
    <row r="37" spans="1:29" s="299" customFormat="1" ht="19.899999999999999" customHeight="1" x14ac:dyDescent="0.25">
      <c r="A37" s="490"/>
      <c r="B37" s="269" t="s">
        <v>164</v>
      </c>
      <c r="C37" s="166" t="s">
        <v>355</v>
      </c>
      <c r="D37" s="334">
        <v>6.5</v>
      </c>
      <c r="E37" s="73">
        <v>43</v>
      </c>
      <c r="F37" s="9"/>
      <c r="G37" s="9"/>
      <c r="H37" s="9"/>
      <c r="I37" s="333">
        <v>43492</v>
      </c>
      <c r="J37" s="334"/>
      <c r="K37" s="334">
        <v>2861</v>
      </c>
      <c r="L37" s="333">
        <v>43726</v>
      </c>
      <c r="M37" s="335">
        <f>_!K38</f>
        <v>0</v>
      </c>
      <c r="N37" s="335"/>
      <c r="O37" s="336">
        <f>_!H38</f>
        <v>0</v>
      </c>
      <c r="P37" s="337">
        <f>_!G38</f>
        <v>0</v>
      </c>
      <c r="Q37" s="337">
        <f>_!L38</f>
        <v>0</v>
      </c>
      <c r="R37" s="337">
        <f t="shared" si="2"/>
        <v>0</v>
      </c>
      <c r="S37" s="359"/>
      <c r="T37" s="72"/>
      <c r="U37" s="334"/>
      <c r="V37" s="338" t="s">
        <v>208</v>
      </c>
      <c r="W37" s="72">
        <v>43633</v>
      </c>
      <c r="X37" s="340" t="s">
        <v>233</v>
      </c>
      <c r="Y37" s="343"/>
      <c r="Z37" s="341"/>
      <c r="AA37" s="342"/>
      <c r="AB37" s="341"/>
      <c r="AC37" s="346"/>
    </row>
    <row r="38" spans="1:29" s="299" customFormat="1" ht="19.899999999999999" customHeight="1" x14ac:dyDescent="0.25">
      <c r="A38" s="490"/>
      <c r="B38" s="269" t="s">
        <v>165</v>
      </c>
      <c r="C38" s="166" t="s">
        <v>357</v>
      </c>
      <c r="D38" s="73"/>
      <c r="E38" s="73"/>
      <c r="F38" s="334"/>
      <c r="G38" s="334"/>
      <c r="H38" s="334">
        <v>16</v>
      </c>
      <c r="I38" s="333">
        <v>43709</v>
      </c>
      <c r="J38" s="334"/>
      <c r="K38" s="334">
        <v>1582</v>
      </c>
      <c r="L38" s="333">
        <v>43720</v>
      </c>
      <c r="M38" s="335">
        <f>_!K39</f>
        <v>0</v>
      </c>
      <c r="N38" s="335"/>
      <c r="O38" s="336">
        <f>_!H39</f>
        <v>0</v>
      </c>
      <c r="P38" s="337">
        <f>_!G39</f>
        <v>0</v>
      </c>
      <c r="Q38" s="337">
        <f>_!L39</f>
        <v>0</v>
      </c>
      <c r="R38" s="337">
        <f t="shared" si="2"/>
        <v>0</v>
      </c>
      <c r="S38" s="359">
        <v>1.63</v>
      </c>
      <c r="T38" s="72">
        <v>43271</v>
      </c>
      <c r="U38" s="334"/>
      <c r="V38" s="338"/>
      <c r="W38" s="333"/>
      <c r="X38" s="362" t="s">
        <v>403</v>
      </c>
      <c r="Y38" s="341"/>
      <c r="Z38" s="341"/>
      <c r="AA38" s="342"/>
      <c r="AB38" s="341"/>
      <c r="AC38" s="346"/>
    </row>
    <row r="39" spans="1:29" s="299" customFormat="1" ht="19.899999999999999" customHeight="1" x14ac:dyDescent="0.25">
      <c r="A39" s="490"/>
      <c r="B39" s="269" t="s">
        <v>166</v>
      </c>
      <c r="C39" s="166"/>
      <c r="D39" s="9"/>
      <c r="E39" s="9"/>
      <c r="F39" s="9"/>
      <c r="G39" s="9"/>
      <c r="H39" s="9"/>
      <c r="I39" s="333">
        <v>43552</v>
      </c>
      <c r="J39" s="334"/>
      <c r="K39" s="334">
        <v>1513</v>
      </c>
      <c r="L39" s="333">
        <v>43670</v>
      </c>
      <c r="M39" s="335">
        <f>_!K40</f>
        <v>0</v>
      </c>
      <c r="N39" s="335"/>
      <c r="O39" s="336">
        <f>_!H40</f>
        <v>0</v>
      </c>
      <c r="P39" s="337">
        <f>_!G40</f>
        <v>0</v>
      </c>
      <c r="Q39" s="337">
        <f>_!L40</f>
        <v>0</v>
      </c>
      <c r="R39" s="337">
        <f t="shared" si="2"/>
        <v>0</v>
      </c>
      <c r="S39" s="359">
        <v>122.78</v>
      </c>
      <c r="T39" s="72">
        <v>43396</v>
      </c>
      <c r="U39" s="334"/>
      <c r="V39" s="338"/>
      <c r="W39" s="333">
        <v>43680</v>
      </c>
      <c r="X39" s="340" t="s">
        <v>233</v>
      </c>
      <c r="Y39" s="343"/>
      <c r="Z39" s="341"/>
      <c r="AA39" s="342"/>
      <c r="AB39" s="341"/>
      <c r="AC39" s="346"/>
    </row>
    <row r="40" spans="1:29" s="299" customFormat="1" ht="19.899999999999999" customHeight="1" x14ac:dyDescent="0.25">
      <c r="A40" s="490"/>
      <c r="B40" s="269" t="s">
        <v>167</v>
      </c>
      <c r="C40" s="166" t="s">
        <v>331</v>
      </c>
      <c r="D40" s="9"/>
      <c r="E40" s="9"/>
      <c r="F40" s="9"/>
      <c r="G40" s="9"/>
      <c r="H40" s="9"/>
      <c r="I40" s="333">
        <v>43568</v>
      </c>
      <c r="J40" s="334"/>
      <c r="K40" s="334">
        <v>2084</v>
      </c>
      <c r="L40" s="333">
        <v>43593</v>
      </c>
      <c r="M40" s="335">
        <f>_!K41</f>
        <v>0</v>
      </c>
      <c r="N40" s="335"/>
      <c r="O40" s="336">
        <f>_!H41</f>
        <v>0</v>
      </c>
      <c r="P40" s="337">
        <f>_!G41</f>
        <v>0</v>
      </c>
      <c r="Q40" s="337">
        <f>_!L41</f>
        <v>0</v>
      </c>
      <c r="R40" s="337">
        <f t="shared" si="2"/>
        <v>0</v>
      </c>
      <c r="S40" s="359">
        <v>80.53</v>
      </c>
      <c r="T40" s="72">
        <v>43365</v>
      </c>
      <c r="U40" s="334"/>
      <c r="V40" s="347"/>
      <c r="W40" s="333">
        <v>43590</v>
      </c>
      <c r="X40" s="355" t="s">
        <v>330</v>
      </c>
      <c r="Y40" s="360"/>
      <c r="Z40" s="341"/>
      <c r="AA40" s="342"/>
      <c r="AB40" s="341"/>
      <c r="AC40" s="346"/>
    </row>
    <row r="41" spans="1:29" s="299" customFormat="1" ht="19.899999999999999" customHeight="1" x14ac:dyDescent="0.25">
      <c r="A41" s="490"/>
      <c r="B41" s="269" t="s">
        <v>168</v>
      </c>
      <c r="C41" s="166" t="s">
        <v>386</v>
      </c>
      <c r="D41" s="9">
        <v>7</v>
      </c>
      <c r="E41" s="73">
        <v>10</v>
      </c>
      <c r="F41" s="9">
        <v>7</v>
      </c>
      <c r="G41" s="334">
        <v>12</v>
      </c>
      <c r="H41" s="334">
        <v>8</v>
      </c>
      <c r="I41" s="333">
        <v>43714</v>
      </c>
      <c r="J41" s="334">
        <v>15</v>
      </c>
      <c r="K41" s="334">
        <v>712</v>
      </c>
      <c r="L41" s="333">
        <v>43737</v>
      </c>
      <c r="M41" s="335">
        <f>_!K42</f>
        <v>29.089896411760119</v>
      </c>
      <c r="N41" s="335">
        <v>24.89</v>
      </c>
      <c r="O41" s="336">
        <f>_!H42</f>
        <v>6.1531579208918719E-2</v>
      </c>
      <c r="P41" s="337">
        <f>_!G42</f>
        <v>23.358478993490014</v>
      </c>
      <c r="Q41" s="337">
        <f>_!L42</f>
        <v>27.558375405250132</v>
      </c>
      <c r="R41" s="337">
        <f t="shared" si="2"/>
        <v>182.95508550248292</v>
      </c>
      <c r="S41" s="359">
        <v>51.98</v>
      </c>
      <c r="T41" s="72">
        <v>43735</v>
      </c>
      <c r="U41" s="334"/>
      <c r="V41" s="347" t="s">
        <v>305</v>
      </c>
      <c r="W41" s="333">
        <v>43737</v>
      </c>
      <c r="X41" s="355" t="s">
        <v>341</v>
      </c>
      <c r="Y41" s="341"/>
      <c r="Z41" s="341"/>
      <c r="AA41" s="342"/>
      <c r="AB41" s="341"/>
      <c r="AC41" s="346"/>
    </row>
    <row r="42" spans="1:29" s="299" customFormat="1" ht="19.899999999999999" customHeight="1" x14ac:dyDescent="0.25">
      <c r="A42" s="490"/>
      <c r="B42" s="269" t="s">
        <v>169</v>
      </c>
      <c r="C42" s="166" t="s">
        <v>412</v>
      </c>
      <c r="D42" s="9">
        <v>8</v>
      </c>
      <c r="E42" s="73">
        <v>8</v>
      </c>
      <c r="F42" s="9">
        <v>8</v>
      </c>
      <c r="G42" s="334">
        <v>12</v>
      </c>
      <c r="H42" s="334">
        <v>12</v>
      </c>
      <c r="I42" s="333">
        <v>43723</v>
      </c>
      <c r="J42" s="334">
        <v>24</v>
      </c>
      <c r="K42" s="334">
        <v>2258</v>
      </c>
      <c r="L42" s="333">
        <v>43737</v>
      </c>
      <c r="M42" s="335">
        <f>_!K43</f>
        <v>25.401562055541351</v>
      </c>
      <c r="N42" s="335">
        <v>21.78</v>
      </c>
      <c r="O42" s="336">
        <f>_!H43</f>
        <v>5.4786939634444878E-2</v>
      </c>
      <c r="P42" s="337">
        <f>_!G43</f>
        <v>20.586740454761792</v>
      </c>
      <c r="Q42" s="337">
        <f>_!L43</f>
        <v>24.208302510303142</v>
      </c>
      <c r="R42" s="337">
        <f t="shared" si="2"/>
        <v>159.75804423591623</v>
      </c>
      <c r="S42" s="359">
        <v>114.41</v>
      </c>
      <c r="T42" s="72">
        <v>43737</v>
      </c>
      <c r="U42" s="334"/>
      <c r="V42" s="397"/>
      <c r="W42" s="333"/>
      <c r="X42" s="355"/>
      <c r="Y42" s="341"/>
      <c r="Z42" s="341" t="s">
        <v>461</v>
      </c>
      <c r="AA42" s="342">
        <v>43737</v>
      </c>
      <c r="AB42" s="341" t="s">
        <v>457</v>
      </c>
      <c r="AC42" s="346" t="s">
        <v>458</v>
      </c>
    </row>
    <row r="43" spans="1:29" s="299" customFormat="1" ht="19.899999999999999" customHeight="1" x14ac:dyDescent="0.25">
      <c r="A43" s="490"/>
      <c r="B43" s="269" t="s">
        <v>170</v>
      </c>
      <c r="C43" s="166"/>
      <c r="D43" s="9">
        <v>44</v>
      </c>
      <c r="E43" s="73">
        <v>44</v>
      </c>
      <c r="F43" s="334"/>
      <c r="G43" s="334"/>
      <c r="H43" s="334"/>
      <c r="I43" s="333">
        <v>43610</v>
      </c>
      <c r="J43" s="334"/>
      <c r="K43" s="334">
        <v>1723</v>
      </c>
      <c r="L43" s="333">
        <v>43690</v>
      </c>
      <c r="M43" s="335">
        <f>_!K44</f>
        <v>0</v>
      </c>
      <c r="N43" s="335"/>
      <c r="O43" s="336">
        <f>_!H44</f>
        <v>0</v>
      </c>
      <c r="P43" s="337">
        <f>_!G44</f>
        <v>0</v>
      </c>
      <c r="Q43" s="337">
        <f>_!L44</f>
        <v>0</v>
      </c>
      <c r="R43" s="337">
        <f t="shared" si="2"/>
        <v>0</v>
      </c>
      <c r="S43" s="359">
        <v>702.71</v>
      </c>
      <c r="T43" s="72">
        <v>43396</v>
      </c>
      <c r="U43" s="347"/>
      <c r="V43" s="338"/>
      <c r="W43" s="333">
        <v>43676</v>
      </c>
      <c r="X43" s="340" t="s">
        <v>233</v>
      </c>
      <c r="Y43" s="341"/>
      <c r="Z43" s="341"/>
      <c r="AA43" s="342"/>
      <c r="AB43" s="341"/>
      <c r="AC43" s="346"/>
    </row>
    <row r="44" spans="1:29" s="299" customFormat="1" ht="14.25" customHeight="1" x14ac:dyDescent="0.25">
      <c r="A44" s="490"/>
      <c r="B44" s="269" t="s">
        <v>171</v>
      </c>
      <c r="C44" s="166"/>
      <c r="D44" s="9">
        <v>0</v>
      </c>
      <c r="E44" s="73">
        <v>3</v>
      </c>
      <c r="F44" s="334"/>
      <c r="G44" s="334"/>
      <c r="H44" s="334"/>
      <c r="I44" s="333"/>
      <c r="J44" s="334"/>
      <c r="K44" s="334">
        <v>1788</v>
      </c>
      <c r="L44" s="333">
        <v>43625</v>
      </c>
      <c r="M44" s="335">
        <f>_!K45</f>
        <v>0</v>
      </c>
      <c r="N44" s="335"/>
      <c r="O44" s="336">
        <f>_!H45</f>
        <v>0</v>
      </c>
      <c r="P44" s="337">
        <f>_!G45</f>
        <v>0</v>
      </c>
      <c r="Q44" s="337">
        <f>_!L45</f>
        <v>0</v>
      </c>
      <c r="R44" s="337">
        <f t="shared" si="2"/>
        <v>0</v>
      </c>
      <c r="S44" s="9"/>
      <c r="T44" s="333"/>
      <c r="U44" s="334"/>
      <c r="V44" s="334"/>
      <c r="W44" s="72"/>
      <c r="X44" s="355" t="s">
        <v>220</v>
      </c>
      <c r="Y44" s="343"/>
      <c r="Z44" s="341"/>
      <c r="AA44" s="342"/>
      <c r="AB44" s="341"/>
      <c r="AC44" s="346"/>
    </row>
    <row r="45" spans="1:29" s="299" customFormat="1" ht="19.899999999999999" customHeight="1" x14ac:dyDescent="0.25">
      <c r="A45" s="490"/>
      <c r="B45" s="269" t="s">
        <v>172</v>
      </c>
      <c r="C45" s="166" t="s">
        <v>413</v>
      </c>
      <c r="D45" s="9">
        <v>8</v>
      </c>
      <c r="E45" s="9">
        <v>8</v>
      </c>
      <c r="F45" s="334">
        <v>8</v>
      </c>
      <c r="G45" s="334">
        <v>12</v>
      </c>
      <c r="H45" s="334">
        <v>25</v>
      </c>
      <c r="I45" s="333">
        <v>43728</v>
      </c>
      <c r="J45" s="334">
        <v>24</v>
      </c>
      <c r="K45" s="334">
        <v>1625</v>
      </c>
      <c r="L45" s="333">
        <v>43737</v>
      </c>
      <c r="M45" s="335">
        <f>_!K46</f>
        <v>12.68054027653614</v>
      </c>
      <c r="N45" s="335">
        <v>10.89</v>
      </c>
      <c r="O45" s="336">
        <f>_!H46</f>
        <v>4.5151740242339269E-2</v>
      </c>
      <c r="P45" s="337">
        <f>_!G46</f>
        <v>10.398297548760926</v>
      </c>
      <c r="Q45" s="337">
        <f>_!L46</f>
        <v>12.188837825297066</v>
      </c>
      <c r="R45" s="337">
        <f t="shared" si="2"/>
        <v>79.751721961218749</v>
      </c>
      <c r="S45" s="9">
        <v>380.91</v>
      </c>
      <c r="T45" s="72">
        <v>43735</v>
      </c>
      <c r="U45" s="334"/>
      <c r="V45" s="338"/>
      <c r="W45" s="333"/>
      <c r="X45" s="355"/>
      <c r="Y45" s="343"/>
      <c r="Z45" s="341"/>
      <c r="AA45" s="342"/>
      <c r="AB45" s="341"/>
      <c r="AC45" s="346"/>
    </row>
    <row r="46" spans="1:29" s="299" customFormat="1" ht="19.899999999999999" customHeight="1" x14ac:dyDescent="0.25">
      <c r="A46" s="490"/>
      <c r="B46" s="269" t="s">
        <v>173</v>
      </c>
      <c r="C46" s="166" t="s">
        <v>358</v>
      </c>
      <c r="D46" s="9">
        <v>8</v>
      </c>
      <c r="E46" s="9">
        <v>8</v>
      </c>
      <c r="F46" s="9">
        <v>7.5</v>
      </c>
      <c r="G46" s="9">
        <v>36</v>
      </c>
      <c r="H46" s="334">
        <v>7</v>
      </c>
      <c r="I46" s="333">
        <v>43736</v>
      </c>
      <c r="J46" s="334">
        <v>10</v>
      </c>
      <c r="K46" s="334">
        <v>1875</v>
      </c>
      <c r="L46" s="333">
        <v>43737</v>
      </c>
      <c r="M46" s="335">
        <f>_!K47</f>
        <v>19.078555315382594</v>
      </c>
      <c r="N46" s="335">
        <v>16.329999999999998</v>
      </c>
      <c r="O46" s="336">
        <f>_!H47</f>
        <v>4.3224700363918137E-2</v>
      </c>
      <c r="P46" s="337">
        <f>_!G47</f>
        <v>15.624140643057215</v>
      </c>
      <c r="Q46" s="337">
        <f>_!L47</f>
        <v>18.37269595843981</v>
      </c>
      <c r="R46" s="337">
        <f t="shared" si="2"/>
        <v>119.99075794503575</v>
      </c>
      <c r="S46" s="9">
        <v>323.17</v>
      </c>
      <c r="T46" s="333">
        <v>43736</v>
      </c>
      <c r="U46" s="347"/>
      <c r="V46" s="338" t="s">
        <v>305</v>
      </c>
      <c r="W46" s="333">
        <v>43737</v>
      </c>
      <c r="X46" s="355" t="s">
        <v>341</v>
      </c>
      <c r="Y46" s="341"/>
      <c r="Z46" s="341"/>
      <c r="AA46" s="342"/>
      <c r="AB46" s="341"/>
      <c r="AC46" s="346"/>
    </row>
    <row r="47" spans="1:29" s="299" customFormat="1" ht="19.899999999999999" customHeight="1" x14ac:dyDescent="0.25">
      <c r="A47" s="490"/>
      <c r="B47" s="269" t="s">
        <v>174</v>
      </c>
      <c r="C47" s="166" t="s">
        <v>356</v>
      </c>
      <c r="D47" s="334">
        <v>11</v>
      </c>
      <c r="E47" s="71">
        <v>10</v>
      </c>
      <c r="F47" s="334">
        <v>10</v>
      </c>
      <c r="G47" s="334">
        <v>24</v>
      </c>
      <c r="H47" s="334">
        <v>8</v>
      </c>
      <c r="I47" s="333">
        <v>43735</v>
      </c>
      <c r="J47" s="334">
        <v>24</v>
      </c>
      <c r="K47" s="334">
        <v>1561</v>
      </c>
      <c r="L47" s="333">
        <v>43737</v>
      </c>
      <c r="M47" s="335">
        <f>_!K48</f>
        <v>47.596592733225101</v>
      </c>
      <c r="N47" s="335">
        <v>40.44</v>
      </c>
      <c r="O47" s="336">
        <f>_!H48</f>
        <v>3.7443580728654779E-2</v>
      </c>
      <c r="P47" s="337">
        <f>_!G48</f>
        <v>38.925781595333198</v>
      </c>
      <c r="Q47" s="337">
        <f>_!L48</f>
        <v>46.082374328558302</v>
      </c>
      <c r="R47" s="337">
        <f t="shared" si="2"/>
        <v>299.34925067707263</v>
      </c>
      <c r="S47" s="9">
        <v>45.08</v>
      </c>
      <c r="T47" s="72">
        <v>43736</v>
      </c>
      <c r="U47" s="334" t="s">
        <v>251</v>
      </c>
      <c r="V47" s="338"/>
      <c r="W47" s="333"/>
      <c r="X47" s="355"/>
      <c r="Y47" s="343"/>
      <c r="Z47" s="341"/>
      <c r="AA47" s="342"/>
      <c r="AB47" s="341"/>
      <c r="AC47" s="346"/>
    </row>
    <row r="48" spans="1:29" s="299" customFormat="1" ht="19.899999999999999" customHeight="1" x14ac:dyDescent="0.25">
      <c r="A48" s="490"/>
      <c r="B48" s="269" t="s">
        <v>175</v>
      </c>
      <c r="C48" s="166"/>
      <c r="D48" s="9"/>
      <c r="E48" s="73"/>
      <c r="F48" s="73"/>
      <c r="G48" s="73"/>
      <c r="H48" s="73"/>
      <c r="I48" s="333"/>
      <c r="J48" s="334"/>
      <c r="K48" s="334">
        <v>0</v>
      </c>
      <c r="L48" s="333">
        <v>43507</v>
      </c>
      <c r="M48" s="335">
        <f>_!K49</f>
        <v>0</v>
      </c>
      <c r="N48" s="335"/>
      <c r="O48" s="336">
        <f>_!H49</f>
        <v>0</v>
      </c>
      <c r="P48" s="337">
        <f>_!G49</f>
        <v>0</v>
      </c>
      <c r="Q48" s="337">
        <f>_!L49</f>
        <v>0</v>
      </c>
      <c r="R48" s="337">
        <f t="shared" si="2"/>
        <v>0</v>
      </c>
      <c r="S48" s="9"/>
      <c r="T48" s="333"/>
      <c r="U48" s="334"/>
      <c r="V48" s="347"/>
      <c r="W48" s="72"/>
      <c r="X48" s="355" t="s">
        <v>220</v>
      </c>
      <c r="Y48" s="343"/>
      <c r="Z48" s="341"/>
      <c r="AA48" s="342"/>
      <c r="AB48" s="343"/>
      <c r="AC48" s="363"/>
    </row>
    <row r="49" spans="1:29" s="299" customFormat="1" ht="19.899999999999999" customHeight="1" x14ac:dyDescent="0.25">
      <c r="A49" s="490"/>
      <c r="B49" s="269" t="s">
        <v>176</v>
      </c>
      <c r="C49" s="166" t="s">
        <v>359</v>
      </c>
      <c r="D49" s="334">
        <v>7</v>
      </c>
      <c r="E49" s="73">
        <v>7</v>
      </c>
      <c r="F49" s="9">
        <v>7</v>
      </c>
      <c r="G49" s="334">
        <v>4</v>
      </c>
      <c r="H49" s="334">
        <v>14</v>
      </c>
      <c r="I49" s="333">
        <v>43650</v>
      </c>
      <c r="J49" s="334">
        <v>9</v>
      </c>
      <c r="K49" s="334">
        <v>2684</v>
      </c>
      <c r="L49" s="333">
        <v>43737</v>
      </c>
      <c r="M49" s="335">
        <f>_!K100</f>
        <v>7.3043572342427083</v>
      </c>
      <c r="N49" s="335">
        <v>6.22</v>
      </c>
      <c r="O49" s="336">
        <v>8.9999999999999993E-3</v>
      </c>
      <c r="P49" s="337">
        <f>_!G100</f>
        <v>6.1640199999999998</v>
      </c>
      <c r="Q49" s="337">
        <f>_!L100</f>
        <v>7.2483772342427084</v>
      </c>
      <c r="R49" s="337">
        <f t="shared" si="2"/>
        <v>45.939293953322668</v>
      </c>
      <c r="S49" s="9"/>
      <c r="T49" s="333">
        <v>10</v>
      </c>
      <c r="U49" s="334"/>
      <c r="V49" s="338" t="s">
        <v>305</v>
      </c>
      <c r="W49" s="333">
        <v>43737</v>
      </c>
      <c r="X49" s="355" t="s">
        <v>385</v>
      </c>
      <c r="Y49" s="343"/>
      <c r="Z49" s="341"/>
      <c r="AA49" s="342"/>
      <c r="AB49" s="341"/>
      <c r="AC49" s="346"/>
    </row>
    <row r="50" spans="1:29" s="299" customFormat="1" ht="19.899999999999999" customHeight="1" x14ac:dyDescent="0.25">
      <c r="A50" s="490"/>
      <c r="B50" s="269" t="s">
        <v>177</v>
      </c>
      <c r="C50" s="166" t="s">
        <v>360</v>
      </c>
      <c r="D50" s="334">
        <v>8</v>
      </c>
      <c r="E50" s="73">
        <v>8</v>
      </c>
      <c r="F50" s="334">
        <v>8</v>
      </c>
      <c r="G50" s="334">
        <v>22</v>
      </c>
      <c r="H50" s="334">
        <v>25</v>
      </c>
      <c r="I50" s="333">
        <v>43663</v>
      </c>
      <c r="J50" s="334">
        <v>21</v>
      </c>
      <c r="K50" s="334">
        <v>1811</v>
      </c>
      <c r="L50" s="333">
        <v>43737</v>
      </c>
      <c r="M50" s="335">
        <f>_!K51</f>
        <v>27.433953800284804</v>
      </c>
      <c r="N50" s="335">
        <v>23.33</v>
      </c>
      <c r="O50" s="336">
        <f>_!H51</f>
        <v>4.6115260181549857E-2</v>
      </c>
      <c r="P50" s="337">
        <f>_!G51</f>
        <v>22.25413097996444</v>
      </c>
      <c r="Q50" s="337">
        <f>_!L51</f>
        <v>26.358084780249246</v>
      </c>
      <c r="R50" s="337">
        <f t="shared" si="2"/>
        <v>172.54036563613121</v>
      </c>
      <c r="S50" s="334">
        <v>222.84</v>
      </c>
      <c r="T50" s="72">
        <v>43737</v>
      </c>
      <c r="U50" s="334"/>
      <c r="V50" s="334" t="s">
        <v>464</v>
      </c>
      <c r="W50" s="333">
        <v>43737</v>
      </c>
      <c r="X50" s="355" t="s">
        <v>385</v>
      </c>
      <c r="Y50" s="341"/>
      <c r="Z50" s="341"/>
      <c r="AA50" s="342"/>
      <c r="AB50" s="341"/>
      <c r="AC50" s="346"/>
    </row>
    <row r="51" spans="1:29" s="301" customFormat="1" ht="19.899999999999999" customHeight="1" x14ac:dyDescent="0.25">
      <c r="A51" s="495" t="s">
        <v>398</v>
      </c>
      <c r="B51" s="496"/>
      <c r="C51" s="496"/>
      <c r="D51" s="496"/>
      <c r="E51" s="496"/>
      <c r="F51" s="496"/>
      <c r="G51" s="496"/>
      <c r="H51" s="496"/>
      <c r="I51" s="496"/>
      <c r="J51" s="496"/>
      <c r="K51" s="496"/>
      <c r="L51" s="496"/>
      <c r="M51" s="68">
        <f>SUM(M29:M50)</f>
        <v>243.13604073852017</v>
      </c>
      <c r="N51" s="68">
        <f>SUM(N29:N50)</f>
        <v>207.66000000000003</v>
      </c>
      <c r="O51" s="332">
        <f>U51/N51+5%</f>
        <v>0.05</v>
      </c>
      <c r="P51" s="68">
        <f>SUM(P29:P50)</f>
        <v>197.53201999999996</v>
      </c>
      <c r="Q51" s="68">
        <f>SUM(Q29:Q50)</f>
        <v>233.00806073852013</v>
      </c>
      <c r="R51" s="68">
        <f>SUM(R29:R50)</f>
        <v>1529.1555010167751</v>
      </c>
      <c r="S51" s="382"/>
      <c r="T51" s="383"/>
      <c r="U51" s="382"/>
      <c r="V51" s="382"/>
      <c r="W51" s="383"/>
      <c r="X51" s="350"/>
      <c r="Y51" s="350"/>
      <c r="Z51" s="350"/>
      <c r="AA51" s="350"/>
      <c r="AB51" s="351"/>
      <c r="AC51" s="356"/>
    </row>
    <row r="52" spans="1:29" s="299" customFormat="1" ht="19.899999999999999" customHeight="1" x14ac:dyDescent="0.25">
      <c r="A52" s="490" t="s">
        <v>22</v>
      </c>
      <c r="B52" s="269" t="s">
        <v>135</v>
      </c>
      <c r="C52" s="166" t="s">
        <v>27</v>
      </c>
      <c r="D52" s="9">
        <v>10</v>
      </c>
      <c r="E52" s="73">
        <v>10</v>
      </c>
      <c r="F52" s="9"/>
      <c r="G52" s="9"/>
      <c r="H52" s="9"/>
      <c r="I52" s="333"/>
      <c r="J52" s="334"/>
      <c r="K52" s="334" t="s">
        <v>296</v>
      </c>
      <c r="L52" s="333">
        <v>43438</v>
      </c>
      <c r="M52" s="335">
        <f>_!K57</f>
        <v>0</v>
      </c>
      <c r="N52" s="335">
        <v>0</v>
      </c>
      <c r="O52" s="336">
        <f>_!H57</f>
        <v>0</v>
      </c>
      <c r="P52" s="337">
        <f>_!G57</f>
        <v>0</v>
      </c>
      <c r="Q52" s="337">
        <f>_!L57</f>
        <v>0</v>
      </c>
      <c r="R52" s="337">
        <f>M52*6.2893</f>
        <v>0</v>
      </c>
      <c r="S52" s="9"/>
      <c r="T52" s="333"/>
      <c r="U52" s="334"/>
      <c r="V52" s="338"/>
      <c r="W52" s="339">
        <v>43663</v>
      </c>
      <c r="X52" s="355" t="s">
        <v>339</v>
      </c>
      <c r="Y52" s="341"/>
      <c r="Z52" s="341"/>
      <c r="AA52" s="342"/>
      <c r="AB52" s="341"/>
      <c r="AC52" s="346"/>
    </row>
    <row r="53" spans="1:29" s="299" customFormat="1" ht="19.899999999999999" customHeight="1" x14ac:dyDescent="0.25">
      <c r="A53" s="490"/>
      <c r="B53" s="269" t="s">
        <v>136</v>
      </c>
      <c r="C53" s="166" t="s">
        <v>27</v>
      </c>
      <c r="D53" s="9">
        <v>0</v>
      </c>
      <c r="E53" s="73">
        <v>0</v>
      </c>
      <c r="F53" s="9"/>
      <c r="G53" s="9"/>
      <c r="H53" s="9"/>
      <c r="I53" s="333"/>
      <c r="J53" s="334"/>
      <c r="K53" s="334"/>
      <c r="L53" s="348"/>
      <c r="M53" s="335">
        <f>_!K106</f>
        <v>0</v>
      </c>
      <c r="N53" s="335"/>
      <c r="O53" s="336">
        <v>0.02</v>
      </c>
      <c r="P53" s="337">
        <f>_!G106</f>
        <v>0</v>
      </c>
      <c r="Q53" s="337">
        <f>_!L106</f>
        <v>0</v>
      </c>
      <c r="R53" s="337">
        <f>M53*6.2893</f>
        <v>0</v>
      </c>
      <c r="S53" s="9"/>
      <c r="T53" s="333"/>
      <c r="U53" s="334"/>
      <c r="V53" s="338" t="s">
        <v>408</v>
      </c>
      <c r="W53" s="333">
        <v>43731</v>
      </c>
      <c r="X53" s="340" t="s">
        <v>233</v>
      </c>
      <c r="Y53" s="341"/>
      <c r="Z53" s="341"/>
      <c r="AA53" s="342"/>
      <c r="AB53" s="341"/>
      <c r="AC53" s="346"/>
    </row>
    <row r="54" spans="1:29" s="299" customFormat="1" ht="19.899999999999999" customHeight="1" x14ac:dyDescent="0.25">
      <c r="A54" s="490"/>
      <c r="B54" s="269" t="s">
        <v>254</v>
      </c>
      <c r="C54" s="166" t="s">
        <v>361</v>
      </c>
      <c r="D54" s="9"/>
      <c r="E54" s="73"/>
      <c r="F54" s="334"/>
      <c r="G54" s="334"/>
      <c r="H54" s="334"/>
      <c r="I54" s="333"/>
      <c r="J54" s="334"/>
      <c r="K54" s="334"/>
      <c r="L54" s="348"/>
      <c r="M54" s="335">
        <f>_!K59</f>
        <v>0</v>
      </c>
      <c r="N54" s="335">
        <v>0</v>
      </c>
      <c r="O54" s="336">
        <v>0.9</v>
      </c>
      <c r="P54" s="337">
        <f>_!G59</f>
        <v>0</v>
      </c>
      <c r="Q54" s="337">
        <f>_!L59</f>
        <v>0</v>
      </c>
      <c r="R54" s="337">
        <f>M54*6.2893</f>
        <v>0</v>
      </c>
      <c r="S54" s="9"/>
      <c r="T54" s="333"/>
      <c r="U54" s="334"/>
      <c r="V54" s="347" t="s">
        <v>9</v>
      </c>
      <c r="W54" s="333">
        <v>43641</v>
      </c>
      <c r="X54" s="340" t="s">
        <v>233</v>
      </c>
      <c r="Y54" s="341"/>
      <c r="Z54" s="341"/>
      <c r="AA54" s="342"/>
      <c r="AB54" s="341"/>
      <c r="AC54" s="346"/>
    </row>
    <row r="55" spans="1:29" s="300" customFormat="1" ht="19.899999999999999" customHeight="1" x14ac:dyDescent="0.25">
      <c r="A55" s="497" t="s">
        <v>222</v>
      </c>
      <c r="B55" s="498"/>
      <c r="C55" s="498"/>
      <c r="D55" s="498"/>
      <c r="E55" s="498"/>
      <c r="F55" s="498"/>
      <c r="G55" s="498"/>
      <c r="H55" s="498"/>
      <c r="I55" s="498"/>
      <c r="J55" s="498"/>
      <c r="K55" s="498"/>
      <c r="L55" s="498"/>
      <c r="M55" s="68">
        <f>SUM(M52:M54)</f>
        <v>0</v>
      </c>
      <c r="N55" s="68">
        <f>SUM(N52:N54)</f>
        <v>0</v>
      </c>
      <c r="O55" s="332">
        <f>IFERROR(U55/N55,0)</f>
        <v>0</v>
      </c>
      <c r="P55" s="68">
        <f>SUM(P52:P54)</f>
        <v>0</v>
      </c>
      <c r="Q55" s="68">
        <f>SUM(Q52:Q54)</f>
        <v>0</v>
      </c>
      <c r="R55" s="68">
        <f>SUM(R52:R54)</f>
        <v>0</v>
      </c>
      <c r="S55" s="382"/>
      <c r="T55" s="383"/>
      <c r="U55" s="382"/>
      <c r="V55" s="382"/>
      <c r="W55" s="383"/>
      <c r="X55" s="350"/>
      <c r="Y55" s="350"/>
      <c r="Z55" s="350"/>
      <c r="AA55" s="350"/>
      <c r="AB55" s="351"/>
      <c r="AC55" s="356"/>
    </row>
    <row r="56" spans="1:29" s="299" customFormat="1" ht="19.899999999999999" customHeight="1" x14ac:dyDescent="0.25">
      <c r="A56" s="490" t="s">
        <v>18</v>
      </c>
      <c r="B56" s="269" t="s">
        <v>178</v>
      </c>
      <c r="C56" s="166" t="s">
        <v>362</v>
      </c>
      <c r="D56" s="9"/>
      <c r="E56" s="73"/>
      <c r="F56" s="9"/>
      <c r="G56" s="9"/>
      <c r="H56" s="9"/>
      <c r="I56" s="333"/>
      <c r="J56" s="334"/>
      <c r="K56" s="334"/>
      <c r="L56" s="333"/>
      <c r="M56" s="335">
        <f>_!K65</f>
        <v>0</v>
      </c>
      <c r="N56" s="335"/>
      <c r="O56" s="336">
        <f>_!H65</f>
        <v>0</v>
      </c>
      <c r="P56" s="337">
        <f>_!G65</f>
        <v>0</v>
      </c>
      <c r="Q56" s="337">
        <f>_!L65</f>
        <v>0</v>
      </c>
      <c r="R56" s="337">
        <f>M56*6.2893</f>
        <v>0</v>
      </c>
      <c r="S56" s="9"/>
      <c r="T56" s="333"/>
      <c r="U56" s="334"/>
      <c r="V56" s="334" t="s">
        <v>306</v>
      </c>
      <c r="W56" s="339">
        <v>42165</v>
      </c>
      <c r="X56" s="340" t="s">
        <v>220</v>
      </c>
      <c r="Y56" s="341"/>
      <c r="Z56" s="341"/>
      <c r="AA56" s="342"/>
      <c r="AB56" s="343"/>
      <c r="AC56" s="349"/>
    </row>
    <row r="57" spans="1:29" s="299" customFormat="1" ht="19.899999999999999" customHeight="1" x14ac:dyDescent="0.25">
      <c r="A57" s="490"/>
      <c r="B57" s="269" t="s">
        <v>179</v>
      </c>
      <c r="C57" s="166" t="s">
        <v>363</v>
      </c>
      <c r="D57" s="9"/>
      <c r="E57" s="73"/>
      <c r="F57" s="9"/>
      <c r="G57" s="9"/>
      <c r="H57" s="9"/>
      <c r="I57" s="333"/>
      <c r="J57" s="334"/>
      <c r="K57" s="334"/>
      <c r="L57" s="333"/>
      <c r="M57" s="335">
        <f>_!K66</f>
        <v>0</v>
      </c>
      <c r="N57" s="335"/>
      <c r="O57" s="336">
        <f>_!H66</f>
        <v>0</v>
      </c>
      <c r="P57" s="337">
        <f>_!G66</f>
        <v>0</v>
      </c>
      <c r="Q57" s="337">
        <f>_!L66</f>
        <v>0</v>
      </c>
      <c r="R57" s="337">
        <f>M57*6.2893</f>
        <v>0</v>
      </c>
      <c r="S57" s="9"/>
      <c r="T57" s="333"/>
      <c r="U57" s="334"/>
      <c r="V57" s="334"/>
      <c r="W57" s="339">
        <v>41395</v>
      </c>
      <c r="X57" s="340" t="s">
        <v>185</v>
      </c>
      <c r="Y57" s="341"/>
      <c r="Z57" s="341"/>
      <c r="AA57" s="342"/>
      <c r="AB57" s="343"/>
      <c r="AC57" s="344"/>
    </row>
    <row r="58" spans="1:29" s="299" customFormat="1" ht="19.899999999999999" customHeight="1" x14ac:dyDescent="0.25">
      <c r="A58" s="490"/>
      <c r="B58" s="269" t="s">
        <v>180</v>
      </c>
      <c r="C58" s="166" t="s">
        <v>364</v>
      </c>
      <c r="D58" s="9"/>
      <c r="E58" s="73"/>
      <c r="F58" s="9"/>
      <c r="G58" s="9"/>
      <c r="H58" s="9"/>
      <c r="I58" s="333"/>
      <c r="J58" s="334"/>
      <c r="K58" s="334"/>
      <c r="L58" s="333"/>
      <c r="M58" s="335">
        <f>_!K67</f>
        <v>0</v>
      </c>
      <c r="N58" s="335"/>
      <c r="O58" s="336">
        <f>_!H67</f>
        <v>0</v>
      </c>
      <c r="P58" s="337">
        <f>_!G67</f>
        <v>0</v>
      </c>
      <c r="Q58" s="337">
        <f>_!L67</f>
        <v>0</v>
      </c>
      <c r="R58" s="337">
        <f>M58*6.2893</f>
        <v>0</v>
      </c>
      <c r="S58" s="9"/>
      <c r="T58" s="333"/>
      <c r="U58" s="334"/>
      <c r="V58" s="334" t="s">
        <v>209</v>
      </c>
      <c r="W58" s="365" t="s">
        <v>213</v>
      </c>
      <c r="X58" s="355" t="s">
        <v>129</v>
      </c>
      <c r="Y58" s="341"/>
      <c r="Z58" s="341"/>
      <c r="AA58" s="341"/>
      <c r="AB58" s="343"/>
      <c r="AC58" s="346"/>
    </row>
    <row r="59" spans="1:29" s="299" customFormat="1" ht="19.899999999999999" customHeight="1" x14ac:dyDescent="0.25">
      <c r="A59" s="490"/>
      <c r="B59" s="269" t="s">
        <v>134</v>
      </c>
      <c r="C59" s="166" t="s">
        <v>27</v>
      </c>
      <c r="D59" s="9">
        <v>16</v>
      </c>
      <c r="E59" s="73">
        <v>16</v>
      </c>
      <c r="F59" s="9"/>
      <c r="G59" s="9"/>
      <c r="H59" s="9"/>
      <c r="I59" s="333"/>
      <c r="J59" s="334"/>
      <c r="K59" s="334">
        <v>164</v>
      </c>
      <c r="L59" s="333">
        <v>43625</v>
      </c>
      <c r="M59" s="335">
        <f>_!K68</f>
        <v>0</v>
      </c>
      <c r="N59" s="335"/>
      <c r="O59" s="336">
        <f>_!H68</f>
        <v>0</v>
      </c>
      <c r="P59" s="337">
        <f>_!G68</f>
        <v>0</v>
      </c>
      <c r="Q59" s="337">
        <f>_!L68</f>
        <v>0</v>
      </c>
      <c r="R59" s="337">
        <f>M59*6.2893</f>
        <v>0</v>
      </c>
      <c r="S59" s="9"/>
      <c r="T59" s="333"/>
      <c r="U59" s="334"/>
      <c r="V59" s="334"/>
      <c r="W59" s="339">
        <v>43723</v>
      </c>
      <c r="X59" s="340" t="s">
        <v>233</v>
      </c>
      <c r="Y59" s="341"/>
      <c r="Z59" s="341"/>
      <c r="AA59" s="342"/>
      <c r="AB59" s="343"/>
      <c r="AC59" s="344"/>
    </row>
    <row r="60" spans="1:29" s="300" customFormat="1" ht="19.899999999999999" customHeight="1" x14ac:dyDescent="0.25">
      <c r="A60" s="493" t="s">
        <v>181</v>
      </c>
      <c r="B60" s="494"/>
      <c r="C60" s="494"/>
      <c r="D60" s="494"/>
      <c r="E60" s="494"/>
      <c r="F60" s="494"/>
      <c r="G60" s="494"/>
      <c r="H60" s="494"/>
      <c r="I60" s="494"/>
      <c r="J60" s="494"/>
      <c r="K60" s="494"/>
      <c r="L60" s="494"/>
      <c r="M60" s="68">
        <f>SUM(M56:M59)</f>
        <v>0</v>
      </c>
      <c r="N60" s="68">
        <f>SUM(N56:N59)</f>
        <v>0</v>
      </c>
      <c r="O60" s="332">
        <f>IFERROR(U60/N60,0)</f>
        <v>0</v>
      </c>
      <c r="P60" s="68">
        <f>N60-(N60*O60)</f>
        <v>0</v>
      </c>
      <c r="Q60" s="68">
        <f>SUM(Q56:Q59)</f>
        <v>0</v>
      </c>
      <c r="R60" s="68">
        <f>SUM(R56:R59)</f>
        <v>0</v>
      </c>
      <c r="S60" s="382"/>
      <c r="T60" s="383"/>
      <c r="U60" s="382"/>
      <c r="V60" s="382"/>
      <c r="W60" s="383"/>
      <c r="X60" s="350"/>
      <c r="Y60" s="350"/>
      <c r="Z60" s="350"/>
      <c r="AA60" s="350"/>
      <c r="AB60" s="351"/>
      <c r="AC60" s="352"/>
    </row>
    <row r="61" spans="1:29" s="299" customFormat="1" ht="19.899999999999999" customHeight="1" x14ac:dyDescent="0.25">
      <c r="A61" s="490" t="s">
        <v>17</v>
      </c>
      <c r="B61" s="269" t="s">
        <v>182</v>
      </c>
      <c r="C61" s="166" t="s">
        <v>365</v>
      </c>
      <c r="D61" s="9">
        <v>14</v>
      </c>
      <c r="E61" s="73">
        <v>14</v>
      </c>
      <c r="F61" s="9"/>
      <c r="G61" s="9"/>
      <c r="H61" s="9"/>
      <c r="I61" s="333"/>
      <c r="J61" s="334"/>
      <c r="K61" s="334">
        <v>855</v>
      </c>
      <c r="L61" s="333">
        <v>42887</v>
      </c>
      <c r="M61" s="335">
        <f>_!K74</f>
        <v>0</v>
      </c>
      <c r="N61" s="335"/>
      <c r="O61" s="336">
        <f>_!H74</f>
        <v>0</v>
      </c>
      <c r="P61" s="337">
        <f>_!G74</f>
        <v>0</v>
      </c>
      <c r="Q61" s="337">
        <f>_!L74</f>
        <v>0</v>
      </c>
      <c r="R61" s="337">
        <f>M61*6.2893</f>
        <v>0</v>
      </c>
      <c r="S61" s="9"/>
      <c r="T61" s="333"/>
      <c r="U61" s="334"/>
      <c r="V61" s="334"/>
      <c r="W61" s="339">
        <v>43334</v>
      </c>
      <c r="X61" s="340" t="s">
        <v>220</v>
      </c>
      <c r="Y61" s="341"/>
      <c r="Z61" s="341"/>
      <c r="AA61" s="341"/>
      <c r="AB61" s="343"/>
      <c r="AC61" s="344"/>
    </row>
    <row r="62" spans="1:29" s="299" customFormat="1" ht="19.899999999999999" customHeight="1" x14ac:dyDescent="0.25">
      <c r="A62" s="490"/>
      <c r="B62" s="269" t="s">
        <v>183</v>
      </c>
      <c r="C62" s="166" t="s">
        <v>366</v>
      </c>
      <c r="D62" s="9">
        <v>210</v>
      </c>
      <c r="E62" s="73">
        <v>210</v>
      </c>
      <c r="F62" s="9"/>
      <c r="G62" s="9"/>
      <c r="H62" s="9"/>
      <c r="I62" s="333"/>
      <c r="J62" s="334"/>
      <c r="K62" s="334"/>
      <c r="L62" s="333"/>
      <c r="M62" s="335">
        <f>_!K75</f>
        <v>0</v>
      </c>
      <c r="N62" s="335"/>
      <c r="O62" s="336">
        <f>_!H75</f>
        <v>0</v>
      </c>
      <c r="P62" s="337">
        <f>_!G75</f>
        <v>0</v>
      </c>
      <c r="Q62" s="337">
        <f>_!L75</f>
        <v>0</v>
      </c>
      <c r="R62" s="337">
        <f>M62*6.2893</f>
        <v>0</v>
      </c>
      <c r="S62" s="9"/>
      <c r="T62" s="333"/>
      <c r="U62" s="9"/>
      <c r="V62" s="9" t="s">
        <v>208</v>
      </c>
      <c r="W62" s="339">
        <v>42196</v>
      </c>
      <c r="X62" s="340" t="s">
        <v>130</v>
      </c>
      <c r="Y62" s="341"/>
      <c r="Z62" s="341"/>
      <c r="AA62" s="341"/>
      <c r="AB62" s="341"/>
      <c r="AC62" s="346"/>
    </row>
    <row r="63" spans="1:29" s="299" customFormat="1" ht="19.899999999999999" customHeight="1" x14ac:dyDescent="0.25">
      <c r="A63" s="490"/>
      <c r="B63" s="269" t="s">
        <v>184</v>
      </c>
      <c r="C63" s="166" t="s">
        <v>367</v>
      </c>
      <c r="D63" s="9"/>
      <c r="E63" s="73"/>
      <c r="F63" s="9"/>
      <c r="G63" s="9"/>
      <c r="H63" s="9"/>
      <c r="I63" s="333"/>
      <c r="J63" s="334"/>
      <c r="K63" s="334">
        <v>1596</v>
      </c>
      <c r="L63" s="333">
        <v>43470</v>
      </c>
      <c r="M63" s="335">
        <f>_!K76</f>
        <v>0</v>
      </c>
      <c r="N63" s="335"/>
      <c r="O63" s="336">
        <f>_!H76</f>
        <v>0</v>
      </c>
      <c r="P63" s="337">
        <f>_!G76</f>
        <v>0</v>
      </c>
      <c r="Q63" s="337">
        <f>_!L76</f>
        <v>0</v>
      </c>
      <c r="R63" s="337">
        <f>M63*6.2893</f>
        <v>0</v>
      </c>
      <c r="S63" s="9">
        <v>10.1</v>
      </c>
      <c r="T63" s="72">
        <v>43252</v>
      </c>
      <c r="U63" s="9"/>
      <c r="V63" s="334"/>
      <c r="W63" s="333">
        <v>43585</v>
      </c>
      <c r="X63" s="340" t="s">
        <v>233</v>
      </c>
      <c r="Y63" s="343"/>
      <c r="Z63" s="341"/>
      <c r="AA63" s="342"/>
      <c r="AB63" s="341"/>
      <c r="AC63" s="346"/>
    </row>
    <row r="64" spans="1:29" s="300" customFormat="1" ht="19.899999999999999" customHeight="1" x14ac:dyDescent="0.25">
      <c r="A64" s="493" t="s">
        <v>82</v>
      </c>
      <c r="B64" s="494"/>
      <c r="C64" s="494"/>
      <c r="D64" s="494"/>
      <c r="E64" s="494"/>
      <c r="F64" s="494"/>
      <c r="G64" s="494"/>
      <c r="H64" s="494"/>
      <c r="I64" s="494"/>
      <c r="J64" s="494"/>
      <c r="K64" s="494"/>
      <c r="L64" s="494"/>
      <c r="M64" s="68">
        <f>SUM(M61:M63)</f>
        <v>0</v>
      </c>
      <c r="N64" s="68">
        <f>SUM(N61:N63)</f>
        <v>0</v>
      </c>
      <c r="O64" s="332">
        <f>IFERROR(U64/N64,0)</f>
        <v>0</v>
      </c>
      <c r="P64" s="68">
        <f>N64-(N64*O64)</f>
        <v>0</v>
      </c>
      <c r="Q64" s="68">
        <f>SUM(Q61:Q63)</f>
        <v>0</v>
      </c>
      <c r="R64" s="68">
        <f>SUM(R61:R63)</f>
        <v>0</v>
      </c>
      <c r="S64" s="382"/>
      <c r="T64" s="383"/>
      <c r="U64" s="382"/>
      <c r="V64" s="382"/>
      <c r="W64" s="383"/>
      <c r="X64" s="350"/>
      <c r="Y64" s="350"/>
      <c r="Z64" s="350"/>
      <c r="AA64" s="350"/>
      <c r="AB64" s="351"/>
      <c r="AC64" s="352"/>
    </row>
    <row r="65" spans="1:29" s="299" customFormat="1" ht="19.899999999999999" customHeight="1" x14ac:dyDescent="0.25">
      <c r="A65" s="384" t="s">
        <v>23</v>
      </c>
      <c r="B65" s="269" t="s">
        <v>138</v>
      </c>
      <c r="C65" s="166" t="s">
        <v>368</v>
      </c>
      <c r="D65" s="9"/>
      <c r="E65" s="73"/>
      <c r="F65" s="9"/>
      <c r="G65" s="9"/>
      <c r="H65" s="9"/>
      <c r="I65" s="333"/>
      <c r="J65" s="334"/>
      <c r="K65" s="334"/>
      <c r="L65" s="333"/>
      <c r="M65" s="335">
        <f>_!K82</f>
        <v>0</v>
      </c>
      <c r="N65" s="335"/>
      <c r="O65" s="336">
        <f>_!H82</f>
        <v>0</v>
      </c>
      <c r="P65" s="337">
        <f>_!G82</f>
        <v>0</v>
      </c>
      <c r="Q65" s="337">
        <f>_!L82</f>
        <v>0</v>
      </c>
      <c r="R65" s="337">
        <f>M65*6.2893</f>
        <v>0</v>
      </c>
      <c r="S65" s="9"/>
      <c r="T65" s="333"/>
      <c r="U65" s="334"/>
      <c r="V65" s="334" t="s">
        <v>210</v>
      </c>
      <c r="W65" s="348">
        <v>42956</v>
      </c>
      <c r="X65" s="340" t="s">
        <v>233</v>
      </c>
      <c r="Y65" s="341"/>
      <c r="Z65" s="341"/>
      <c r="AA65" s="341"/>
      <c r="AB65" s="343"/>
      <c r="AC65" s="344"/>
    </row>
    <row r="66" spans="1:29" s="300" customFormat="1" ht="19.899999999999999" customHeight="1" x14ac:dyDescent="0.25">
      <c r="A66" s="493" t="s">
        <v>83</v>
      </c>
      <c r="B66" s="494"/>
      <c r="C66" s="494"/>
      <c r="D66" s="494"/>
      <c r="E66" s="494"/>
      <c r="F66" s="494"/>
      <c r="G66" s="494"/>
      <c r="H66" s="494"/>
      <c r="I66" s="494"/>
      <c r="J66" s="494"/>
      <c r="K66" s="494"/>
      <c r="L66" s="494"/>
      <c r="M66" s="68">
        <f>SUM(M65)</f>
        <v>0</v>
      </c>
      <c r="N66" s="68">
        <f>SUM(N65)</f>
        <v>0</v>
      </c>
      <c r="O66" s="332">
        <f>IFERROR(U66/N66,0)</f>
        <v>0</v>
      </c>
      <c r="P66" s="68">
        <f>N66-(N66*O66)</f>
        <v>0</v>
      </c>
      <c r="Q66" s="68">
        <f>SUM(Q65)</f>
        <v>0</v>
      </c>
      <c r="R66" s="68">
        <f>SUM(R65)</f>
        <v>0</v>
      </c>
      <c r="S66" s="382"/>
      <c r="T66" s="383"/>
      <c r="U66" s="382"/>
      <c r="V66" s="382"/>
      <c r="W66" s="383"/>
      <c r="X66" s="350"/>
      <c r="Y66" s="350"/>
      <c r="Z66" s="350"/>
      <c r="AA66" s="350"/>
      <c r="AB66" s="351"/>
      <c r="AC66" s="352"/>
    </row>
    <row r="67" spans="1:29" s="299" customFormat="1" ht="19.899999999999999" customHeight="1" x14ac:dyDescent="0.25">
      <c r="A67" s="384" t="s">
        <v>24</v>
      </c>
      <c r="B67" s="269" t="s">
        <v>137</v>
      </c>
      <c r="C67" s="166" t="s">
        <v>369</v>
      </c>
      <c r="D67" s="9"/>
      <c r="E67" s="9"/>
      <c r="F67" s="9"/>
      <c r="G67" s="9"/>
      <c r="H67" s="9"/>
      <c r="I67" s="333"/>
      <c r="J67" s="334"/>
      <c r="K67" s="334"/>
      <c r="L67" s="333"/>
      <c r="M67" s="335">
        <f>_!K88</f>
        <v>0</v>
      </c>
      <c r="N67" s="335"/>
      <c r="O67" s="336">
        <f>_!H88</f>
        <v>0</v>
      </c>
      <c r="P67" s="337">
        <f>_!G88</f>
        <v>0</v>
      </c>
      <c r="Q67" s="337">
        <f>_!L88</f>
        <v>0</v>
      </c>
      <c r="R67" s="337">
        <f>M67*6.2893</f>
        <v>0</v>
      </c>
      <c r="S67" s="9"/>
      <c r="T67" s="333"/>
      <c r="U67" s="334"/>
      <c r="V67" s="334"/>
      <c r="W67" s="333"/>
      <c r="X67" s="340" t="s">
        <v>233</v>
      </c>
      <c r="Y67" s="341"/>
      <c r="Z67" s="341"/>
      <c r="AA67" s="341"/>
      <c r="AB67" s="343"/>
      <c r="AC67" s="346"/>
    </row>
    <row r="68" spans="1:29" s="300" customFormat="1" ht="19.899999999999999" customHeight="1" x14ac:dyDescent="0.25">
      <c r="A68" s="493" t="s">
        <v>84</v>
      </c>
      <c r="B68" s="494"/>
      <c r="C68" s="494"/>
      <c r="D68" s="494"/>
      <c r="E68" s="494"/>
      <c r="F68" s="494"/>
      <c r="G68" s="494"/>
      <c r="H68" s="494"/>
      <c r="I68" s="494"/>
      <c r="J68" s="494"/>
      <c r="K68" s="494"/>
      <c r="L68" s="494"/>
      <c r="M68" s="68">
        <f>SUM(M67)</f>
        <v>0</v>
      </c>
      <c r="N68" s="68">
        <f>SUM(N67)</f>
        <v>0</v>
      </c>
      <c r="O68" s="332">
        <f>IFERROR(U68/N68,0)</f>
        <v>0</v>
      </c>
      <c r="P68" s="68">
        <f>N68-(N68*O68)</f>
        <v>0</v>
      </c>
      <c r="Q68" s="68">
        <f>SUM(Q67)</f>
        <v>0</v>
      </c>
      <c r="R68" s="68">
        <f>SUM(R67)</f>
        <v>0</v>
      </c>
      <c r="S68" s="382"/>
      <c r="T68" s="383"/>
      <c r="U68" s="382"/>
      <c r="V68" s="382"/>
      <c r="W68" s="383"/>
      <c r="X68" s="350"/>
      <c r="Y68" s="350"/>
      <c r="Z68" s="350"/>
      <c r="AA68" s="350"/>
      <c r="AB68" s="351"/>
      <c r="AC68" s="352"/>
    </row>
    <row r="69" spans="1:29" s="298" customFormat="1" ht="19.899999999999999" customHeight="1" thickBot="1" x14ac:dyDescent="0.3">
      <c r="A69" s="491" t="s">
        <v>397</v>
      </c>
      <c r="B69" s="492"/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364">
        <f>M17+M28+M51+M55+M60+M64+M66</f>
        <v>293.66454561775822</v>
      </c>
      <c r="N69" s="364">
        <f t="shared" ref="N69:R69" si="3">N17+N28+N51+N55+N60+N64+N66</f>
        <v>250.09000000000003</v>
      </c>
      <c r="O69" s="364"/>
      <c r="P69" s="364">
        <f t="shared" si="3"/>
        <v>229.57961999999998</v>
      </c>
      <c r="Q69" s="364">
        <f t="shared" si="3"/>
        <v>273.15416561775822</v>
      </c>
      <c r="R69" s="364">
        <f t="shared" si="3"/>
        <v>1846.9444267537672</v>
      </c>
      <c r="S69" s="484"/>
      <c r="T69" s="484"/>
      <c r="U69" s="484"/>
      <c r="V69" s="484"/>
      <c r="W69" s="484"/>
      <c r="X69" s="484"/>
      <c r="Y69" s="484"/>
      <c r="Z69" s="484"/>
      <c r="AA69" s="484"/>
      <c r="AB69" s="484"/>
      <c r="AC69" s="485"/>
    </row>
    <row r="72" spans="1:29" x14ac:dyDescent="0.25">
      <c r="B72" s="379"/>
      <c r="C72" s="379"/>
      <c r="D72" s="326"/>
      <c r="E72" s="326"/>
    </row>
  </sheetData>
  <mergeCells count="37">
    <mergeCell ref="A69:L69"/>
    <mergeCell ref="A56:A59"/>
    <mergeCell ref="A61:A63"/>
    <mergeCell ref="A17:L17"/>
    <mergeCell ref="A28:L28"/>
    <mergeCell ref="A51:L51"/>
    <mergeCell ref="A55:L55"/>
    <mergeCell ref="A60:L60"/>
    <mergeCell ref="A64:L64"/>
    <mergeCell ref="A66:L66"/>
    <mergeCell ref="A68:L68"/>
    <mergeCell ref="A7:A9"/>
    <mergeCell ref="A10:A16"/>
    <mergeCell ref="A18:A27"/>
    <mergeCell ref="A29:A50"/>
    <mergeCell ref="A52:A54"/>
    <mergeCell ref="B7:B9"/>
    <mergeCell ref="C7:C9"/>
    <mergeCell ref="D7:D9"/>
    <mergeCell ref="E7:E9"/>
    <mergeCell ref="F7:F9"/>
    <mergeCell ref="B2:B4"/>
    <mergeCell ref="B6:AC6"/>
    <mergeCell ref="M7:U8"/>
    <mergeCell ref="S69:AC69"/>
    <mergeCell ref="C2:E2"/>
    <mergeCell ref="C4:D4"/>
    <mergeCell ref="Y7:Y9"/>
    <mergeCell ref="AC7:AC9"/>
    <mergeCell ref="AB7:AB9"/>
    <mergeCell ref="G7:G9"/>
    <mergeCell ref="V7:X8"/>
    <mergeCell ref="K7:L8"/>
    <mergeCell ref="Z7:AA8"/>
    <mergeCell ref="I7:I9"/>
    <mergeCell ref="H7:H9"/>
    <mergeCell ref="J7:J9"/>
  </mergeCells>
  <pageMargins left="0.15748031496062992" right="0.15748031496062992" top="0.23" bottom="0.24" header="0.15748031496062992" footer="0.17"/>
  <pageSetup paperSize="9" scale="34" orientation="landscape" r:id="rId1"/>
  <ignoredErrors>
    <ignoredError sqref="O52:R52 R25:R28 P51:R51 O54:R55 P53:R53 M60:R68 R17:R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66"/>
  <sheetViews>
    <sheetView showGridLines="0" view="pageBreakPreview" topLeftCell="A22" zoomScaleNormal="90" zoomScaleSheetLayoutView="100" workbookViewId="0">
      <selection activeCell="N50" sqref="N49:N50"/>
    </sheetView>
  </sheetViews>
  <sheetFormatPr defaultColWidth="8.85546875" defaultRowHeight="15" x14ac:dyDescent="0.25"/>
  <cols>
    <col min="1" max="9" width="15.7109375" style="286" customWidth="1"/>
    <col min="10" max="10" width="15.7109375" style="287" customWidth="1"/>
    <col min="11" max="13" width="15.7109375" style="114" customWidth="1"/>
    <col min="14" max="15" width="15.7109375" style="291" customWidth="1"/>
    <col min="16" max="16" width="0.7109375" style="4" customWidth="1"/>
    <col min="17" max="16384" width="8.85546875" style="4"/>
  </cols>
  <sheetData>
    <row r="1" spans="1:15" s="288" customFormat="1" x14ac:dyDescent="0.25">
      <c r="A1" s="375"/>
      <c r="B1" s="375"/>
      <c r="C1" s="76"/>
      <c r="D1" s="76"/>
      <c r="E1" s="76"/>
      <c r="F1" s="375"/>
      <c r="G1" s="375"/>
      <c r="H1" s="375"/>
      <c r="I1" s="375"/>
      <c r="J1" s="77"/>
      <c r="K1" s="78"/>
      <c r="L1" s="78"/>
      <c r="M1" s="78"/>
      <c r="N1" s="79"/>
      <c r="O1" s="79"/>
    </row>
    <row r="2" spans="1:15" s="288" customFormat="1" x14ac:dyDescent="0.25">
      <c r="A2" s="499"/>
      <c r="B2" s="80" t="s">
        <v>420</v>
      </c>
      <c r="C2" s="80"/>
      <c r="D2" s="80"/>
      <c r="E2" s="80"/>
      <c r="F2" s="375"/>
      <c r="G2" s="375"/>
      <c r="H2" s="375"/>
      <c r="I2" s="375"/>
      <c r="J2" s="77"/>
      <c r="K2" s="78"/>
      <c r="L2" s="78"/>
      <c r="M2" s="78"/>
      <c r="N2" s="79"/>
      <c r="O2" s="79"/>
    </row>
    <row r="3" spans="1:15" s="288" customFormat="1" x14ac:dyDescent="0.25">
      <c r="A3" s="499"/>
      <c r="B3" s="81" t="s">
        <v>13</v>
      </c>
      <c r="C3" s="81"/>
      <c r="D3" s="81"/>
      <c r="E3" s="82"/>
      <c r="F3" s="82"/>
      <c r="G3" s="82"/>
      <c r="H3" s="375"/>
      <c r="I3" s="375"/>
      <c r="J3" s="77"/>
      <c r="K3" s="78"/>
      <c r="L3" s="78"/>
      <c r="M3" s="78"/>
      <c r="N3" s="79"/>
      <c r="O3" s="79"/>
    </row>
    <row r="4" spans="1:15" s="288" customFormat="1" x14ac:dyDescent="0.25">
      <c r="A4" s="499"/>
      <c r="B4" s="457" t="s">
        <v>14</v>
      </c>
      <c r="C4" s="457"/>
      <c r="D4" s="81"/>
      <c r="E4" s="82"/>
      <c r="F4" s="82"/>
      <c r="G4" s="82"/>
      <c r="H4" s="375"/>
      <c r="I4" s="375"/>
      <c r="J4" s="77"/>
      <c r="K4" s="78"/>
      <c r="L4" s="78"/>
      <c r="M4" s="78"/>
      <c r="N4" s="79"/>
      <c r="O4" s="79"/>
    </row>
    <row r="5" spans="1:15" s="288" customFormat="1" ht="15.75" thickBot="1" x14ac:dyDescent="0.3">
      <c r="A5" s="375"/>
      <c r="B5" s="369"/>
      <c r="C5" s="369"/>
      <c r="D5" s="81"/>
      <c r="E5" s="82"/>
      <c r="F5" s="82"/>
      <c r="G5" s="82"/>
      <c r="H5" s="375"/>
      <c r="I5" s="375"/>
      <c r="J5" s="77"/>
      <c r="K5" s="78"/>
      <c r="L5" s="78"/>
      <c r="M5" s="78"/>
      <c r="N5" s="79"/>
      <c r="O5" s="79"/>
    </row>
    <row r="6" spans="1:15" s="288" customFormat="1" x14ac:dyDescent="0.25">
      <c r="A6" s="502" t="s">
        <v>108</v>
      </c>
      <c r="B6" s="510" t="s">
        <v>89</v>
      </c>
      <c r="C6" s="510" t="s">
        <v>404</v>
      </c>
      <c r="D6" s="510" t="s">
        <v>93</v>
      </c>
      <c r="E6" s="537" t="s">
        <v>90</v>
      </c>
      <c r="F6" s="537"/>
      <c r="G6" s="510" t="s">
        <v>81</v>
      </c>
      <c r="H6" s="510"/>
      <c r="I6" s="510"/>
      <c r="J6" s="510"/>
      <c r="K6" s="510"/>
      <c r="L6" s="510"/>
      <c r="M6" s="510"/>
      <c r="N6" s="510"/>
      <c r="O6" s="511"/>
    </row>
    <row r="7" spans="1:15" s="288" customFormat="1" x14ac:dyDescent="0.25">
      <c r="A7" s="503"/>
      <c r="B7" s="508"/>
      <c r="C7" s="508"/>
      <c r="D7" s="508"/>
      <c r="E7" s="401" t="s">
        <v>91</v>
      </c>
      <c r="F7" s="401" t="s">
        <v>92</v>
      </c>
      <c r="G7" s="508"/>
      <c r="H7" s="508"/>
      <c r="I7" s="508"/>
      <c r="J7" s="508"/>
      <c r="K7" s="508"/>
      <c r="L7" s="508"/>
      <c r="M7" s="508"/>
      <c r="N7" s="508"/>
      <c r="O7" s="542"/>
    </row>
    <row r="8" spans="1:15" s="288" customFormat="1" ht="53.25" customHeight="1" x14ac:dyDescent="0.25">
      <c r="A8" s="367" t="s">
        <v>166</v>
      </c>
      <c r="B8" s="416" t="s">
        <v>310</v>
      </c>
      <c r="C8" s="391" t="s">
        <v>309</v>
      </c>
      <c r="D8" s="333">
        <v>43680</v>
      </c>
      <c r="E8" s="334" t="s">
        <v>390</v>
      </c>
      <c r="F8" s="334" t="s">
        <v>12</v>
      </c>
      <c r="G8" s="543" t="s">
        <v>465</v>
      </c>
      <c r="H8" s="543"/>
      <c r="I8" s="543"/>
      <c r="J8" s="543"/>
      <c r="K8" s="543"/>
      <c r="L8" s="543"/>
      <c r="M8" s="543"/>
      <c r="N8" s="543"/>
      <c r="O8" s="544"/>
    </row>
    <row r="9" spans="1:15" s="288" customFormat="1" ht="36.75" customHeight="1" x14ac:dyDescent="0.25">
      <c r="A9" s="367" t="s">
        <v>394</v>
      </c>
      <c r="B9" s="416" t="s">
        <v>395</v>
      </c>
      <c r="C9" s="391" t="s">
        <v>309</v>
      </c>
      <c r="D9" s="333">
        <v>41906</v>
      </c>
      <c r="E9" s="334" t="s">
        <v>0</v>
      </c>
      <c r="F9" s="334" t="s">
        <v>12</v>
      </c>
      <c r="G9" s="545" t="s">
        <v>466</v>
      </c>
      <c r="H9" s="545"/>
      <c r="I9" s="545"/>
      <c r="J9" s="545"/>
      <c r="K9" s="545"/>
      <c r="L9" s="545"/>
      <c r="M9" s="545"/>
      <c r="N9" s="545"/>
      <c r="O9" s="546"/>
    </row>
    <row r="10" spans="1:15" s="288" customFormat="1" ht="29.25" customHeight="1" x14ac:dyDescent="0.25">
      <c r="A10" s="367" t="s">
        <v>173</v>
      </c>
      <c r="B10" s="416" t="s">
        <v>310</v>
      </c>
      <c r="C10" s="391" t="s">
        <v>309</v>
      </c>
      <c r="D10" s="333">
        <v>43724</v>
      </c>
      <c r="E10" s="389" t="s">
        <v>11</v>
      </c>
      <c r="F10" s="390" t="s">
        <v>12</v>
      </c>
      <c r="G10" s="543" t="s">
        <v>462</v>
      </c>
      <c r="H10" s="543"/>
      <c r="I10" s="543"/>
      <c r="J10" s="543"/>
      <c r="K10" s="543"/>
      <c r="L10" s="543"/>
      <c r="M10" s="543"/>
      <c r="N10" s="543"/>
      <c r="O10" s="544"/>
    </row>
    <row r="11" spans="1:15" s="288" customFormat="1" ht="23.25" customHeight="1" thickBot="1" x14ac:dyDescent="0.3">
      <c r="A11" s="368" t="s">
        <v>409</v>
      </c>
      <c r="B11" s="417" t="s">
        <v>310</v>
      </c>
      <c r="C11" s="392" t="s">
        <v>309</v>
      </c>
      <c r="D11" s="387">
        <v>43733</v>
      </c>
      <c r="E11" s="388" t="s">
        <v>0</v>
      </c>
      <c r="F11" s="388" t="s">
        <v>12</v>
      </c>
      <c r="G11" s="547" t="s">
        <v>467</v>
      </c>
      <c r="H11" s="547"/>
      <c r="I11" s="547"/>
      <c r="J11" s="547"/>
      <c r="K11" s="547"/>
      <c r="L11" s="547"/>
      <c r="M11" s="547"/>
      <c r="N11" s="547"/>
      <c r="O11" s="548"/>
    </row>
    <row r="12" spans="1:15" s="288" customFormat="1" ht="15.75" thickBot="1" x14ac:dyDescent="0.3">
      <c r="A12" s="385"/>
      <c r="B12" s="369"/>
      <c r="C12" s="369"/>
      <c r="D12" s="81"/>
      <c r="E12" s="82"/>
      <c r="F12" s="82"/>
      <c r="G12" s="82"/>
      <c r="H12" s="375"/>
      <c r="I12" s="375"/>
      <c r="J12" s="77"/>
      <c r="K12" s="78"/>
      <c r="L12" s="78"/>
      <c r="M12" s="78"/>
      <c r="N12" s="79"/>
      <c r="O12" s="79"/>
    </row>
    <row r="13" spans="1:15" s="288" customFormat="1" ht="14.45" customHeight="1" x14ac:dyDescent="0.25">
      <c r="A13" s="502" t="s">
        <v>108</v>
      </c>
      <c r="B13" s="510" t="s">
        <v>89</v>
      </c>
      <c r="C13" s="510" t="s">
        <v>404</v>
      </c>
      <c r="D13" s="510" t="s">
        <v>93</v>
      </c>
      <c r="E13" s="537" t="s">
        <v>90</v>
      </c>
      <c r="F13" s="537"/>
      <c r="G13" s="510" t="s">
        <v>81</v>
      </c>
      <c r="H13" s="510"/>
      <c r="I13" s="510"/>
      <c r="J13" s="510"/>
      <c r="K13" s="510"/>
      <c r="L13" s="510"/>
      <c r="M13" s="510"/>
      <c r="N13" s="510"/>
      <c r="O13" s="511"/>
    </row>
    <row r="14" spans="1:15" s="288" customFormat="1" x14ac:dyDescent="0.25">
      <c r="A14" s="503"/>
      <c r="B14" s="508"/>
      <c r="C14" s="508"/>
      <c r="D14" s="508"/>
      <c r="E14" s="372" t="s">
        <v>91</v>
      </c>
      <c r="F14" s="372" t="s">
        <v>92</v>
      </c>
      <c r="G14" s="508"/>
      <c r="H14" s="508"/>
      <c r="I14" s="508"/>
      <c r="J14" s="508"/>
      <c r="K14" s="508"/>
      <c r="L14" s="508"/>
      <c r="M14" s="508"/>
      <c r="N14" s="508"/>
      <c r="O14" s="542"/>
    </row>
    <row r="15" spans="1:15" s="288" customFormat="1" ht="14.45" customHeight="1" x14ac:dyDescent="0.25">
      <c r="A15" s="367" t="s">
        <v>19</v>
      </c>
      <c r="B15" s="412" t="s">
        <v>402</v>
      </c>
      <c r="C15" s="413" t="s">
        <v>406</v>
      </c>
      <c r="D15" s="333">
        <v>43737</v>
      </c>
      <c r="E15" s="334" t="s">
        <v>4</v>
      </c>
      <c r="F15" s="334" t="s">
        <v>391</v>
      </c>
      <c r="G15" s="538" t="s">
        <v>456</v>
      </c>
      <c r="H15" s="538"/>
      <c r="I15" s="538"/>
      <c r="J15" s="538"/>
      <c r="K15" s="538"/>
      <c r="L15" s="538"/>
      <c r="M15" s="538"/>
      <c r="N15" s="538"/>
      <c r="O15" s="539"/>
    </row>
    <row r="16" spans="1:15" s="288" customFormat="1" ht="27" customHeight="1" thickBot="1" x14ac:dyDescent="0.3">
      <c r="A16" s="368" t="s">
        <v>19</v>
      </c>
      <c r="B16" s="414" t="s">
        <v>417</v>
      </c>
      <c r="C16" s="415" t="s">
        <v>405</v>
      </c>
      <c r="D16" s="387">
        <v>43737</v>
      </c>
      <c r="E16" s="388" t="s">
        <v>4</v>
      </c>
      <c r="F16" s="388" t="s">
        <v>391</v>
      </c>
      <c r="G16" s="540" t="s">
        <v>455</v>
      </c>
      <c r="H16" s="540"/>
      <c r="I16" s="540"/>
      <c r="J16" s="540"/>
      <c r="K16" s="540"/>
      <c r="L16" s="540"/>
      <c r="M16" s="540"/>
      <c r="N16" s="540"/>
      <c r="O16" s="541"/>
    </row>
    <row r="17" spans="1:15" s="288" customFormat="1" ht="15.75" thickBot="1" x14ac:dyDescent="0.3">
      <c r="A17" s="375"/>
      <c r="B17" s="369"/>
      <c r="C17" s="369"/>
      <c r="D17" s="81"/>
      <c r="E17" s="82"/>
      <c r="F17" s="82"/>
      <c r="G17" s="82"/>
      <c r="H17" s="375"/>
      <c r="I17" s="375"/>
      <c r="J17" s="77"/>
      <c r="K17" s="78"/>
      <c r="L17" s="78"/>
      <c r="M17" s="78"/>
      <c r="N17" s="79"/>
      <c r="O17" s="79"/>
    </row>
    <row r="18" spans="1:15" s="288" customFormat="1" x14ac:dyDescent="0.25">
      <c r="A18" s="532" t="s">
        <v>285</v>
      </c>
      <c r="B18" s="533"/>
      <c r="C18" s="533"/>
      <c r="D18" s="533"/>
      <c r="E18" s="533"/>
      <c r="F18" s="533"/>
      <c r="G18" s="533"/>
      <c r="H18" s="533"/>
      <c r="I18" s="533"/>
      <c r="J18" s="533"/>
      <c r="K18" s="533"/>
      <c r="L18" s="534"/>
      <c r="M18" s="84"/>
      <c r="N18" s="79"/>
      <c r="O18" s="79"/>
    </row>
    <row r="19" spans="1:15" s="288" customFormat="1" ht="38.25" x14ac:dyDescent="0.25">
      <c r="A19" s="446" t="s">
        <v>57</v>
      </c>
      <c r="B19" s="508" t="s">
        <v>94</v>
      </c>
      <c r="C19" s="508"/>
      <c r="D19" s="508"/>
      <c r="E19" s="535" t="s">
        <v>96</v>
      </c>
      <c r="F19" s="536"/>
      <c r="G19" s="85" t="s">
        <v>98</v>
      </c>
      <c r="H19" s="85" t="s">
        <v>281</v>
      </c>
      <c r="I19" s="85" t="s">
        <v>281</v>
      </c>
      <c r="J19" s="85" t="s">
        <v>320</v>
      </c>
      <c r="K19" s="85" t="s">
        <v>62</v>
      </c>
      <c r="L19" s="86" t="s">
        <v>290</v>
      </c>
      <c r="M19" s="84"/>
      <c r="N19" s="79"/>
      <c r="O19" s="79"/>
    </row>
    <row r="20" spans="1:15" s="288" customFormat="1" x14ac:dyDescent="0.25">
      <c r="A20" s="448"/>
      <c r="B20" s="512" t="s">
        <v>95</v>
      </c>
      <c r="C20" s="513"/>
      <c r="D20" s="87" t="s">
        <v>16</v>
      </c>
      <c r="E20" s="372" t="s">
        <v>97</v>
      </c>
      <c r="F20" s="377" t="s">
        <v>16</v>
      </c>
      <c r="G20" s="372" t="s">
        <v>16</v>
      </c>
      <c r="H20" s="372" t="s">
        <v>16</v>
      </c>
      <c r="I20" s="372" t="s">
        <v>286</v>
      </c>
      <c r="J20" s="372" t="s">
        <v>16</v>
      </c>
      <c r="K20" s="372" t="s">
        <v>16</v>
      </c>
      <c r="L20" s="376" t="s">
        <v>291</v>
      </c>
      <c r="M20" s="83"/>
      <c r="N20" s="83"/>
      <c r="O20" s="83"/>
    </row>
    <row r="21" spans="1:15" s="288" customFormat="1" x14ac:dyDescent="0.25">
      <c r="A21" s="309" t="s">
        <v>21</v>
      </c>
      <c r="B21" s="525"/>
      <c r="C21" s="526"/>
      <c r="D21" s="606">
        <v>53</v>
      </c>
      <c r="E21" s="606"/>
      <c r="F21" s="606"/>
      <c r="G21" s="606">
        <f>D21</f>
        <v>53</v>
      </c>
      <c r="H21" s="606"/>
      <c r="I21" s="607"/>
      <c r="J21" s="89"/>
      <c r="K21" s="89"/>
      <c r="L21" s="90"/>
      <c r="M21" s="84"/>
      <c r="N21" s="79"/>
      <c r="O21" s="79"/>
    </row>
    <row r="22" spans="1:15" s="288" customFormat="1" x14ac:dyDescent="0.25">
      <c r="A22" s="393" t="s">
        <v>20</v>
      </c>
      <c r="B22" s="529">
        <v>4</v>
      </c>
      <c r="C22" s="530"/>
      <c r="D22" s="606">
        <v>36</v>
      </c>
      <c r="E22" s="606"/>
      <c r="F22" s="606"/>
      <c r="G22" s="606">
        <f>D22</f>
        <v>36</v>
      </c>
      <c r="H22" s="608">
        <v>56</v>
      </c>
      <c r="I22" s="607">
        <v>43.56</v>
      </c>
      <c r="J22" s="89"/>
      <c r="K22" s="89"/>
      <c r="L22" s="91"/>
      <c r="M22" s="92"/>
      <c r="N22" s="93"/>
      <c r="O22" s="93"/>
    </row>
    <row r="23" spans="1:15" s="288" customFormat="1" x14ac:dyDescent="0.25">
      <c r="A23" s="520" t="s">
        <v>133</v>
      </c>
      <c r="B23" s="519">
        <v>1</v>
      </c>
      <c r="C23" s="519"/>
      <c r="D23" s="608">
        <v>5</v>
      </c>
      <c r="E23" s="606"/>
      <c r="F23" s="606"/>
      <c r="G23" s="608"/>
      <c r="H23" s="608"/>
      <c r="I23" s="607"/>
      <c r="J23" s="395"/>
      <c r="K23" s="89"/>
      <c r="L23" s="91"/>
      <c r="M23" s="92"/>
      <c r="N23" s="79"/>
      <c r="O23" s="79"/>
    </row>
    <row r="24" spans="1:15" s="288" customFormat="1" x14ac:dyDescent="0.25">
      <c r="A24" s="521"/>
      <c r="B24" s="531">
        <v>2</v>
      </c>
      <c r="C24" s="531"/>
      <c r="D24" s="608">
        <v>5</v>
      </c>
      <c r="E24" s="606"/>
      <c r="F24" s="606"/>
      <c r="G24" s="608"/>
      <c r="H24" s="608"/>
      <c r="I24" s="607"/>
      <c r="J24" s="395"/>
      <c r="K24" s="89"/>
      <c r="L24" s="91"/>
      <c r="M24" s="92"/>
      <c r="N24" s="79"/>
      <c r="O24" s="79"/>
    </row>
    <row r="25" spans="1:15" s="288" customFormat="1" x14ac:dyDescent="0.25">
      <c r="A25" s="521"/>
      <c r="B25" s="519">
        <v>3</v>
      </c>
      <c r="C25" s="519"/>
      <c r="D25" s="608">
        <v>13</v>
      </c>
      <c r="E25" s="606"/>
      <c r="F25" s="606"/>
      <c r="G25" s="608"/>
      <c r="H25" s="608"/>
      <c r="I25" s="607"/>
      <c r="J25" s="395"/>
      <c r="K25" s="89"/>
      <c r="L25" s="91"/>
      <c r="M25" s="92"/>
      <c r="N25" s="79"/>
      <c r="O25" s="79"/>
    </row>
    <row r="26" spans="1:15" s="288" customFormat="1" x14ac:dyDescent="0.25">
      <c r="A26" s="521"/>
      <c r="B26" s="519">
        <v>5</v>
      </c>
      <c r="C26" s="519"/>
      <c r="D26" s="608">
        <v>9</v>
      </c>
      <c r="E26" s="606"/>
      <c r="F26" s="606"/>
      <c r="G26" s="608"/>
      <c r="H26" s="608"/>
      <c r="I26" s="607"/>
      <c r="J26" s="396"/>
      <c r="K26" s="89"/>
      <c r="L26" s="91"/>
      <c r="M26" s="92"/>
      <c r="N26" s="79"/>
      <c r="O26" s="79"/>
    </row>
    <row r="27" spans="1:15" s="288" customFormat="1" x14ac:dyDescent="0.25">
      <c r="A27" s="522"/>
      <c r="B27" s="519">
        <v>6</v>
      </c>
      <c r="C27" s="519"/>
      <c r="D27" s="608">
        <v>39</v>
      </c>
      <c r="E27" s="606"/>
      <c r="F27" s="606"/>
      <c r="G27" s="608">
        <f>D23+D24+D25+D26+D27</f>
        <v>71</v>
      </c>
      <c r="H27" s="608">
        <v>400</v>
      </c>
      <c r="I27" s="607">
        <v>310.7</v>
      </c>
      <c r="J27" s="395"/>
      <c r="K27" s="89"/>
      <c r="L27" s="91"/>
      <c r="M27" s="92"/>
      <c r="N27" s="79"/>
      <c r="O27" s="79"/>
    </row>
    <row r="28" spans="1:15" s="288" customFormat="1" x14ac:dyDescent="0.25">
      <c r="A28" s="516" t="s">
        <v>19</v>
      </c>
      <c r="B28" s="519">
        <v>1</v>
      </c>
      <c r="C28" s="519"/>
      <c r="D28" s="608">
        <v>62</v>
      </c>
      <c r="E28" s="606"/>
      <c r="F28" s="606"/>
      <c r="G28" s="606"/>
      <c r="H28" s="606"/>
      <c r="I28" s="607"/>
      <c r="J28" s="396"/>
      <c r="K28" s="89"/>
      <c r="L28" s="91"/>
      <c r="M28" s="92"/>
      <c r="N28" s="79"/>
      <c r="O28" s="79"/>
    </row>
    <row r="29" spans="1:15" s="288" customFormat="1" x14ac:dyDescent="0.25">
      <c r="A29" s="517"/>
      <c r="B29" s="519">
        <v>2</v>
      </c>
      <c r="C29" s="519"/>
      <c r="D29" s="608">
        <v>6</v>
      </c>
      <c r="E29" s="606"/>
      <c r="F29" s="606"/>
      <c r="G29" s="606"/>
      <c r="H29" s="606"/>
      <c r="I29" s="609"/>
      <c r="J29" s="94"/>
      <c r="K29" s="89"/>
      <c r="L29" s="91"/>
      <c r="M29" s="92"/>
      <c r="N29" s="79"/>
      <c r="O29" s="79"/>
    </row>
    <row r="30" spans="1:15" s="288" customFormat="1" x14ac:dyDescent="0.25">
      <c r="A30" s="517"/>
      <c r="B30" s="519">
        <v>3</v>
      </c>
      <c r="C30" s="519"/>
      <c r="D30" s="608">
        <v>6</v>
      </c>
      <c r="E30" s="606"/>
      <c r="F30" s="606"/>
      <c r="G30" s="606"/>
      <c r="H30" s="606"/>
      <c r="I30" s="607"/>
      <c r="J30" s="370"/>
      <c r="K30" s="89"/>
      <c r="L30" s="91"/>
      <c r="M30" s="92"/>
      <c r="N30" s="79"/>
      <c r="O30" s="79"/>
    </row>
    <row r="31" spans="1:15" s="288" customFormat="1" x14ac:dyDescent="0.25">
      <c r="A31" s="518"/>
      <c r="B31" s="519">
        <v>4</v>
      </c>
      <c r="C31" s="519"/>
      <c r="D31" s="421">
        <v>14</v>
      </c>
      <c r="E31" s="419"/>
      <c r="F31" s="419"/>
      <c r="G31" s="419">
        <f>D28+D29+D30+D31</f>
        <v>88</v>
      </c>
      <c r="H31" s="419"/>
      <c r="I31" s="88"/>
      <c r="J31" s="370"/>
      <c r="K31" s="89"/>
      <c r="L31" s="91"/>
      <c r="M31" s="92"/>
      <c r="N31" s="79"/>
      <c r="O31" s="79"/>
    </row>
    <row r="32" spans="1:15" s="288" customFormat="1" x14ac:dyDescent="0.25">
      <c r="A32" s="309"/>
      <c r="B32" s="527"/>
      <c r="C32" s="528"/>
      <c r="D32" s="418"/>
      <c r="E32" s="265"/>
      <c r="F32" s="419"/>
      <c r="G32" s="419"/>
      <c r="H32" s="419"/>
      <c r="I32" s="88"/>
      <c r="J32" s="370"/>
      <c r="K32" s="265"/>
      <c r="L32" s="91"/>
      <c r="M32" s="84"/>
      <c r="N32" s="79"/>
      <c r="O32" s="79"/>
    </row>
    <row r="33" spans="1:15" s="288" customFormat="1" x14ac:dyDescent="0.25">
      <c r="A33" s="309"/>
      <c r="B33" s="525"/>
      <c r="C33" s="526"/>
      <c r="D33" s="418"/>
      <c r="E33" s="265"/>
      <c r="F33" s="421"/>
      <c r="G33" s="419"/>
      <c r="H33" s="419"/>
      <c r="I33" s="88"/>
      <c r="J33" s="370"/>
      <c r="K33" s="89"/>
      <c r="L33" s="91"/>
      <c r="M33" s="84"/>
      <c r="N33" s="79"/>
      <c r="O33" s="79"/>
    </row>
    <row r="34" spans="1:15" s="288" customFormat="1" x14ac:dyDescent="0.25">
      <c r="A34" s="394"/>
      <c r="B34" s="506"/>
      <c r="C34" s="507"/>
      <c r="D34" s="419"/>
      <c r="E34" s="265"/>
      <c r="F34" s="421"/>
      <c r="G34" s="419"/>
      <c r="H34" s="419"/>
      <c r="I34" s="88"/>
      <c r="J34" s="370"/>
      <c r="K34" s="89"/>
      <c r="L34" s="91"/>
      <c r="M34" s="84"/>
      <c r="N34" s="79"/>
      <c r="O34" s="79"/>
    </row>
    <row r="35" spans="1:15" s="288" customFormat="1" x14ac:dyDescent="0.25">
      <c r="A35" s="394"/>
      <c r="B35" s="373"/>
      <c r="C35" s="374"/>
      <c r="D35" s="419"/>
      <c r="E35" s="265"/>
      <c r="F35" s="419"/>
      <c r="G35" s="419"/>
      <c r="H35" s="419"/>
      <c r="I35" s="88"/>
      <c r="J35" s="370"/>
      <c r="K35" s="89"/>
      <c r="L35" s="91"/>
      <c r="M35" s="84"/>
      <c r="N35" s="79"/>
      <c r="O35" s="79"/>
    </row>
    <row r="36" spans="1:15" s="288" customFormat="1" x14ac:dyDescent="0.25">
      <c r="A36" s="394"/>
      <c r="B36" s="373"/>
      <c r="C36" s="374"/>
      <c r="D36" s="419"/>
      <c r="E36" s="420"/>
      <c r="F36" s="324"/>
      <c r="G36" s="419"/>
      <c r="H36" s="419"/>
      <c r="I36" s="88"/>
      <c r="J36" s="370"/>
      <c r="K36" s="89"/>
      <c r="L36" s="91"/>
      <c r="M36" s="84"/>
      <c r="N36" s="79"/>
      <c r="O36" s="79"/>
    </row>
    <row r="37" spans="1:15" s="288" customFormat="1" x14ac:dyDescent="0.25">
      <c r="A37" s="394"/>
      <c r="B37" s="373"/>
      <c r="C37" s="374"/>
      <c r="D37" s="95"/>
      <c r="E37" s="420"/>
      <c r="F37" s="324"/>
      <c r="G37" s="419"/>
      <c r="H37" s="95"/>
      <c r="I37" s="259"/>
      <c r="J37" s="95"/>
      <c r="K37" s="96"/>
      <c r="L37" s="91"/>
      <c r="M37" s="84"/>
      <c r="N37" s="79"/>
      <c r="O37" s="79"/>
    </row>
    <row r="38" spans="1:15" s="288" customFormat="1" x14ac:dyDescent="0.25">
      <c r="A38" s="394"/>
      <c r="B38" s="373"/>
      <c r="C38" s="374"/>
      <c r="D38" s="95"/>
      <c r="E38" s="400"/>
      <c r="F38" s="324"/>
      <c r="G38" s="399"/>
      <c r="H38" s="95"/>
      <c r="I38" s="259"/>
      <c r="J38" s="95"/>
      <c r="K38" s="96"/>
      <c r="L38" s="91"/>
      <c r="M38" s="84"/>
      <c r="N38" s="79"/>
      <c r="O38" s="79"/>
    </row>
    <row r="39" spans="1:15" s="288" customFormat="1" ht="15.75" thickBot="1" x14ac:dyDescent="0.3">
      <c r="A39" s="97" t="s">
        <v>56</v>
      </c>
      <c r="B39" s="523"/>
      <c r="C39" s="524"/>
      <c r="D39" s="98">
        <f>SUM(D21:D38)</f>
        <v>248</v>
      </c>
      <c r="E39" s="98"/>
      <c r="F39" s="98">
        <f>SUM(F32:F38)</f>
        <v>0</v>
      </c>
      <c r="G39" s="98">
        <f t="shared" ref="G39:L39" si="0">SUM(G21:G38)</f>
        <v>248</v>
      </c>
      <c r="H39" s="98">
        <f t="shared" si="0"/>
        <v>456</v>
      </c>
      <c r="I39" s="260">
        <f t="shared" si="0"/>
        <v>354.26</v>
      </c>
      <c r="J39" s="98">
        <f t="shared" si="0"/>
        <v>0</v>
      </c>
      <c r="K39" s="98">
        <f t="shared" si="0"/>
        <v>0</v>
      </c>
      <c r="L39" s="99">
        <f t="shared" si="0"/>
        <v>0</v>
      </c>
      <c r="M39" s="84"/>
      <c r="N39" s="79"/>
      <c r="O39" s="79"/>
    </row>
    <row r="40" spans="1:15" s="292" customFormat="1" ht="15.75" thickBot="1" x14ac:dyDescent="0.3">
      <c r="A40" s="84"/>
      <c r="B40" s="84"/>
      <c r="C40" s="84"/>
      <c r="D40" s="100"/>
      <c r="E40" s="100"/>
      <c r="F40" s="100"/>
      <c r="G40" s="100"/>
      <c r="H40" s="100"/>
      <c r="I40" s="100"/>
      <c r="J40" s="100"/>
      <c r="K40" s="100"/>
      <c r="L40" s="100"/>
      <c r="M40" s="84"/>
      <c r="N40" s="331"/>
      <c r="O40" s="331"/>
    </row>
    <row r="41" spans="1:15" s="288" customFormat="1" x14ac:dyDescent="0.25">
      <c r="A41" s="509" t="s">
        <v>57</v>
      </c>
      <c r="B41" s="510" t="s">
        <v>99</v>
      </c>
      <c r="C41" s="510"/>
      <c r="D41" s="510"/>
      <c r="E41" s="510"/>
      <c r="F41" s="510"/>
      <c r="G41" s="510"/>
      <c r="H41" s="510"/>
      <c r="I41" s="510"/>
      <c r="J41" s="510"/>
      <c r="K41" s="510"/>
      <c r="L41" s="511"/>
      <c r="M41" s="78"/>
      <c r="N41" s="79"/>
      <c r="O41" s="79"/>
    </row>
    <row r="42" spans="1:15" s="288" customFormat="1" ht="25.5" x14ac:dyDescent="0.25">
      <c r="A42" s="447"/>
      <c r="B42" s="508" t="s">
        <v>56</v>
      </c>
      <c r="C42" s="508"/>
      <c r="D42" s="512" t="s">
        <v>101</v>
      </c>
      <c r="E42" s="513"/>
      <c r="F42" s="512" t="s">
        <v>109</v>
      </c>
      <c r="G42" s="513"/>
      <c r="H42" s="512" t="s">
        <v>110</v>
      </c>
      <c r="I42" s="513"/>
      <c r="J42" s="101" t="s">
        <v>117</v>
      </c>
      <c r="K42" s="101" t="s">
        <v>104</v>
      </c>
      <c r="L42" s="102" t="s">
        <v>105</v>
      </c>
      <c r="M42" s="78"/>
      <c r="N42" s="79"/>
      <c r="O42" s="79"/>
    </row>
    <row r="43" spans="1:15" s="288" customFormat="1" ht="25.5" x14ac:dyDescent="0.25">
      <c r="A43" s="448"/>
      <c r="B43" s="508" t="s">
        <v>100</v>
      </c>
      <c r="C43" s="508"/>
      <c r="D43" s="372" t="s">
        <v>102</v>
      </c>
      <c r="E43" s="372" t="s">
        <v>103</v>
      </c>
      <c r="F43" s="372" t="s">
        <v>102</v>
      </c>
      <c r="G43" s="372" t="s">
        <v>103</v>
      </c>
      <c r="H43" s="372" t="s">
        <v>102</v>
      </c>
      <c r="I43" s="372" t="s">
        <v>103</v>
      </c>
      <c r="J43" s="372" t="s">
        <v>100</v>
      </c>
      <c r="K43" s="372" t="s">
        <v>100</v>
      </c>
      <c r="L43" s="376" t="s">
        <v>100</v>
      </c>
      <c r="M43" s="78"/>
      <c r="N43" s="79"/>
      <c r="O43" s="79"/>
    </row>
    <row r="44" spans="1:15" s="288" customFormat="1" x14ac:dyDescent="0.25">
      <c r="A44" s="309" t="s">
        <v>21</v>
      </c>
      <c r="B44" s="506">
        <v>7</v>
      </c>
      <c r="C44" s="507"/>
      <c r="D44" s="370">
        <v>3</v>
      </c>
      <c r="E44" s="370"/>
      <c r="F44" s="370">
        <v>2</v>
      </c>
      <c r="G44" s="370"/>
      <c r="H44" s="370"/>
      <c r="I44" s="370"/>
      <c r="J44" s="370"/>
      <c r="K44" s="370">
        <v>2</v>
      </c>
      <c r="L44" s="103"/>
      <c r="M44" s="78"/>
      <c r="N44" s="79"/>
      <c r="O44" s="79"/>
    </row>
    <row r="45" spans="1:15" s="288" customFormat="1" x14ac:dyDescent="0.25">
      <c r="A45" s="309" t="s">
        <v>20</v>
      </c>
      <c r="B45" s="506">
        <v>10</v>
      </c>
      <c r="C45" s="507"/>
      <c r="D45" s="370">
        <v>6</v>
      </c>
      <c r="E45" s="370"/>
      <c r="F45" s="370">
        <v>2</v>
      </c>
      <c r="G45" s="370"/>
      <c r="H45" s="370"/>
      <c r="I45" s="370"/>
      <c r="J45" s="370"/>
      <c r="K45" s="370"/>
      <c r="L45" s="103">
        <v>2</v>
      </c>
      <c r="M45" s="78"/>
      <c r="N45" s="79"/>
      <c r="O45" s="79"/>
    </row>
    <row r="46" spans="1:15" s="288" customFormat="1" x14ac:dyDescent="0.25">
      <c r="A46" s="309" t="s">
        <v>19</v>
      </c>
      <c r="B46" s="506">
        <v>22</v>
      </c>
      <c r="C46" s="507"/>
      <c r="D46" s="370"/>
      <c r="E46" s="370">
        <v>12</v>
      </c>
      <c r="F46" s="371">
        <v>1</v>
      </c>
      <c r="G46" s="370">
        <v>5</v>
      </c>
      <c r="H46" s="371">
        <v>3</v>
      </c>
      <c r="I46" s="370"/>
      <c r="J46" s="370">
        <v>1</v>
      </c>
      <c r="K46" s="370"/>
      <c r="L46" s="103"/>
      <c r="M46" s="78"/>
      <c r="N46" s="79"/>
      <c r="O46" s="79"/>
    </row>
    <row r="47" spans="1:15" s="288" customFormat="1" x14ac:dyDescent="0.25">
      <c r="A47" s="309" t="s">
        <v>139</v>
      </c>
      <c r="B47" s="506">
        <v>4</v>
      </c>
      <c r="C47" s="507"/>
      <c r="D47" s="370"/>
      <c r="E47" s="370"/>
      <c r="F47" s="370">
        <v>1</v>
      </c>
      <c r="G47" s="370"/>
      <c r="H47" s="370"/>
      <c r="I47" s="370">
        <v>2</v>
      </c>
      <c r="J47" s="370"/>
      <c r="K47" s="370"/>
      <c r="L47" s="103">
        <v>1</v>
      </c>
      <c r="M47" s="78"/>
      <c r="N47" s="79"/>
      <c r="O47" s="79"/>
    </row>
    <row r="48" spans="1:15" s="288" customFormat="1" x14ac:dyDescent="0.25">
      <c r="A48" s="309" t="s">
        <v>22</v>
      </c>
      <c r="B48" s="506">
        <v>3</v>
      </c>
      <c r="C48" s="507"/>
      <c r="D48" s="370">
        <v>1</v>
      </c>
      <c r="E48" s="370"/>
      <c r="F48" s="370">
        <v>1</v>
      </c>
      <c r="G48" s="370"/>
      <c r="H48" s="370"/>
      <c r="I48" s="370"/>
      <c r="J48" s="370">
        <v>1</v>
      </c>
      <c r="K48" s="370"/>
      <c r="L48" s="103">
        <v>1</v>
      </c>
      <c r="M48" s="78"/>
      <c r="N48" s="79"/>
      <c r="O48" s="79"/>
    </row>
    <row r="49" spans="1:15" s="288" customFormat="1" x14ac:dyDescent="0.25">
      <c r="A49" s="309" t="s">
        <v>17</v>
      </c>
      <c r="B49" s="506">
        <v>3</v>
      </c>
      <c r="C49" s="507"/>
      <c r="D49" s="370"/>
      <c r="E49" s="370"/>
      <c r="F49" s="370">
        <v>3</v>
      </c>
      <c r="G49" s="370"/>
      <c r="H49" s="370"/>
      <c r="I49" s="370"/>
      <c r="J49" s="370"/>
      <c r="K49" s="370"/>
      <c r="L49" s="103">
        <v>3</v>
      </c>
      <c r="M49" s="78"/>
      <c r="N49" s="79"/>
      <c r="O49" s="79"/>
    </row>
    <row r="50" spans="1:15" s="288" customFormat="1" x14ac:dyDescent="0.25">
      <c r="A50" s="309" t="s">
        <v>24</v>
      </c>
      <c r="B50" s="506">
        <v>1</v>
      </c>
      <c r="C50" s="507"/>
      <c r="D50" s="370"/>
      <c r="E50" s="370"/>
      <c r="F50" s="370"/>
      <c r="G50" s="370"/>
      <c r="H50" s="370"/>
      <c r="I50" s="370"/>
      <c r="J50" s="370"/>
      <c r="K50" s="370"/>
      <c r="L50" s="103">
        <v>1</v>
      </c>
      <c r="M50" s="78"/>
      <c r="N50" s="79"/>
      <c r="O50" s="79"/>
    </row>
    <row r="51" spans="1:15" s="288" customFormat="1" x14ac:dyDescent="0.25">
      <c r="A51" s="309" t="s">
        <v>23</v>
      </c>
      <c r="B51" s="506">
        <v>1</v>
      </c>
      <c r="C51" s="507"/>
      <c r="D51" s="370"/>
      <c r="E51" s="370"/>
      <c r="F51" s="370"/>
      <c r="G51" s="370"/>
      <c r="H51" s="370"/>
      <c r="I51" s="370"/>
      <c r="J51" s="370"/>
      <c r="K51" s="370"/>
      <c r="L51" s="103">
        <v>1</v>
      </c>
      <c r="M51" s="78"/>
      <c r="N51" s="79"/>
      <c r="O51" s="79"/>
    </row>
    <row r="52" spans="1:15" s="288" customFormat="1" x14ac:dyDescent="0.25">
      <c r="A52" s="309" t="s">
        <v>28</v>
      </c>
      <c r="B52" s="506">
        <v>0</v>
      </c>
      <c r="C52" s="507"/>
      <c r="D52" s="370"/>
      <c r="E52" s="370"/>
      <c r="F52" s="370"/>
      <c r="G52" s="370"/>
      <c r="H52" s="370"/>
      <c r="I52" s="370"/>
      <c r="J52" s="370"/>
      <c r="K52" s="370"/>
      <c r="L52" s="103"/>
      <c r="M52" s="78"/>
      <c r="N52" s="79"/>
      <c r="O52" s="79"/>
    </row>
    <row r="53" spans="1:15" s="288" customFormat="1" x14ac:dyDescent="0.25">
      <c r="A53" s="309" t="s">
        <v>29</v>
      </c>
      <c r="B53" s="506">
        <v>1</v>
      </c>
      <c r="C53" s="507"/>
      <c r="D53" s="370"/>
      <c r="E53" s="370"/>
      <c r="F53" s="370"/>
      <c r="G53" s="370"/>
      <c r="H53" s="370"/>
      <c r="I53" s="370"/>
      <c r="J53" s="370"/>
      <c r="K53" s="370"/>
      <c r="L53" s="103">
        <v>1</v>
      </c>
      <c r="M53" s="78"/>
      <c r="N53" s="79"/>
      <c r="O53" s="79"/>
    </row>
    <row r="54" spans="1:15" s="288" customFormat="1" ht="15.75" thickBot="1" x14ac:dyDescent="0.3">
      <c r="A54" s="104" t="s">
        <v>56</v>
      </c>
      <c r="B54" s="514">
        <f>B44+B45+B46+B47+B48+B49+B50+B51+B52+B53</f>
        <v>52</v>
      </c>
      <c r="C54" s="515"/>
      <c r="D54" s="98">
        <f t="shared" ref="D54:L54" si="1">D44+D45+D46+D47+D48+D49+D50+D51+D52+D53</f>
        <v>10</v>
      </c>
      <c r="E54" s="98">
        <f t="shared" si="1"/>
        <v>12</v>
      </c>
      <c r="F54" s="98">
        <f t="shared" si="1"/>
        <v>10</v>
      </c>
      <c r="G54" s="98">
        <f t="shared" si="1"/>
        <v>5</v>
      </c>
      <c r="H54" s="98">
        <f t="shared" si="1"/>
        <v>3</v>
      </c>
      <c r="I54" s="98">
        <f t="shared" si="1"/>
        <v>2</v>
      </c>
      <c r="J54" s="98">
        <f t="shared" si="1"/>
        <v>2</v>
      </c>
      <c r="K54" s="98">
        <f t="shared" si="1"/>
        <v>2</v>
      </c>
      <c r="L54" s="99">
        <f t="shared" si="1"/>
        <v>10</v>
      </c>
      <c r="M54" s="78"/>
      <c r="N54" s="79"/>
      <c r="O54" s="79"/>
    </row>
    <row r="55" spans="1:15" s="288" customFormat="1" ht="15.75" thickBot="1" x14ac:dyDescent="0.3">
      <c r="A55" s="375"/>
      <c r="B55" s="375"/>
      <c r="C55" s="375"/>
      <c r="D55" s="375"/>
      <c r="E55" s="375"/>
      <c r="F55" s="375"/>
      <c r="G55" s="375"/>
      <c r="H55" s="375"/>
      <c r="I55" s="375"/>
      <c r="J55" s="77"/>
      <c r="K55" s="78"/>
      <c r="L55" s="78"/>
      <c r="M55" s="78"/>
      <c r="N55" s="79"/>
      <c r="O55" s="79"/>
    </row>
    <row r="56" spans="1:15" s="288" customFormat="1" x14ac:dyDescent="0.25">
      <c r="A56" s="502" t="s">
        <v>57</v>
      </c>
      <c r="B56" s="505" t="s">
        <v>292</v>
      </c>
      <c r="C56" s="505"/>
      <c r="D56" s="505"/>
      <c r="E56" s="505"/>
      <c r="F56" s="505"/>
      <c r="G56" s="505"/>
      <c r="H56" s="505"/>
      <c r="I56" s="505"/>
      <c r="J56" s="505"/>
      <c r="K56" s="505"/>
      <c r="L56" s="505"/>
      <c r="M56" s="505"/>
      <c r="N56" s="505"/>
      <c r="O56" s="500" t="s">
        <v>56</v>
      </c>
    </row>
    <row r="57" spans="1:15" s="288" customFormat="1" x14ac:dyDescent="0.25">
      <c r="A57" s="503"/>
      <c r="B57" s="408" t="s">
        <v>0</v>
      </c>
      <c r="C57" s="377" t="s">
        <v>1</v>
      </c>
      <c r="D57" s="377" t="s">
        <v>2</v>
      </c>
      <c r="E57" s="377" t="s">
        <v>3</v>
      </c>
      <c r="F57" s="377" t="s">
        <v>4</v>
      </c>
      <c r="G57" s="377" t="s">
        <v>5</v>
      </c>
      <c r="H57" s="377" t="s">
        <v>6</v>
      </c>
      <c r="I57" s="377" t="s">
        <v>7</v>
      </c>
      <c r="J57" s="377" t="s">
        <v>8</v>
      </c>
      <c r="K57" s="377" t="s">
        <v>9</v>
      </c>
      <c r="L57" s="377" t="s">
        <v>10</v>
      </c>
      <c r="M57" s="377" t="s">
        <v>11</v>
      </c>
      <c r="N57" s="377" t="s">
        <v>12</v>
      </c>
      <c r="O57" s="501"/>
    </row>
    <row r="58" spans="1:15" s="288" customFormat="1" x14ac:dyDescent="0.2">
      <c r="A58" s="309" t="s">
        <v>169</v>
      </c>
      <c r="B58" s="321">
        <v>1365.1</v>
      </c>
      <c r="C58" s="112">
        <v>1367.5</v>
      </c>
      <c r="D58" s="112">
        <v>1369.8</v>
      </c>
      <c r="E58" s="313" t="s">
        <v>422</v>
      </c>
      <c r="F58" s="310" t="s">
        <v>430</v>
      </c>
      <c r="G58" s="310" t="s">
        <v>431</v>
      </c>
      <c r="H58" s="310" t="s">
        <v>432</v>
      </c>
      <c r="I58" s="310" t="s">
        <v>439</v>
      </c>
      <c r="J58" s="310" t="s">
        <v>440</v>
      </c>
      <c r="K58" s="611" t="s">
        <v>441</v>
      </c>
      <c r="L58" s="313" t="s">
        <v>468</v>
      </c>
      <c r="M58" s="313" t="s">
        <v>469</v>
      </c>
      <c r="N58" s="313" t="s">
        <v>470</v>
      </c>
      <c r="O58" s="610">
        <v>27.4</v>
      </c>
    </row>
    <row r="59" spans="1:15" s="288" customFormat="1" x14ac:dyDescent="0.25">
      <c r="A59" s="309" t="s">
        <v>177</v>
      </c>
      <c r="B59" s="313" t="s">
        <v>419</v>
      </c>
      <c r="C59" s="313" t="s">
        <v>426</v>
      </c>
      <c r="D59" s="313" t="s">
        <v>427</v>
      </c>
      <c r="E59" s="313" t="s">
        <v>428</v>
      </c>
      <c r="F59" s="313" t="s">
        <v>436</v>
      </c>
      <c r="G59" s="313" t="s">
        <v>437</v>
      </c>
      <c r="H59" s="313" t="s">
        <v>438</v>
      </c>
      <c r="I59" s="313" t="s">
        <v>445</v>
      </c>
      <c r="J59" s="313" t="s">
        <v>446</v>
      </c>
      <c r="K59" s="620" t="s">
        <v>447</v>
      </c>
      <c r="L59" s="313" t="s">
        <v>474</v>
      </c>
      <c r="M59" s="313" t="s">
        <v>475</v>
      </c>
      <c r="N59" s="313" t="s">
        <v>476</v>
      </c>
      <c r="O59" s="619" t="s">
        <v>477</v>
      </c>
    </row>
    <row r="60" spans="1:15" s="288" customFormat="1" ht="15.75" thickBot="1" x14ac:dyDescent="0.3">
      <c r="A60" s="105" t="s">
        <v>56</v>
      </c>
      <c r="B60" s="106"/>
      <c r="C60" s="107"/>
      <c r="D60" s="108"/>
      <c r="E60" s="108"/>
      <c r="F60" s="108"/>
      <c r="G60" s="108"/>
      <c r="H60" s="108"/>
      <c r="I60" s="108"/>
      <c r="J60" s="109"/>
      <c r="K60" s="109"/>
      <c r="L60" s="109"/>
      <c r="M60" s="110"/>
      <c r="N60" s="110"/>
      <c r="O60" s="111"/>
    </row>
    <row r="61" spans="1:15" s="288" customFormat="1" ht="15.75" thickBot="1" x14ac:dyDescent="0.3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</row>
    <row r="62" spans="1:15" s="288" customFormat="1" x14ac:dyDescent="0.25">
      <c r="A62" s="473" t="s">
        <v>57</v>
      </c>
      <c r="B62" s="615" t="s">
        <v>236</v>
      </c>
      <c r="C62" s="505"/>
      <c r="D62" s="505"/>
      <c r="E62" s="505"/>
      <c r="F62" s="505"/>
      <c r="G62" s="505"/>
      <c r="H62" s="505"/>
      <c r="I62" s="505"/>
      <c r="J62" s="505"/>
      <c r="K62" s="505"/>
      <c r="L62" s="505"/>
      <c r="M62" s="505"/>
      <c r="N62" s="505"/>
      <c r="O62" s="500" t="s">
        <v>56</v>
      </c>
    </row>
    <row r="63" spans="1:15" s="288" customFormat="1" x14ac:dyDescent="0.25">
      <c r="A63" s="612"/>
      <c r="B63" s="422" t="s">
        <v>0</v>
      </c>
      <c r="C63" s="377" t="s">
        <v>1</v>
      </c>
      <c r="D63" s="377" t="s">
        <v>2</v>
      </c>
      <c r="E63" s="377" t="s">
        <v>3</v>
      </c>
      <c r="F63" s="377" t="s">
        <v>4</v>
      </c>
      <c r="G63" s="377" t="s">
        <v>5</v>
      </c>
      <c r="H63" s="377" t="s">
        <v>6</v>
      </c>
      <c r="I63" s="377" t="s">
        <v>7</v>
      </c>
      <c r="J63" s="377" t="s">
        <v>8</v>
      </c>
      <c r="K63" s="377" t="s">
        <v>9</v>
      </c>
      <c r="L63" s="377" t="s">
        <v>10</v>
      </c>
      <c r="M63" s="377" t="s">
        <v>11</v>
      </c>
      <c r="N63" s="377" t="s">
        <v>12</v>
      </c>
      <c r="O63" s="501"/>
    </row>
    <row r="64" spans="1:15" s="288" customFormat="1" x14ac:dyDescent="0.25">
      <c r="A64" s="613" t="s">
        <v>169</v>
      </c>
      <c r="B64" s="616">
        <v>1679923</v>
      </c>
      <c r="C64" s="313" t="s">
        <v>423</v>
      </c>
      <c r="D64" s="313" t="s">
        <v>424</v>
      </c>
      <c r="E64" s="313" t="s">
        <v>425</v>
      </c>
      <c r="F64" s="310" t="s">
        <v>433</v>
      </c>
      <c r="G64" s="310" t="s">
        <v>434</v>
      </c>
      <c r="H64" s="310" t="s">
        <v>435</v>
      </c>
      <c r="I64" s="310" t="s">
        <v>442</v>
      </c>
      <c r="J64" s="310" t="s">
        <v>443</v>
      </c>
      <c r="K64" s="611" t="s">
        <v>444</v>
      </c>
      <c r="L64" s="313" t="s">
        <v>471</v>
      </c>
      <c r="M64" s="313" t="s">
        <v>472</v>
      </c>
      <c r="N64" s="313" t="s">
        <v>473</v>
      </c>
      <c r="O64" s="617">
        <v>2492</v>
      </c>
    </row>
    <row r="65" spans="1:15" s="288" customFormat="1" x14ac:dyDescent="0.2">
      <c r="A65" s="613" t="s">
        <v>177</v>
      </c>
      <c r="B65" s="618" t="s">
        <v>389</v>
      </c>
      <c r="C65" s="311">
        <v>386</v>
      </c>
      <c r="D65" s="312">
        <v>798</v>
      </c>
      <c r="E65" s="313" t="s">
        <v>429</v>
      </c>
      <c r="F65" s="321">
        <v>1616</v>
      </c>
      <c r="G65" s="321">
        <v>2050</v>
      </c>
      <c r="H65" s="321">
        <v>2480</v>
      </c>
      <c r="I65" s="321">
        <v>2990</v>
      </c>
      <c r="J65" s="321">
        <v>3498</v>
      </c>
      <c r="K65" s="621">
        <v>4011</v>
      </c>
      <c r="L65" s="313" t="s">
        <v>478</v>
      </c>
      <c r="M65" s="313" t="s">
        <v>479</v>
      </c>
      <c r="N65" s="313" t="s">
        <v>480</v>
      </c>
      <c r="O65" s="619" t="s">
        <v>480</v>
      </c>
    </row>
    <row r="66" spans="1:15" s="288" customFormat="1" ht="15.75" thickBot="1" x14ac:dyDescent="0.3">
      <c r="A66" s="614" t="s">
        <v>56</v>
      </c>
      <c r="B66" s="105"/>
      <c r="C66" s="366"/>
      <c r="D66" s="109"/>
      <c r="E66" s="109"/>
      <c r="F66" s="109"/>
      <c r="G66" s="109"/>
      <c r="H66" s="109"/>
      <c r="I66" s="109"/>
      <c r="J66" s="109"/>
      <c r="K66" s="109"/>
      <c r="L66" s="109"/>
      <c r="M66" s="110"/>
      <c r="N66" s="110"/>
      <c r="O66" s="111"/>
    </row>
  </sheetData>
  <mergeCells count="67">
    <mergeCell ref="G6:O7"/>
    <mergeCell ref="G8:O8"/>
    <mergeCell ref="G9:O9"/>
    <mergeCell ref="G10:O10"/>
    <mergeCell ref="G11:O11"/>
    <mergeCell ref="G16:O16"/>
    <mergeCell ref="A13:A14"/>
    <mergeCell ref="B13:B14"/>
    <mergeCell ref="C13:C14"/>
    <mergeCell ref="D13:D14"/>
    <mergeCell ref="E13:F13"/>
    <mergeCell ref="G13:O14"/>
    <mergeCell ref="G15:O15"/>
    <mergeCell ref="A6:A7"/>
    <mergeCell ref="B6:B7"/>
    <mergeCell ref="C6:C7"/>
    <mergeCell ref="D6:D7"/>
    <mergeCell ref="E6:F6"/>
    <mergeCell ref="B22:C22"/>
    <mergeCell ref="B23:C23"/>
    <mergeCell ref="B24:C24"/>
    <mergeCell ref="B25:C25"/>
    <mergeCell ref="A18:L18"/>
    <mergeCell ref="E19:F19"/>
    <mergeCell ref="A19:A20"/>
    <mergeCell ref="B19:D19"/>
    <mergeCell ref="B20:C20"/>
    <mergeCell ref="B21:C21"/>
    <mergeCell ref="B39:C39"/>
    <mergeCell ref="B31:C31"/>
    <mergeCell ref="B30:C30"/>
    <mergeCell ref="B34:C34"/>
    <mergeCell ref="B33:C33"/>
    <mergeCell ref="B32:C32"/>
    <mergeCell ref="A28:A31"/>
    <mergeCell ref="B26:C26"/>
    <mergeCell ref="B27:C27"/>
    <mergeCell ref="B28:C28"/>
    <mergeCell ref="A23:A27"/>
    <mergeCell ref="B29:C29"/>
    <mergeCell ref="B54:C54"/>
    <mergeCell ref="B49:C49"/>
    <mergeCell ref="B50:C50"/>
    <mergeCell ref="B51:C51"/>
    <mergeCell ref="B52:C52"/>
    <mergeCell ref="B53:C53"/>
    <mergeCell ref="F42:G42"/>
    <mergeCell ref="H42:I42"/>
    <mergeCell ref="B43:C43"/>
    <mergeCell ref="B44:C44"/>
    <mergeCell ref="B45:C45"/>
    <mergeCell ref="A2:A4"/>
    <mergeCell ref="B4:C4"/>
    <mergeCell ref="O62:O63"/>
    <mergeCell ref="A56:A57"/>
    <mergeCell ref="O56:O57"/>
    <mergeCell ref="A61:O61"/>
    <mergeCell ref="B56:N56"/>
    <mergeCell ref="B62:N62"/>
    <mergeCell ref="B46:C46"/>
    <mergeCell ref="B47:C47"/>
    <mergeCell ref="B42:C42"/>
    <mergeCell ref="A41:A43"/>
    <mergeCell ref="A62:A63"/>
    <mergeCell ref="B48:C48"/>
    <mergeCell ref="B41:L41"/>
    <mergeCell ref="D42:E42"/>
  </mergeCells>
  <pageMargins left="0.15748031496062992" right="0.15748031496062992" top="0.23622047244094491" bottom="0.23622047244094491" header="0.15748031496062992" footer="0.15748031496062992"/>
  <pageSetup paperSize="9" scale="38" orientation="portrait" r:id="rId1"/>
  <ignoredErrors>
    <ignoredError sqref="A66:O66 B65 B61:O61 G60 A60:B60 A62:O63 C60:F60 H60:O60 A6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O110"/>
  <sheetViews>
    <sheetView workbookViewId="0">
      <pane ySplit="3" topLeftCell="A4" activePane="bottomLeft" state="frozen"/>
      <selection pane="bottomLeft" activeCell="E15" sqref="E15"/>
    </sheetView>
  </sheetViews>
  <sheetFormatPr defaultRowHeight="15" x14ac:dyDescent="0.25"/>
  <cols>
    <col min="2" max="2" width="16.28515625" bestFit="1" customWidth="1"/>
    <col min="3" max="3" width="10.28515625" customWidth="1"/>
    <col min="4" max="4" width="12.7109375" customWidth="1"/>
    <col min="5" max="5" width="15.7109375" bestFit="1" customWidth="1"/>
    <col min="6" max="6" width="11" bestFit="1" customWidth="1"/>
    <col min="7" max="8" width="11.7109375" bestFit="1" customWidth="1"/>
    <col min="9" max="9" width="9.7109375" bestFit="1" customWidth="1"/>
    <col min="10" max="10" width="17.42578125" bestFit="1" customWidth="1"/>
    <col min="11" max="11" width="14.85546875" bestFit="1" customWidth="1"/>
    <col min="12" max="12" width="12.42578125" bestFit="1" customWidth="1"/>
  </cols>
  <sheetData>
    <row r="3" spans="1:15" ht="45" x14ac:dyDescent="0.25">
      <c r="B3" s="26" t="s">
        <v>237</v>
      </c>
      <c r="C3" s="27" t="s">
        <v>265</v>
      </c>
      <c r="D3" s="26" t="s">
        <v>264</v>
      </c>
      <c r="E3" s="26" t="s">
        <v>257</v>
      </c>
      <c r="F3" s="27" t="s">
        <v>266</v>
      </c>
      <c r="G3" s="26" t="s">
        <v>258</v>
      </c>
      <c r="H3" s="26" t="s">
        <v>267</v>
      </c>
      <c r="I3" s="26" t="s">
        <v>259</v>
      </c>
      <c r="J3" s="26" t="s">
        <v>260</v>
      </c>
      <c r="K3" s="26" t="s">
        <v>261</v>
      </c>
      <c r="L3" s="26" t="s">
        <v>262</v>
      </c>
    </row>
    <row r="4" spans="1:15" x14ac:dyDescent="0.25">
      <c r="B4" s="8" t="s">
        <v>140</v>
      </c>
      <c r="C4" s="15">
        <f>'General data '!N10</f>
        <v>0</v>
      </c>
      <c r="D4" s="57">
        <v>0.55000000000000004</v>
      </c>
      <c r="E4" s="15">
        <f t="shared" ref="E4:E10" si="0">C4-(C4*D4)</f>
        <v>0</v>
      </c>
      <c r="F4" s="17">
        <f>E4/$E$11</f>
        <v>0</v>
      </c>
      <c r="G4" s="18">
        <f>$C$14*F4</f>
        <v>0</v>
      </c>
      <c r="H4" s="19">
        <f t="shared" ref="H4:H10" si="1">IFERROR((C4-G4)/C4,0)</f>
        <v>0</v>
      </c>
      <c r="I4" s="43">
        <v>0.75929999999999997</v>
      </c>
      <c r="J4" s="20">
        <f t="shared" ref="J4:J10" si="2">IFERROR(C4/((C4-(C4*H4))/I4+(C4*H4)/1),0)</f>
        <v>0</v>
      </c>
      <c r="K4" s="21">
        <f t="shared" ref="K4:K10" si="3">IFERROR(C4/J4,0)</f>
        <v>0</v>
      </c>
      <c r="L4" s="21">
        <f t="shared" ref="L4:L10" si="4">G4/I4</f>
        <v>0</v>
      </c>
      <c r="O4" s="13">
        <v>0.75929999999999997</v>
      </c>
    </row>
    <row r="5" spans="1:15" x14ac:dyDescent="0.25">
      <c r="B5" s="8" t="s">
        <v>141</v>
      </c>
      <c r="C5" s="15">
        <f>'General data '!N11</f>
        <v>0.86</v>
      </c>
      <c r="D5" s="57">
        <v>0.53500000000000003</v>
      </c>
      <c r="E5" s="15">
        <f t="shared" si="0"/>
        <v>0.39989999999999998</v>
      </c>
      <c r="F5" s="17">
        <f t="shared" ref="F5:F10" si="5">E5/$E$11</f>
        <v>7.7426175042401416E-2</v>
      </c>
      <c r="G5" s="18">
        <f t="shared" ref="G5:G10" si="6">$C$14*F5</f>
        <v>0.45213789177760738</v>
      </c>
      <c r="H5" s="19">
        <f t="shared" si="1"/>
        <v>0.47425826537487514</v>
      </c>
      <c r="I5" s="43">
        <v>0.75860000000000005</v>
      </c>
      <c r="J5" s="20">
        <f t="shared" si="2"/>
        <v>0.85667753768630683</v>
      </c>
      <c r="K5" s="21">
        <f t="shared" si="3"/>
        <v>1.0038783114620542</v>
      </c>
      <c r="L5" s="21">
        <f t="shared" si="4"/>
        <v>0.59601620323966165</v>
      </c>
      <c r="O5" s="13">
        <v>0.75860000000000005</v>
      </c>
    </row>
    <row r="6" spans="1:15" x14ac:dyDescent="0.25">
      <c r="B6" s="8" t="s">
        <v>142</v>
      </c>
      <c r="C6" s="15">
        <f>'General data '!N12</f>
        <v>0</v>
      </c>
      <c r="D6" s="57">
        <v>0</v>
      </c>
      <c r="E6" s="15">
        <f t="shared" si="0"/>
        <v>0</v>
      </c>
      <c r="F6" s="17">
        <f t="shared" si="5"/>
        <v>0</v>
      </c>
      <c r="G6" s="18">
        <f t="shared" si="6"/>
        <v>0</v>
      </c>
      <c r="H6" s="19">
        <f t="shared" si="1"/>
        <v>0</v>
      </c>
      <c r="I6" s="43">
        <v>0.77049999999999996</v>
      </c>
      <c r="J6" s="20">
        <f t="shared" si="2"/>
        <v>0</v>
      </c>
      <c r="K6" s="21">
        <f t="shared" si="3"/>
        <v>0</v>
      </c>
      <c r="L6" s="21">
        <f t="shared" si="4"/>
        <v>0</v>
      </c>
      <c r="O6" s="13">
        <v>0.77049999999999996</v>
      </c>
    </row>
    <row r="7" spans="1:15" x14ac:dyDescent="0.25">
      <c r="B7" s="8" t="s">
        <v>143</v>
      </c>
      <c r="C7" s="15">
        <f>'General data '!N13</f>
        <v>6.05</v>
      </c>
      <c r="D7" s="57">
        <v>0.53800000000000003</v>
      </c>
      <c r="E7" s="15">
        <f t="shared" si="0"/>
        <v>2.7950999999999997</v>
      </c>
      <c r="F7" s="17">
        <f t="shared" si="5"/>
        <v>0.54117004716433159</v>
      </c>
      <c r="G7" s="18">
        <f t="shared" si="6"/>
        <v>3.1602166074208311</v>
      </c>
      <c r="H7" s="19">
        <f t="shared" si="1"/>
        <v>0.4776501475337469</v>
      </c>
      <c r="I7" s="43">
        <v>0.74819999999999998</v>
      </c>
      <c r="J7" s="20">
        <f t="shared" si="2"/>
        <v>0.85049044844234645</v>
      </c>
      <c r="K7" s="21">
        <f t="shared" si="3"/>
        <v>7.1135425578034823</v>
      </c>
      <c r="L7" s="21">
        <f t="shared" si="4"/>
        <v>4.2237591652243136</v>
      </c>
      <c r="O7" s="13">
        <v>0.74819999999999998</v>
      </c>
    </row>
    <row r="8" spans="1:15" x14ac:dyDescent="0.25">
      <c r="B8" s="8" t="s">
        <v>144</v>
      </c>
      <c r="C8" s="15">
        <f>'General data '!N14</f>
        <v>4.32</v>
      </c>
      <c r="D8" s="57">
        <v>0.54400000000000004</v>
      </c>
      <c r="E8" s="15">
        <f t="shared" si="0"/>
        <v>1.9699200000000001</v>
      </c>
      <c r="F8" s="17">
        <f t="shared" si="5"/>
        <v>0.3814037777932669</v>
      </c>
      <c r="G8" s="18">
        <f t="shared" si="6"/>
        <v>2.2272455008015615</v>
      </c>
      <c r="H8" s="19">
        <f t="shared" si="1"/>
        <v>0.48443391185149043</v>
      </c>
      <c r="I8" s="43">
        <v>0.75739999999999996</v>
      </c>
      <c r="J8" s="20">
        <f t="shared" si="2"/>
        <v>0.85826664318375678</v>
      </c>
      <c r="K8" s="21">
        <f t="shared" si="3"/>
        <v>5.0334007901960121</v>
      </c>
      <c r="L8" s="21">
        <f t="shared" si="4"/>
        <v>2.9406462909975728</v>
      </c>
      <c r="O8" s="13">
        <v>0.75739999999999996</v>
      </c>
    </row>
    <row r="9" spans="1:15" x14ac:dyDescent="0.25">
      <c r="B9" s="8" t="s">
        <v>145</v>
      </c>
      <c r="C9" s="15">
        <f>'General data '!N15</f>
        <v>0</v>
      </c>
      <c r="D9" s="57">
        <v>0</v>
      </c>
      <c r="E9" s="15">
        <f t="shared" si="0"/>
        <v>0</v>
      </c>
      <c r="F9" s="17">
        <f t="shared" si="5"/>
        <v>0</v>
      </c>
      <c r="G9" s="18">
        <f t="shared" si="6"/>
        <v>0</v>
      </c>
      <c r="H9" s="19">
        <f t="shared" si="1"/>
        <v>0</v>
      </c>
      <c r="I9" s="43">
        <v>0.75929999999999997</v>
      </c>
      <c r="J9" s="20">
        <f t="shared" si="2"/>
        <v>0</v>
      </c>
      <c r="K9" s="21">
        <f t="shared" si="3"/>
        <v>0</v>
      </c>
      <c r="L9" s="21">
        <f t="shared" si="4"/>
        <v>0</v>
      </c>
      <c r="O9" s="13">
        <v>0.75929999999999997</v>
      </c>
    </row>
    <row r="10" spans="1:15" x14ac:dyDescent="0.25">
      <c r="B10" s="8" t="s">
        <v>146</v>
      </c>
      <c r="C10" s="15">
        <f>'General data '!N16</f>
        <v>0</v>
      </c>
      <c r="D10" s="57">
        <v>0</v>
      </c>
      <c r="E10" s="15">
        <f t="shared" si="0"/>
        <v>0</v>
      </c>
      <c r="F10" s="17">
        <f t="shared" si="5"/>
        <v>0</v>
      </c>
      <c r="G10" s="18">
        <f t="shared" si="6"/>
        <v>0</v>
      </c>
      <c r="H10" s="19">
        <f t="shared" si="1"/>
        <v>0</v>
      </c>
      <c r="I10" s="43">
        <v>0.75929999999999997</v>
      </c>
      <c r="J10" s="20">
        <f t="shared" si="2"/>
        <v>0</v>
      </c>
      <c r="K10" s="21">
        <f t="shared" si="3"/>
        <v>0</v>
      </c>
      <c r="L10" s="21">
        <f t="shared" si="4"/>
        <v>0</v>
      </c>
      <c r="O10" s="13">
        <v>0.75929999999999997</v>
      </c>
    </row>
    <row r="11" spans="1:15" x14ac:dyDescent="0.25">
      <c r="B11" s="11" t="s">
        <v>228</v>
      </c>
      <c r="C11" s="22">
        <f>SUM(C4:C10)</f>
        <v>11.23</v>
      </c>
      <c r="D11" s="37"/>
      <c r="E11" s="22">
        <f>SUM(E4:E10)</f>
        <v>5.1649200000000004</v>
      </c>
      <c r="F11" s="38"/>
      <c r="G11" s="39">
        <f>SUM(G4:G10)</f>
        <v>5.8395999999999999</v>
      </c>
      <c r="H11" s="40"/>
      <c r="I11" s="12"/>
      <c r="J11" s="41"/>
      <c r="K11" s="42">
        <f>SUM(K4:K10)</f>
        <v>13.150821659461549</v>
      </c>
      <c r="L11" s="42">
        <f>SUM(L4:L10)</f>
        <v>7.7604216594615485</v>
      </c>
    </row>
    <row r="12" spans="1:15" x14ac:dyDescent="0.25">
      <c r="A12" s="28"/>
      <c r="B12" s="36"/>
      <c r="C12" s="28"/>
      <c r="D12" s="29"/>
      <c r="E12" s="28"/>
      <c r="F12" s="30"/>
      <c r="G12" s="31"/>
      <c r="H12" s="32"/>
      <c r="I12" s="33"/>
      <c r="J12" s="34"/>
      <c r="K12" s="35"/>
      <c r="L12" s="35"/>
    </row>
    <row r="13" spans="1:15" x14ac:dyDescent="0.25">
      <c r="B13" s="14" t="s">
        <v>263</v>
      </c>
      <c r="C13" s="25">
        <f>'General data '!O17</f>
        <v>0.48</v>
      </c>
      <c r="D13" s="29"/>
      <c r="E13" s="28"/>
      <c r="F13" s="30"/>
      <c r="G13" s="31"/>
      <c r="H13" s="32"/>
      <c r="I13" s="33"/>
      <c r="J13" s="34"/>
      <c r="K13" s="35"/>
      <c r="L13" s="35"/>
    </row>
    <row r="14" spans="1:15" x14ac:dyDescent="0.25">
      <c r="B14" s="14" t="s">
        <v>268</v>
      </c>
      <c r="C14" s="58">
        <f>C11-(C11*C13)</f>
        <v>5.8396000000000008</v>
      </c>
      <c r="D14" s="29"/>
      <c r="E14" s="28"/>
      <c r="F14" s="30"/>
      <c r="G14" s="31"/>
      <c r="H14" s="32"/>
      <c r="I14" s="33"/>
      <c r="J14" s="34"/>
      <c r="K14" s="35"/>
      <c r="L14" s="35"/>
    </row>
    <row r="16" spans="1:15" x14ac:dyDescent="0.25">
      <c r="B16" s="6" t="s">
        <v>147</v>
      </c>
      <c r="C16" s="15">
        <f>'General data '!N18</f>
        <v>6.09</v>
      </c>
      <c r="D16" s="57">
        <v>0.02</v>
      </c>
      <c r="E16" s="15">
        <f t="shared" ref="E16:E24" si="7">C16-(C16*D16)</f>
        <v>5.9681999999999995</v>
      </c>
      <c r="F16" s="17">
        <f>E16/$E$25</f>
        <v>0.19855817263402475</v>
      </c>
      <c r="G16" s="18">
        <f>$C$28*F16</f>
        <v>5.2038125883925206</v>
      </c>
      <c r="H16" s="19">
        <f t="shared" ref="H16:H24" si="8">IFERROR((C16-G16)/C16,0)</f>
        <v>0.14551517431978314</v>
      </c>
      <c r="I16" s="43">
        <v>0.8034</v>
      </c>
      <c r="J16" s="20">
        <f t="shared" ref="J16:J24" si="9">IFERROR(C16/((C16-(C16*H16))/I16+(C16*H16)/1),0)</f>
        <v>0.82706078934411609</v>
      </c>
      <c r="K16" s="21">
        <f t="shared" ref="K16:K24" si="10">IFERROR(C16/J16,0)</f>
        <v>7.363424887824209</v>
      </c>
      <c r="L16" s="21">
        <f t="shared" ref="L16:L24" si="11">G16/I16</f>
        <v>6.4772374762167297</v>
      </c>
      <c r="O16" s="13">
        <v>0.8034</v>
      </c>
    </row>
    <row r="17" spans="2:15" x14ac:dyDescent="0.25">
      <c r="B17" s="6" t="s">
        <v>148</v>
      </c>
      <c r="C17" s="15">
        <f>'General data '!N19</f>
        <v>3.04</v>
      </c>
      <c r="D17" s="57">
        <v>5.0000000000000001E-3</v>
      </c>
      <c r="E17" s="15">
        <f t="shared" si="7"/>
        <v>3.0247999999999999</v>
      </c>
      <c r="F17" s="17">
        <f t="shared" ref="F17:F24" si="12">E17/$E$25</f>
        <v>0.10063314912090715</v>
      </c>
      <c r="G17" s="18">
        <f t="shared" ref="G17:G24" si="13">$C$28*F17</f>
        <v>2.6373935721607342</v>
      </c>
      <c r="H17" s="19">
        <f t="shared" si="8"/>
        <v>0.1324363249471269</v>
      </c>
      <c r="I17" s="43">
        <v>0.81179999999999997</v>
      </c>
      <c r="J17" s="20">
        <f t="shared" si="9"/>
        <v>0.83255092925256713</v>
      </c>
      <c r="K17" s="21">
        <f t="shared" si="10"/>
        <v>3.6514282708556913</v>
      </c>
      <c r="L17" s="21">
        <f t="shared" si="11"/>
        <v>3.2488218430164255</v>
      </c>
      <c r="O17" s="13">
        <v>0.81179999999999997</v>
      </c>
    </row>
    <row r="18" spans="2:15" x14ac:dyDescent="0.25">
      <c r="B18" s="6" t="s">
        <v>149</v>
      </c>
      <c r="C18" s="15">
        <f>'General data '!N20</f>
        <v>0.76</v>
      </c>
      <c r="D18" s="57">
        <v>0</v>
      </c>
      <c r="E18" s="15">
        <f t="shared" si="7"/>
        <v>0.76</v>
      </c>
      <c r="F18" s="17">
        <f t="shared" si="12"/>
        <v>2.5284710834398785E-2</v>
      </c>
      <c r="G18" s="18">
        <f t="shared" si="13"/>
        <v>0.66266170154792325</v>
      </c>
      <c r="H18" s="19">
        <f t="shared" si="8"/>
        <v>0.12807670848957467</v>
      </c>
      <c r="I18" s="43">
        <v>0.78759999999999997</v>
      </c>
      <c r="J18" s="20">
        <f t="shared" si="9"/>
        <v>0.80962461752077841</v>
      </c>
      <c r="K18" s="21">
        <f t="shared" si="10"/>
        <v>0.93870663459723069</v>
      </c>
      <c r="L18" s="21">
        <f t="shared" si="11"/>
        <v>0.84136833614515394</v>
      </c>
      <c r="O18" s="13">
        <v>0.78759999999999997</v>
      </c>
    </row>
    <row r="19" spans="2:15" x14ac:dyDescent="0.25">
      <c r="B19" s="6" t="s">
        <v>150</v>
      </c>
      <c r="C19" s="15">
        <f>'General data '!N21</f>
        <v>0</v>
      </c>
      <c r="D19" s="57">
        <v>0</v>
      </c>
      <c r="E19" s="15">
        <f t="shared" si="7"/>
        <v>0</v>
      </c>
      <c r="F19" s="17">
        <f t="shared" si="12"/>
        <v>0</v>
      </c>
      <c r="G19" s="18">
        <f t="shared" si="13"/>
        <v>0</v>
      </c>
      <c r="H19" s="19">
        <f t="shared" si="8"/>
        <v>0</v>
      </c>
      <c r="I19" s="43">
        <v>0.80310000000000004</v>
      </c>
      <c r="J19" s="20">
        <f t="shared" si="9"/>
        <v>0</v>
      </c>
      <c r="K19" s="21">
        <f t="shared" si="10"/>
        <v>0</v>
      </c>
      <c r="L19" s="21">
        <f t="shared" si="11"/>
        <v>0</v>
      </c>
      <c r="O19" s="13">
        <v>0.80310000000000004</v>
      </c>
    </row>
    <row r="20" spans="2:15" x14ac:dyDescent="0.25">
      <c r="B20" s="6" t="s">
        <v>151</v>
      </c>
      <c r="C20" s="15">
        <f>'General data '!N22</f>
        <v>0</v>
      </c>
      <c r="D20" s="57">
        <v>2.1000000000000001E-2</v>
      </c>
      <c r="E20" s="15">
        <f t="shared" si="7"/>
        <v>0</v>
      </c>
      <c r="F20" s="17">
        <f t="shared" si="12"/>
        <v>0</v>
      </c>
      <c r="G20" s="18">
        <f t="shared" si="13"/>
        <v>0</v>
      </c>
      <c r="H20" s="19">
        <f t="shared" si="8"/>
        <v>0</v>
      </c>
      <c r="I20" s="43">
        <v>0.78590000000000004</v>
      </c>
      <c r="J20" s="20">
        <f t="shared" si="9"/>
        <v>0</v>
      </c>
      <c r="K20" s="21">
        <f t="shared" si="10"/>
        <v>0</v>
      </c>
      <c r="L20" s="21">
        <f t="shared" si="11"/>
        <v>0</v>
      </c>
      <c r="O20" s="13">
        <v>0.78590000000000004</v>
      </c>
    </row>
    <row r="21" spans="2:15" x14ac:dyDescent="0.25">
      <c r="B21" s="6" t="s">
        <v>152</v>
      </c>
      <c r="C21" s="15">
        <f>'General data '!N23</f>
        <v>8.3699999999999992</v>
      </c>
      <c r="D21" s="57">
        <v>7.2999999999999995E-2</v>
      </c>
      <c r="E21" s="15">
        <f t="shared" si="7"/>
        <v>7.7589899999999989</v>
      </c>
      <c r="F21" s="17">
        <f t="shared" si="12"/>
        <v>0.2581366033118313</v>
      </c>
      <c r="G21" s="18">
        <f t="shared" si="13"/>
        <v>6.7652440995964742</v>
      </c>
      <c r="H21" s="19">
        <f t="shared" si="8"/>
        <v>0.19172710876983573</v>
      </c>
      <c r="I21" s="43">
        <v>0.8236</v>
      </c>
      <c r="J21" s="20">
        <f t="shared" si="9"/>
        <v>0.85242973803784405</v>
      </c>
      <c r="K21" s="21">
        <f t="shared" si="10"/>
        <v>9.8189910868975439</v>
      </c>
      <c r="L21" s="21">
        <f t="shared" si="11"/>
        <v>8.2142351864940188</v>
      </c>
      <c r="O21" s="13">
        <v>0.8236</v>
      </c>
    </row>
    <row r="22" spans="2:15" x14ac:dyDescent="0.25">
      <c r="B22" s="6" t="s">
        <v>229</v>
      </c>
      <c r="C22" s="15">
        <f>'General data '!N25</f>
        <v>0</v>
      </c>
      <c r="D22" s="57">
        <v>0</v>
      </c>
      <c r="E22" s="15">
        <f t="shared" si="7"/>
        <v>0</v>
      </c>
      <c r="F22" s="17">
        <f t="shared" si="12"/>
        <v>0</v>
      </c>
      <c r="G22" s="18">
        <f t="shared" si="13"/>
        <v>0</v>
      </c>
      <c r="H22" s="19">
        <f t="shared" si="8"/>
        <v>0</v>
      </c>
      <c r="I22" s="43">
        <v>0.81820000000000004</v>
      </c>
      <c r="J22" s="20">
        <f t="shared" si="9"/>
        <v>0</v>
      </c>
      <c r="K22" s="21">
        <f t="shared" si="10"/>
        <v>0</v>
      </c>
      <c r="L22" s="21">
        <f t="shared" si="11"/>
        <v>0</v>
      </c>
      <c r="O22" s="13">
        <v>0.81820000000000004</v>
      </c>
    </row>
    <row r="23" spans="2:15" x14ac:dyDescent="0.25">
      <c r="B23" s="6" t="s">
        <v>154</v>
      </c>
      <c r="C23" s="15">
        <f>'General data '!N26</f>
        <v>5.33</v>
      </c>
      <c r="D23" s="57">
        <v>3.4000000000000002E-2</v>
      </c>
      <c r="E23" s="15">
        <f t="shared" si="7"/>
        <v>5.1487800000000004</v>
      </c>
      <c r="F23" s="17">
        <f t="shared" si="12"/>
        <v>0.17129659664465233</v>
      </c>
      <c r="G23" s="18">
        <f t="shared" si="13"/>
        <v>4.4893412048630479</v>
      </c>
      <c r="H23" s="19">
        <f t="shared" si="8"/>
        <v>0.15772210040092913</v>
      </c>
      <c r="I23" s="43">
        <v>0.80079999999999996</v>
      </c>
      <c r="J23" s="20">
        <f t="shared" si="9"/>
        <v>0.82677584387315994</v>
      </c>
      <c r="K23" s="21">
        <f t="shared" si="10"/>
        <v>6.4467292307801189</v>
      </c>
      <c r="L23" s="21">
        <f t="shared" si="11"/>
        <v>5.6060704356431668</v>
      </c>
      <c r="O23" s="13">
        <v>0.80079999999999996</v>
      </c>
    </row>
    <row r="24" spans="2:15" x14ac:dyDescent="0.25">
      <c r="B24" s="6" t="s">
        <v>155</v>
      </c>
      <c r="C24" s="15">
        <f>'General data '!N27</f>
        <v>7.61</v>
      </c>
      <c r="D24" s="57">
        <v>2.8000000000000001E-2</v>
      </c>
      <c r="E24" s="15">
        <f t="shared" si="7"/>
        <v>7.3969200000000006</v>
      </c>
      <c r="F24" s="17">
        <f t="shared" si="12"/>
        <v>0.24609076745418562</v>
      </c>
      <c r="G24" s="18">
        <f t="shared" si="13"/>
        <v>6.449546833439296</v>
      </c>
      <c r="H24" s="19">
        <f t="shared" si="8"/>
        <v>0.15249056065186653</v>
      </c>
      <c r="I24" s="43">
        <v>0.80640000000000001</v>
      </c>
      <c r="J24" s="20">
        <f t="shared" si="9"/>
        <v>0.83093088495632461</v>
      </c>
      <c r="K24" s="21">
        <f t="shared" si="10"/>
        <v>9.1584031088217372</v>
      </c>
      <c r="L24" s="21">
        <f t="shared" si="11"/>
        <v>7.9979499422610321</v>
      </c>
      <c r="O24" s="13">
        <v>0.80640000000000001</v>
      </c>
    </row>
    <row r="25" spans="2:15" x14ac:dyDescent="0.25">
      <c r="B25" s="11" t="s">
        <v>228</v>
      </c>
      <c r="C25" s="22">
        <f>SUM(C16:C24)</f>
        <v>31.199999999999996</v>
      </c>
      <c r="D25" s="37"/>
      <c r="E25" s="22">
        <f>SUM(E16:E24)</f>
        <v>30.057690000000001</v>
      </c>
      <c r="F25" s="38"/>
      <c r="G25" s="39">
        <f>SUM(G16:G24)</f>
        <v>26.207999999999995</v>
      </c>
      <c r="H25" s="40"/>
      <c r="I25" s="12"/>
      <c r="J25" s="41"/>
      <c r="K25" s="42">
        <f>SUM(K16:K24)</f>
        <v>37.377683219776529</v>
      </c>
      <c r="L25" s="42">
        <f>SUM(L16:L24)</f>
        <v>32.385683219776524</v>
      </c>
    </row>
    <row r="26" spans="2:15" x14ac:dyDescent="0.25">
      <c r="B26" s="36"/>
      <c r="C26" s="28"/>
      <c r="D26" s="29"/>
      <c r="E26" s="28"/>
      <c r="F26" s="30"/>
      <c r="G26" s="31"/>
      <c r="H26" s="32"/>
      <c r="I26" s="33"/>
      <c r="J26" s="34"/>
      <c r="K26" s="35"/>
      <c r="L26" s="35"/>
    </row>
    <row r="27" spans="2:15" x14ac:dyDescent="0.25">
      <c r="B27" s="14" t="s">
        <v>263</v>
      </c>
      <c r="C27" s="44">
        <f>'General data '!O28</f>
        <v>0.16</v>
      </c>
      <c r="D27" s="29"/>
      <c r="E27" s="28"/>
      <c r="F27" s="30"/>
      <c r="G27" s="31"/>
      <c r="H27" s="32"/>
      <c r="I27" s="33"/>
      <c r="J27" s="34"/>
      <c r="K27" s="35"/>
      <c r="L27" s="35"/>
    </row>
    <row r="28" spans="2:15" x14ac:dyDescent="0.25">
      <c r="B28" s="14" t="s">
        <v>268</v>
      </c>
      <c r="C28" s="58">
        <f>C25-(C25*C27)</f>
        <v>26.207999999999998</v>
      </c>
      <c r="D28" s="29"/>
      <c r="E28" s="28"/>
      <c r="F28" s="30"/>
      <c r="G28" s="31"/>
      <c r="H28" s="32"/>
      <c r="I28" s="33"/>
      <c r="J28" s="34"/>
      <c r="K28" s="35"/>
      <c r="L28" s="35"/>
    </row>
    <row r="30" spans="2:15" x14ac:dyDescent="0.25">
      <c r="B30" s="6" t="s">
        <v>156</v>
      </c>
      <c r="C30" s="15">
        <f>'General data '!N29</f>
        <v>0</v>
      </c>
      <c r="D30" s="57">
        <v>0</v>
      </c>
      <c r="E30" s="15">
        <f t="shared" ref="E30:E51" si="14">C30-(C30*D30)</f>
        <v>0</v>
      </c>
      <c r="F30" s="17">
        <f>E30/$E$52</f>
        <v>0</v>
      </c>
      <c r="G30" s="18">
        <f>$C$55*F30</f>
        <v>0</v>
      </c>
      <c r="H30" s="19">
        <f t="shared" ref="H30:H51" si="15">IFERROR((C30-G30)/C30,0)</f>
        <v>0</v>
      </c>
      <c r="I30" s="43">
        <v>0.85850000000000004</v>
      </c>
      <c r="J30" s="20">
        <f t="shared" ref="J30:J51" si="16">IFERROR(C30/((C30-(C30*H30))/I30+(C30*H30)/1),0)</f>
        <v>0</v>
      </c>
      <c r="K30" s="21">
        <f t="shared" ref="K30:K51" si="17">IFERROR(C30/J30,0)</f>
        <v>0</v>
      </c>
      <c r="L30" s="21">
        <f t="shared" ref="L30:L51" si="18">G30/I30</f>
        <v>0</v>
      </c>
      <c r="O30" s="13">
        <v>0.85850000000000004</v>
      </c>
    </row>
    <row r="31" spans="2:15" x14ac:dyDescent="0.25">
      <c r="B31" s="6" t="s">
        <v>157</v>
      </c>
      <c r="C31" s="15">
        <f>'General data '!N30</f>
        <v>6.22</v>
      </c>
      <c r="D31" s="57">
        <v>3.3000000000000002E-2</v>
      </c>
      <c r="E31" s="15">
        <f t="shared" si="14"/>
        <v>6.0147399999999998</v>
      </c>
      <c r="F31" s="17">
        <f t="shared" ref="F31:F51" si="19">E31/$E$52</f>
        <v>3.0283652016885258E-2</v>
      </c>
      <c r="G31" s="18">
        <f t="shared" ref="G31:G51" si="20">$C$55*F31</f>
        <v>5.7953219191672982</v>
      </c>
      <c r="H31" s="19">
        <f t="shared" si="15"/>
        <v>6.8276218783392531E-2</v>
      </c>
      <c r="I31" s="43">
        <v>0.84870000000000001</v>
      </c>
      <c r="J31" s="20">
        <f t="shared" si="16"/>
        <v>0.85755874641767071</v>
      </c>
      <c r="K31" s="21">
        <f t="shared" si="17"/>
        <v>7.2531474094144128</v>
      </c>
      <c r="L31" s="21">
        <f t="shared" si="18"/>
        <v>6.8284693285817113</v>
      </c>
      <c r="O31" s="13">
        <v>0.84870000000000001</v>
      </c>
    </row>
    <row r="32" spans="2:15" x14ac:dyDescent="0.25">
      <c r="B32" s="6" t="s">
        <v>158</v>
      </c>
      <c r="C32" s="15">
        <f>'General data '!N31</f>
        <v>11.67</v>
      </c>
      <c r="D32" s="57">
        <v>3.1E-2</v>
      </c>
      <c r="E32" s="15">
        <f t="shared" si="14"/>
        <v>11.30823</v>
      </c>
      <c r="F32" s="17">
        <f t="shared" si="19"/>
        <v>5.6935877901106678E-2</v>
      </c>
      <c r="G32" s="18">
        <f t="shared" si="20"/>
        <v>10.895705082178983</v>
      </c>
      <c r="H32" s="19">
        <f t="shared" si="15"/>
        <v>6.6349178904971454E-2</v>
      </c>
      <c r="I32" s="43">
        <v>0.84730000000000005</v>
      </c>
      <c r="J32" s="20">
        <f t="shared" si="16"/>
        <v>0.85597230015213144</v>
      </c>
      <c r="K32" s="21">
        <f t="shared" si="17"/>
        <v>13.633618749024819</v>
      </c>
      <c r="L32" s="21">
        <f t="shared" si="18"/>
        <v>12.859323831203803</v>
      </c>
      <c r="O32" s="13">
        <v>0.84730000000000005</v>
      </c>
    </row>
    <row r="33" spans="2:15" x14ac:dyDescent="0.25">
      <c r="B33" s="6" t="s">
        <v>159</v>
      </c>
      <c r="C33" s="15">
        <f>'General data '!N32</f>
        <v>21.78</v>
      </c>
      <c r="D33" s="57">
        <v>2.4E-2</v>
      </c>
      <c r="E33" s="15">
        <f t="shared" si="14"/>
        <v>21.257280000000002</v>
      </c>
      <c r="F33" s="17">
        <f t="shared" si="19"/>
        <v>0.10702841192561852</v>
      </c>
      <c r="G33" s="18">
        <f t="shared" si="20"/>
        <v>20.481813133381763</v>
      </c>
      <c r="H33" s="19">
        <f t="shared" si="15"/>
        <v>5.9604539330497606E-2</v>
      </c>
      <c r="I33" s="43">
        <v>0.84970000000000001</v>
      </c>
      <c r="J33" s="20">
        <f t="shared" si="16"/>
        <v>0.85738090017593893</v>
      </c>
      <c r="K33" s="21">
        <f t="shared" si="17"/>
        <v>25.402945173528632</v>
      </c>
      <c r="L33" s="21">
        <f t="shared" si="18"/>
        <v>24.104758306910394</v>
      </c>
      <c r="O33" s="13">
        <v>0.84970000000000001</v>
      </c>
    </row>
    <row r="34" spans="2:15" x14ac:dyDescent="0.25">
      <c r="B34" s="6" t="s">
        <v>160</v>
      </c>
      <c r="C34" s="15">
        <f>'General data '!N33</f>
        <v>12.44</v>
      </c>
      <c r="D34" s="57">
        <v>4.0000000000000001E-3</v>
      </c>
      <c r="E34" s="15">
        <f t="shared" si="14"/>
        <v>12.39024</v>
      </c>
      <c r="F34" s="17">
        <f t="shared" si="19"/>
        <v>6.2383696812446161E-2</v>
      </c>
      <c r="G34" s="18">
        <f t="shared" si="20"/>
        <v>11.938243291604197</v>
      </c>
      <c r="H34" s="19">
        <f t="shared" si="15"/>
        <v>4.0334140546286396E-2</v>
      </c>
      <c r="I34" s="43">
        <v>0.84460000000000002</v>
      </c>
      <c r="J34" s="20">
        <f t="shared" si="16"/>
        <v>0.84992728082640079</v>
      </c>
      <c r="K34" s="21">
        <f t="shared" si="17"/>
        <v>14.636546303001765</v>
      </c>
      <c r="L34" s="21">
        <f t="shared" si="18"/>
        <v>14.134789594605962</v>
      </c>
      <c r="O34" s="13">
        <v>0.84460000000000002</v>
      </c>
    </row>
    <row r="35" spans="2:15" x14ac:dyDescent="0.25">
      <c r="B35" s="6" t="s">
        <v>161</v>
      </c>
      <c r="C35" s="15">
        <f>'General data '!N34</f>
        <v>0</v>
      </c>
      <c r="D35" s="57">
        <v>0</v>
      </c>
      <c r="E35" s="15">
        <f t="shared" si="14"/>
        <v>0</v>
      </c>
      <c r="F35" s="17">
        <f t="shared" si="19"/>
        <v>0</v>
      </c>
      <c r="G35" s="18">
        <f t="shared" si="20"/>
        <v>0</v>
      </c>
      <c r="H35" s="19">
        <f t="shared" si="15"/>
        <v>0</v>
      </c>
      <c r="I35" s="43">
        <v>0.85760000000000003</v>
      </c>
      <c r="J35" s="20">
        <f t="shared" si="16"/>
        <v>0</v>
      </c>
      <c r="K35" s="21">
        <f t="shared" si="17"/>
        <v>0</v>
      </c>
      <c r="L35" s="21">
        <f t="shared" si="18"/>
        <v>0</v>
      </c>
      <c r="O35" s="13">
        <v>0.85760000000000003</v>
      </c>
    </row>
    <row r="36" spans="2:15" x14ac:dyDescent="0.25">
      <c r="B36" s="6" t="s">
        <v>162</v>
      </c>
      <c r="C36" s="15">
        <f>'General data '!N35</f>
        <v>11.67</v>
      </c>
      <c r="D36" s="57">
        <v>1.2E-2</v>
      </c>
      <c r="E36" s="15">
        <f t="shared" si="14"/>
        <v>11.529959999999999</v>
      </c>
      <c r="F36" s="17">
        <f t="shared" si="19"/>
        <v>5.8052267663873475E-2</v>
      </c>
      <c r="G36" s="18">
        <f t="shared" si="20"/>
        <v>11.109346358300138</v>
      </c>
      <c r="H36" s="19">
        <f t="shared" si="15"/>
        <v>4.8042300059970997E-2</v>
      </c>
      <c r="I36" s="43">
        <v>0.85040000000000004</v>
      </c>
      <c r="J36" s="20">
        <f t="shared" si="16"/>
        <v>0.85655617897368408</v>
      </c>
      <c r="K36" s="21">
        <f t="shared" si="17"/>
        <v>13.624325276577729</v>
      </c>
      <c r="L36" s="21">
        <f t="shared" si="18"/>
        <v>13.063671634877867</v>
      </c>
      <c r="O36" s="13">
        <v>0.85040000000000004</v>
      </c>
    </row>
    <row r="37" spans="2:15" x14ac:dyDescent="0.25">
      <c r="B37" s="6" t="s">
        <v>163</v>
      </c>
      <c r="C37" s="15">
        <f>'General data '!N36</f>
        <v>0</v>
      </c>
      <c r="D37" s="57">
        <v>0</v>
      </c>
      <c r="E37" s="15">
        <f t="shared" si="14"/>
        <v>0</v>
      </c>
      <c r="F37" s="17">
        <f t="shared" si="19"/>
        <v>0</v>
      </c>
      <c r="G37" s="18">
        <f t="shared" si="20"/>
        <v>0</v>
      </c>
      <c r="H37" s="19">
        <f t="shared" si="15"/>
        <v>0</v>
      </c>
      <c r="I37" s="43">
        <v>0.84850000000000003</v>
      </c>
      <c r="J37" s="20">
        <f t="shared" si="16"/>
        <v>0</v>
      </c>
      <c r="K37" s="21">
        <f t="shared" si="17"/>
        <v>0</v>
      </c>
      <c r="L37" s="21">
        <f t="shared" si="18"/>
        <v>0</v>
      </c>
      <c r="O37" s="13">
        <v>0.84850000000000003</v>
      </c>
    </row>
    <row r="38" spans="2:15" x14ac:dyDescent="0.25">
      <c r="B38" s="6" t="s">
        <v>164</v>
      </c>
      <c r="C38" s="15">
        <f>'General data '!N37</f>
        <v>0</v>
      </c>
      <c r="D38" s="57">
        <v>3.2000000000000001E-2</v>
      </c>
      <c r="E38" s="15">
        <f t="shared" si="14"/>
        <v>0</v>
      </c>
      <c r="F38" s="17">
        <f t="shared" si="19"/>
        <v>0</v>
      </c>
      <c r="G38" s="18">
        <f t="shared" si="20"/>
        <v>0</v>
      </c>
      <c r="H38" s="19">
        <f t="shared" si="15"/>
        <v>0</v>
      </c>
      <c r="I38" s="43">
        <v>0.85699999999999998</v>
      </c>
      <c r="J38" s="20">
        <f t="shared" si="16"/>
        <v>0</v>
      </c>
      <c r="K38" s="21">
        <f t="shared" si="17"/>
        <v>0</v>
      </c>
      <c r="L38" s="21">
        <f t="shared" si="18"/>
        <v>0</v>
      </c>
      <c r="O38" s="13">
        <v>0.85699999999999998</v>
      </c>
    </row>
    <row r="39" spans="2:15" x14ac:dyDescent="0.25">
      <c r="B39" s="6" t="s">
        <v>165</v>
      </c>
      <c r="C39" s="15">
        <f>'General data '!N38</f>
        <v>0</v>
      </c>
      <c r="D39" s="57">
        <v>1.4999999999999999E-2</v>
      </c>
      <c r="E39" s="15">
        <f t="shared" si="14"/>
        <v>0</v>
      </c>
      <c r="F39" s="17">
        <f t="shared" si="19"/>
        <v>0</v>
      </c>
      <c r="G39" s="18">
        <f t="shared" si="20"/>
        <v>0</v>
      </c>
      <c r="H39" s="19">
        <f t="shared" si="15"/>
        <v>0</v>
      </c>
      <c r="I39" s="43">
        <v>0.85260000000000002</v>
      </c>
      <c r="J39" s="20">
        <f t="shared" si="16"/>
        <v>0</v>
      </c>
      <c r="K39" s="21">
        <f t="shared" si="17"/>
        <v>0</v>
      </c>
      <c r="L39" s="21">
        <f t="shared" si="18"/>
        <v>0</v>
      </c>
      <c r="O39" s="13">
        <v>0.85260000000000002</v>
      </c>
    </row>
    <row r="40" spans="2:15" x14ac:dyDescent="0.25">
      <c r="B40" s="6" t="s">
        <v>166</v>
      </c>
      <c r="C40" s="15">
        <f>'General data '!N39</f>
        <v>0</v>
      </c>
      <c r="D40" s="57">
        <v>4.3999999999999997E-2</v>
      </c>
      <c r="E40" s="15">
        <f t="shared" si="14"/>
        <v>0</v>
      </c>
      <c r="F40" s="17">
        <f t="shared" si="19"/>
        <v>0</v>
      </c>
      <c r="G40" s="18">
        <f t="shared" si="20"/>
        <v>0</v>
      </c>
      <c r="H40" s="19">
        <f t="shared" si="15"/>
        <v>0</v>
      </c>
      <c r="I40" s="43">
        <v>0.84889999999999999</v>
      </c>
      <c r="J40" s="20">
        <f t="shared" si="16"/>
        <v>0</v>
      </c>
      <c r="K40" s="21">
        <f t="shared" si="17"/>
        <v>0</v>
      </c>
      <c r="L40" s="21">
        <f t="shared" si="18"/>
        <v>0</v>
      </c>
      <c r="O40" s="13">
        <v>0.84889999999999999</v>
      </c>
    </row>
    <row r="41" spans="2:15" x14ac:dyDescent="0.25">
      <c r="B41" s="6" t="s">
        <v>167</v>
      </c>
      <c r="C41" s="15">
        <f>'General data '!N40</f>
        <v>0</v>
      </c>
      <c r="D41" s="57">
        <v>2.4E-2</v>
      </c>
      <c r="E41" s="15">
        <f t="shared" si="14"/>
        <v>0</v>
      </c>
      <c r="F41" s="17">
        <f t="shared" si="19"/>
        <v>0</v>
      </c>
      <c r="G41" s="18">
        <f t="shared" si="20"/>
        <v>0</v>
      </c>
      <c r="H41" s="19">
        <f t="shared" si="15"/>
        <v>0</v>
      </c>
      <c r="I41" s="43">
        <v>0.85029999999999994</v>
      </c>
      <c r="J41" s="20">
        <f t="shared" si="16"/>
        <v>0</v>
      </c>
      <c r="K41" s="21">
        <f t="shared" si="17"/>
        <v>0</v>
      </c>
      <c r="L41" s="21">
        <f t="shared" si="18"/>
        <v>0</v>
      </c>
      <c r="O41" s="13">
        <v>0.85029999999999994</v>
      </c>
    </row>
    <row r="42" spans="2:15" x14ac:dyDescent="0.25">
      <c r="B42" s="6" t="s">
        <v>168</v>
      </c>
      <c r="C42" s="15">
        <f>'General data '!N41</f>
        <v>24.89</v>
      </c>
      <c r="D42" s="57">
        <v>2.5999999999999999E-2</v>
      </c>
      <c r="E42" s="15">
        <f t="shared" si="14"/>
        <v>24.24286</v>
      </c>
      <c r="F42" s="17">
        <f t="shared" si="19"/>
        <v>0.12206052732687814</v>
      </c>
      <c r="G42" s="18">
        <f t="shared" si="20"/>
        <v>23.358478993490014</v>
      </c>
      <c r="H42" s="19">
        <f t="shared" si="15"/>
        <v>6.1531579208918719E-2</v>
      </c>
      <c r="I42" s="43">
        <v>0.84760000000000002</v>
      </c>
      <c r="J42" s="20">
        <f t="shared" si="16"/>
        <v>0.85562353497889276</v>
      </c>
      <c r="K42" s="21">
        <f t="shared" si="17"/>
        <v>29.089896411760119</v>
      </c>
      <c r="L42" s="21">
        <f t="shared" si="18"/>
        <v>27.558375405250132</v>
      </c>
      <c r="O42" s="13">
        <v>0.84760000000000002</v>
      </c>
    </row>
    <row r="43" spans="2:15" x14ac:dyDescent="0.25">
      <c r="B43" s="6" t="s">
        <v>169</v>
      </c>
      <c r="C43" s="15">
        <f>'General data '!N42</f>
        <v>21.78</v>
      </c>
      <c r="D43" s="57">
        <v>1.9E-2</v>
      </c>
      <c r="E43" s="15">
        <f t="shared" si="14"/>
        <v>21.36618</v>
      </c>
      <c r="F43" s="17">
        <f t="shared" si="19"/>
        <v>0.10757671321622106</v>
      </c>
      <c r="G43" s="18">
        <f t="shared" si="20"/>
        <v>20.586740454761792</v>
      </c>
      <c r="H43" s="19">
        <f t="shared" si="15"/>
        <v>5.4786939634444878E-2</v>
      </c>
      <c r="I43" s="43">
        <v>0.85040000000000004</v>
      </c>
      <c r="J43" s="20">
        <f t="shared" si="16"/>
        <v>0.85742758466496327</v>
      </c>
      <c r="K43" s="21">
        <f t="shared" si="17"/>
        <v>25.401562055541351</v>
      </c>
      <c r="L43" s="21">
        <f t="shared" si="18"/>
        <v>24.208302510303142</v>
      </c>
      <c r="O43" s="13">
        <v>0.85040000000000004</v>
      </c>
    </row>
    <row r="44" spans="2:15" x14ac:dyDescent="0.25">
      <c r="B44" s="6" t="s">
        <v>170</v>
      </c>
      <c r="C44" s="15">
        <f>'General data '!N43</f>
        <v>0</v>
      </c>
      <c r="D44" s="57">
        <v>0</v>
      </c>
      <c r="E44" s="15">
        <f t="shared" si="14"/>
        <v>0</v>
      </c>
      <c r="F44" s="17">
        <f t="shared" si="19"/>
        <v>0</v>
      </c>
      <c r="G44" s="18">
        <f t="shared" si="20"/>
        <v>0</v>
      </c>
      <c r="H44" s="19">
        <f t="shared" si="15"/>
        <v>0</v>
      </c>
      <c r="I44" s="43">
        <v>0.85040000000000004</v>
      </c>
      <c r="J44" s="20">
        <f t="shared" si="16"/>
        <v>0</v>
      </c>
      <c r="K44" s="21">
        <f t="shared" si="17"/>
        <v>0</v>
      </c>
      <c r="L44" s="21">
        <f t="shared" si="18"/>
        <v>0</v>
      </c>
      <c r="O44" s="13">
        <v>0.85040000000000004</v>
      </c>
    </row>
    <row r="45" spans="2:15" x14ac:dyDescent="0.25">
      <c r="B45" s="6" t="s">
        <v>171</v>
      </c>
      <c r="C45" s="15">
        <f>'General data '!N44</f>
        <v>0</v>
      </c>
      <c r="D45" s="57">
        <v>0</v>
      </c>
      <c r="E45" s="15">
        <f t="shared" si="14"/>
        <v>0</v>
      </c>
      <c r="F45" s="17">
        <f t="shared" si="19"/>
        <v>0</v>
      </c>
      <c r="G45" s="18">
        <f t="shared" si="20"/>
        <v>0</v>
      </c>
      <c r="H45" s="19">
        <f t="shared" si="15"/>
        <v>0</v>
      </c>
      <c r="I45" s="43">
        <v>0.85250000000000004</v>
      </c>
      <c r="J45" s="20">
        <f t="shared" si="16"/>
        <v>0</v>
      </c>
      <c r="K45" s="21">
        <f t="shared" si="17"/>
        <v>0</v>
      </c>
      <c r="L45" s="21">
        <f t="shared" si="18"/>
        <v>0</v>
      </c>
      <c r="O45" s="13">
        <v>0.85250000000000004</v>
      </c>
    </row>
    <row r="46" spans="2:15" x14ac:dyDescent="0.25">
      <c r="B46" s="6" t="s">
        <v>172</v>
      </c>
      <c r="C46" s="15">
        <f>'General data '!N45</f>
        <v>10.89</v>
      </c>
      <c r="D46" s="57">
        <v>8.9999999999999993E-3</v>
      </c>
      <c r="E46" s="15">
        <f t="shared" si="14"/>
        <v>10.79199</v>
      </c>
      <c r="F46" s="17">
        <f t="shared" si="19"/>
        <v>5.4336657898713087E-2</v>
      </c>
      <c r="G46" s="18">
        <f t="shared" si="20"/>
        <v>10.398297548760926</v>
      </c>
      <c r="H46" s="19">
        <f t="shared" si="15"/>
        <v>4.5151740242339269E-2</v>
      </c>
      <c r="I46" s="43">
        <v>0.85309999999999997</v>
      </c>
      <c r="J46" s="20">
        <f t="shared" si="16"/>
        <v>0.85879621550121754</v>
      </c>
      <c r="K46" s="21">
        <f t="shared" si="17"/>
        <v>12.68054027653614</v>
      </c>
      <c r="L46" s="21">
        <f t="shared" si="18"/>
        <v>12.188837825297066</v>
      </c>
      <c r="O46" s="13">
        <v>0.85309999999999997</v>
      </c>
    </row>
    <row r="47" spans="2:15" x14ac:dyDescent="0.25">
      <c r="B47" s="6" t="s">
        <v>173</v>
      </c>
      <c r="C47" s="15">
        <f>'General data '!N46</f>
        <v>16.329999999999998</v>
      </c>
      <c r="D47" s="57">
        <v>7.0000000000000001E-3</v>
      </c>
      <c r="E47" s="15">
        <f t="shared" si="14"/>
        <v>16.215689999999999</v>
      </c>
      <c r="F47" s="17">
        <f t="shared" si="19"/>
        <v>8.164447892572016E-2</v>
      </c>
      <c r="G47" s="18">
        <f t="shared" si="20"/>
        <v>15.624140643057215</v>
      </c>
      <c r="H47" s="19">
        <f t="shared" si="15"/>
        <v>4.3224700363918137E-2</v>
      </c>
      <c r="I47" s="43">
        <v>0.85040000000000004</v>
      </c>
      <c r="J47" s="20">
        <f t="shared" si="16"/>
        <v>0.85593482997287007</v>
      </c>
      <c r="K47" s="21">
        <f t="shared" si="17"/>
        <v>19.078555315382594</v>
      </c>
      <c r="L47" s="21">
        <f t="shared" si="18"/>
        <v>18.37269595843981</v>
      </c>
      <c r="O47" s="13">
        <v>0.85040000000000004</v>
      </c>
    </row>
    <row r="48" spans="2:15" x14ac:dyDescent="0.25">
      <c r="B48" s="6" t="s">
        <v>174</v>
      </c>
      <c r="C48" s="15">
        <f>'General data '!N47</f>
        <v>40.44</v>
      </c>
      <c r="D48" s="57">
        <v>1E-3</v>
      </c>
      <c r="E48" s="15">
        <f t="shared" si="14"/>
        <v>40.399560000000001</v>
      </c>
      <c r="F48" s="17">
        <f t="shared" si="19"/>
        <v>0.20340799713292296</v>
      </c>
      <c r="G48" s="18">
        <f t="shared" si="20"/>
        <v>38.925781595333198</v>
      </c>
      <c r="H48" s="19">
        <f t="shared" si="15"/>
        <v>3.7443580728654779E-2</v>
      </c>
      <c r="I48" s="43">
        <v>0.84470000000000001</v>
      </c>
      <c r="J48" s="20">
        <f t="shared" si="16"/>
        <v>0.84964065025962665</v>
      </c>
      <c r="K48" s="21">
        <f t="shared" si="17"/>
        <v>47.596592733225101</v>
      </c>
      <c r="L48" s="21">
        <f t="shared" si="18"/>
        <v>46.082374328558302</v>
      </c>
      <c r="O48" s="13">
        <v>0.84470000000000001</v>
      </c>
    </row>
    <row r="49" spans="2:15" x14ac:dyDescent="0.25">
      <c r="B49" s="6" t="s">
        <v>175</v>
      </c>
      <c r="C49" s="15">
        <f>'General data '!N48</f>
        <v>0</v>
      </c>
      <c r="D49" s="57">
        <v>0</v>
      </c>
      <c r="E49" s="15">
        <f t="shared" si="14"/>
        <v>0</v>
      </c>
      <c r="F49" s="17">
        <f t="shared" si="19"/>
        <v>0</v>
      </c>
      <c r="G49" s="18">
        <f t="shared" si="20"/>
        <v>0</v>
      </c>
      <c r="H49" s="19">
        <f t="shared" si="15"/>
        <v>0</v>
      </c>
      <c r="I49" s="43">
        <v>0.85040000000000004</v>
      </c>
      <c r="J49" s="20">
        <f t="shared" si="16"/>
        <v>0</v>
      </c>
      <c r="K49" s="21">
        <f t="shared" si="17"/>
        <v>0</v>
      </c>
      <c r="L49" s="21">
        <f t="shared" si="18"/>
        <v>0</v>
      </c>
      <c r="O49" s="13">
        <v>0.85040000000000004</v>
      </c>
    </row>
    <row r="50" spans="2:15" x14ac:dyDescent="0.25">
      <c r="B50" s="6"/>
      <c r="C50" s="15"/>
      <c r="D50" s="57"/>
      <c r="E50" s="15"/>
      <c r="F50" s="17"/>
      <c r="G50" s="18"/>
      <c r="H50" s="19"/>
      <c r="I50" s="43"/>
      <c r="J50" s="20"/>
      <c r="K50" s="21"/>
      <c r="L50" s="21"/>
      <c r="O50" s="13">
        <v>0.85040000000000004</v>
      </c>
    </row>
    <row r="51" spans="2:15" x14ac:dyDescent="0.25">
      <c r="B51" s="6" t="s">
        <v>177</v>
      </c>
      <c r="C51" s="15">
        <f>'General data '!N50</f>
        <v>23.33</v>
      </c>
      <c r="D51" s="57">
        <v>0.01</v>
      </c>
      <c r="E51" s="15">
        <f t="shared" si="14"/>
        <v>23.096699999999998</v>
      </c>
      <c r="F51" s="17">
        <f t="shared" si="19"/>
        <v>0.11628971917961436</v>
      </c>
      <c r="G51" s="18">
        <f t="shared" si="20"/>
        <v>22.25413097996444</v>
      </c>
      <c r="H51" s="19">
        <f t="shared" si="15"/>
        <v>4.6115260181549857E-2</v>
      </c>
      <c r="I51" s="43">
        <v>0.84430000000000005</v>
      </c>
      <c r="J51" s="20">
        <f t="shared" si="16"/>
        <v>0.8504060395318519</v>
      </c>
      <c r="K51" s="21">
        <f t="shared" si="17"/>
        <v>27.433953800284804</v>
      </c>
      <c r="L51" s="21">
        <f t="shared" si="18"/>
        <v>26.358084780249246</v>
      </c>
      <c r="O51" s="13">
        <v>0.84430000000000005</v>
      </c>
    </row>
    <row r="52" spans="2:15" x14ac:dyDescent="0.25">
      <c r="B52" s="11" t="s">
        <v>228</v>
      </c>
      <c r="C52" s="22">
        <f>SUM(C30:C51)</f>
        <v>201.44</v>
      </c>
      <c r="D52" s="37"/>
      <c r="E52" s="22">
        <f>SUM(E30:E51)</f>
        <v>198.61343000000002</v>
      </c>
      <c r="F52" s="38"/>
      <c r="G52" s="39">
        <f>SUM(G30:G51)</f>
        <v>191.36799999999997</v>
      </c>
      <c r="H52" s="40"/>
      <c r="I52" s="12"/>
      <c r="J52" s="41"/>
      <c r="K52" s="42">
        <f>SUM(K30:K51)</f>
        <v>235.83168350427746</v>
      </c>
      <c r="L52" s="42">
        <f>SUM(L30:L51)</f>
        <v>225.75968350427743</v>
      </c>
    </row>
    <row r="53" spans="2:15" x14ac:dyDescent="0.25">
      <c r="B53" s="36"/>
      <c r="C53" s="28"/>
      <c r="D53" s="29"/>
      <c r="E53" s="28"/>
      <c r="F53" s="30"/>
      <c r="G53" s="31"/>
      <c r="H53" s="32"/>
      <c r="I53" s="33"/>
      <c r="J53" s="34"/>
      <c r="K53" s="35"/>
      <c r="L53" s="35"/>
    </row>
    <row r="54" spans="2:15" x14ac:dyDescent="0.25">
      <c r="B54" s="14" t="s">
        <v>263</v>
      </c>
      <c r="C54" s="56">
        <f>'General data '!O51</f>
        <v>0.05</v>
      </c>
      <c r="D54" s="29"/>
      <c r="E54" s="28"/>
      <c r="F54" s="30"/>
      <c r="G54" s="31"/>
      <c r="H54" s="32"/>
      <c r="I54" s="33"/>
      <c r="J54" s="34"/>
      <c r="K54" s="35"/>
      <c r="L54" s="35"/>
    </row>
    <row r="55" spans="2:15" x14ac:dyDescent="0.25">
      <c r="B55" s="14" t="s">
        <v>268</v>
      </c>
      <c r="C55" s="23">
        <f>C52-(C52*C54)</f>
        <v>191.36799999999999</v>
      </c>
      <c r="D55" s="29"/>
      <c r="E55" s="28"/>
      <c r="F55" s="30"/>
      <c r="G55" s="31"/>
      <c r="H55" s="32"/>
      <c r="I55" s="33"/>
      <c r="J55" s="34"/>
      <c r="K55" s="35"/>
      <c r="L55" s="35"/>
    </row>
    <row r="57" spans="2:15" x14ac:dyDescent="0.25">
      <c r="B57" s="6"/>
      <c r="C57" s="15"/>
      <c r="D57" s="57"/>
      <c r="E57" s="15"/>
      <c r="F57" s="17"/>
      <c r="G57" s="18"/>
      <c r="H57" s="19"/>
      <c r="I57" s="43"/>
      <c r="J57" s="20"/>
      <c r="K57" s="21"/>
      <c r="L57" s="21"/>
      <c r="O57" s="13">
        <v>0.83799999999999997</v>
      </c>
    </row>
    <row r="58" spans="2:15" x14ac:dyDescent="0.25">
      <c r="B58" s="6"/>
      <c r="C58" s="15"/>
      <c r="D58" s="57"/>
      <c r="E58" s="15"/>
      <c r="F58" s="17"/>
      <c r="G58" s="18"/>
      <c r="H58" s="19"/>
      <c r="I58" s="43"/>
      <c r="J58" s="20"/>
      <c r="K58" s="21"/>
      <c r="L58" s="21"/>
      <c r="O58" s="13">
        <v>0.83499999999999996</v>
      </c>
    </row>
    <row r="59" spans="2:15" x14ac:dyDescent="0.25">
      <c r="B59" s="6" t="s">
        <v>254</v>
      </c>
      <c r="C59" s="15">
        <f>'General data '!N54</f>
        <v>0</v>
      </c>
      <c r="D59" s="16">
        <f>'General data '!O54</f>
        <v>0.9</v>
      </c>
      <c r="E59" s="15">
        <f>C59-(C59*D59)</f>
        <v>0</v>
      </c>
      <c r="F59" s="17">
        <f>IFERROR(E59/$E$60,0)</f>
        <v>0</v>
      </c>
      <c r="G59" s="18">
        <f>$C$63*F59</f>
        <v>0</v>
      </c>
      <c r="H59" s="19">
        <f>IFERROR((C59-G59)/C59,0)</f>
        <v>0</v>
      </c>
      <c r="I59" s="43">
        <v>0.83499999999999996</v>
      </c>
      <c r="J59" s="20">
        <f>IFERROR(C59/((C59-(C59*H59))/I59+(C59*H59)/1),0)</f>
        <v>0</v>
      </c>
      <c r="K59" s="21">
        <f>IFERROR(C59/J59,0)</f>
        <v>0</v>
      </c>
      <c r="L59" s="21">
        <f>G59/I59</f>
        <v>0</v>
      </c>
      <c r="O59" s="13">
        <v>0.83799999999999997</v>
      </c>
    </row>
    <row r="60" spans="2:15" x14ac:dyDescent="0.25">
      <c r="B60" s="11" t="s">
        <v>228</v>
      </c>
      <c r="C60" s="22">
        <f>SUM(C57:C59)</f>
        <v>0</v>
      </c>
      <c r="D60" s="37"/>
      <c r="E60" s="22">
        <f>SUM(E57:E59)</f>
        <v>0</v>
      </c>
      <c r="F60" s="38"/>
      <c r="G60" s="39">
        <f>SUM(G57:G59)</f>
        <v>0</v>
      </c>
      <c r="H60" s="40"/>
      <c r="I60" s="12"/>
      <c r="J60" s="41"/>
      <c r="K60" s="42">
        <f>SUM(K57:K59)</f>
        <v>0</v>
      </c>
      <c r="L60" s="42">
        <f>SUM(L57:L59)</f>
        <v>0</v>
      </c>
    </row>
    <row r="61" spans="2:15" x14ac:dyDescent="0.25">
      <c r="B61" s="36"/>
      <c r="C61" s="28"/>
      <c r="D61" s="29"/>
      <c r="E61" s="28"/>
      <c r="F61" s="30"/>
      <c r="G61" s="31"/>
      <c r="H61" s="32"/>
      <c r="I61" s="33"/>
      <c r="J61" s="34"/>
      <c r="K61" s="35"/>
      <c r="L61" s="35"/>
    </row>
    <row r="62" spans="2:15" x14ac:dyDescent="0.25">
      <c r="B62" s="14" t="s">
        <v>263</v>
      </c>
      <c r="C62" s="25">
        <f>'General data '!O54</f>
        <v>0.9</v>
      </c>
      <c r="D62" s="29"/>
      <c r="E62" s="28"/>
      <c r="F62" s="30"/>
      <c r="G62" s="31"/>
      <c r="H62" s="32"/>
      <c r="I62" s="33"/>
      <c r="J62" s="34"/>
      <c r="K62" s="35"/>
      <c r="L62" s="35"/>
    </row>
    <row r="63" spans="2:15" x14ac:dyDescent="0.25">
      <c r="B63" s="14" t="s">
        <v>268</v>
      </c>
      <c r="C63" s="23">
        <f>C60-(C60*C62)</f>
        <v>0</v>
      </c>
      <c r="D63" s="29"/>
      <c r="E63" s="28"/>
      <c r="F63" s="30"/>
      <c r="G63" s="31"/>
      <c r="H63" s="32"/>
      <c r="I63" s="33"/>
      <c r="J63" s="34"/>
      <c r="K63" s="35"/>
      <c r="L63" s="35"/>
    </row>
    <row r="65" spans="2:15" x14ac:dyDescent="0.25">
      <c r="B65" s="6" t="s">
        <v>178</v>
      </c>
      <c r="C65" s="15">
        <f>'General data '!N56</f>
        <v>0</v>
      </c>
      <c r="D65" s="57">
        <v>0</v>
      </c>
      <c r="E65" s="15">
        <f>C65-(C65*D65)</f>
        <v>0</v>
      </c>
      <c r="F65" s="17">
        <f>IFERROR(E65/$E$69,0)</f>
        <v>0</v>
      </c>
      <c r="G65" s="18">
        <f>$C$72*F65</f>
        <v>0</v>
      </c>
      <c r="H65" s="19">
        <f>IFERROR((C65-G65)/C65,0)</f>
        <v>0</v>
      </c>
      <c r="I65" s="43">
        <v>0.83809999999999996</v>
      </c>
      <c r="J65" s="20">
        <f>IFERROR(C65/((C65-(C65*H65))/I65+(C65*H65)/1),0)</f>
        <v>0</v>
      </c>
      <c r="K65" s="21">
        <f>IFERROR(C65/J65,0)</f>
        <v>0</v>
      </c>
      <c r="L65" s="21">
        <f>G65/I65</f>
        <v>0</v>
      </c>
      <c r="O65" s="13">
        <v>0.83809999999999996</v>
      </c>
    </row>
    <row r="66" spans="2:15" x14ac:dyDescent="0.25">
      <c r="B66" s="6" t="s">
        <v>179</v>
      </c>
      <c r="C66" s="15">
        <f>'General data '!N57</f>
        <v>0</v>
      </c>
      <c r="D66" s="57">
        <v>0</v>
      </c>
      <c r="E66" s="15">
        <f>C66-(C66*D66)</f>
        <v>0</v>
      </c>
      <c r="F66" s="17">
        <f>IFERROR(E66/$E$69,0)</f>
        <v>0</v>
      </c>
      <c r="G66" s="18">
        <f>$C$72*F66</f>
        <v>0</v>
      </c>
      <c r="H66" s="19">
        <f>IFERROR((C66-G66)/C66,0)</f>
        <v>0</v>
      </c>
      <c r="I66" s="43">
        <v>0.83919999999999995</v>
      </c>
      <c r="J66" s="20">
        <f>IFERROR(C66/((C66-(C66*H66))/I66+(C66*H66)/1),0)</f>
        <v>0</v>
      </c>
      <c r="K66" s="21">
        <f>IFERROR(C66/J66,0)</f>
        <v>0</v>
      </c>
      <c r="L66" s="21">
        <f>G66/I66</f>
        <v>0</v>
      </c>
      <c r="O66" s="13">
        <v>0.83919999999999995</v>
      </c>
    </row>
    <row r="67" spans="2:15" x14ac:dyDescent="0.25">
      <c r="B67" s="6" t="s">
        <v>180</v>
      </c>
      <c r="C67" s="15">
        <f>'General data '!N58</f>
        <v>0</v>
      </c>
      <c r="D67" s="57">
        <v>0</v>
      </c>
      <c r="E67" s="15">
        <f>C67-(C67*D67)</f>
        <v>0</v>
      </c>
      <c r="F67" s="17">
        <f>IFERROR(E67/$E$69,0)</f>
        <v>0</v>
      </c>
      <c r="G67" s="18">
        <f>$C$72*F67</f>
        <v>0</v>
      </c>
      <c r="H67" s="19">
        <f>IFERROR((C67-G67)/C67,0)</f>
        <v>0</v>
      </c>
      <c r="I67" s="43">
        <v>0.85050000000000003</v>
      </c>
      <c r="J67" s="20">
        <f>IFERROR(C67/((C67-(C67*H67))/I67+(C67*H67)/1),0)</f>
        <v>0</v>
      </c>
      <c r="K67" s="21">
        <f>IFERROR(C67/J67,0)</f>
        <v>0</v>
      </c>
      <c r="L67" s="21">
        <f>G67/I67</f>
        <v>0</v>
      </c>
      <c r="O67" s="13">
        <v>0.85050000000000003</v>
      </c>
    </row>
    <row r="68" spans="2:15" x14ac:dyDescent="0.25">
      <c r="B68" s="6" t="s">
        <v>134</v>
      </c>
      <c r="C68" s="15">
        <f>'General data '!N59</f>
        <v>0</v>
      </c>
      <c r="D68" s="57">
        <v>0</v>
      </c>
      <c r="E68" s="15">
        <f>C68-(C68*D68)</f>
        <v>0</v>
      </c>
      <c r="F68" s="17">
        <f>IFERROR(E68/$E$69,0)</f>
        <v>0</v>
      </c>
      <c r="G68" s="18">
        <f>$C$72*F68</f>
        <v>0</v>
      </c>
      <c r="H68" s="19">
        <f>IFERROR((C68-G68)/C68,0)</f>
        <v>0</v>
      </c>
      <c r="I68" s="43">
        <v>0.82469999999999999</v>
      </c>
      <c r="J68" s="20">
        <f>IFERROR(C68/((C68-(C68*H68))/I68+(C68*H68)/1),0)</f>
        <v>0</v>
      </c>
      <c r="K68" s="21">
        <f>IFERROR(C68/J68,0)</f>
        <v>0</v>
      </c>
      <c r="L68" s="21">
        <f>G68/I68</f>
        <v>0</v>
      </c>
      <c r="O68" s="13">
        <v>0.82469999999999999</v>
      </c>
    </row>
    <row r="69" spans="2:15" x14ac:dyDescent="0.25">
      <c r="B69" s="11" t="s">
        <v>228</v>
      </c>
      <c r="C69" s="22">
        <f>SUM(C65:C68)</f>
        <v>0</v>
      </c>
      <c r="D69" s="37"/>
      <c r="E69" s="22">
        <f>SUM(E65:E68)</f>
        <v>0</v>
      </c>
      <c r="F69" s="38"/>
      <c r="G69" s="39">
        <f>SUM(G65:G68)</f>
        <v>0</v>
      </c>
      <c r="H69" s="40"/>
      <c r="I69" s="12"/>
      <c r="J69" s="41"/>
      <c r="K69" s="42">
        <f>SUM(K65:K68)</f>
        <v>0</v>
      </c>
      <c r="L69" s="42">
        <f>SUM(L65:L68)</f>
        <v>0</v>
      </c>
    </row>
    <row r="70" spans="2:15" x14ac:dyDescent="0.25">
      <c r="B70" s="36"/>
      <c r="C70" s="28"/>
      <c r="D70" s="29"/>
      <c r="E70" s="28"/>
      <c r="F70" s="30"/>
      <c r="G70" s="31"/>
      <c r="H70" s="32"/>
      <c r="I70" s="33"/>
      <c r="J70" s="34"/>
      <c r="K70" s="35"/>
      <c r="L70" s="35"/>
    </row>
    <row r="71" spans="2:15" x14ac:dyDescent="0.25">
      <c r="B71" s="14" t="s">
        <v>263</v>
      </c>
      <c r="C71" s="25">
        <f>'General data '!$O$60</f>
        <v>0</v>
      </c>
      <c r="D71" s="29"/>
      <c r="E71" s="28"/>
      <c r="F71" s="30"/>
      <c r="G71" s="31"/>
      <c r="H71" s="32"/>
      <c r="I71" s="33"/>
      <c r="J71" s="34"/>
      <c r="K71" s="35"/>
      <c r="L71" s="35"/>
    </row>
    <row r="72" spans="2:15" x14ac:dyDescent="0.25">
      <c r="B72" s="14" t="s">
        <v>268</v>
      </c>
      <c r="C72" s="24">
        <f>C69-(C69*C71)</f>
        <v>0</v>
      </c>
      <c r="D72" s="29"/>
      <c r="E72" s="28"/>
      <c r="F72" s="30"/>
      <c r="G72" s="31"/>
      <c r="H72" s="32"/>
      <c r="I72" s="33"/>
      <c r="J72" s="34"/>
      <c r="K72" s="35"/>
      <c r="L72" s="35"/>
    </row>
    <row r="74" spans="2:15" x14ac:dyDescent="0.25">
      <c r="B74" s="6" t="s">
        <v>182</v>
      </c>
      <c r="C74" s="15">
        <f>'General data '!N61</f>
        <v>0</v>
      </c>
      <c r="D74" s="57">
        <v>0</v>
      </c>
      <c r="E74" s="15">
        <f>C74-(C74*D74)</f>
        <v>0</v>
      </c>
      <c r="F74" s="17">
        <f>IFERROR(E74/$E$77,0)</f>
        <v>0</v>
      </c>
      <c r="G74" s="18">
        <f>$C$80*F74</f>
        <v>0</v>
      </c>
      <c r="H74" s="19">
        <f>IFERROR((C74-G74)/C74,0)</f>
        <v>0</v>
      </c>
      <c r="I74" s="43">
        <v>0.82550000000000001</v>
      </c>
      <c r="J74" s="20">
        <f>IFERROR(C74/((C74-(C74*H74))/I74+(C74*H74)/1),0)</f>
        <v>0</v>
      </c>
      <c r="K74" s="21">
        <f>IFERROR(C74/J74,0)</f>
        <v>0</v>
      </c>
      <c r="L74" s="21">
        <f>G74/I74</f>
        <v>0</v>
      </c>
      <c r="O74" s="13">
        <v>0.82550000000000001</v>
      </c>
    </row>
    <row r="75" spans="2:15" x14ac:dyDescent="0.25">
      <c r="B75" s="6" t="s">
        <v>183</v>
      </c>
      <c r="C75" s="15">
        <f>'General data '!N62</f>
        <v>0</v>
      </c>
      <c r="D75" s="57">
        <v>0</v>
      </c>
      <c r="E75" s="15">
        <f>C75-(C75*D75)</f>
        <v>0</v>
      </c>
      <c r="F75" s="17">
        <f>IFERROR(E75/$E$77,0)</f>
        <v>0</v>
      </c>
      <c r="G75" s="18">
        <f>$C$80*F75</f>
        <v>0</v>
      </c>
      <c r="H75" s="19">
        <f>IFERROR((C75-G75)/C75,0)</f>
        <v>0</v>
      </c>
      <c r="I75" s="43">
        <v>0.81010000000000004</v>
      </c>
      <c r="J75" s="20">
        <f>IFERROR(C75/((C75-(C75*H75))/I75+(C75*H75)/1),0)</f>
        <v>0</v>
      </c>
      <c r="K75" s="21">
        <f>IFERROR(C75/J75,0)</f>
        <v>0</v>
      </c>
      <c r="L75" s="21">
        <f>G75/I75</f>
        <v>0</v>
      </c>
      <c r="O75" s="13">
        <v>0.81010000000000004</v>
      </c>
    </row>
    <row r="76" spans="2:15" x14ac:dyDescent="0.25">
      <c r="B76" s="6" t="s">
        <v>184</v>
      </c>
      <c r="C76" s="15">
        <f>'General data '!N63</f>
        <v>0</v>
      </c>
      <c r="D76" s="57">
        <v>1.4999999999999999E-2</v>
      </c>
      <c r="E76" s="15">
        <f>C76-(C76*D76)</f>
        <v>0</v>
      </c>
      <c r="F76" s="17">
        <f>IFERROR(E76/$E$77,0)</f>
        <v>0</v>
      </c>
      <c r="G76" s="18">
        <f>$C$80*F76</f>
        <v>0</v>
      </c>
      <c r="H76" s="19">
        <f>IFERROR((C76-G76)/C76,0)</f>
        <v>0</v>
      </c>
      <c r="I76" s="43">
        <v>0.81940000000000002</v>
      </c>
      <c r="J76" s="20">
        <f>IFERROR(C76/((C76-(C76*H76))/I76+(C76*H76)/1),0)</f>
        <v>0</v>
      </c>
      <c r="K76" s="21">
        <f>IFERROR(C76/J76,0)</f>
        <v>0</v>
      </c>
      <c r="L76" s="21">
        <f>G76/I76</f>
        <v>0</v>
      </c>
      <c r="O76" s="13">
        <v>0.81940000000000002</v>
      </c>
    </row>
    <row r="77" spans="2:15" x14ac:dyDescent="0.25">
      <c r="B77" s="11" t="s">
        <v>228</v>
      </c>
      <c r="C77" s="22">
        <f>SUM(C74:C76)</f>
        <v>0</v>
      </c>
      <c r="D77" s="37"/>
      <c r="E77" s="22">
        <f>SUM(E74:E76)</f>
        <v>0</v>
      </c>
      <c r="F77" s="38"/>
      <c r="G77" s="39">
        <f>SUM(G74:G76)</f>
        <v>0</v>
      </c>
      <c r="H77" s="40"/>
      <c r="I77" s="12"/>
      <c r="J77" s="41"/>
      <c r="K77" s="42">
        <f>SUM(K74:K76)</f>
        <v>0</v>
      </c>
      <c r="L77" s="42">
        <f>SUM(L74:L76)</f>
        <v>0</v>
      </c>
    </row>
    <row r="78" spans="2:15" x14ac:dyDescent="0.25">
      <c r="B78" s="36"/>
      <c r="C78" s="28"/>
      <c r="D78" s="29"/>
      <c r="E78" s="28"/>
      <c r="F78" s="30"/>
      <c r="G78" s="31"/>
      <c r="H78" s="32"/>
      <c r="I78" s="33"/>
      <c r="J78" s="34"/>
      <c r="K78" s="35"/>
      <c r="L78" s="35"/>
    </row>
    <row r="79" spans="2:15" x14ac:dyDescent="0.25">
      <c r="B79" s="14" t="s">
        <v>263</v>
      </c>
      <c r="C79" s="25">
        <f>'General data '!$O$64</f>
        <v>0</v>
      </c>
      <c r="D79" s="29"/>
      <c r="E79" s="28"/>
      <c r="F79" s="30"/>
      <c r="G79" s="31"/>
      <c r="H79" s="32"/>
      <c r="I79" s="33"/>
      <c r="J79" s="34"/>
      <c r="K79" s="35"/>
      <c r="L79" s="35"/>
    </row>
    <row r="80" spans="2:15" x14ac:dyDescent="0.25">
      <c r="B80" s="14" t="s">
        <v>268</v>
      </c>
      <c r="C80" s="24">
        <f>C77-(C77*C79)</f>
        <v>0</v>
      </c>
      <c r="D80" s="29"/>
      <c r="E80" s="28"/>
      <c r="F80" s="30"/>
      <c r="G80" s="31"/>
      <c r="H80" s="32"/>
      <c r="I80" s="33"/>
      <c r="J80" s="34"/>
      <c r="K80" s="35"/>
      <c r="L80" s="35"/>
    </row>
    <row r="82" spans="2:15" x14ac:dyDescent="0.25">
      <c r="B82" s="6" t="s">
        <v>138</v>
      </c>
      <c r="C82" s="15">
        <f>'General data '!N65</f>
        <v>0</v>
      </c>
      <c r="D82" s="57">
        <v>0</v>
      </c>
      <c r="E82" s="15">
        <f>C82-(C82*D82)</f>
        <v>0</v>
      </c>
      <c r="F82" s="17">
        <f>IFERROR(E82/E83,0)</f>
        <v>0</v>
      </c>
      <c r="G82" s="18">
        <f>C86*F82</f>
        <v>0</v>
      </c>
      <c r="H82" s="19">
        <f>IFERROR((C82-G82)/C82,0)</f>
        <v>0</v>
      </c>
      <c r="I82" s="43">
        <v>0.75929999999999997</v>
      </c>
      <c r="J82" s="20">
        <f>IFERROR(C82/((C82-(C82*H82))/I82+(C82*H82)/1),0)</f>
        <v>0</v>
      </c>
      <c r="K82" s="21">
        <f>IFERROR(C82/J82,0)</f>
        <v>0</v>
      </c>
      <c r="L82" s="21">
        <f>G82/I82</f>
        <v>0</v>
      </c>
      <c r="O82" s="13">
        <v>0.75929999999999997</v>
      </c>
    </row>
    <row r="83" spans="2:15" x14ac:dyDescent="0.25">
      <c r="B83" s="11" t="s">
        <v>228</v>
      </c>
      <c r="C83" s="22">
        <f>SUM(C82)</f>
        <v>0</v>
      </c>
      <c r="D83" s="37"/>
      <c r="E83" s="22">
        <f>SUM(E82)</f>
        <v>0</v>
      </c>
      <c r="F83" s="38"/>
      <c r="G83" s="39">
        <f>SUM(G82)</f>
        <v>0</v>
      </c>
      <c r="H83" s="40"/>
      <c r="I83" s="12"/>
      <c r="J83" s="41"/>
      <c r="K83" s="42">
        <f>SUM(K82)</f>
        <v>0</v>
      </c>
      <c r="L83" s="42">
        <f>SUM(L82)</f>
        <v>0</v>
      </c>
    </row>
    <row r="84" spans="2:15" x14ac:dyDescent="0.25">
      <c r="B84" s="36"/>
      <c r="C84" s="28"/>
      <c r="D84" s="29"/>
      <c r="E84" s="28"/>
      <c r="F84" s="30"/>
      <c r="G84" s="31"/>
      <c r="H84" s="32"/>
      <c r="I84" s="33"/>
      <c r="J84" s="34"/>
      <c r="K84" s="35"/>
      <c r="L84" s="35"/>
    </row>
    <row r="85" spans="2:15" x14ac:dyDescent="0.25">
      <c r="B85" s="14" t="s">
        <v>263</v>
      </c>
      <c r="C85" s="25">
        <f>'General data '!$O$66</f>
        <v>0</v>
      </c>
      <c r="D85" s="29"/>
      <c r="E85" s="28"/>
      <c r="F85" s="30"/>
      <c r="G85" s="31"/>
      <c r="H85" s="32"/>
      <c r="I85" s="33"/>
      <c r="J85" s="34"/>
      <c r="K85" s="35"/>
      <c r="L85" s="35"/>
    </row>
    <row r="86" spans="2:15" x14ac:dyDescent="0.25">
      <c r="B86" s="14" t="s">
        <v>268</v>
      </c>
      <c r="C86" s="24">
        <f>C83-(C83*C85)</f>
        <v>0</v>
      </c>
      <c r="D86" s="29"/>
      <c r="E86" s="28"/>
      <c r="F86" s="30"/>
      <c r="G86" s="31"/>
      <c r="H86" s="32"/>
      <c r="I86" s="33"/>
      <c r="J86" s="34"/>
      <c r="K86" s="35"/>
      <c r="L86" s="35"/>
    </row>
    <row r="88" spans="2:15" x14ac:dyDescent="0.25">
      <c r="B88" s="6" t="s">
        <v>137</v>
      </c>
      <c r="C88" s="15">
        <f>'General data '!N67</f>
        <v>0</v>
      </c>
      <c r="D88" s="57">
        <v>0</v>
      </c>
      <c r="E88" s="15">
        <f>C88-(C88*D88)</f>
        <v>0</v>
      </c>
      <c r="F88" s="17">
        <f>IFERROR(E88/E89,0)</f>
        <v>0</v>
      </c>
      <c r="G88" s="18">
        <f>C92*F88</f>
        <v>0</v>
      </c>
      <c r="H88" s="19">
        <f>IFERROR((C88-G88)/C88,0)</f>
        <v>0</v>
      </c>
      <c r="I88" s="9">
        <v>0.79749999999999999</v>
      </c>
      <c r="J88" s="20">
        <f>IFERROR(C88/((C88-(C88*H88))/I88+(C88*H88)/1),0)</f>
        <v>0</v>
      </c>
      <c r="K88" s="21">
        <f>IFERROR(C88/J88,0)</f>
        <v>0</v>
      </c>
      <c r="L88" s="21">
        <f>G88/I88</f>
        <v>0</v>
      </c>
      <c r="O88" s="24">
        <v>0.79749999999999999</v>
      </c>
    </row>
    <row r="89" spans="2:15" x14ac:dyDescent="0.25">
      <c r="B89" s="11" t="s">
        <v>228</v>
      </c>
      <c r="C89" s="22">
        <f>SUM(C88)</f>
        <v>0</v>
      </c>
      <c r="D89" s="37"/>
      <c r="E89" s="22">
        <f>SUM(E88)</f>
        <v>0</v>
      </c>
      <c r="F89" s="38"/>
      <c r="G89" s="39">
        <f>SUM(G88)</f>
        <v>0</v>
      </c>
      <c r="H89" s="40"/>
      <c r="I89" s="12"/>
      <c r="J89" s="41"/>
      <c r="K89" s="42">
        <f>SUM(K88)</f>
        <v>0</v>
      </c>
      <c r="L89" s="42">
        <f>SUM(L88)</f>
        <v>0</v>
      </c>
    </row>
    <row r="90" spans="2:15" x14ac:dyDescent="0.25">
      <c r="B90" s="36"/>
      <c r="C90" s="28"/>
      <c r="D90" s="29"/>
      <c r="E90" s="28"/>
      <c r="F90" s="30"/>
      <c r="G90" s="31"/>
      <c r="H90" s="32"/>
      <c r="I90" s="33"/>
      <c r="J90" s="34"/>
      <c r="K90" s="35"/>
      <c r="L90" s="35"/>
    </row>
    <row r="91" spans="2:15" x14ac:dyDescent="0.25">
      <c r="B91" s="14" t="s">
        <v>263</v>
      </c>
      <c r="C91" s="25">
        <f>'General data '!$O$68</f>
        <v>0</v>
      </c>
      <c r="D91" s="29"/>
      <c r="E91" s="28"/>
      <c r="F91" s="30"/>
      <c r="G91" s="31"/>
      <c r="H91" s="32"/>
      <c r="I91" s="33"/>
      <c r="J91" s="34"/>
      <c r="K91" s="35"/>
      <c r="L91" s="35"/>
    </row>
    <row r="92" spans="2:15" x14ac:dyDescent="0.25">
      <c r="B92" s="14" t="s">
        <v>268</v>
      </c>
      <c r="C92" s="24">
        <f>C89-(C89*C91)</f>
        <v>0</v>
      </c>
      <c r="D92" s="29"/>
      <c r="E92" s="28"/>
      <c r="F92" s="30"/>
      <c r="G92" s="31"/>
      <c r="H92" s="32"/>
      <c r="I92" s="33"/>
      <c r="J92" s="34"/>
      <c r="K92" s="35"/>
      <c r="L92" s="35"/>
    </row>
    <row r="94" spans="2:15" x14ac:dyDescent="0.25">
      <c r="B94" s="6" t="s">
        <v>153</v>
      </c>
      <c r="C94" s="15" t="e">
        <f>'General data '!#REF!</f>
        <v>#REF!</v>
      </c>
      <c r="D94" s="16">
        <v>0</v>
      </c>
      <c r="E94" s="15" t="e">
        <f>C94-(C94*D94)</f>
        <v>#REF!</v>
      </c>
      <c r="F94" s="17">
        <f>IFERROR(E94/E95,0)</f>
        <v>0</v>
      </c>
      <c r="G94" s="18" t="e">
        <f>F94*C98</f>
        <v>#REF!</v>
      </c>
      <c r="H94" s="19">
        <f>IFERROR((C94-G94)/C94,0)</f>
        <v>0</v>
      </c>
      <c r="I94" s="24">
        <v>0.75929999999999997</v>
      </c>
      <c r="J94" s="20">
        <f>IFERROR(C94/((C94-(C94*H94))/I94+(C94*H94)/1),0)</f>
        <v>0</v>
      </c>
      <c r="K94" s="21">
        <f>IFERROR(C94/J94,0)</f>
        <v>0</v>
      </c>
      <c r="L94" s="21" t="e">
        <f>G94/I94</f>
        <v>#REF!</v>
      </c>
      <c r="O94" s="24">
        <v>0.75929999999999997</v>
      </c>
    </row>
    <row r="95" spans="2:15" x14ac:dyDescent="0.25">
      <c r="B95" s="11" t="s">
        <v>228</v>
      </c>
      <c r="C95" s="22" t="e">
        <f>SUM(C94)</f>
        <v>#REF!</v>
      </c>
      <c r="D95" s="37"/>
      <c r="E95" s="22" t="e">
        <f>SUM(E94)</f>
        <v>#REF!</v>
      </c>
      <c r="F95" s="38"/>
      <c r="G95" s="39" t="e">
        <f>SUM(G94)</f>
        <v>#REF!</v>
      </c>
      <c r="H95" s="40"/>
      <c r="I95" s="12"/>
      <c r="J95" s="41"/>
      <c r="K95" s="42">
        <f>SUM(K94)</f>
        <v>0</v>
      </c>
      <c r="L95" s="42" t="e">
        <f>SUM(L94)</f>
        <v>#REF!</v>
      </c>
    </row>
    <row r="96" spans="2:15" x14ac:dyDescent="0.25">
      <c r="B96" s="36"/>
      <c r="C96" s="28"/>
      <c r="D96" s="29"/>
      <c r="E96" s="28"/>
      <c r="F96" s="30"/>
      <c r="G96" s="31"/>
      <c r="H96" s="32"/>
      <c r="I96" s="33"/>
      <c r="J96" s="34"/>
      <c r="K96" s="35"/>
      <c r="L96" s="35"/>
    </row>
    <row r="97" spans="2:12" x14ac:dyDescent="0.25">
      <c r="B97" s="14" t="s">
        <v>263</v>
      </c>
      <c r="C97" s="25" t="e">
        <f>'General data '!#REF!</f>
        <v>#REF!</v>
      </c>
      <c r="D97" s="29"/>
      <c r="E97" s="28"/>
      <c r="F97" s="30"/>
      <c r="G97" s="31"/>
      <c r="H97" s="32"/>
      <c r="I97" s="33"/>
      <c r="J97" s="34"/>
      <c r="K97" s="35"/>
      <c r="L97" s="35"/>
    </row>
    <row r="98" spans="2:12" x14ac:dyDescent="0.25">
      <c r="B98" s="14" t="s">
        <v>268</v>
      </c>
      <c r="C98" s="24" t="e">
        <f>C95-(C95*C97)</f>
        <v>#REF!</v>
      </c>
      <c r="D98" s="29"/>
      <c r="E98" s="28"/>
      <c r="F98" s="30"/>
      <c r="G98" s="31"/>
      <c r="H98" s="32"/>
      <c r="I98" s="33"/>
      <c r="J98" s="34"/>
      <c r="K98" s="35"/>
      <c r="L98" s="35"/>
    </row>
    <row r="100" spans="2:12" x14ac:dyDescent="0.25">
      <c r="B100" s="6" t="s">
        <v>176</v>
      </c>
      <c r="C100" s="18">
        <f>'General data '!N49</f>
        <v>6.22</v>
      </c>
      <c r="D100" s="16">
        <f>'General data '!O93</f>
        <v>0</v>
      </c>
      <c r="E100" s="15">
        <f>C100-(C100*D100)</f>
        <v>6.22</v>
      </c>
      <c r="F100" s="17">
        <f>IFERROR(E100/$E$101,0)</f>
        <v>1</v>
      </c>
      <c r="G100" s="18">
        <f>$C$104*F100</f>
        <v>6.1640199999999998</v>
      </c>
      <c r="H100" s="19">
        <f>IFERROR((C100-G100)/C100,0)</f>
        <v>8.9999999999999872E-3</v>
      </c>
      <c r="I100" s="43">
        <v>0.85040000000000004</v>
      </c>
      <c r="J100" s="20">
        <f>IFERROR(C100/((C100-(C100*H100))/I100+(C100*H100)/1),0)</f>
        <v>0.85154652223754068</v>
      </c>
      <c r="K100" s="21">
        <f>IFERROR(C100/J100,0)</f>
        <v>7.3043572342427083</v>
      </c>
      <c r="L100" s="21">
        <f>G100/I100</f>
        <v>7.2483772342427084</v>
      </c>
    </row>
    <row r="101" spans="2:12" x14ac:dyDescent="0.25">
      <c r="B101" s="11" t="s">
        <v>228</v>
      </c>
      <c r="C101" s="39">
        <f>SUM(C100)</f>
        <v>6.22</v>
      </c>
      <c r="D101" s="37"/>
      <c r="E101" s="22">
        <f>SUM(E98:E100)</f>
        <v>6.22</v>
      </c>
      <c r="F101" s="38"/>
      <c r="G101" s="39">
        <f>SUM(G98:G100)</f>
        <v>6.1640199999999998</v>
      </c>
      <c r="H101" s="40"/>
      <c r="I101" s="61"/>
      <c r="J101" s="41"/>
      <c r="K101" s="42">
        <f>SUM(K98:K100)</f>
        <v>7.3043572342427083</v>
      </c>
      <c r="L101" s="42">
        <f>SUM(L98:L100)</f>
        <v>7.2483772342427084</v>
      </c>
    </row>
    <row r="102" spans="2:12" x14ac:dyDescent="0.25">
      <c r="B102" s="36"/>
      <c r="C102" s="28"/>
      <c r="D102" s="29"/>
      <c r="E102" s="28"/>
      <c r="F102" s="30"/>
      <c r="G102" s="31"/>
      <c r="H102" s="32"/>
      <c r="I102" s="60"/>
      <c r="J102" s="34"/>
      <c r="K102" s="35"/>
      <c r="L102" s="35"/>
    </row>
    <row r="103" spans="2:12" x14ac:dyDescent="0.25">
      <c r="B103" s="14" t="s">
        <v>263</v>
      </c>
      <c r="C103" s="25">
        <f>'General data '!O49</f>
        <v>8.9999999999999993E-3</v>
      </c>
      <c r="D103" s="29"/>
      <c r="E103" s="28"/>
      <c r="F103" s="30"/>
      <c r="G103" s="31"/>
      <c r="H103" s="32"/>
      <c r="I103" s="60"/>
      <c r="J103" s="34"/>
      <c r="K103" s="35"/>
      <c r="L103" s="35"/>
    </row>
    <row r="104" spans="2:12" x14ac:dyDescent="0.25">
      <c r="B104" s="14" t="s">
        <v>268</v>
      </c>
      <c r="C104" s="23">
        <f>C101-(C101*C103)</f>
        <v>6.1640199999999998</v>
      </c>
      <c r="D104" s="29"/>
      <c r="E104" s="28"/>
      <c r="F104" s="30"/>
      <c r="G104" s="31"/>
      <c r="H104" s="32"/>
      <c r="I104" s="60"/>
      <c r="J104" s="34"/>
      <c r="K104" s="35"/>
      <c r="L104" s="35"/>
    </row>
    <row r="106" spans="2:12" x14ac:dyDescent="0.25">
      <c r="B106" s="6" t="s">
        <v>136</v>
      </c>
      <c r="C106" s="18">
        <f>'General data '!N53</f>
        <v>0</v>
      </c>
      <c r="D106" s="16">
        <f>'General data '!O99</f>
        <v>0</v>
      </c>
      <c r="E106" s="15">
        <f>C106-(C106*D106)</f>
        <v>0</v>
      </c>
      <c r="F106" s="17">
        <f>IFERROR(E106/$E$107,0)</f>
        <v>0</v>
      </c>
      <c r="G106" s="18">
        <f>$C$110*F106</f>
        <v>0</v>
      </c>
      <c r="H106" s="19">
        <f>IFERROR((C106-G106)/C106,0)</f>
        <v>0</v>
      </c>
      <c r="I106" s="43">
        <v>0.83499999999999996</v>
      </c>
      <c r="J106" s="20">
        <f>IFERROR(C106/((C106-(C106*H106))/I106+(C106*H106)/1),0)</f>
        <v>0</v>
      </c>
      <c r="K106" s="21">
        <f>IFERROR(C106/J106,0)</f>
        <v>0</v>
      </c>
      <c r="L106" s="21">
        <f>G106/I106</f>
        <v>0</v>
      </c>
    </row>
    <row r="107" spans="2:12" x14ac:dyDescent="0.25">
      <c r="B107" s="11" t="s">
        <v>228</v>
      </c>
      <c r="C107" s="39">
        <f>SUM(C106)</f>
        <v>0</v>
      </c>
      <c r="D107" s="37"/>
      <c r="E107" s="22">
        <f>SUM(E104:E106)</f>
        <v>0</v>
      </c>
      <c r="F107" s="38"/>
      <c r="G107" s="39">
        <f>SUM(G104:G106)</f>
        <v>0</v>
      </c>
      <c r="H107" s="40"/>
      <c r="I107" s="61"/>
      <c r="J107" s="41"/>
      <c r="K107" s="42">
        <f>SUM(K104:K106)</f>
        <v>0</v>
      </c>
      <c r="L107" s="42">
        <f>SUM(L104:L106)</f>
        <v>0</v>
      </c>
    </row>
    <row r="108" spans="2:12" x14ac:dyDescent="0.25">
      <c r="B108" s="36"/>
      <c r="C108" s="28"/>
      <c r="D108" s="29"/>
      <c r="E108" s="28"/>
      <c r="F108" s="30"/>
      <c r="G108" s="31"/>
      <c r="H108" s="32"/>
      <c r="I108" s="60"/>
      <c r="J108" s="34"/>
      <c r="K108" s="35"/>
      <c r="L108" s="35"/>
    </row>
    <row r="109" spans="2:12" x14ac:dyDescent="0.25">
      <c r="B109" s="14" t="s">
        <v>263</v>
      </c>
      <c r="C109" s="25">
        <f>'General data '!O53</f>
        <v>0.02</v>
      </c>
      <c r="D109" s="29"/>
      <c r="E109" s="28"/>
      <c r="F109" s="30"/>
      <c r="G109" s="31"/>
      <c r="H109" s="32"/>
      <c r="I109" s="60"/>
      <c r="J109" s="34"/>
      <c r="K109" s="35"/>
      <c r="L109" s="35"/>
    </row>
    <row r="110" spans="2:12" x14ac:dyDescent="0.25">
      <c r="B110" s="14" t="s">
        <v>268</v>
      </c>
      <c r="C110" s="23">
        <f>C107-(C107*C109)</f>
        <v>0</v>
      </c>
      <c r="D110" s="29"/>
      <c r="E110" s="28"/>
      <c r="F110" s="30"/>
      <c r="G110" s="31"/>
      <c r="H110" s="32"/>
      <c r="I110" s="60"/>
      <c r="J110" s="34"/>
      <c r="K110" s="35"/>
      <c r="L110" s="35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E12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12.140625" bestFit="1" customWidth="1"/>
    <col min="5" max="5" width="16.7109375" bestFit="1" customWidth="1"/>
  </cols>
  <sheetData>
    <row r="1" spans="1:5" ht="15.75" thickBot="1" x14ac:dyDescent="0.3">
      <c r="B1" s="45" t="s">
        <v>269</v>
      </c>
    </row>
    <row r="2" spans="1:5" x14ac:dyDescent="0.25">
      <c r="A2" s="46" t="s">
        <v>270</v>
      </c>
      <c r="B2" s="47" t="s">
        <v>271</v>
      </c>
      <c r="C2" s="48" t="s">
        <v>272</v>
      </c>
      <c r="E2" s="45" t="s">
        <v>273</v>
      </c>
    </row>
    <row r="3" spans="1:5" x14ac:dyDescent="0.25">
      <c r="A3" s="49" t="s">
        <v>274</v>
      </c>
      <c r="B3" s="50" t="s">
        <v>275</v>
      </c>
      <c r="C3" s="51" t="s">
        <v>276</v>
      </c>
      <c r="E3" s="52">
        <v>0.06</v>
      </c>
    </row>
    <row r="4" spans="1:5" x14ac:dyDescent="0.25">
      <c r="A4" s="53">
        <f>A6+A8</f>
        <v>47.429940119760481</v>
      </c>
      <c r="B4" s="54">
        <f>C4/A4</f>
        <v>0.84334915665084331</v>
      </c>
      <c r="C4" s="24">
        <v>40</v>
      </c>
    </row>
    <row r="5" spans="1:5" x14ac:dyDescent="0.25">
      <c r="A5" s="23" t="s">
        <v>277</v>
      </c>
      <c r="B5" s="23" t="s">
        <v>277</v>
      </c>
      <c r="C5" s="23" t="s">
        <v>277</v>
      </c>
    </row>
    <row r="6" spans="1:5" x14ac:dyDescent="0.25">
      <c r="A6" s="53">
        <f>C6/B6</f>
        <v>45.029940119760482</v>
      </c>
      <c r="B6" s="24">
        <v>0.83499999999999996</v>
      </c>
      <c r="C6" s="53">
        <f>C4-(C4*E3)</f>
        <v>37.6</v>
      </c>
    </row>
    <row r="7" spans="1:5" x14ac:dyDescent="0.25">
      <c r="A7" s="23" t="s">
        <v>278</v>
      </c>
      <c r="B7" s="23" t="s">
        <v>278</v>
      </c>
      <c r="C7" s="23" t="s">
        <v>278</v>
      </c>
    </row>
    <row r="8" spans="1:5" x14ac:dyDescent="0.25">
      <c r="A8" s="53">
        <f>C8/B8</f>
        <v>2.3999999999999986</v>
      </c>
      <c r="B8" s="24">
        <v>1</v>
      </c>
      <c r="C8" s="53">
        <f>C4-C6</f>
        <v>2.3999999999999986</v>
      </c>
    </row>
    <row r="12" spans="1:5" x14ac:dyDescent="0.25">
      <c r="A12" s="55">
        <f>C4/((C4-(C4*E3))/B6+(C4*E3)/1)</f>
        <v>0.84334915665084331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AB93"/>
  <sheetViews>
    <sheetView showGridLines="0" tabSelected="1" view="pageBreakPreview" topLeftCell="A22" zoomScale="87" zoomScaleNormal="50" zoomScaleSheetLayoutView="87" workbookViewId="0">
      <selection activeCell="I20" sqref="I20"/>
    </sheetView>
  </sheetViews>
  <sheetFormatPr defaultColWidth="8.85546875" defaultRowHeight="15" x14ac:dyDescent="0.25"/>
  <cols>
    <col min="1" max="1" width="9" style="59" customWidth="1"/>
    <col min="2" max="2" width="40.7109375" style="59" customWidth="1"/>
    <col min="3" max="7" width="15.7109375" style="59" customWidth="1"/>
    <col min="8" max="12" width="15.7109375" style="7" customWidth="1"/>
    <col min="13" max="16384" width="8.85546875" style="4"/>
  </cols>
  <sheetData>
    <row r="2" spans="1:28" x14ac:dyDescent="0.25">
      <c r="A2" s="578"/>
      <c r="B2" s="320" t="s">
        <v>420</v>
      </c>
      <c r="C2" s="75"/>
    </row>
    <row r="3" spans="1:28" x14ac:dyDescent="0.25">
      <c r="A3" s="578"/>
      <c r="B3" s="140" t="s">
        <v>13</v>
      </c>
      <c r="C3" s="82"/>
      <c r="D3" s="63"/>
      <c r="E3" s="63"/>
      <c r="F3" s="63"/>
    </row>
    <row r="4" spans="1:28" x14ac:dyDescent="0.25">
      <c r="A4" s="578"/>
      <c r="B4" s="580" t="s">
        <v>14</v>
      </c>
      <c r="C4" s="580"/>
      <c r="D4" s="63"/>
      <c r="E4" s="63"/>
      <c r="F4" s="63"/>
    </row>
    <row r="5" spans="1:28" ht="15.75" thickBot="1" x14ac:dyDescent="0.3">
      <c r="B5" s="141"/>
      <c r="C5" s="141"/>
      <c r="D5" s="63"/>
      <c r="E5" s="63"/>
      <c r="F5" s="63"/>
    </row>
    <row r="6" spans="1:28" x14ac:dyDescent="0.25">
      <c r="A6" s="570" t="s">
        <v>234</v>
      </c>
      <c r="B6" s="571"/>
      <c r="C6" s="571"/>
      <c r="D6" s="571"/>
      <c r="E6" s="571"/>
      <c r="F6" s="571"/>
      <c r="G6" s="571"/>
      <c r="H6" s="571"/>
      <c r="I6" s="571"/>
      <c r="J6" s="571"/>
      <c r="K6" s="571"/>
      <c r="L6" s="57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579" t="s">
        <v>407</v>
      </c>
      <c r="B7" s="568" t="s">
        <v>87</v>
      </c>
      <c r="C7" s="568" t="s">
        <v>88</v>
      </c>
      <c r="D7" s="567" t="s">
        <v>118</v>
      </c>
      <c r="E7" s="567"/>
      <c r="F7" s="568" t="s">
        <v>120</v>
      </c>
      <c r="G7" s="568"/>
      <c r="H7" s="567" t="s">
        <v>121</v>
      </c>
      <c r="I7" s="567"/>
      <c r="J7" s="568" t="s">
        <v>186</v>
      </c>
      <c r="K7" s="573" t="s">
        <v>188</v>
      </c>
      <c r="L7" s="569" t="s">
        <v>81</v>
      </c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579"/>
      <c r="B8" s="568"/>
      <c r="C8" s="568"/>
      <c r="D8" s="272" t="s">
        <v>60</v>
      </c>
      <c r="E8" s="272" t="s">
        <v>61</v>
      </c>
      <c r="F8" s="272" t="s">
        <v>60</v>
      </c>
      <c r="G8" s="272" t="s">
        <v>61</v>
      </c>
      <c r="H8" s="272" t="s">
        <v>60</v>
      </c>
      <c r="I8" s="272" t="s">
        <v>61</v>
      </c>
      <c r="J8" s="568"/>
      <c r="K8" s="574"/>
      <c r="L8" s="569"/>
      <c r="M8" s="3"/>
      <c r="O8" s="3"/>
      <c r="P8" s="3"/>
      <c r="Q8" s="3"/>
      <c r="R8" s="3"/>
      <c r="S8" s="3"/>
      <c r="T8" s="3"/>
      <c r="U8" s="3"/>
      <c r="W8" s="3"/>
      <c r="X8" s="3"/>
      <c r="Y8" s="3"/>
      <c r="Z8" s="3"/>
      <c r="AA8" s="3"/>
      <c r="AB8" s="3"/>
    </row>
    <row r="9" spans="1:28" s="142" customFormat="1" x14ac:dyDescent="0.25">
      <c r="A9" s="581" t="s">
        <v>401</v>
      </c>
      <c r="B9" s="143" t="s">
        <v>39</v>
      </c>
      <c r="C9" s="145" t="s">
        <v>332</v>
      </c>
      <c r="D9" s="73"/>
      <c r="E9" s="73">
        <f t="shared" ref="E9:E14" si="0">D9</f>
        <v>0</v>
      </c>
      <c r="F9" s="73"/>
      <c r="G9" s="73">
        <v>0</v>
      </c>
      <c r="H9" s="282">
        <v>2</v>
      </c>
      <c r="I9" s="73">
        <v>4</v>
      </c>
      <c r="J9" s="73">
        <v>60</v>
      </c>
      <c r="K9" s="73"/>
      <c r="L9" s="144"/>
    </row>
    <row r="10" spans="1:28" s="142" customFormat="1" x14ac:dyDescent="0.25">
      <c r="A10" s="581"/>
      <c r="B10" s="143" t="s">
        <v>39</v>
      </c>
      <c r="C10" s="145" t="s">
        <v>334</v>
      </c>
      <c r="D10" s="73"/>
      <c r="E10" s="73">
        <f t="shared" si="0"/>
        <v>0</v>
      </c>
      <c r="F10" s="73"/>
      <c r="G10" s="73">
        <f>F10</f>
        <v>0</v>
      </c>
      <c r="H10" s="71">
        <v>1</v>
      </c>
      <c r="I10" s="73">
        <v>3</v>
      </c>
      <c r="J10" s="73">
        <v>28</v>
      </c>
      <c r="K10" s="73"/>
      <c r="L10" s="144"/>
    </row>
    <row r="11" spans="1:28" s="142" customFormat="1" x14ac:dyDescent="0.25">
      <c r="A11" s="581"/>
      <c r="B11" s="143" t="s">
        <v>39</v>
      </c>
      <c r="C11" s="145" t="s">
        <v>317</v>
      </c>
      <c r="D11" s="73"/>
      <c r="E11" s="73">
        <v>0</v>
      </c>
      <c r="F11" s="73"/>
      <c r="G11" s="73">
        <f>F11</f>
        <v>0</v>
      </c>
      <c r="H11" s="71">
        <v>1</v>
      </c>
      <c r="I11" s="73">
        <v>4</v>
      </c>
      <c r="J11" s="73">
        <v>28</v>
      </c>
      <c r="K11" s="73"/>
      <c r="L11" s="144"/>
    </row>
    <row r="12" spans="1:28" s="142" customFormat="1" x14ac:dyDescent="0.25">
      <c r="A12" s="581"/>
      <c r="B12" s="143" t="s">
        <v>39</v>
      </c>
      <c r="C12" s="145" t="s">
        <v>289</v>
      </c>
      <c r="D12" s="73"/>
      <c r="E12" s="73">
        <f t="shared" si="0"/>
        <v>0</v>
      </c>
      <c r="F12" s="73"/>
      <c r="G12" s="73">
        <f>F12</f>
        <v>0</v>
      </c>
      <c r="H12" s="71">
        <v>2</v>
      </c>
      <c r="I12" s="73">
        <v>6</v>
      </c>
      <c r="J12" s="73">
        <v>56</v>
      </c>
      <c r="K12" s="73"/>
      <c r="L12" s="144"/>
    </row>
    <row r="13" spans="1:28" s="1" customFormat="1" x14ac:dyDescent="0.25">
      <c r="A13" s="581"/>
      <c r="B13" s="143" t="s">
        <v>39</v>
      </c>
      <c r="C13" s="145" t="s">
        <v>298</v>
      </c>
      <c r="D13" s="73"/>
      <c r="E13" s="73">
        <f t="shared" si="0"/>
        <v>0</v>
      </c>
      <c r="F13" s="73"/>
      <c r="G13" s="73">
        <f>F13</f>
        <v>0</v>
      </c>
      <c r="H13" s="71"/>
      <c r="I13" s="73">
        <v>0</v>
      </c>
      <c r="J13" s="73"/>
      <c r="K13" s="73"/>
      <c r="L13" s="144"/>
    </row>
    <row r="14" spans="1:28" s="1" customFormat="1" x14ac:dyDescent="0.25">
      <c r="A14" s="581"/>
      <c r="B14" s="143" t="s">
        <v>39</v>
      </c>
      <c r="C14" s="145" t="s">
        <v>230</v>
      </c>
      <c r="D14" s="73"/>
      <c r="E14" s="73">
        <f t="shared" si="0"/>
        <v>0</v>
      </c>
      <c r="F14" s="73"/>
      <c r="G14" s="73">
        <v>0</v>
      </c>
      <c r="H14" s="71">
        <v>2</v>
      </c>
      <c r="I14" s="73">
        <v>7</v>
      </c>
      <c r="J14" s="71">
        <v>56</v>
      </c>
      <c r="K14" s="73"/>
      <c r="L14" s="144"/>
    </row>
    <row r="15" spans="1:28" s="1" customFormat="1" x14ac:dyDescent="0.25">
      <c r="A15" s="581"/>
      <c r="B15" s="143" t="s">
        <v>39</v>
      </c>
      <c r="C15" s="145">
        <v>806</v>
      </c>
      <c r="D15" s="73"/>
      <c r="E15" s="73">
        <v>0</v>
      </c>
      <c r="F15" s="73"/>
      <c r="G15" s="73">
        <v>0</v>
      </c>
      <c r="H15" s="71"/>
      <c r="I15" s="73">
        <v>0</v>
      </c>
      <c r="J15" s="71"/>
      <c r="K15" s="73"/>
      <c r="L15" s="144"/>
    </row>
    <row r="16" spans="1:28" s="1" customFormat="1" x14ac:dyDescent="0.25">
      <c r="A16" s="581"/>
      <c r="B16" s="143" t="s">
        <v>39</v>
      </c>
      <c r="C16" s="145" t="s">
        <v>282</v>
      </c>
      <c r="D16" s="73"/>
      <c r="E16" s="73">
        <v>0</v>
      </c>
      <c r="F16" s="73"/>
      <c r="G16" s="73">
        <v>0</v>
      </c>
      <c r="H16" s="71"/>
      <c r="I16" s="73">
        <v>0</v>
      </c>
      <c r="J16" s="71"/>
      <c r="K16" s="73"/>
      <c r="L16" s="144" t="s">
        <v>256</v>
      </c>
    </row>
    <row r="17" spans="1:12" s="1" customFormat="1" x14ac:dyDescent="0.25">
      <c r="A17" s="581"/>
      <c r="B17" s="143" t="s">
        <v>39</v>
      </c>
      <c r="C17" s="145" t="s">
        <v>340</v>
      </c>
      <c r="D17" s="73"/>
      <c r="E17" s="73">
        <v>0</v>
      </c>
      <c r="F17" s="73"/>
      <c r="G17" s="73">
        <v>0</v>
      </c>
      <c r="H17" s="71"/>
      <c r="I17" s="73">
        <v>0</v>
      </c>
      <c r="J17" s="71"/>
      <c r="K17" s="73"/>
      <c r="L17" s="144"/>
    </row>
    <row r="18" spans="1:12" s="1" customFormat="1" x14ac:dyDescent="0.25">
      <c r="A18" s="581"/>
      <c r="B18" s="143" t="s">
        <v>39</v>
      </c>
      <c r="C18" s="74">
        <v>479</v>
      </c>
      <c r="D18" s="71"/>
      <c r="E18" s="71">
        <v>0</v>
      </c>
      <c r="F18" s="71"/>
      <c r="G18" s="71">
        <v>0</v>
      </c>
      <c r="H18" s="71"/>
      <c r="I18" s="73">
        <v>0</v>
      </c>
      <c r="J18" s="71"/>
      <c r="K18" s="73"/>
      <c r="L18" s="144"/>
    </row>
    <row r="19" spans="1:12" s="1" customFormat="1" x14ac:dyDescent="0.25">
      <c r="A19" s="581"/>
      <c r="B19" s="143" t="s">
        <v>39</v>
      </c>
      <c r="C19" s="74">
        <v>442</v>
      </c>
      <c r="D19" s="71"/>
      <c r="E19" s="71">
        <v>0</v>
      </c>
      <c r="F19" s="71"/>
      <c r="G19" s="71">
        <v>0</v>
      </c>
      <c r="H19" s="71"/>
      <c r="I19" s="73">
        <v>0</v>
      </c>
      <c r="J19" s="71"/>
      <c r="K19" s="73"/>
      <c r="L19" s="144"/>
    </row>
    <row r="20" spans="1:12" s="1" customFormat="1" x14ac:dyDescent="0.25">
      <c r="A20" s="581"/>
      <c r="B20" s="143" t="s">
        <v>39</v>
      </c>
      <c r="C20" s="145" t="s">
        <v>343</v>
      </c>
      <c r="D20" s="71"/>
      <c r="E20" s="71">
        <v>0</v>
      </c>
      <c r="F20" s="71"/>
      <c r="G20" s="71">
        <v>0</v>
      </c>
      <c r="H20" s="71"/>
      <c r="I20" s="73">
        <v>0</v>
      </c>
      <c r="J20" s="71"/>
      <c r="K20" s="73"/>
      <c r="L20" s="144"/>
    </row>
    <row r="21" spans="1:12" s="1" customFormat="1" x14ac:dyDescent="0.25">
      <c r="A21" s="581"/>
      <c r="B21" s="143" t="s">
        <v>39</v>
      </c>
      <c r="C21" s="145" t="s">
        <v>232</v>
      </c>
      <c r="D21" s="71"/>
      <c r="E21" s="71">
        <v>0</v>
      </c>
      <c r="F21" s="71"/>
      <c r="G21" s="71">
        <v>0</v>
      </c>
      <c r="H21" s="71"/>
      <c r="I21" s="73">
        <v>0</v>
      </c>
      <c r="J21" s="71"/>
      <c r="K21" s="73"/>
      <c r="L21" s="144"/>
    </row>
    <row r="22" spans="1:12" s="1" customFormat="1" x14ac:dyDescent="0.25">
      <c r="A22" s="581"/>
      <c r="B22" s="143" t="s">
        <v>39</v>
      </c>
      <c r="C22" s="145" t="s">
        <v>393</v>
      </c>
      <c r="D22" s="71"/>
      <c r="E22" s="71">
        <v>0</v>
      </c>
      <c r="F22" s="71"/>
      <c r="G22" s="71">
        <v>0</v>
      </c>
      <c r="H22" s="71"/>
      <c r="I22" s="73">
        <v>0</v>
      </c>
      <c r="J22" s="71"/>
      <c r="K22" s="73"/>
      <c r="L22" s="144"/>
    </row>
    <row r="23" spans="1:12" s="1" customFormat="1" x14ac:dyDescent="0.25">
      <c r="A23" s="581"/>
      <c r="B23" s="143" t="s">
        <v>39</v>
      </c>
      <c r="C23" s="145" t="s">
        <v>342</v>
      </c>
      <c r="D23" s="71"/>
      <c r="E23" s="71">
        <v>0</v>
      </c>
      <c r="F23" s="71"/>
      <c r="G23" s="71">
        <v>0</v>
      </c>
      <c r="H23" s="71"/>
      <c r="I23" s="73">
        <v>0</v>
      </c>
      <c r="J23" s="71"/>
      <c r="K23" s="73"/>
      <c r="L23" s="144"/>
    </row>
    <row r="24" spans="1:12" s="1" customFormat="1" x14ac:dyDescent="0.25">
      <c r="A24" s="581"/>
      <c r="B24" s="143" t="s">
        <v>39</v>
      </c>
      <c r="C24" s="145" t="s">
        <v>249</v>
      </c>
      <c r="D24" s="71"/>
      <c r="E24" s="71">
        <v>0</v>
      </c>
      <c r="F24" s="71"/>
      <c r="G24" s="71">
        <v>0</v>
      </c>
      <c r="H24" s="71"/>
      <c r="I24" s="73">
        <v>0</v>
      </c>
      <c r="J24" s="71"/>
      <c r="K24" s="73"/>
      <c r="L24" s="144"/>
    </row>
    <row r="25" spans="1:12" s="142" customFormat="1" x14ac:dyDescent="0.25">
      <c r="A25" s="581"/>
      <c r="B25" s="143" t="s">
        <v>39</v>
      </c>
      <c r="C25" s="145" t="s">
        <v>300</v>
      </c>
      <c r="D25" s="71"/>
      <c r="E25" s="71">
        <v>0</v>
      </c>
      <c r="F25" s="71"/>
      <c r="G25" s="71">
        <v>0</v>
      </c>
      <c r="H25" s="71">
        <v>2</v>
      </c>
      <c r="I25" s="73">
        <v>5</v>
      </c>
      <c r="J25" s="71">
        <v>56</v>
      </c>
      <c r="K25" s="73"/>
      <c r="L25" s="144"/>
    </row>
    <row r="26" spans="1:12" s="142" customFormat="1" x14ac:dyDescent="0.25">
      <c r="A26" s="581"/>
      <c r="B26" s="143" t="s">
        <v>39</v>
      </c>
      <c r="C26" s="145" t="s">
        <v>335</v>
      </c>
      <c r="D26" s="71"/>
      <c r="E26" s="71">
        <v>0</v>
      </c>
      <c r="F26" s="71"/>
      <c r="G26" s="71">
        <v>0</v>
      </c>
      <c r="H26" s="71"/>
      <c r="I26" s="73">
        <v>0</v>
      </c>
      <c r="J26" s="71"/>
      <c r="K26" s="73"/>
      <c r="L26" s="144"/>
    </row>
    <row r="27" spans="1:12" s="142" customFormat="1" x14ac:dyDescent="0.25">
      <c r="A27" s="581"/>
      <c r="B27" s="143" t="s">
        <v>39</v>
      </c>
      <c r="C27" s="145" t="s">
        <v>342</v>
      </c>
      <c r="D27" s="71"/>
      <c r="E27" s="71">
        <v>0</v>
      </c>
      <c r="F27" s="71"/>
      <c r="G27" s="71">
        <v>0</v>
      </c>
      <c r="H27" s="71"/>
      <c r="I27" s="73">
        <v>0</v>
      </c>
      <c r="J27" s="71"/>
      <c r="K27" s="73"/>
      <c r="L27" s="144"/>
    </row>
    <row r="28" spans="1:12" s="142" customFormat="1" x14ac:dyDescent="0.25">
      <c r="A28" s="581"/>
      <c r="B28" s="143" t="s">
        <v>39</v>
      </c>
      <c r="C28" s="145" t="s">
        <v>297</v>
      </c>
      <c r="D28" s="71"/>
      <c r="E28" s="71">
        <v>0</v>
      </c>
      <c r="F28" s="71"/>
      <c r="G28" s="71">
        <v>0</v>
      </c>
      <c r="H28" s="71"/>
      <c r="I28" s="73">
        <v>0</v>
      </c>
      <c r="J28" s="71"/>
      <c r="K28" s="73"/>
      <c r="L28" s="144"/>
    </row>
    <row r="29" spans="1:12" s="142" customFormat="1" x14ac:dyDescent="0.25">
      <c r="A29" s="581"/>
      <c r="B29" s="143" t="s">
        <v>39</v>
      </c>
      <c r="C29" s="145" t="s">
        <v>321</v>
      </c>
      <c r="D29" s="71"/>
      <c r="E29" s="71">
        <v>0</v>
      </c>
      <c r="F29" s="71"/>
      <c r="G29" s="71">
        <v>0</v>
      </c>
      <c r="H29" s="71"/>
      <c r="I29" s="73">
        <v>0</v>
      </c>
      <c r="J29" s="71"/>
      <c r="K29" s="73"/>
      <c r="L29" s="144"/>
    </row>
    <row r="30" spans="1:12" s="142" customFormat="1" x14ac:dyDescent="0.25">
      <c r="A30" s="581"/>
      <c r="B30" s="143" t="s">
        <v>39</v>
      </c>
      <c r="C30" s="263" t="s">
        <v>392</v>
      </c>
      <c r="D30" s="71"/>
      <c r="E30" s="71">
        <v>0</v>
      </c>
      <c r="F30" s="71"/>
      <c r="G30" s="71">
        <v>0</v>
      </c>
      <c r="H30" s="71"/>
      <c r="I30" s="73">
        <v>2</v>
      </c>
      <c r="J30" s="71"/>
      <c r="K30" s="73"/>
      <c r="L30" s="144"/>
    </row>
    <row r="31" spans="1:12" s="142" customFormat="1" x14ac:dyDescent="0.25">
      <c r="A31" s="581"/>
      <c r="B31" s="143" t="s">
        <v>39</v>
      </c>
      <c r="C31" s="145" t="s">
        <v>235</v>
      </c>
      <c r="D31" s="71"/>
      <c r="E31" s="71">
        <v>0</v>
      </c>
      <c r="F31" s="71"/>
      <c r="G31" s="71">
        <v>0</v>
      </c>
      <c r="H31" s="71">
        <v>2</v>
      </c>
      <c r="I31" s="73">
        <v>6</v>
      </c>
      <c r="J31" s="71">
        <v>60</v>
      </c>
      <c r="K31" s="73"/>
      <c r="L31" s="144"/>
    </row>
    <row r="32" spans="1:12" s="142" customFormat="1" x14ac:dyDescent="0.25">
      <c r="A32" s="581"/>
      <c r="B32" s="143" t="s">
        <v>39</v>
      </c>
      <c r="C32" s="145" t="s">
        <v>283</v>
      </c>
      <c r="D32" s="71"/>
      <c r="E32" s="71">
        <v>0</v>
      </c>
      <c r="F32" s="71"/>
      <c r="G32" s="71">
        <v>0</v>
      </c>
      <c r="H32" s="71"/>
      <c r="I32" s="73">
        <v>0</v>
      </c>
      <c r="J32" s="71"/>
      <c r="K32" s="73"/>
      <c r="L32" s="144"/>
    </row>
    <row r="33" spans="1:12" s="142" customFormat="1" x14ac:dyDescent="0.25">
      <c r="A33" s="581"/>
      <c r="B33" s="143" t="s">
        <v>39</v>
      </c>
      <c r="C33" s="145" t="s">
        <v>337</v>
      </c>
      <c r="D33" s="71"/>
      <c r="E33" s="71">
        <v>0</v>
      </c>
      <c r="F33" s="71"/>
      <c r="G33" s="71">
        <v>0</v>
      </c>
      <c r="H33" s="71">
        <v>2</v>
      </c>
      <c r="I33" s="73">
        <v>7</v>
      </c>
      <c r="J33" s="71">
        <v>56</v>
      </c>
      <c r="K33" s="73"/>
      <c r="L33" s="144"/>
    </row>
    <row r="34" spans="1:12" s="142" customFormat="1" x14ac:dyDescent="0.25">
      <c r="A34" s="581"/>
      <c r="B34" s="143" t="s">
        <v>39</v>
      </c>
      <c r="C34" s="145" t="s">
        <v>388</v>
      </c>
      <c r="D34" s="71"/>
      <c r="E34" s="71">
        <v>0</v>
      </c>
      <c r="F34" s="71"/>
      <c r="G34" s="71">
        <v>0</v>
      </c>
      <c r="H34" s="71"/>
      <c r="I34" s="73">
        <v>0</v>
      </c>
      <c r="J34" s="71"/>
      <c r="K34" s="73"/>
      <c r="L34" s="144"/>
    </row>
    <row r="35" spans="1:12" s="142" customFormat="1" x14ac:dyDescent="0.25">
      <c r="A35" s="581"/>
      <c r="B35" s="143" t="s">
        <v>39</v>
      </c>
      <c r="C35" s="145" t="s">
        <v>284</v>
      </c>
      <c r="D35" s="71"/>
      <c r="E35" s="71">
        <v>0</v>
      </c>
      <c r="F35" s="71"/>
      <c r="G35" s="71">
        <v>0</v>
      </c>
      <c r="H35" s="71">
        <v>2</v>
      </c>
      <c r="I35" s="73">
        <v>3</v>
      </c>
      <c r="J35" s="71">
        <v>56</v>
      </c>
      <c r="K35" s="73"/>
      <c r="L35" s="144"/>
    </row>
    <row r="36" spans="1:12" x14ac:dyDescent="0.25">
      <c r="A36" s="581"/>
      <c r="B36" s="143" t="s">
        <v>30</v>
      </c>
      <c r="C36" s="145" t="s">
        <v>418</v>
      </c>
      <c r="D36" s="71">
        <v>10</v>
      </c>
      <c r="E36" s="71">
        <v>25</v>
      </c>
      <c r="F36" s="71"/>
      <c r="G36" s="71">
        <f t="shared" ref="G36:G45" si="1">F36</f>
        <v>0</v>
      </c>
      <c r="H36" s="71"/>
      <c r="I36" s="71">
        <v>0</v>
      </c>
      <c r="J36" s="71"/>
      <c r="K36" s="73"/>
      <c r="L36" s="144"/>
    </row>
    <row r="37" spans="1:12" x14ac:dyDescent="0.25">
      <c r="A37" s="581"/>
      <c r="B37" s="143" t="s">
        <v>30</v>
      </c>
      <c r="C37" s="145">
        <v>488</v>
      </c>
      <c r="D37" s="71"/>
      <c r="E37" s="71">
        <v>30</v>
      </c>
      <c r="F37" s="71"/>
      <c r="G37" s="71">
        <f t="shared" si="1"/>
        <v>0</v>
      </c>
      <c r="H37" s="71"/>
      <c r="I37" s="71">
        <v>0</v>
      </c>
      <c r="J37" s="71"/>
      <c r="K37" s="73"/>
      <c r="L37" s="144"/>
    </row>
    <row r="38" spans="1:12" x14ac:dyDescent="0.25">
      <c r="A38" s="581"/>
      <c r="B38" s="143" t="s">
        <v>30</v>
      </c>
      <c r="C38" s="145">
        <v>732</v>
      </c>
      <c r="D38" s="71">
        <v>10</v>
      </c>
      <c r="E38" s="71">
        <v>30</v>
      </c>
      <c r="F38" s="71"/>
      <c r="G38" s="71">
        <f t="shared" si="1"/>
        <v>0</v>
      </c>
      <c r="H38" s="71"/>
      <c r="I38" s="71">
        <v>0</v>
      </c>
      <c r="J38" s="71"/>
      <c r="K38" s="73"/>
      <c r="L38" s="144"/>
    </row>
    <row r="39" spans="1:12" x14ac:dyDescent="0.25">
      <c r="A39" s="581"/>
      <c r="B39" s="143" t="s">
        <v>31</v>
      </c>
      <c r="C39" s="145" t="s">
        <v>336</v>
      </c>
      <c r="D39" s="71"/>
      <c r="E39" s="71">
        <v>0</v>
      </c>
      <c r="F39" s="71"/>
      <c r="G39" s="71">
        <v>0</v>
      </c>
      <c r="H39" s="71"/>
      <c r="I39" s="71">
        <v>0</v>
      </c>
      <c r="J39" s="71"/>
      <c r="K39" s="73"/>
      <c r="L39" s="144"/>
    </row>
    <row r="40" spans="1:12" x14ac:dyDescent="0.25">
      <c r="A40" s="581"/>
      <c r="B40" s="143" t="s">
        <v>31</v>
      </c>
      <c r="C40" s="74">
        <v>844</v>
      </c>
      <c r="D40" s="71"/>
      <c r="E40" s="71">
        <v>27</v>
      </c>
      <c r="F40" s="71"/>
      <c r="G40" s="71">
        <f t="shared" si="1"/>
        <v>0</v>
      </c>
      <c r="H40" s="71"/>
      <c r="I40" s="73">
        <v>0</v>
      </c>
      <c r="J40" s="71"/>
      <c r="K40" s="73"/>
      <c r="L40" s="144"/>
    </row>
    <row r="41" spans="1:12" x14ac:dyDescent="0.25">
      <c r="A41" s="581"/>
      <c r="B41" s="146" t="s">
        <v>32</v>
      </c>
      <c r="C41" s="145" t="s">
        <v>322</v>
      </c>
      <c r="D41" s="73"/>
      <c r="E41" s="71">
        <v>17</v>
      </c>
      <c r="F41" s="73"/>
      <c r="G41" s="73">
        <f t="shared" si="1"/>
        <v>0</v>
      </c>
      <c r="H41" s="73"/>
      <c r="I41" s="73">
        <v>0</v>
      </c>
      <c r="J41" s="71"/>
      <c r="K41" s="73"/>
      <c r="L41" s="144"/>
    </row>
    <row r="42" spans="1:12" x14ac:dyDescent="0.25">
      <c r="A42" s="581"/>
      <c r="B42" s="146" t="s">
        <v>400</v>
      </c>
      <c r="C42" s="74">
        <v>465</v>
      </c>
      <c r="D42" s="73"/>
      <c r="E42" s="71">
        <v>30</v>
      </c>
      <c r="F42" s="73"/>
      <c r="G42" s="73">
        <f t="shared" si="1"/>
        <v>0</v>
      </c>
      <c r="H42" s="73"/>
      <c r="I42" s="73">
        <v>0</v>
      </c>
      <c r="J42" s="71"/>
      <c r="K42" s="73"/>
      <c r="L42" s="144"/>
    </row>
    <row r="43" spans="1:12" x14ac:dyDescent="0.25">
      <c r="A43" s="581"/>
      <c r="B43" s="146" t="s">
        <v>33</v>
      </c>
      <c r="C43" s="74">
        <v>870</v>
      </c>
      <c r="D43" s="73"/>
      <c r="E43" s="71">
        <v>10</v>
      </c>
      <c r="F43" s="73"/>
      <c r="G43" s="73">
        <f t="shared" si="1"/>
        <v>0</v>
      </c>
      <c r="H43" s="73"/>
      <c r="I43" s="73">
        <v>0</v>
      </c>
      <c r="J43" s="71"/>
      <c r="K43" s="73"/>
      <c r="L43" s="144"/>
    </row>
    <row r="44" spans="1:12" x14ac:dyDescent="0.25">
      <c r="A44" s="581"/>
      <c r="B44" s="146" t="s">
        <v>338</v>
      </c>
      <c r="C44" s="74">
        <v>899</v>
      </c>
      <c r="D44" s="73"/>
      <c r="E44" s="71">
        <v>0</v>
      </c>
      <c r="F44" s="73"/>
      <c r="G44" s="73">
        <f t="shared" si="1"/>
        <v>0</v>
      </c>
      <c r="H44" s="73"/>
      <c r="I44" s="73">
        <v>0</v>
      </c>
      <c r="J44" s="71"/>
      <c r="K44" s="73"/>
      <c r="L44" s="144"/>
    </row>
    <row r="45" spans="1:12" ht="15.75" x14ac:dyDescent="0.25">
      <c r="A45" s="581"/>
      <c r="B45" s="146" t="s">
        <v>34</v>
      </c>
      <c r="C45" s="74">
        <v>302</v>
      </c>
      <c r="D45" s="73"/>
      <c r="E45" s="71">
        <v>0</v>
      </c>
      <c r="F45" s="73"/>
      <c r="G45" s="73">
        <f t="shared" si="1"/>
        <v>0</v>
      </c>
      <c r="H45" s="73"/>
      <c r="I45" s="73">
        <v>0</v>
      </c>
      <c r="J45" s="71"/>
      <c r="K45" s="319"/>
      <c r="L45" s="144"/>
    </row>
    <row r="46" spans="1:12" x14ac:dyDescent="0.25">
      <c r="A46" s="581"/>
      <c r="B46" s="146" t="s">
        <v>301</v>
      </c>
      <c r="C46" s="74">
        <v>408</v>
      </c>
      <c r="D46" s="73">
        <v>10</v>
      </c>
      <c r="E46" s="71">
        <v>40</v>
      </c>
      <c r="F46" s="73"/>
      <c r="G46" s="73">
        <v>0</v>
      </c>
      <c r="H46" s="73"/>
      <c r="I46" s="73">
        <v>0</v>
      </c>
      <c r="J46" s="71"/>
      <c r="K46" s="73"/>
      <c r="L46" s="144"/>
    </row>
    <row r="47" spans="1:12" x14ac:dyDescent="0.25">
      <c r="A47" s="581"/>
      <c r="B47" s="146" t="s">
        <v>35</v>
      </c>
      <c r="C47" s="74">
        <v>479</v>
      </c>
      <c r="D47" s="73">
        <v>10</v>
      </c>
      <c r="E47" s="71">
        <v>40</v>
      </c>
      <c r="F47" s="73"/>
      <c r="G47" s="73">
        <f>F47</f>
        <v>0</v>
      </c>
      <c r="H47" s="73"/>
      <c r="I47" s="73">
        <v>0</v>
      </c>
      <c r="J47" s="71"/>
      <c r="K47" s="73"/>
      <c r="L47" s="144"/>
    </row>
    <row r="48" spans="1:12" x14ac:dyDescent="0.25">
      <c r="A48" s="581"/>
      <c r="B48" s="146" t="s">
        <v>295</v>
      </c>
      <c r="C48" s="74">
        <v>649</v>
      </c>
      <c r="D48" s="73"/>
      <c r="E48" s="71">
        <v>0</v>
      </c>
      <c r="F48" s="73"/>
      <c r="G48" s="73">
        <v>0</v>
      </c>
      <c r="H48" s="73"/>
      <c r="I48" s="73">
        <v>0</v>
      </c>
      <c r="J48" s="71"/>
      <c r="K48" s="73"/>
      <c r="L48" s="144"/>
    </row>
    <row r="49" spans="1:12" x14ac:dyDescent="0.25">
      <c r="A49" s="581"/>
      <c r="B49" s="146" t="s">
        <v>35</v>
      </c>
      <c r="C49" s="74">
        <v>542</v>
      </c>
      <c r="D49" s="73"/>
      <c r="E49" s="71">
        <v>0</v>
      </c>
      <c r="F49" s="73"/>
      <c r="G49" s="73">
        <v>0</v>
      </c>
      <c r="H49" s="73"/>
      <c r="I49" s="73">
        <v>0</v>
      </c>
      <c r="J49" s="71"/>
      <c r="K49" s="73"/>
      <c r="L49" s="144"/>
    </row>
    <row r="50" spans="1:12" x14ac:dyDescent="0.25">
      <c r="A50" s="581"/>
      <c r="B50" s="146" t="s">
        <v>36</v>
      </c>
      <c r="C50" s="74" t="s">
        <v>323</v>
      </c>
      <c r="D50" s="73"/>
      <c r="E50" s="71">
        <v>0</v>
      </c>
      <c r="F50" s="73"/>
      <c r="G50" s="73">
        <f>F50</f>
        <v>0</v>
      </c>
      <c r="H50" s="73"/>
      <c r="I50" s="73">
        <v>0</v>
      </c>
      <c r="J50" s="71"/>
      <c r="K50" s="73"/>
      <c r="L50" s="144"/>
    </row>
    <row r="51" spans="1:12" x14ac:dyDescent="0.25">
      <c r="A51" s="581"/>
      <c r="B51" s="146" t="s">
        <v>37</v>
      </c>
      <c r="C51" s="74">
        <v>284</v>
      </c>
      <c r="D51" s="71"/>
      <c r="E51" s="71">
        <v>0</v>
      </c>
      <c r="F51" s="73"/>
      <c r="G51" s="73">
        <f>F51</f>
        <v>0</v>
      </c>
      <c r="H51" s="73"/>
      <c r="I51" s="73">
        <v>0</v>
      </c>
      <c r="J51" s="71"/>
      <c r="K51" s="73"/>
      <c r="L51" s="144"/>
    </row>
    <row r="52" spans="1:12" x14ac:dyDescent="0.25">
      <c r="A52" s="581"/>
      <c r="B52" s="146" t="s">
        <v>302</v>
      </c>
      <c r="C52" s="74" t="s">
        <v>324</v>
      </c>
      <c r="D52" s="71"/>
      <c r="E52" s="71">
        <v>0</v>
      </c>
      <c r="F52" s="73"/>
      <c r="G52" s="73">
        <v>0</v>
      </c>
      <c r="H52" s="73"/>
      <c r="I52" s="73">
        <v>0</v>
      </c>
      <c r="J52" s="71"/>
      <c r="K52" s="73"/>
      <c r="L52" s="144"/>
    </row>
    <row r="53" spans="1:12" x14ac:dyDescent="0.25">
      <c r="A53" s="581"/>
      <c r="B53" s="146" t="s">
        <v>299</v>
      </c>
      <c r="C53" s="74" t="s">
        <v>323</v>
      </c>
      <c r="D53" s="71"/>
      <c r="E53" s="71">
        <v>0</v>
      </c>
      <c r="F53" s="73"/>
      <c r="G53" s="73">
        <v>0</v>
      </c>
      <c r="H53" s="73"/>
      <c r="I53" s="73">
        <v>0</v>
      </c>
      <c r="J53" s="71"/>
      <c r="K53" s="73"/>
      <c r="L53" s="144"/>
    </row>
    <row r="54" spans="1:12" x14ac:dyDescent="0.25">
      <c r="A54" s="581"/>
      <c r="B54" s="146" t="s">
        <v>328</v>
      </c>
      <c r="C54" s="74" t="s">
        <v>329</v>
      </c>
      <c r="D54" s="71"/>
      <c r="E54" s="71">
        <v>0</v>
      </c>
      <c r="F54" s="73"/>
      <c r="G54" s="73">
        <v>0</v>
      </c>
      <c r="H54" s="73"/>
      <c r="I54" s="73">
        <v>0</v>
      </c>
      <c r="J54" s="71"/>
      <c r="K54" s="73"/>
      <c r="L54" s="144"/>
    </row>
    <row r="55" spans="1:12" x14ac:dyDescent="0.25">
      <c r="A55" s="581"/>
      <c r="B55" s="146" t="s">
        <v>303</v>
      </c>
      <c r="C55" s="74" t="s">
        <v>325</v>
      </c>
      <c r="D55" s="71"/>
      <c r="E55" s="71">
        <v>0</v>
      </c>
      <c r="F55" s="73"/>
      <c r="G55" s="73">
        <f>F55</f>
        <v>0</v>
      </c>
      <c r="H55" s="73"/>
      <c r="I55" s="73">
        <v>0</v>
      </c>
      <c r="J55" s="71"/>
      <c r="K55" s="73"/>
      <c r="L55" s="144"/>
    </row>
    <row r="56" spans="1:12" x14ac:dyDescent="0.25">
      <c r="A56" s="581"/>
      <c r="B56" s="146" t="s">
        <v>38</v>
      </c>
      <c r="C56" s="74" t="s">
        <v>326</v>
      </c>
      <c r="D56" s="71"/>
      <c r="E56" s="71">
        <v>0</v>
      </c>
      <c r="F56" s="73"/>
      <c r="G56" s="73">
        <v>0</v>
      </c>
      <c r="H56" s="73"/>
      <c r="I56" s="73">
        <v>0</v>
      </c>
      <c r="J56" s="71"/>
      <c r="K56" s="73"/>
      <c r="L56" s="144"/>
    </row>
    <row r="57" spans="1:12" x14ac:dyDescent="0.25">
      <c r="A57" s="581"/>
      <c r="B57" s="146" t="s">
        <v>38</v>
      </c>
      <c r="C57" s="74" t="s">
        <v>327</v>
      </c>
      <c r="D57" s="73"/>
      <c r="E57" s="71">
        <v>0</v>
      </c>
      <c r="F57" s="73"/>
      <c r="G57" s="73">
        <f>F57</f>
        <v>0</v>
      </c>
      <c r="H57" s="73"/>
      <c r="I57" s="73">
        <v>0</v>
      </c>
      <c r="J57" s="71"/>
      <c r="K57" s="73"/>
      <c r="L57" s="144"/>
    </row>
    <row r="58" spans="1:12" x14ac:dyDescent="0.25">
      <c r="A58" s="575" t="s">
        <v>225</v>
      </c>
      <c r="B58" s="576"/>
      <c r="C58" s="576"/>
      <c r="D58" s="270">
        <f>SUM(D9:D57)</f>
        <v>40</v>
      </c>
      <c r="E58" s="284">
        <f t="shared" ref="E58:L58" si="2">SUM(E9:E57)</f>
        <v>249</v>
      </c>
      <c r="F58" s="284">
        <f t="shared" si="2"/>
        <v>0</v>
      </c>
      <c r="G58" s="284">
        <f t="shared" si="2"/>
        <v>0</v>
      </c>
      <c r="H58" s="284">
        <f t="shared" si="2"/>
        <v>16</v>
      </c>
      <c r="I58" s="284">
        <f t="shared" si="2"/>
        <v>47</v>
      </c>
      <c r="J58" s="284">
        <f t="shared" si="2"/>
        <v>456</v>
      </c>
      <c r="K58" s="284">
        <f t="shared" si="2"/>
        <v>0</v>
      </c>
      <c r="L58" s="284">
        <f t="shared" si="2"/>
        <v>0</v>
      </c>
    </row>
    <row r="59" spans="1:12" x14ac:dyDescent="0.25">
      <c r="A59" s="577" t="s">
        <v>308</v>
      </c>
      <c r="B59" s="147" t="s">
        <v>35</v>
      </c>
      <c r="C59" s="73">
        <v>755</v>
      </c>
      <c r="D59" s="126"/>
      <c r="E59" s="73">
        <f t="shared" ref="E59:E63" si="3">D59</f>
        <v>0</v>
      </c>
      <c r="F59" s="126"/>
      <c r="G59" s="73">
        <f t="shared" ref="G59:G63" si="4">F59</f>
        <v>0</v>
      </c>
      <c r="H59" s="127"/>
      <c r="I59" s="73">
        <v>0</v>
      </c>
      <c r="J59" s="73"/>
      <c r="K59" s="73"/>
      <c r="L59" s="144"/>
    </row>
    <row r="60" spans="1:12" x14ac:dyDescent="0.25">
      <c r="A60" s="577"/>
      <c r="B60" s="147" t="s">
        <v>35</v>
      </c>
      <c r="C60" s="73">
        <v>758</v>
      </c>
      <c r="D60" s="126"/>
      <c r="E60" s="73">
        <f t="shared" si="3"/>
        <v>0</v>
      </c>
      <c r="F60" s="126"/>
      <c r="G60" s="73">
        <f t="shared" si="4"/>
        <v>0</v>
      </c>
      <c r="H60" s="127"/>
      <c r="I60" s="73">
        <v>0</v>
      </c>
      <c r="J60" s="73"/>
      <c r="K60" s="73"/>
      <c r="L60" s="144"/>
    </row>
    <row r="61" spans="1:12" x14ac:dyDescent="0.25">
      <c r="A61" s="577"/>
      <c r="B61" s="147" t="s">
        <v>35</v>
      </c>
      <c r="C61" s="73">
        <v>345</v>
      </c>
      <c r="D61" s="126"/>
      <c r="E61" s="73">
        <f t="shared" si="3"/>
        <v>0</v>
      </c>
      <c r="F61" s="126"/>
      <c r="G61" s="73">
        <f t="shared" si="4"/>
        <v>0</v>
      </c>
      <c r="H61" s="127"/>
      <c r="I61" s="73">
        <v>0</v>
      </c>
      <c r="J61" s="73"/>
      <c r="K61" s="73"/>
      <c r="L61" s="144"/>
    </row>
    <row r="62" spans="1:12" x14ac:dyDescent="0.25">
      <c r="A62" s="577"/>
      <c r="B62" s="147" t="s">
        <v>35</v>
      </c>
      <c r="C62" s="73">
        <v>998</v>
      </c>
      <c r="D62" s="126"/>
      <c r="E62" s="73">
        <f t="shared" si="3"/>
        <v>0</v>
      </c>
      <c r="F62" s="126"/>
      <c r="G62" s="73">
        <v>0</v>
      </c>
      <c r="H62" s="127"/>
      <c r="I62" s="73">
        <v>0</v>
      </c>
      <c r="J62" s="73"/>
      <c r="K62" s="73"/>
      <c r="L62" s="144"/>
    </row>
    <row r="63" spans="1:12" x14ac:dyDescent="0.25">
      <c r="A63" s="577"/>
      <c r="B63" s="146" t="s">
        <v>38</v>
      </c>
      <c r="C63" s="73">
        <v>503</v>
      </c>
      <c r="D63" s="126"/>
      <c r="E63" s="73">
        <f t="shared" si="3"/>
        <v>0</v>
      </c>
      <c r="F63" s="126"/>
      <c r="G63" s="73">
        <f t="shared" si="4"/>
        <v>0</v>
      </c>
      <c r="H63" s="127"/>
      <c r="I63" s="73">
        <v>0</v>
      </c>
      <c r="J63" s="73"/>
      <c r="K63" s="73"/>
      <c r="L63" s="144"/>
    </row>
    <row r="64" spans="1:12" x14ac:dyDescent="0.25">
      <c r="A64" s="575" t="s">
        <v>226</v>
      </c>
      <c r="B64" s="576"/>
      <c r="C64" s="576"/>
      <c r="D64" s="271">
        <f>D59+D60+D61+D62+D63</f>
        <v>0</v>
      </c>
      <c r="E64" s="303">
        <f t="shared" ref="E64:L64" si="5">E59+E60+E61+E62+E63</f>
        <v>0</v>
      </c>
      <c r="F64" s="303">
        <f t="shared" si="5"/>
        <v>0</v>
      </c>
      <c r="G64" s="303">
        <f t="shared" si="5"/>
        <v>0</v>
      </c>
      <c r="H64" s="303">
        <f t="shared" si="5"/>
        <v>0</v>
      </c>
      <c r="I64" s="303">
        <f t="shared" si="5"/>
        <v>0</v>
      </c>
      <c r="J64" s="303">
        <f t="shared" si="5"/>
        <v>0</v>
      </c>
      <c r="K64" s="303">
        <f t="shared" si="5"/>
        <v>0</v>
      </c>
      <c r="L64" s="303">
        <f t="shared" si="5"/>
        <v>0</v>
      </c>
    </row>
    <row r="65" spans="1:12" ht="15.75" thickBot="1" x14ac:dyDescent="0.3">
      <c r="A65" s="491" t="s">
        <v>116</v>
      </c>
      <c r="B65" s="492"/>
      <c r="C65" s="492"/>
      <c r="D65" s="283">
        <f>D58+D64</f>
        <v>40</v>
      </c>
      <c r="E65" s="283">
        <f t="shared" ref="E65:L65" si="6">E58+E64</f>
        <v>249</v>
      </c>
      <c r="F65" s="283">
        <f t="shared" si="6"/>
        <v>0</v>
      </c>
      <c r="G65" s="283">
        <f t="shared" si="6"/>
        <v>0</v>
      </c>
      <c r="H65" s="283">
        <f t="shared" si="6"/>
        <v>16</v>
      </c>
      <c r="I65" s="283">
        <f t="shared" si="6"/>
        <v>47</v>
      </c>
      <c r="J65" s="283">
        <f t="shared" si="6"/>
        <v>456</v>
      </c>
      <c r="K65" s="283">
        <f t="shared" si="6"/>
        <v>0</v>
      </c>
      <c r="L65" s="283">
        <f t="shared" si="6"/>
        <v>0</v>
      </c>
    </row>
    <row r="66" spans="1:12" hidden="1" x14ac:dyDescent="0.25">
      <c r="A66" s="148">
        <v>4</v>
      </c>
      <c r="B66" s="552" t="s">
        <v>311</v>
      </c>
      <c r="C66" s="553"/>
      <c r="D66" s="553"/>
      <c r="E66" s="553"/>
      <c r="F66" s="553"/>
      <c r="G66" s="553"/>
      <c r="H66" s="553"/>
      <c r="I66" s="553"/>
      <c r="J66" s="553"/>
      <c r="K66" s="553"/>
      <c r="L66" s="554"/>
    </row>
    <row r="67" spans="1:12" hidden="1" x14ac:dyDescent="0.25">
      <c r="A67" s="149">
        <v>5</v>
      </c>
      <c r="B67" s="555" t="s">
        <v>312</v>
      </c>
      <c r="C67" s="556"/>
      <c r="D67" s="556"/>
      <c r="E67" s="556"/>
      <c r="F67" s="556"/>
      <c r="G67" s="556"/>
      <c r="H67" s="556"/>
      <c r="I67" s="556"/>
      <c r="J67" s="556"/>
      <c r="K67" s="556"/>
      <c r="L67" s="557"/>
    </row>
    <row r="68" spans="1:12" hidden="1" x14ac:dyDescent="0.25">
      <c r="A68" s="149">
        <v>6</v>
      </c>
      <c r="B68" s="558" t="s">
        <v>313</v>
      </c>
      <c r="C68" s="559"/>
      <c r="D68" s="559"/>
      <c r="E68" s="559"/>
      <c r="F68" s="559"/>
      <c r="G68" s="559"/>
      <c r="H68" s="559"/>
      <c r="I68" s="559"/>
      <c r="J68" s="559"/>
      <c r="K68" s="559"/>
      <c r="L68" s="560"/>
    </row>
    <row r="69" spans="1:12" hidden="1" x14ac:dyDescent="0.25">
      <c r="A69" s="150">
        <v>7</v>
      </c>
      <c r="B69" s="549" t="s">
        <v>314</v>
      </c>
      <c r="C69" s="550"/>
      <c r="D69" s="550"/>
      <c r="E69" s="550"/>
      <c r="F69" s="550"/>
      <c r="G69" s="550"/>
      <c r="H69" s="550"/>
      <c r="I69" s="550"/>
      <c r="J69" s="550"/>
      <c r="K69" s="550"/>
      <c r="L69" s="551"/>
    </row>
    <row r="70" spans="1:12" hidden="1" x14ac:dyDescent="0.25">
      <c r="A70" s="150">
        <v>8</v>
      </c>
      <c r="B70" s="549" t="s">
        <v>315</v>
      </c>
      <c r="C70" s="550"/>
      <c r="D70" s="550"/>
      <c r="E70" s="550"/>
      <c r="F70" s="550"/>
      <c r="G70" s="550"/>
      <c r="H70" s="550"/>
      <c r="I70" s="550"/>
      <c r="J70" s="550"/>
      <c r="K70" s="550"/>
      <c r="L70" s="551"/>
    </row>
    <row r="71" spans="1:12" hidden="1" x14ac:dyDescent="0.25">
      <c r="A71" s="149">
        <v>9</v>
      </c>
      <c r="B71" s="549"/>
      <c r="C71" s="550"/>
      <c r="D71" s="550"/>
      <c r="E71" s="550"/>
      <c r="F71" s="550"/>
      <c r="G71" s="550"/>
      <c r="H71" s="550"/>
      <c r="I71" s="550"/>
      <c r="J71" s="550"/>
      <c r="K71" s="550"/>
      <c r="L71" s="551"/>
    </row>
    <row r="72" spans="1:12" hidden="1" x14ac:dyDescent="0.25">
      <c r="A72" s="150">
        <v>10</v>
      </c>
      <c r="B72" s="549"/>
      <c r="C72" s="550"/>
      <c r="D72" s="550"/>
      <c r="E72" s="550"/>
      <c r="F72" s="550"/>
      <c r="G72" s="550"/>
      <c r="H72" s="550"/>
      <c r="I72" s="550"/>
      <c r="J72" s="550"/>
      <c r="K72" s="550"/>
      <c r="L72" s="551"/>
    </row>
    <row r="73" spans="1:12" hidden="1" x14ac:dyDescent="0.25">
      <c r="A73" s="150">
        <v>11</v>
      </c>
      <c r="B73" s="549"/>
      <c r="C73" s="550"/>
      <c r="D73" s="550"/>
      <c r="E73" s="550"/>
      <c r="F73" s="550"/>
      <c r="G73" s="550"/>
      <c r="H73" s="550"/>
      <c r="I73" s="550"/>
      <c r="J73" s="550"/>
      <c r="K73" s="550"/>
      <c r="L73" s="551"/>
    </row>
    <row r="74" spans="1:12" hidden="1" x14ac:dyDescent="0.25">
      <c r="A74" s="149">
        <v>12</v>
      </c>
      <c r="B74" s="564"/>
      <c r="C74" s="565"/>
      <c r="D74" s="565"/>
      <c r="E74" s="565"/>
      <c r="F74" s="565"/>
      <c r="G74" s="565"/>
      <c r="H74" s="565"/>
      <c r="I74" s="565"/>
      <c r="J74" s="565"/>
      <c r="K74" s="565"/>
      <c r="L74" s="566"/>
    </row>
    <row r="75" spans="1:12" hidden="1" x14ac:dyDescent="0.25">
      <c r="A75" s="150">
        <v>13</v>
      </c>
      <c r="B75" s="564"/>
      <c r="C75" s="565"/>
      <c r="D75" s="565"/>
      <c r="E75" s="565"/>
      <c r="F75" s="565"/>
      <c r="G75" s="565"/>
      <c r="H75" s="565"/>
      <c r="I75" s="565"/>
      <c r="J75" s="565"/>
      <c r="K75" s="565"/>
      <c r="L75" s="566"/>
    </row>
    <row r="76" spans="1:12" hidden="1" x14ac:dyDescent="0.25">
      <c r="A76" s="150">
        <v>14</v>
      </c>
      <c r="B76" s="564"/>
      <c r="C76" s="565"/>
      <c r="D76" s="565"/>
      <c r="E76" s="565"/>
      <c r="F76" s="565"/>
      <c r="G76" s="565"/>
      <c r="H76" s="565"/>
      <c r="I76" s="565"/>
      <c r="J76" s="565"/>
      <c r="K76" s="565"/>
      <c r="L76" s="566"/>
    </row>
    <row r="77" spans="1:12" hidden="1" x14ac:dyDescent="0.25">
      <c r="A77" s="149">
        <v>15</v>
      </c>
      <c r="B77" s="564"/>
      <c r="C77" s="565"/>
      <c r="D77" s="565"/>
      <c r="E77" s="565"/>
      <c r="F77" s="565"/>
      <c r="G77" s="565"/>
      <c r="H77" s="565"/>
      <c r="I77" s="565"/>
      <c r="J77" s="565"/>
      <c r="K77" s="565"/>
      <c r="L77" s="566"/>
    </row>
    <row r="78" spans="1:12" hidden="1" x14ac:dyDescent="0.25">
      <c r="A78" s="150">
        <v>16</v>
      </c>
      <c r="B78" s="564"/>
      <c r="C78" s="565"/>
      <c r="D78" s="565"/>
      <c r="E78" s="565"/>
      <c r="F78" s="565"/>
      <c r="G78" s="565"/>
      <c r="H78" s="565"/>
      <c r="I78" s="565"/>
      <c r="J78" s="565"/>
      <c r="K78" s="565"/>
      <c r="L78" s="566"/>
    </row>
    <row r="79" spans="1:12" hidden="1" x14ac:dyDescent="0.25">
      <c r="A79" s="150">
        <v>17</v>
      </c>
      <c r="B79" s="564"/>
      <c r="C79" s="565"/>
      <c r="D79" s="565"/>
      <c r="E79" s="565"/>
      <c r="F79" s="565"/>
      <c r="G79" s="565"/>
      <c r="H79" s="565"/>
      <c r="I79" s="565"/>
      <c r="J79" s="565"/>
      <c r="K79" s="565"/>
      <c r="L79" s="566"/>
    </row>
    <row r="80" spans="1:12" hidden="1" x14ac:dyDescent="0.25">
      <c r="A80" s="149">
        <v>18</v>
      </c>
      <c r="B80" s="564"/>
      <c r="C80" s="565"/>
      <c r="D80" s="565"/>
      <c r="E80" s="565"/>
      <c r="F80" s="565"/>
      <c r="G80" s="565"/>
      <c r="H80" s="565"/>
      <c r="I80" s="565"/>
      <c r="J80" s="565"/>
      <c r="K80" s="565"/>
      <c r="L80" s="566"/>
    </row>
    <row r="81" spans="1:12" hidden="1" x14ac:dyDescent="0.25">
      <c r="A81" s="150">
        <v>19</v>
      </c>
      <c r="B81" s="564"/>
      <c r="C81" s="565"/>
      <c r="D81" s="565"/>
      <c r="E81" s="565"/>
      <c r="F81" s="565"/>
      <c r="G81" s="565"/>
      <c r="H81" s="565"/>
      <c r="I81" s="565"/>
      <c r="J81" s="565"/>
      <c r="K81" s="565"/>
      <c r="L81" s="566"/>
    </row>
    <row r="82" spans="1:12" ht="15.75" hidden="1" thickBot="1" x14ac:dyDescent="0.3">
      <c r="A82" s="151">
        <v>20</v>
      </c>
      <c r="B82" s="561"/>
      <c r="C82" s="562"/>
      <c r="D82" s="562"/>
      <c r="E82" s="562"/>
      <c r="F82" s="562"/>
      <c r="G82" s="562"/>
      <c r="H82" s="562"/>
      <c r="I82" s="562"/>
      <c r="J82" s="562"/>
      <c r="K82" s="562"/>
      <c r="L82" s="563"/>
    </row>
    <row r="83" spans="1:12" x14ac:dyDescent="0.25">
      <c r="A83" s="152"/>
      <c r="B83" s="153"/>
      <c r="C83" s="154"/>
      <c r="D83" s="154"/>
      <c r="E83" s="154"/>
      <c r="F83" s="154"/>
      <c r="G83" s="154"/>
    </row>
    <row r="84" spans="1:12" x14ac:dyDescent="0.25">
      <c r="A84" s="152"/>
      <c r="B84" s="153"/>
      <c r="C84" s="154"/>
      <c r="D84" s="154"/>
      <c r="E84" s="154"/>
      <c r="F84" s="154"/>
      <c r="G84" s="154"/>
    </row>
    <row r="85" spans="1:12" x14ac:dyDescent="0.25">
      <c r="A85" s="152"/>
      <c r="B85" s="153"/>
      <c r="C85" s="154"/>
      <c r="D85" s="154"/>
      <c r="E85" s="154"/>
      <c r="F85" s="154"/>
      <c r="G85" s="154"/>
    </row>
    <row r="86" spans="1:12" x14ac:dyDescent="0.25">
      <c r="A86" s="152"/>
      <c r="B86" s="153"/>
      <c r="C86" s="154"/>
      <c r="D86" s="154"/>
      <c r="E86" s="154"/>
      <c r="F86" s="154"/>
      <c r="G86" s="154"/>
    </row>
    <row r="87" spans="1:12" x14ac:dyDescent="0.25">
      <c r="A87" s="152"/>
      <c r="B87" s="153"/>
      <c r="C87" s="154"/>
      <c r="D87" s="154"/>
      <c r="E87" s="154"/>
      <c r="F87" s="154"/>
      <c r="G87" s="154"/>
    </row>
    <row r="88" spans="1:12" x14ac:dyDescent="0.25">
      <c r="A88" s="152"/>
      <c r="B88" s="153"/>
      <c r="C88" s="154"/>
      <c r="D88" s="154"/>
      <c r="E88" s="154"/>
      <c r="F88" s="154"/>
      <c r="G88" s="154"/>
    </row>
    <row r="89" spans="1:12" x14ac:dyDescent="0.25">
      <c r="A89" s="152"/>
      <c r="B89" s="153"/>
      <c r="C89" s="154"/>
      <c r="D89" s="154"/>
      <c r="E89" s="154"/>
      <c r="F89" s="154"/>
      <c r="G89" s="154"/>
    </row>
    <row r="90" spans="1:12" x14ac:dyDescent="0.25">
      <c r="A90" s="152"/>
      <c r="B90" s="153"/>
      <c r="C90" s="154"/>
      <c r="D90" s="154"/>
      <c r="E90" s="154"/>
      <c r="F90" s="154"/>
      <c r="G90" s="154"/>
    </row>
    <row r="91" spans="1:12" x14ac:dyDescent="0.25">
      <c r="A91" s="152"/>
      <c r="B91" s="153"/>
      <c r="C91" s="154"/>
      <c r="D91" s="154"/>
      <c r="E91" s="154"/>
      <c r="F91" s="154"/>
      <c r="G91" s="154"/>
    </row>
    <row r="92" spans="1:12" x14ac:dyDescent="0.25">
      <c r="A92" s="152"/>
      <c r="B92" s="153"/>
      <c r="C92" s="154"/>
      <c r="D92" s="154"/>
      <c r="E92" s="154"/>
      <c r="F92" s="154"/>
      <c r="G92" s="154"/>
    </row>
    <row r="93" spans="1:12" x14ac:dyDescent="0.25">
      <c r="A93" s="152"/>
      <c r="B93" s="153"/>
      <c r="C93" s="154"/>
      <c r="D93" s="154"/>
      <c r="E93" s="154"/>
      <c r="F93" s="154"/>
      <c r="G93" s="154"/>
    </row>
  </sheetData>
  <mergeCells count="34">
    <mergeCell ref="A64:C64"/>
    <mergeCell ref="A59:A63"/>
    <mergeCell ref="A2:A4"/>
    <mergeCell ref="A7:A8"/>
    <mergeCell ref="B7:B8"/>
    <mergeCell ref="A58:C58"/>
    <mergeCell ref="B4:C4"/>
    <mergeCell ref="A9:A57"/>
    <mergeCell ref="D7:E7"/>
    <mergeCell ref="C7:C8"/>
    <mergeCell ref="H7:I7"/>
    <mergeCell ref="L7:L8"/>
    <mergeCell ref="A6:L6"/>
    <mergeCell ref="F7:G7"/>
    <mergeCell ref="J7:J8"/>
    <mergeCell ref="K7:K8"/>
    <mergeCell ref="B72:L72"/>
    <mergeCell ref="B73:L73"/>
    <mergeCell ref="B74:L74"/>
    <mergeCell ref="B75:L75"/>
    <mergeCell ref="B76:L76"/>
    <mergeCell ref="B82:L82"/>
    <mergeCell ref="B77:L77"/>
    <mergeCell ref="B78:L78"/>
    <mergeCell ref="B79:L79"/>
    <mergeCell ref="B80:L80"/>
    <mergeCell ref="B81:L81"/>
    <mergeCell ref="B69:L69"/>
    <mergeCell ref="B70:L70"/>
    <mergeCell ref="B71:L71"/>
    <mergeCell ref="B66:L66"/>
    <mergeCell ref="A65:C65"/>
    <mergeCell ref="B67:L67"/>
    <mergeCell ref="B68:L68"/>
  </mergeCells>
  <pageMargins left="0.15748031496062992" right="0.15748031496062992" top="0.23622047244094491" bottom="0.19685039370078741" header="0.15748031496062992" footer="0.15748031496062992"/>
  <pageSetup paperSize="9" scale="47" orientation="landscape" r:id="rId1"/>
  <ignoredErrors>
    <ignoredError sqref="C11 C12 C19 C14 C15:C17 C13 C9:C10 C21 C20 C39 C33 C31 C32 C35 C37:C38 C41 D22:G22 D26:G26 D25:G25 C42 D30:G31 D29:G29 C40 D35:G35 C34:G34 D32:G32 D27:G28 D33:G33 D24:G24 D23:G23 F38:H38 F37:G37 F40:H40 F41:H41 C45 C43 F43:H43 C44 F44:H44 C48:C50 F47:H47 F42:H42 F39:H39 F45:H46 C46 C51 F51:H51 F48:H50 F36:G36 C25 C29 C28 C26 C24 C23 C22 C27 C30" numberStoredAsText="1"/>
    <ignoredError sqref="G5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W39"/>
  <sheetViews>
    <sheetView showGridLines="0" view="pageBreakPreview" zoomScale="96" zoomScaleNormal="80" zoomScaleSheetLayoutView="96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30" sqref="H30"/>
    </sheetView>
  </sheetViews>
  <sheetFormatPr defaultColWidth="8.85546875" defaultRowHeight="15" x14ac:dyDescent="0.25"/>
  <cols>
    <col min="1" max="1" width="15.7109375" style="302" customWidth="1"/>
    <col min="2" max="2" width="18.28515625" style="114" customWidth="1"/>
    <col min="3" max="3" width="12.7109375" style="114" customWidth="1"/>
    <col min="4" max="4" width="12.7109375" style="115" customWidth="1"/>
    <col min="5" max="18" width="12.7109375" style="114" customWidth="1"/>
    <col min="19" max="19" width="12.7109375" style="115" customWidth="1"/>
    <col min="20" max="21" width="12.7109375" style="114" customWidth="1"/>
    <col min="22" max="22" width="12.7109375" style="115" customWidth="1"/>
    <col min="23" max="23" width="12.7109375" style="66" customWidth="1"/>
    <col min="24" max="16384" width="8.85546875" style="4"/>
  </cols>
  <sheetData>
    <row r="1" spans="1:23" x14ac:dyDescent="0.25">
      <c r="B1" s="59"/>
      <c r="C1" s="59"/>
      <c r="D1" s="113"/>
      <c r="E1" s="59"/>
    </row>
    <row r="2" spans="1:23" x14ac:dyDescent="0.25">
      <c r="A2" s="585"/>
      <c r="B2" s="457" t="s">
        <v>421</v>
      </c>
      <c r="C2" s="457"/>
      <c r="D2" s="457"/>
      <c r="E2" s="457"/>
    </row>
    <row r="3" spans="1:23" x14ac:dyDescent="0.25">
      <c r="A3" s="585"/>
      <c r="B3" s="457" t="s">
        <v>13</v>
      </c>
      <c r="C3" s="457"/>
      <c r="D3" s="457"/>
      <c r="E3" s="457"/>
    </row>
    <row r="4" spans="1:23" x14ac:dyDescent="0.25">
      <c r="A4" s="585"/>
      <c r="B4" s="457" t="s">
        <v>14</v>
      </c>
      <c r="C4" s="457"/>
      <c r="D4" s="457"/>
      <c r="E4" s="457"/>
    </row>
    <row r="5" spans="1:23" ht="15.75" thickBot="1" x14ac:dyDescent="0.3"/>
    <row r="6" spans="1:23" x14ac:dyDescent="0.25">
      <c r="A6" s="588" t="s">
        <v>227</v>
      </c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589"/>
      <c r="N6" s="589"/>
      <c r="O6" s="589"/>
      <c r="P6" s="589"/>
      <c r="Q6" s="589"/>
      <c r="R6" s="589"/>
      <c r="S6" s="589"/>
      <c r="T6" s="589"/>
      <c r="U6" s="589"/>
      <c r="V6" s="589"/>
      <c r="W6" s="590"/>
    </row>
    <row r="7" spans="1:23" ht="23.25" customHeight="1" x14ac:dyDescent="0.25">
      <c r="A7" s="586" t="s">
        <v>64</v>
      </c>
      <c r="B7" s="591" t="s">
        <v>223</v>
      </c>
      <c r="C7" s="587" t="s">
        <v>252</v>
      </c>
      <c r="D7" s="587" t="s">
        <v>253</v>
      </c>
      <c r="E7" s="591" t="s">
        <v>197</v>
      </c>
      <c r="F7" s="582" t="s">
        <v>198</v>
      </c>
      <c r="G7" s="582" t="s">
        <v>200</v>
      </c>
      <c r="H7" s="582" t="s">
        <v>215</v>
      </c>
      <c r="I7" s="582" t="s">
        <v>203</v>
      </c>
      <c r="J7" s="582" t="s">
        <v>204</v>
      </c>
      <c r="K7" s="582" t="s">
        <v>218</v>
      </c>
      <c r="L7" s="582" t="s">
        <v>205</v>
      </c>
      <c r="M7" s="582" t="s">
        <v>206</v>
      </c>
      <c r="N7" s="582" t="s">
        <v>65</v>
      </c>
      <c r="O7" s="582" t="s">
        <v>66</v>
      </c>
      <c r="P7" s="582" t="s">
        <v>67</v>
      </c>
      <c r="Q7" s="582" t="s">
        <v>221</v>
      </c>
      <c r="R7" s="582" t="s">
        <v>255</v>
      </c>
      <c r="S7" s="583" t="s">
        <v>224</v>
      </c>
      <c r="T7" s="582" t="s">
        <v>69</v>
      </c>
      <c r="U7" s="592" t="s">
        <v>73</v>
      </c>
      <c r="V7" s="592"/>
      <c r="W7" s="584" t="s">
        <v>199</v>
      </c>
    </row>
    <row r="8" spans="1:23" ht="56.45" customHeight="1" x14ac:dyDescent="0.25">
      <c r="A8" s="586"/>
      <c r="B8" s="591"/>
      <c r="C8" s="587"/>
      <c r="D8" s="587"/>
      <c r="E8" s="591"/>
      <c r="F8" s="582"/>
      <c r="G8" s="582"/>
      <c r="H8" s="582"/>
      <c r="I8" s="582"/>
      <c r="J8" s="582"/>
      <c r="K8" s="582"/>
      <c r="L8" s="582"/>
      <c r="M8" s="582"/>
      <c r="N8" s="582"/>
      <c r="O8" s="582"/>
      <c r="P8" s="582"/>
      <c r="Q8" s="582"/>
      <c r="R8" s="582"/>
      <c r="S8" s="583"/>
      <c r="T8" s="582"/>
      <c r="U8" s="116" t="s">
        <v>74</v>
      </c>
      <c r="V8" s="117" t="s">
        <v>75</v>
      </c>
      <c r="W8" s="584"/>
    </row>
    <row r="9" spans="1:23" ht="15" customHeight="1" x14ac:dyDescent="0.25">
      <c r="A9" s="306" t="s">
        <v>156</v>
      </c>
      <c r="B9" s="123"/>
      <c r="C9" s="124"/>
      <c r="D9" s="119"/>
      <c r="E9" s="118"/>
      <c r="F9" s="125"/>
      <c r="G9" s="126"/>
      <c r="H9" s="127"/>
      <c r="I9" s="127"/>
      <c r="J9" s="127"/>
      <c r="K9" s="127"/>
      <c r="L9" s="127"/>
      <c r="M9" s="126"/>
      <c r="N9" s="6">
        <f>'General data '!D29</f>
        <v>0</v>
      </c>
      <c r="O9" s="74">
        <f>'General data '!E29</f>
        <v>0</v>
      </c>
      <c r="P9" s="6">
        <f>'General data '!F29</f>
        <v>0</v>
      </c>
      <c r="Q9" s="8">
        <f>'General data '!G29</f>
        <v>0</v>
      </c>
      <c r="R9" s="8">
        <f>'General data '!H29</f>
        <v>0</v>
      </c>
      <c r="S9" s="70"/>
      <c r="T9" s="8">
        <f>'General data '!J29</f>
        <v>0</v>
      </c>
      <c r="U9" s="8">
        <f>'General data '!K29</f>
        <v>0</v>
      </c>
      <c r="V9" s="70"/>
      <c r="W9" s="128"/>
    </row>
    <row r="10" spans="1:23" ht="15" customHeight="1" x14ac:dyDescent="0.25">
      <c r="A10" s="306" t="s">
        <v>157</v>
      </c>
      <c r="B10" s="69" t="s">
        <v>376</v>
      </c>
      <c r="C10" s="129" t="s">
        <v>250</v>
      </c>
      <c r="D10" s="72">
        <v>43296</v>
      </c>
      <c r="E10" s="118">
        <v>3403.99</v>
      </c>
      <c r="F10" s="125">
        <f>'General data '!P30</f>
        <v>5.7953219191672982</v>
      </c>
      <c r="G10" s="112">
        <v>395</v>
      </c>
      <c r="H10" s="112">
        <v>13</v>
      </c>
      <c r="I10" s="112">
        <v>9999</v>
      </c>
      <c r="J10" s="112">
        <v>38</v>
      </c>
      <c r="K10" s="112" t="s">
        <v>231</v>
      </c>
      <c r="L10" s="112" t="s">
        <v>231</v>
      </c>
      <c r="M10" s="112">
        <v>59</v>
      </c>
      <c r="N10" s="6">
        <f>'General data '!D30</f>
        <v>9</v>
      </c>
      <c r="O10" s="74">
        <f>'General data '!E30</f>
        <v>9</v>
      </c>
      <c r="P10" s="6">
        <f>'General data '!F30</f>
        <v>8</v>
      </c>
      <c r="Q10" s="8">
        <f>'General data '!G30</f>
        <v>15</v>
      </c>
      <c r="R10" s="8">
        <f>'General data '!H30</f>
        <v>6</v>
      </c>
      <c r="S10" s="70">
        <f>'General data '!I30</f>
        <v>43591</v>
      </c>
      <c r="T10" s="8">
        <f>'General data '!J30</f>
        <v>10</v>
      </c>
      <c r="U10" s="8">
        <f>'General data '!K30</f>
        <v>2245</v>
      </c>
      <c r="V10" s="70">
        <f>'General data '!L30</f>
        <v>43737</v>
      </c>
      <c r="W10" s="128"/>
    </row>
    <row r="11" spans="1:23" ht="15" customHeight="1" x14ac:dyDescent="0.25">
      <c r="A11" s="306" t="s">
        <v>158</v>
      </c>
      <c r="B11" s="69" t="s">
        <v>377</v>
      </c>
      <c r="C11" s="129" t="s">
        <v>250</v>
      </c>
      <c r="D11" s="72">
        <v>43575</v>
      </c>
      <c r="E11" s="130">
        <v>2903</v>
      </c>
      <c r="F11" s="125">
        <f>'General data '!P31</f>
        <v>10.895705082178983</v>
      </c>
      <c r="G11" s="112">
        <v>392</v>
      </c>
      <c r="H11" s="112">
        <v>18</v>
      </c>
      <c r="I11" s="112">
        <v>9999</v>
      </c>
      <c r="J11" s="112">
        <v>64</v>
      </c>
      <c r="K11" s="112">
        <v>126</v>
      </c>
      <c r="L11" s="112">
        <v>17</v>
      </c>
      <c r="M11" s="112">
        <v>52</v>
      </c>
      <c r="N11" s="6">
        <f>'General data '!D31</f>
        <v>11</v>
      </c>
      <c r="O11" s="74">
        <f>'General data '!E31</f>
        <v>12</v>
      </c>
      <c r="P11" s="6">
        <f>'General data '!F31</f>
        <v>11</v>
      </c>
      <c r="Q11" s="8">
        <f>'General data '!G31</f>
        <v>33</v>
      </c>
      <c r="R11" s="8">
        <f>'General data '!H31</f>
        <v>18</v>
      </c>
      <c r="S11" s="70"/>
      <c r="T11" s="8">
        <f>'General data '!J31</f>
        <v>12</v>
      </c>
      <c r="U11" s="8">
        <f>'General data '!K31</f>
        <v>2617</v>
      </c>
      <c r="V11" s="70">
        <f>'General data '!L31</f>
        <v>43737</v>
      </c>
      <c r="W11" s="128"/>
    </row>
    <row r="12" spans="1:23" ht="15" customHeight="1" x14ac:dyDescent="0.25">
      <c r="A12" s="306" t="s">
        <v>159</v>
      </c>
      <c r="B12" s="69" t="s">
        <v>378</v>
      </c>
      <c r="C12" s="131" t="s">
        <v>250</v>
      </c>
      <c r="D12" s="132">
        <v>43553</v>
      </c>
      <c r="E12" s="133">
        <v>3404.28</v>
      </c>
      <c r="F12" s="125">
        <f>'General data '!P32</f>
        <v>20.481813133381763</v>
      </c>
      <c r="G12" s="126">
        <v>388</v>
      </c>
      <c r="H12" s="127">
        <v>18</v>
      </c>
      <c r="I12" s="133">
        <v>9999</v>
      </c>
      <c r="J12" s="127">
        <v>61</v>
      </c>
      <c r="K12" s="112" t="s">
        <v>231</v>
      </c>
      <c r="L12" s="112" t="s">
        <v>231</v>
      </c>
      <c r="M12" s="126">
        <v>47</v>
      </c>
      <c r="N12" s="6">
        <f>'General data '!D32</f>
        <v>9</v>
      </c>
      <c r="O12" s="74">
        <f>'General data '!E32</f>
        <v>9</v>
      </c>
      <c r="P12" s="6">
        <f>'General data '!F32</f>
        <v>8</v>
      </c>
      <c r="Q12" s="8">
        <f>'General data '!G32</f>
        <v>16</v>
      </c>
      <c r="R12" s="8">
        <f>'General data '!H32</f>
        <v>10</v>
      </c>
      <c r="S12" s="70">
        <f>'General data '!I32</f>
        <v>43554</v>
      </c>
      <c r="T12" s="8">
        <f>'General data '!J32</f>
        <v>12</v>
      </c>
      <c r="U12" s="8">
        <f>'General data '!K32</f>
        <v>2035</v>
      </c>
      <c r="V12" s="70">
        <f>'General data '!L32</f>
        <v>43737</v>
      </c>
      <c r="W12" s="128"/>
    </row>
    <row r="13" spans="1:23" ht="15" customHeight="1" x14ac:dyDescent="0.25">
      <c r="A13" s="306" t="s">
        <v>160</v>
      </c>
      <c r="B13" s="123" t="s">
        <v>379</v>
      </c>
      <c r="C13" s="129" t="s">
        <v>250</v>
      </c>
      <c r="D13" s="72">
        <v>43379</v>
      </c>
      <c r="E13" s="130">
        <v>2804.9</v>
      </c>
      <c r="F13" s="125">
        <f>'General data '!P33</f>
        <v>11.938243291604197</v>
      </c>
      <c r="G13" s="126">
        <v>395</v>
      </c>
      <c r="H13" s="127">
        <v>17</v>
      </c>
      <c r="I13" s="127">
        <v>9999</v>
      </c>
      <c r="J13" s="127">
        <v>60</v>
      </c>
      <c r="K13" s="112" t="s">
        <v>231</v>
      </c>
      <c r="L13" s="112" t="s">
        <v>231</v>
      </c>
      <c r="M13" s="126">
        <v>54</v>
      </c>
      <c r="N13" s="6">
        <f>'General data '!D33</f>
        <v>8</v>
      </c>
      <c r="O13" s="74">
        <f>'General data '!E33</f>
        <v>8</v>
      </c>
      <c r="P13" s="6">
        <f>'General data '!F33</f>
        <v>8</v>
      </c>
      <c r="Q13" s="8">
        <f>'General data '!G33</f>
        <v>10</v>
      </c>
      <c r="R13" s="8">
        <f>'General data '!H33</f>
        <v>15</v>
      </c>
      <c r="S13" s="70">
        <f>'General data '!I33</f>
        <v>43710</v>
      </c>
      <c r="T13" s="8">
        <f>'General data '!J33</f>
        <v>14</v>
      </c>
      <c r="U13" s="8">
        <f>'General data '!K33</f>
        <v>2699</v>
      </c>
      <c r="V13" s="70">
        <f>'General data '!L33</f>
        <v>43737</v>
      </c>
      <c r="W13" s="128"/>
    </row>
    <row r="14" spans="1:23" ht="15" customHeight="1" x14ac:dyDescent="0.25">
      <c r="A14" s="306" t="s">
        <v>161</v>
      </c>
      <c r="B14" s="134"/>
      <c r="C14" s="135"/>
      <c r="D14" s="72"/>
      <c r="E14" s="130"/>
      <c r="F14" s="125">
        <f>'General data '!P34</f>
        <v>0</v>
      </c>
      <c r="G14" s="126"/>
      <c r="H14" s="127"/>
      <c r="I14" s="127"/>
      <c r="J14" s="127"/>
      <c r="K14" s="127"/>
      <c r="L14" s="127"/>
      <c r="M14" s="126"/>
      <c r="N14" s="6">
        <f>'General data '!D34</f>
        <v>0</v>
      </c>
      <c r="O14" s="74">
        <f>'General data '!E34</f>
        <v>0</v>
      </c>
      <c r="P14" s="6">
        <f>'General data '!F34</f>
        <v>0</v>
      </c>
      <c r="Q14" s="8">
        <f>'General data '!G34</f>
        <v>0</v>
      </c>
      <c r="R14" s="8">
        <f>'General data '!H34</f>
        <v>0</v>
      </c>
      <c r="S14" s="70"/>
      <c r="T14" s="8">
        <f>'General data '!J34</f>
        <v>0</v>
      </c>
      <c r="U14" s="8">
        <f>'General data '!K34</f>
        <v>2000</v>
      </c>
      <c r="V14" s="70"/>
      <c r="W14" s="128"/>
    </row>
    <row r="15" spans="1:23" ht="15" customHeight="1" x14ac:dyDescent="0.25">
      <c r="A15" s="306" t="s">
        <v>162</v>
      </c>
      <c r="B15" s="69" t="s">
        <v>380</v>
      </c>
      <c r="C15" s="129" t="s">
        <v>250</v>
      </c>
      <c r="D15" s="119">
        <v>43542</v>
      </c>
      <c r="E15" s="118">
        <v>3235</v>
      </c>
      <c r="F15" s="125">
        <f>'General data '!P35</f>
        <v>11.109346358300138</v>
      </c>
      <c r="G15" s="126">
        <v>390</v>
      </c>
      <c r="H15" s="127">
        <v>15</v>
      </c>
      <c r="I15" s="127">
        <v>1406</v>
      </c>
      <c r="J15" s="127">
        <v>45</v>
      </c>
      <c r="K15" s="127">
        <v>130</v>
      </c>
      <c r="L15" s="127">
        <v>48</v>
      </c>
      <c r="M15" s="126">
        <v>58</v>
      </c>
      <c r="N15" s="6">
        <f>'General data '!D35</f>
        <v>8</v>
      </c>
      <c r="O15" s="74">
        <f>'General data '!E35</f>
        <v>7</v>
      </c>
      <c r="P15" s="6">
        <f>'General data '!F35</f>
        <v>8</v>
      </c>
      <c r="Q15" s="8">
        <f>'General data '!G35</f>
        <v>10</v>
      </c>
      <c r="R15" s="8">
        <f>'General data '!H35</f>
        <v>15</v>
      </c>
      <c r="S15" s="70">
        <f>'General data '!I35</f>
        <v>43639</v>
      </c>
      <c r="T15" s="8">
        <f>'General data '!J35</f>
        <v>9</v>
      </c>
      <c r="U15" s="8">
        <f>'General data '!K35</f>
        <v>1540</v>
      </c>
      <c r="V15" s="70">
        <f>'General data '!L35</f>
        <v>43737</v>
      </c>
      <c r="W15" s="128"/>
    </row>
    <row r="16" spans="1:23" ht="15" customHeight="1" x14ac:dyDescent="0.25">
      <c r="A16" s="306" t="s">
        <v>163</v>
      </c>
      <c r="B16" s="123"/>
      <c r="C16" s="129"/>
      <c r="D16" s="119"/>
      <c r="E16" s="118"/>
      <c r="F16" s="125">
        <f>'General data '!P36</f>
        <v>0</v>
      </c>
      <c r="G16" s="126"/>
      <c r="H16" s="127"/>
      <c r="I16" s="127"/>
      <c r="J16" s="127"/>
      <c r="K16" s="127"/>
      <c r="L16" s="127"/>
      <c r="M16" s="126"/>
      <c r="N16" s="6">
        <f>'General data '!D36</f>
        <v>4</v>
      </c>
      <c r="O16" s="74">
        <f>'General data '!E36</f>
        <v>4</v>
      </c>
      <c r="P16" s="6">
        <f>'General data '!F36</f>
        <v>0</v>
      </c>
      <c r="Q16" s="8">
        <f>'General data '!G36</f>
        <v>0</v>
      </c>
      <c r="R16" s="8">
        <f>'General data '!H36</f>
        <v>0</v>
      </c>
      <c r="S16" s="70"/>
      <c r="T16" s="8">
        <v>0</v>
      </c>
      <c r="U16" s="8">
        <f>'General data '!K36</f>
        <v>2923</v>
      </c>
      <c r="V16" s="70">
        <f>'General data '!L36</f>
        <v>43563</v>
      </c>
      <c r="W16" s="128"/>
    </row>
    <row r="17" spans="1:23" ht="15" customHeight="1" x14ac:dyDescent="0.25">
      <c r="A17" s="306" t="s">
        <v>164</v>
      </c>
      <c r="B17" s="69"/>
      <c r="C17" s="129"/>
      <c r="D17" s="119"/>
      <c r="E17" s="118"/>
      <c r="F17" s="125">
        <f>'General data '!P37</f>
        <v>0</v>
      </c>
      <c r="G17" s="126"/>
      <c r="H17" s="127"/>
      <c r="I17" s="127"/>
      <c r="J17" s="127"/>
      <c r="K17" s="127"/>
      <c r="L17" s="127"/>
      <c r="M17" s="126"/>
      <c r="N17" s="6">
        <f>'General data '!D37</f>
        <v>6.5</v>
      </c>
      <c r="O17" s="74">
        <f>'General data '!E37</f>
        <v>43</v>
      </c>
      <c r="P17" s="6">
        <f>'General data '!F37</f>
        <v>0</v>
      </c>
      <c r="Q17" s="8">
        <f>'General data '!G37</f>
        <v>0</v>
      </c>
      <c r="R17" s="8">
        <f>'General data '!H37</f>
        <v>0</v>
      </c>
      <c r="S17" s="70"/>
      <c r="T17" s="8">
        <f>'General data '!J37</f>
        <v>0</v>
      </c>
      <c r="U17" s="8">
        <f>'General data '!K37</f>
        <v>2861</v>
      </c>
      <c r="V17" s="70">
        <f>'General data '!L37</f>
        <v>43726</v>
      </c>
      <c r="W17" s="128"/>
    </row>
    <row r="18" spans="1:23" ht="15" customHeight="1" x14ac:dyDescent="0.25">
      <c r="A18" s="306" t="s">
        <v>165</v>
      </c>
      <c r="B18" s="69" t="s">
        <v>381</v>
      </c>
      <c r="C18" s="129" t="s">
        <v>250</v>
      </c>
      <c r="D18" s="136">
        <v>43615</v>
      </c>
      <c r="E18" s="137">
        <v>3142.95</v>
      </c>
      <c r="F18" s="125">
        <f>'General data '!P38</f>
        <v>0</v>
      </c>
      <c r="G18" s="126"/>
      <c r="H18" s="127"/>
      <c r="I18" s="127"/>
      <c r="J18" s="127"/>
      <c r="K18" s="127"/>
      <c r="L18" s="127"/>
      <c r="M18" s="126"/>
      <c r="N18" s="6">
        <f>'General data '!D38</f>
        <v>0</v>
      </c>
      <c r="O18" s="74">
        <f>'General data '!E38</f>
        <v>0</v>
      </c>
      <c r="P18" s="6">
        <f>'General data '!F38</f>
        <v>0</v>
      </c>
      <c r="Q18" s="8">
        <f>'General data '!G38</f>
        <v>0</v>
      </c>
      <c r="R18" s="8">
        <f>'General data '!H38</f>
        <v>16</v>
      </c>
      <c r="S18" s="70"/>
      <c r="T18" s="8">
        <f>'General data '!J38</f>
        <v>0</v>
      </c>
      <c r="U18" s="8">
        <f>'General data '!K38</f>
        <v>1582</v>
      </c>
      <c r="V18" s="70"/>
      <c r="W18" s="128"/>
    </row>
    <row r="19" spans="1:23" ht="15" customHeight="1" x14ac:dyDescent="0.25">
      <c r="A19" s="306" t="s">
        <v>166</v>
      </c>
      <c r="B19" s="69"/>
      <c r="C19" s="129"/>
      <c r="D19" s="72"/>
      <c r="E19" s="130"/>
      <c r="F19" s="125">
        <f>'General data '!P39</f>
        <v>0</v>
      </c>
      <c r="G19" s="126"/>
      <c r="H19" s="127"/>
      <c r="I19" s="127"/>
      <c r="J19" s="127"/>
      <c r="K19" s="127"/>
      <c r="L19" s="127"/>
      <c r="M19" s="126"/>
      <c r="N19" s="6">
        <f>'General data '!D39</f>
        <v>0</v>
      </c>
      <c r="O19" s="74">
        <f>'General data '!E39</f>
        <v>0</v>
      </c>
      <c r="P19" s="6">
        <f>'General data '!F39</f>
        <v>0</v>
      </c>
      <c r="Q19" s="6">
        <f>'General data '!G39</f>
        <v>0</v>
      </c>
      <c r="R19" s="6">
        <f>'General data '!H39</f>
        <v>0</v>
      </c>
      <c r="S19" s="70">
        <f>'General data '!I39</f>
        <v>43552</v>
      </c>
      <c r="T19" s="8">
        <f>'General data '!J39</f>
        <v>0</v>
      </c>
      <c r="U19" s="8">
        <f>'General data '!K39</f>
        <v>1513</v>
      </c>
      <c r="V19" s="70">
        <f>'General data '!L39</f>
        <v>43670</v>
      </c>
      <c r="W19" s="138"/>
    </row>
    <row r="20" spans="1:23" ht="15" customHeight="1" x14ac:dyDescent="0.25">
      <c r="A20" s="306" t="s">
        <v>167</v>
      </c>
      <c r="B20" s="69"/>
      <c r="C20" s="129"/>
      <c r="D20" s="72"/>
      <c r="E20" s="130"/>
      <c r="F20" s="125"/>
      <c r="G20" s="126"/>
      <c r="H20" s="127"/>
      <c r="I20" s="127"/>
      <c r="J20" s="127"/>
      <c r="K20" s="127"/>
      <c r="L20" s="127"/>
      <c r="M20" s="126"/>
      <c r="N20" s="6">
        <f>'General data '!D40</f>
        <v>0</v>
      </c>
      <c r="O20" s="74">
        <f>'General data '!E40</f>
        <v>0</v>
      </c>
      <c r="P20" s="6">
        <f>'General data '!F40</f>
        <v>0</v>
      </c>
      <c r="Q20" s="6">
        <f>'General data '!G40</f>
        <v>0</v>
      </c>
      <c r="R20" s="6">
        <f>'General data '!H40</f>
        <v>0</v>
      </c>
      <c r="S20" s="70">
        <v>43568</v>
      </c>
      <c r="T20" s="8">
        <f>'General data '!J40</f>
        <v>0</v>
      </c>
      <c r="U20" s="8">
        <f>'General data '!K40</f>
        <v>2084</v>
      </c>
      <c r="V20" s="70">
        <f>'General data '!L40</f>
        <v>43593</v>
      </c>
      <c r="W20" s="128"/>
    </row>
    <row r="21" spans="1:23" ht="15" customHeight="1" x14ac:dyDescent="0.25">
      <c r="A21" s="306" t="s">
        <v>168</v>
      </c>
      <c r="B21" s="123" t="s">
        <v>387</v>
      </c>
      <c r="C21" s="129" t="s">
        <v>250</v>
      </c>
      <c r="D21" s="72">
        <v>43703</v>
      </c>
      <c r="E21" s="130">
        <v>3387.32</v>
      </c>
      <c r="F21" s="125">
        <f>'General data '!P41</f>
        <v>23.358478993490014</v>
      </c>
      <c r="G21" s="126">
        <v>391</v>
      </c>
      <c r="H21" s="126">
        <v>21</v>
      </c>
      <c r="I21" s="126">
        <v>9999</v>
      </c>
      <c r="J21" s="126">
        <v>65</v>
      </c>
      <c r="K21" s="127">
        <v>138</v>
      </c>
      <c r="L21" s="127">
        <v>55</v>
      </c>
      <c r="M21" s="126">
        <v>50</v>
      </c>
      <c r="N21" s="6">
        <f>'General data '!D41</f>
        <v>7</v>
      </c>
      <c r="O21" s="74">
        <f>'General data '!E41</f>
        <v>10</v>
      </c>
      <c r="P21" s="6">
        <f>'General data '!F41</f>
        <v>7</v>
      </c>
      <c r="Q21" s="8">
        <f>'General data '!G41</f>
        <v>12</v>
      </c>
      <c r="R21" s="8">
        <f>'General data '!H41</f>
        <v>8</v>
      </c>
      <c r="S21" s="70">
        <f>'General data '!I41</f>
        <v>43714</v>
      </c>
      <c r="T21" s="8">
        <f>'General data '!J41</f>
        <v>15</v>
      </c>
      <c r="U21" s="8">
        <f>'General data '!K41</f>
        <v>712</v>
      </c>
      <c r="V21" s="70">
        <f>'General data '!L41</f>
        <v>43737</v>
      </c>
      <c r="W21" s="128"/>
    </row>
    <row r="22" spans="1:23" ht="15" customHeight="1" x14ac:dyDescent="0.25">
      <c r="A22" s="306" t="s">
        <v>169</v>
      </c>
      <c r="B22" s="305" t="s">
        <v>411</v>
      </c>
      <c r="C22" s="129" t="s">
        <v>250</v>
      </c>
      <c r="D22" s="132">
        <v>43722</v>
      </c>
      <c r="E22" s="133">
        <v>3391</v>
      </c>
      <c r="F22" s="125">
        <f>'General data '!P42</f>
        <v>20.586740454761792</v>
      </c>
      <c r="G22" s="126">
        <v>397</v>
      </c>
      <c r="H22" s="126">
        <v>19</v>
      </c>
      <c r="I22" s="126">
        <v>9999</v>
      </c>
      <c r="J22" s="126">
        <v>65</v>
      </c>
      <c r="K22" s="112" t="s">
        <v>231</v>
      </c>
      <c r="L22" s="112" t="s">
        <v>231</v>
      </c>
      <c r="M22" s="126">
        <v>52</v>
      </c>
      <c r="N22" s="6">
        <f>'General data '!D42</f>
        <v>8</v>
      </c>
      <c r="O22" s="74">
        <f>'General data '!E42</f>
        <v>8</v>
      </c>
      <c r="P22" s="6">
        <f>'General data '!F42</f>
        <v>8</v>
      </c>
      <c r="Q22" s="8">
        <f>'General data '!G42</f>
        <v>12</v>
      </c>
      <c r="R22" s="8">
        <f>'General data '!H42</f>
        <v>12</v>
      </c>
      <c r="S22" s="70"/>
      <c r="T22" s="8">
        <f>'General data '!J42</f>
        <v>24</v>
      </c>
      <c r="U22" s="8">
        <f>'General data '!K42</f>
        <v>2258</v>
      </c>
      <c r="V22" s="70">
        <f>'General data '!L42</f>
        <v>43737</v>
      </c>
      <c r="W22" s="128"/>
    </row>
    <row r="23" spans="1:23" ht="15" customHeight="1" x14ac:dyDescent="0.25">
      <c r="A23" s="306" t="s">
        <v>170</v>
      </c>
      <c r="B23" s="69"/>
      <c r="C23" s="129"/>
      <c r="D23" s="72"/>
      <c r="E23" s="130"/>
      <c r="F23" s="125">
        <f>'General data '!P43</f>
        <v>0</v>
      </c>
      <c r="G23" s="126"/>
      <c r="H23" s="126"/>
      <c r="I23" s="126"/>
      <c r="J23" s="126"/>
      <c r="K23" s="127"/>
      <c r="L23" s="127"/>
      <c r="M23" s="126"/>
      <c r="N23" s="6">
        <f>'General data '!D43</f>
        <v>44</v>
      </c>
      <c r="O23" s="74">
        <f>'General data '!E43</f>
        <v>44</v>
      </c>
      <c r="P23" s="6">
        <f>'General data '!F43</f>
        <v>0</v>
      </c>
      <c r="Q23" s="8">
        <f>'General data '!G43</f>
        <v>0</v>
      </c>
      <c r="R23" s="8">
        <f>'General data '!H43</f>
        <v>0</v>
      </c>
      <c r="S23" s="70">
        <f>'General data '!I43</f>
        <v>43610</v>
      </c>
      <c r="T23" s="8">
        <f>'General data '!J43</f>
        <v>0</v>
      </c>
      <c r="U23" s="8">
        <f>'General data '!K43</f>
        <v>1723</v>
      </c>
      <c r="V23" s="70">
        <f>'General data '!L43</f>
        <v>43690</v>
      </c>
      <c r="W23" s="128"/>
    </row>
    <row r="24" spans="1:23" ht="15" customHeight="1" x14ac:dyDescent="0.25">
      <c r="A24" s="306" t="s">
        <v>171</v>
      </c>
      <c r="B24" s="134"/>
      <c r="C24" s="135"/>
      <c r="D24" s="72"/>
      <c r="E24" s="130"/>
      <c r="F24" s="125">
        <f>'General data '!P44</f>
        <v>0</v>
      </c>
      <c r="G24" s="126"/>
      <c r="H24" s="126"/>
      <c r="I24" s="126"/>
      <c r="J24" s="126"/>
      <c r="K24" s="126"/>
      <c r="L24" s="126"/>
      <c r="M24" s="126"/>
      <c r="N24" s="6">
        <f>'General data '!D44</f>
        <v>0</v>
      </c>
      <c r="O24" s="74">
        <f>'General data '!E44</f>
        <v>3</v>
      </c>
      <c r="P24" s="6">
        <f>'General data '!F44</f>
        <v>0</v>
      </c>
      <c r="Q24" s="8">
        <f>'General data '!G44</f>
        <v>0</v>
      </c>
      <c r="R24" s="8">
        <f>'General data '!H44</f>
        <v>0</v>
      </c>
      <c r="S24" s="70"/>
      <c r="T24" s="8">
        <f>'General data '!J44</f>
        <v>0</v>
      </c>
      <c r="U24" s="8">
        <f>'General data '!K44</f>
        <v>1788</v>
      </c>
      <c r="V24" s="70">
        <f>'General data '!L44</f>
        <v>43625</v>
      </c>
      <c r="W24" s="128"/>
    </row>
    <row r="25" spans="1:23" ht="15" customHeight="1" x14ac:dyDescent="0.25">
      <c r="A25" s="306" t="s">
        <v>172</v>
      </c>
      <c r="B25" s="69" t="s">
        <v>410</v>
      </c>
      <c r="C25" s="129" t="s">
        <v>250</v>
      </c>
      <c r="D25" s="72">
        <v>43724</v>
      </c>
      <c r="E25" s="130">
        <v>3318.59</v>
      </c>
      <c r="F25" s="125">
        <f>'General data '!P45</f>
        <v>10.398297548760926</v>
      </c>
      <c r="G25" s="126">
        <v>391</v>
      </c>
      <c r="H25" s="126">
        <v>16</v>
      </c>
      <c r="I25" s="126">
        <v>9999</v>
      </c>
      <c r="J25" s="126">
        <v>58</v>
      </c>
      <c r="K25" s="112" t="s">
        <v>231</v>
      </c>
      <c r="L25" s="112" t="s">
        <v>231</v>
      </c>
      <c r="M25" s="126">
        <v>51</v>
      </c>
      <c r="N25" s="6">
        <f>'General data '!D45</f>
        <v>8</v>
      </c>
      <c r="O25" s="74">
        <f>'General data '!E45</f>
        <v>8</v>
      </c>
      <c r="P25" s="6">
        <f>'General data '!F45</f>
        <v>8</v>
      </c>
      <c r="Q25" s="8">
        <f>'General data '!G45</f>
        <v>12</v>
      </c>
      <c r="R25" s="8">
        <f>'General data '!H45</f>
        <v>25</v>
      </c>
      <c r="S25" s="70"/>
      <c r="T25" s="8">
        <f>'General data '!J45</f>
        <v>24</v>
      </c>
      <c r="U25" s="8">
        <f>'General data '!K45</f>
        <v>1625</v>
      </c>
      <c r="V25" s="70">
        <f>'General data '!L45</f>
        <v>43737</v>
      </c>
      <c r="W25" s="128"/>
    </row>
    <row r="26" spans="1:23" ht="15" customHeight="1" x14ac:dyDescent="0.25">
      <c r="A26" s="306" t="s">
        <v>173</v>
      </c>
      <c r="B26" s="69" t="s">
        <v>382</v>
      </c>
      <c r="C26" s="129" t="s">
        <v>250</v>
      </c>
      <c r="D26" s="72">
        <v>43567</v>
      </c>
      <c r="E26" s="118">
        <v>3372.42</v>
      </c>
      <c r="F26" s="125">
        <f>'General data '!P46</f>
        <v>15.624140643057215</v>
      </c>
      <c r="G26" s="126">
        <v>388</v>
      </c>
      <c r="H26" s="126">
        <v>22</v>
      </c>
      <c r="I26" s="126">
        <v>7399</v>
      </c>
      <c r="J26" s="126">
        <v>80</v>
      </c>
      <c r="K26" s="127">
        <v>135</v>
      </c>
      <c r="L26" s="127">
        <v>44</v>
      </c>
      <c r="M26" s="126">
        <v>56</v>
      </c>
      <c r="N26" s="6">
        <f>'General data '!D46</f>
        <v>8</v>
      </c>
      <c r="O26" s="74">
        <f>'General data '!E46</f>
        <v>8</v>
      </c>
      <c r="P26" s="6">
        <f>'General data '!F46</f>
        <v>7.5</v>
      </c>
      <c r="Q26" s="8">
        <f>'General data '!G46</f>
        <v>36</v>
      </c>
      <c r="R26" s="8">
        <f>'General data '!H46</f>
        <v>7</v>
      </c>
      <c r="S26" s="70">
        <f>'General data '!I46</f>
        <v>43736</v>
      </c>
      <c r="T26" s="8">
        <f>'General data '!J46</f>
        <v>10</v>
      </c>
      <c r="U26" s="8">
        <f>'General data '!K46</f>
        <v>1875</v>
      </c>
      <c r="V26" s="70">
        <f>'General data '!L46</f>
        <v>43737</v>
      </c>
      <c r="W26" s="128"/>
    </row>
    <row r="27" spans="1:23" ht="15" customHeight="1" x14ac:dyDescent="0.25">
      <c r="A27" s="306" t="s">
        <v>174</v>
      </c>
      <c r="B27" s="134" t="s">
        <v>375</v>
      </c>
      <c r="C27" s="129" t="s">
        <v>250</v>
      </c>
      <c r="D27" s="119">
        <v>43653</v>
      </c>
      <c r="E27" s="118">
        <v>2963</v>
      </c>
      <c r="F27" s="125">
        <f>'General data '!P47</f>
        <v>38.925781595333198</v>
      </c>
      <c r="G27" s="126">
        <v>396</v>
      </c>
      <c r="H27" s="126">
        <v>24</v>
      </c>
      <c r="I27" s="126">
        <v>8489</v>
      </c>
      <c r="J27" s="126">
        <v>58</v>
      </c>
      <c r="K27" s="112">
        <v>138</v>
      </c>
      <c r="L27" s="112">
        <v>31</v>
      </c>
      <c r="M27" s="126">
        <v>55</v>
      </c>
      <c r="N27" s="6">
        <f>'General data '!D47</f>
        <v>11</v>
      </c>
      <c r="O27" s="74">
        <f>'General data '!E47</f>
        <v>10</v>
      </c>
      <c r="P27" s="6">
        <f>'General data '!F47</f>
        <v>10</v>
      </c>
      <c r="Q27" s="8">
        <f>'General data '!G47</f>
        <v>24</v>
      </c>
      <c r="R27" s="8">
        <f>'General data '!H47</f>
        <v>8</v>
      </c>
      <c r="S27" s="70"/>
      <c r="T27" s="8">
        <f>'General data '!J47</f>
        <v>24</v>
      </c>
      <c r="U27" s="8">
        <f>'General data '!K47</f>
        <v>1561</v>
      </c>
      <c r="V27" s="70">
        <f>'General data '!L47</f>
        <v>43737</v>
      </c>
      <c r="W27" s="128"/>
    </row>
    <row r="28" spans="1:23" ht="15" customHeight="1" x14ac:dyDescent="0.25">
      <c r="A28" s="306" t="s">
        <v>175</v>
      </c>
      <c r="B28" s="123"/>
      <c r="C28" s="124"/>
      <c r="D28" s="119"/>
      <c r="E28" s="118"/>
      <c r="F28" s="125">
        <f>'General data '!P48</f>
        <v>0</v>
      </c>
      <c r="G28" s="126"/>
      <c r="H28" s="126"/>
      <c r="I28" s="126"/>
      <c r="J28" s="126"/>
      <c r="K28" s="126"/>
      <c r="L28" s="126"/>
      <c r="M28" s="126"/>
      <c r="N28" s="6">
        <f>'General data '!D48</f>
        <v>0</v>
      </c>
      <c r="O28" s="74">
        <f>'General data '!E48</f>
        <v>0</v>
      </c>
      <c r="P28" s="6">
        <f>'General data '!F48</f>
        <v>0</v>
      </c>
      <c r="Q28" s="8">
        <f>'General data '!G48</f>
        <v>0</v>
      </c>
      <c r="R28" s="8">
        <f>'General data '!H48</f>
        <v>0</v>
      </c>
      <c r="S28" s="70"/>
      <c r="T28" s="8">
        <f>'General data '!J48</f>
        <v>0</v>
      </c>
      <c r="U28" s="8">
        <f>'General data '!K48</f>
        <v>0</v>
      </c>
      <c r="V28" s="70">
        <f>'General data '!L48</f>
        <v>43507</v>
      </c>
      <c r="W28" s="128"/>
    </row>
    <row r="29" spans="1:23" ht="15" customHeight="1" x14ac:dyDescent="0.25">
      <c r="A29" s="306" t="s">
        <v>176</v>
      </c>
      <c r="B29" s="69" t="s">
        <v>383</v>
      </c>
      <c r="C29" s="129" t="s">
        <v>250</v>
      </c>
      <c r="D29" s="119">
        <v>43594</v>
      </c>
      <c r="E29" s="118">
        <v>3267</v>
      </c>
      <c r="F29" s="125">
        <f>'General data '!P49</f>
        <v>6.1640199999999998</v>
      </c>
      <c r="G29" s="126">
        <v>391</v>
      </c>
      <c r="H29" s="126">
        <v>21</v>
      </c>
      <c r="I29" s="126">
        <v>9999</v>
      </c>
      <c r="J29" s="126">
        <v>33</v>
      </c>
      <c r="K29" s="112" t="s">
        <v>231</v>
      </c>
      <c r="L29" s="112" t="s">
        <v>231</v>
      </c>
      <c r="M29" s="126">
        <v>53</v>
      </c>
      <c r="N29" s="6">
        <f>'General data '!D49</f>
        <v>7</v>
      </c>
      <c r="O29" s="74">
        <f>'General data '!E49</f>
        <v>7</v>
      </c>
      <c r="P29" s="6">
        <f>'General data '!F49</f>
        <v>7</v>
      </c>
      <c r="Q29" s="8">
        <f>'General data '!G49</f>
        <v>4</v>
      </c>
      <c r="R29" s="8">
        <f>'General data '!H49</f>
        <v>14</v>
      </c>
      <c r="S29" s="70">
        <f>'General data '!I49</f>
        <v>43650</v>
      </c>
      <c r="T29" s="8">
        <f>'General data '!J49</f>
        <v>9</v>
      </c>
      <c r="U29" s="8">
        <f>'General data '!K49</f>
        <v>2684</v>
      </c>
      <c r="V29" s="70">
        <f>'General data '!L49</f>
        <v>43737</v>
      </c>
      <c r="W29" s="128"/>
    </row>
    <row r="30" spans="1:23" ht="15" customHeight="1" x14ac:dyDescent="0.25">
      <c r="A30" s="306" t="s">
        <v>177</v>
      </c>
      <c r="B30" s="69" t="s">
        <v>384</v>
      </c>
      <c r="C30" s="129" t="s">
        <v>250</v>
      </c>
      <c r="D30" s="72">
        <v>43611</v>
      </c>
      <c r="E30" s="130">
        <v>3163</v>
      </c>
      <c r="F30" s="125">
        <f>'General data '!P50</f>
        <v>22.25413097996444</v>
      </c>
      <c r="G30" s="126">
        <v>391</v>
      </c>
      <c r="H30" s="126">
        <v>18</v>
      </c>
      <c r="I30" s="126">
        <v>9999</v>
      </c>
      <c r="J30" s="126">
        <v>53</v>
      </c>
      <c r="K30" s="127">
        <v>130</v>
      </c>
      <c r="L30" s="127">
        <v>38</v>
      </c>
      <c r="M30" s="126">
        <v>56</v>
      </c>
      <c r="N30" s="6">
        <f>'General data '!D50</f>
        <v>8</v>
      </c>
      <c r="O30" s="74">
        <f>'General data '!E50</f>
        <v>8</v>
      </c>
      <c r="P30" s="6">
        <f>'General data '!F50</f>
        <v>8</v>
      </c>
      <c r="Q30" s="8">
        <f>'General data '!G50</f>
        <v>22</v>
      </c>
      <c r="R30" s="8">
        <f>'General data '!H50</f>
        <v>25</v>
      </c>
      <c r="S30" s="70">
        <f>'General data '!I50</f>
        <v>43663</v>
      </c>
      <c r="T30" s="8">
        <f>'General data '!J50</f>
        <v>21</v>
      </c>
      <c r="U30" s="8">
        <f>'General data '!K50</f>
        <v>1811</v>
      </c>
      <c r="V30" s="70">
        <f>'General data '!L50</f>
        <v>43737</v>
      </c>
      <c r="W30" s="128"/>
    </row>
    <row r="31" spans="1:23" ht="15" customHeight="1" x14ac:dyDescent="0.25">
      <c r="A31" s="304"/>
      <c r="B31" s="120"/>
      <c r="C31" s="120"/>
      <c r="D31" s="121"/>
      <c r="E31" s="120"/>
      <c r="F31" s="120"/>
      <c r="G31" s="139"/>
      <c r="H31" s="139"/>
      <c r="I31" s="139"/>
      <c r="J31" s="139"/>
      <c r="K31" s="139"/>
      <c r="L31" s="139"/>
      <c r="M31" s="139"/>
      <c r="N31" s="120"/>
      <c r="O31" s="120"/>
      <c r="P31" s="120"/>
      <c r="Q31" s="120"/>
      <c r="R31" s="120"/>
      <c r="S31" s="121"/>
      <c r="T31" s="120"/>
      <c r="U31" s="120"/>
      <c r="V31" s="121"/>
      <c r="W31" s="122"/>
    </row>
    <row r="32" spans="1:23" ht="15" customHeight="1" x14ac:dyDescent="0.25">
      <c r="A32" s="307"/>
    </row>
    <row r="33" spans="1:3" ht="15" customHeight="1" x14ac:dyDescent="0.25">
      <c r="A33" s="308" t="s">
        <v>193</v>
      </c>
      <c r="B33" s="67"/>
      <c r="C33" s="67"/>
    </row>
    <row r="34" spans="1:3" ht="15" customHeight="1" x14ac:dyDescent="0.25">
      <c r="A34" s="308" t="s">
        <v>194</v>
      </c>
      <c r="B34" s="67"/>
      <c r="C34" s="67"/>
    </row>
    <row r="35" spans="1:3" ht="15" customHeight="1" x14ac:dyDescent="0.25">
      <c r="A35" s="308" t="s">
        <v>195</v>
      </c>
      <c r="B35" s="67"/>
      <c r="C35" s="67"/>
    </row>
    <row r="36" spans="1:3" ht="15" customHeight="1" x14ac:dyDescent="0.25">
      <c r="A36" s="308" t="s">
        <v>201</v>
      </c>
      <c r="B36" s="67"/>
      <c r="C36" s="67"/>
    </row>
    <row r="37" spans="1:3" ht="15" customHeight="1" x14ac:dyDescent="0.25">
      <c r="A37" s="308" t="s">
        <v>219</v>
      </c>
      <c r="B37" s="67"/>
      <c r="C37" s="67"/>
    </row>
    <row r="38" spans="1:3" ht="15" customHeight="1" x14ac:dyDescent="0.25">
      <c r="A38" s="308" t="s">
        <v>202</v>
      </c>
      <c r="B38" s="67"/>
      <c r="C38" s="67"/>
    </row>
    <row r="39" spans="1:3" x14ac:dyDescent="0.25">
      <c r="A39" s="308" t="s">
        <v>196</v>
      </c>
      <c r="B39" s="67"/>
      <c r="C39" s="67"/>
    </row>
  </sheetData>
  <mergeCells count="27">
    <mergeCell ref="A2:A4"/>
    <mergeCell ref="A7:A8"/>
    <mergeCell ref="B2:E2"/>
    <mergeCell ref="B3:E3"/>
    <mergeCell ref="B4:E4"/>
    <mergeCell ref="C7:C8"/>
    <mergeCell ref="D7:D8"/>
    <mergeCell ref="A6:W6"/>
    <mergeCell ref="B7:B8"/>
    <mergeCell ref="E7:E8"/>
    <mergeCell ref="U7:V7"/>
    <mergeCell ref="F7:F8"/>
    <mergeCell ref="G7:G8"/>
    <mergeCell ref="H7:H8"/>
    <mergeCell ref="I7:I8"/>
    <mergeCell ref="J7:J8"/>
    <mergeCell ref="K7:K8"/>
    <mergeCell ref="S7:S8"/>
    <mergeCell ref="W7:W8"/>
    <mergeCell ref="T7:T8"/>
    <mergeCell ref="R7:R8"/>
    <mergeCell ref="M7:M8"/>
    <mergeCell ref="N7:N8"/>
    <mergeCell ref="O7:O8"/>
    <mergeCell ref="P7:P8"/>
    <mergeCell ref="Q7:Q8"/>
    <mergeCell ref="L7:L8"/>
  </mergeCells>
  <pageMargins left="0.62" right="0.22" top="0.25" bottom="0.19" header="0.17" footer="0.17"/>
  <pageSetup paperSize="9" scale="4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2:AH54"/>
  <sheetViews>
    <sheetView showGridLines="0" view="pageBreakPreview" topLeftCell="H4" zoomScale="90" zoomScaleNormal="96" zoomScaleSheetLayoutView="90" workbookViewId="0">
      <selection activeCell="AE11" sqref="AE11"/>
    </sheetView>
  </sheetViews>
  <sheetFormatPr defaultColWidth="8.85546875" defaultRowHeight="15" x14ac:dyDescent="0.25"/>
  <cols>
    <col min="1" max="2" width="10.7109375" style="7" customWidth="1"/>
    <col min="3" max="32" width="10.7109375" style="155" customWidth="1"/>
    <col min="33" max="33" width="14.140625" style="155" customWidth="1"/>
    <col min="34" max="34" width="19.7109375" style="155" customWidth="1"/>
    <col min="35" max="16384" width="8.85546875" style="4"/>
  </cols>
  <sheetData>
    <row r="2" spans="1:34" x14ac:dyDescent="0.25">
      <c r="A2" s="585"/>
      <c r="B2" s="457" t="s">
        <v>416</v>
      </c>
      <c r="C2" s="457"/>
      <c r="D2" s="457"/>
      <c r="E2" s="457"/>
    </row>
    <row r="3" spans="1:34" x14ac:dyDescent="0.25">
      <c r="A3" s="585"/>
      <c r="B3" s="457" t="s">
        <v>13</v>
      </c>
      <c r="C3" s="457"/>
      <c r="D3" s="457"/>
      <c r="E3" s="457"/>
    </row>
    <row r="4" spans="1:34" x14ac:dyDescent="0.25">
      <c r="A4" s="585"/>
      <c r="B4" s="457" t="s">
        <v>14</v>
      </c>
      <c r="C4" s="457"/>
      <c r="D4" s="457"/>
      <c r="E4" s="457"/>
    </row>
    <row r="6" spans="1:34" ht="15.75" thickBot="1" x14ac:dyDescent="0.3"/>
    <row r="7" spans="1:34" x14ac:dyDescent="0.25">
      <c r="A7" s="275"/>
      <c r="B7" s="156"/>
      <c r="C7" s="157">
        <v>43709</v>
      </c>
      <c r="D7" s="157">
        <v>43710</v>
      </c>
      <c r="E7" s="157">
        <v>43711</v>
      </c>
      <c r="F7" s="157">
        <v>43712</v>
      </c>
      <c r="G7" s="157">
        <v>43713</v>
      </c>
      <c r="H7" s="157">
        <v>43714</v>
      </c>
      <c r="I7" s="157">
        <v>43715</v>
      </c>
      <c r="J7" s="157">
        <v>43716</v>
      </c>
      <c r="K7" s="157">
        <v>43717</v>
      </c>
      <c r="L7" s="157">
        <v>43718</v>
      </c>
      <c r="M7" s="157">
        <v>43719</v>
      </c>
      <c r="N7" s="157">
        <v>43720</v>
      </c>
      <c r="O7" s="157">
        <v>43721</v>
      </c>
      <c r="P7" s="157">
        <v>43722</v>
      </c>
      <c r="Q7" s="157">
        <v>43723</v>
      </c>
      <c r="R7" s="157">
        <v>43724</v>
      </c>
      <c r="S7" s="157">
        <v>43725</v>
      </c>
      <c r="T7" s="157">
        <v>43726</v>
      </c>
      <c r="U7" s="157">
        <v>43727</v>
      </c>
      <c r="V7" s="157">
        <v>43728</v>
      </c>
      <c r="W7" s="157">
        <v>43729</v>
      </c>
      <c r="X7" s="157">
        <v>43730</v>
      </c>
      <c r="Y7" s="157">
        <v>43731</v>
      </c>
      <c r="Z7" s="157">
        <v>43732</v>
      </c>
      <c r="AA7" s="157">
        <v>43733</v>
      </c>
      <c r="AB7" s="157">
        <v>43734</v>
      </c>
      <c r="AC7" s="157">
        <v>43735</v>
      </c>
      <c r="AD7" s="157">
        <v>43736</v>
      </c>
      <c r="AE7" s="157">
        <v>43737</v>
      </c>
      <c r="AF7" s="157">
        <v>43738</v>
      </c>
      <c r="AG7" s="158" t="s">
        <v>228</v>
      </c>
      <c r="AH7" s="4"/>
    </row>
    <row r="8" spans="1:34" x14ac:dyDescent="0.25">
      <c r="A8" s="593" t="s">
        <v>131</v>
      </c>
      <c r="B8" s="274" t="s">
        <v>192</v>
      </c>
      <c r="C8" s="159">
        <v>335.14</v>
      </c>
      <c r="D8" s="159">
        <v>329.36</v>
      </c>
      <c r="E8" s="159">
        <v>333.1</v>
      </c>
      <c r="F8" s="160">
        <v>317.55</v>
      </c>
      <c r="G8" s="159">
        <v>339.38</v>
      </c>
      <c r="H8" s="159">
        <v>324.83999999999997</v>
      </c>
      <c r="I8" s="160">
        <v>330.04</v>
      </c>
      <c r="J8" s="160">
        <v>340.7</v>
      </c>
      <c r="K8" s="160">
        <v>318.88</v>
      </c>
      <c r="L8" s="159">
        <v>324.17</v>
      </c>
      <c r="M8" s="160">
        <v>317.44</v>
      </c>
      <c r="N8" s="160">
        <v>259.57</v>
      </c>
      <c r="O8" s="160">
        <v>220.77</v>
      </c>
      <c r="P8" s="160">
        <v>270.39999999999998</v>
      </c>
      <c r="Q8" s="160">
        <v>329.15</v>
      </c>
      <c r="R8" s="160">
        <v>242.81</v>
      </c>
      <c r="S8" s="161">
        <v>203.43</v>
      </c>
      <c r="T8" s="160">
        <v>210.91</v>
      </c>
      <c r="U8" s="160">
        <v>196.45</v>
      </c>
      <c r="V8" s="160">
        <v>217.01</v>
      </c>
      <c r="W8" s="160">
        <v>236.38</v>
      </c>
      <c r="X8" s="160">
        <v>274.74</v>
      </c>
      <c r="Y8" s="160">
        <v>235.57</v>
      </c>
      <c r="Z8" s="160">
        <v>188.53</v>
      </c>
      <c r="AA8" s="161">
        <v>200.13</v>
      </c>
      <c r="AB8" s="160">
        <v>204.38</v>
      </c>
      <c r="AC8" s="160">
        <v>230.32</v>
      </c>
      <c r="AD8" s="160">
        <v>225.8</v>
      </c>
      <c r="AE8" s="160">
        <v>229.58</v>
      </c>
      <c r="AF8" s="160"/>
      <c r="AG8" s="162">
        <f>SUM(C8:AF8)</f>
        <v>7786.53</v>
      </c>
      <c r="AH8" s="4"/>
    </row>
    <row r="9" spans="1:34" x14ac:dyDescent="0.25">
      <c r="A9" s="593"/>
      <c r="B9" s="274" t="s">
        <v>106</v>
      </c>
      <c r="C9" s="159">
        <v>2828.28</v>
      </c>
      <c r="D9" s="159">
        <v>2818.61</v>
      </c>
      <c r="E9" s="159">
        <v>2800.29</v>
      </c>
      <c r="F9" s="160">
        <v>2817.9</v>
      </c>
      <c r="G9" s="161">
        <v>2805.95</v>
      </c>
      <c r="H9" s="159">
        <v>2708.21</v>
      </c>
      <c r="I9" s="160">
        <v>2703.65</v>
      </c>
      <c r="J9" s="160">
        <v>2726.65</v>
      </c>
      <c r="K9" s="159">
        <v>2624.77</v>
      </c>
      <c r="L9" s="160">
        <v>2607.35</v>
      </c>
      <c r="M9" s="160">
        <v>2623.42</v>
      </c>
      <c r="N9" s="160">
        <v>2091.2199999999998</v>
      </c>
      <c r="O9" s="160">
        <v>1887.09</v>
      </c>
      <c r="P9" s="160">
        <v>2260.12</v>
      </c>
      <c r="Q9" s="160">
        <v>2623.82</v>
      </c>
      <c r="R9" s="160">
        <v>2127.62</v>
      </c>
      <c r="S9" s="161">
        <v>1818.56</v>
      </c>
      <c r="T9" s="160">
        <v>1817.15</v>
      </c>
      <c r="U9" s="160">
        <v>1705.03</v>
      </c>
      <c r="V9" s="160">
        <v>1865.38</v>
      </c>
      <c r="W9" s="160">
        <v>1996.54</v>
      </c>
      <c r="X9" s="160">
        <v>2281.79</v>
      </c>
      <c r="Y9" s="160">
        <v>1968.12</v>
      </c>
      <c r="Z9" s="160">
        <v>1560.65</v>
      </c>
      <c r="AA9" s="161">
        <v>1576.86</v>
      </c>
      <c r="AB9" s="160">
        <v>1743.12</v>
      </c>
      <c r="AC9" s="160">
        <v>1812.63</v>
      </c>
      <c r="AD9" s="160">
        <v>1810.75</v>
      </c>
      <c r="AE9" s="160">
        <v>1846.94</v>
      </c>
      <c r="AF9" s="160"/>
      <c r="AG9" s="162">
        <f>SUM(C9:AF9)</f>
        <v>64858.470000000008</v>
      </c>
      <c r="AH9" s="4"/>
    </row>
    <row r="10" spans="1:34" x14ac:dyDescent="0.25">
      <c r="A10" s="593" t="s">
        <v>132</v>
      </c>
      <c r="B10" s="274" t="s">
        <v>16</v>
      </c>
      <c r="C10" s="314">
        <v>114670</v>
      </c>
      <c r="D10" s="315">
        <v>120278</v>
      </c>
      <c r="E10" s="315">
        <v>129246.9</v>
      </c>
      <c r="F10" s="315">
        <v>131661.20000000001</v>
      </c>
      <c r="G10" s="316">
        <v>125446.6</v>
      </c>
      <c r="H10" s="315">
        <v>123877.3</v>
      </c>
      <c r="I10" s="315">
        <v>124911.7</v>
      </c>
      <c r="J10" s="315">
        <v>119565.5</v>
      </c>
      <c r="K10" s="315">
        <v>115947.12</v>
      </c>
      <c r="L10" s="315">
        <v>113678.55</v>
      </c>
      <c r="M10" s="315">
        <v>92177.99</v>
      </c>
      <c r="N10" s="315">
        <v>86149.55</v>
      </c>
      <c r="O10" s="315">
        <v>91816.57</v>
      </c>
      <c r="P10" s="315">
        <v>107457.7</v>
      </c>
      <c r="Q10" s="315">
        <v>131656.9</v>
      </c>
      <c r="R10" s="315">
        <v>127497.60000000001</v>
      </c>
      <c r="S10" s="315">
        <v>108036</v>
      </c>
      <c r="T10" s="315">
        <v>116719.7</v>
      </c>
      <c r="U10" s="315">
        <v>112318</v>
      </c>
      <c r="V10" s="315">
        <v>122026.4</v>
      </c>
      <c r="W10" s="315">
        <v>113959.9</v>
      </c>
      <c r="X10" s="315">
        <v>103835</v>
      </c>
      <c r="Y10" s="315">
        <v>118225.1</v>
      </c>
      <c r="Z10" s="315">
        <v>113625</v>
      </c>
      <c r="AA10" s="315">
        <v>106003.3</v>
      </c>
      <c r="AB10" s="315">
        <v>105447</v>
      </c>
      <c r="AC10" s="315">
        <v>104674.2</v>
      </c>
      <c r="AD10" s="315">
        <v>102337.66</v>
      </c>
      <c r="AE10" s="315">
        <v>111563.8</v>
      </c>
      <c r="AF10" s="315"/>
      <c r="AG10" s="317">
        <f>SUM(C10:AF10)</f>
        <v>3294810.2399999998</v>
      </c>
      <c r="AH10" s="4"/>
    </row>
    <row r="11" spans="1:34" ht="15.75" thickBot="1" x14ac:dyDescent="0.3">
      <c r="A11" s="594"/>
      <c r="B11" s="273" t="s">
        <v>107</v>
      </c>
      <c r="C11" s="163">
        <f>C10*35.3146667</f>
        <v>4049532.8304889994</v>
      </c>
      <c r="D11" s="163">
        <f>D10*35.3146667</f>
        <v>4247577.4813425997</v>
      </c>
      <c r="E11" s="163">
        <f t="shared" ref="E11:AF11" si="0">E10*35.3146667</f>
        <v>4564311.1955082295</v>
      </c>
      <c r="F11" s="163">
        <f t="shared" si="0"/>
        <v>4649571.3953220397</v>
      </c>
      <c r="G11" s="163">
        <f t="shared" si="0"/>
        <v>4430104.8676482197</v>
      </c>
      <c r="H11" s="163">
        <f t="shared" si="0"/>
        <v>4374685.56119591</v>
      </c>
      <c r="I11" s="163">
        <f t="shared" si="0"/>
        <v>4411215.0524303894</v>
      </c>
      <c r="J11" s="163">
        <f t="shared" si="0"/>
        <v>4222415.7813188499</v>
      </c>
      <c r="K11" s="163">
        <f t="shared" si="0"/>
        <v>4094633.8976249034</v>
      </c>
      <c r="L11" s="163">
        <f t="shared" si="0"/>
        <v>4014520.1041892846</v>
      </c>
      <c r="M11" s="163">
        <f t="shared" si="0"/>
        <v>3255234.9939259328</v>
      </c>
      <c r="N11" s="163">
        <f t="shared" si="0"/>
        <v>3042342.6446049847</v>
      </c>
      <c r="O11" s="163">
        <f t="shared" si="0"/>
        <v>3242471.5670872191</v>
      </c>
      <c r="P11" s="163">
        <f t="shared" si="0"/>
        <v>3794832.8598485896</v>
      </c>
      <c r="Q11" s="163">
        <f t="shared" si="0"/>
        <v>4649419.5422552293</v>
      </c>
      <c r="R11" s="163">
        <f t="shared" si="0"/>
        <v>4502535.2490499197</v>
      </c>
      <c r="S11" s="163">
        <f t="shared" si="0"/>
        <v>3815255.3316011997</v>
      </c>
      <c r="T11" s="163">
        <f t="shared" si="0"/>
        <v>4121917.3028239897</v>
      </c>
      <c r="U11" s="163">
        <f t="shared" si="0"/>
        <v>3966472.7344105998</v>
      </c>
      <c r="V11" s="163">
        <f t="shared" si="0"/>
        <v>4309321.6446008794</v>
      </c>
      <c r="W11" s="163">
        <f t="shared" si="0"/>
        <v>4024455.8856653292</v>
      </c>
      <c r="X11" s="163">
        <f t="shared" si="0"/>
        <v>3666898.4167944998</v>
      </c>
      <c r="Y11" s="163">
        <f t="shared" si="0"/>
        <v>4175080.0020741699</v>
      </c>
      <c r="Z11" s="163">
        <f t="shared" si="0"/>
        <v>4012629.0037874994</v>
      </c>
      <c r="AA11" s="163">
        <f t="shared" si="0"/>
        <v>3743471.2086001099</v>
      </c>
      <c r="AB11" s="163">
        <f t="shared" si="0"/>
        <v>3723825.6595148998</v>
      </c>
      <c r="AC11" s="163">
        <f t="shared" si="0"/>
        <v>3696534.4850891395</v>
      </c>
      <c r="AD11" s="163">
        <f t="shared" si="0"/>
        <v>3614020.3537579216</v>
      </c>
      <c r="AE11" s="163">
        <f t="shared" si="0"/>
        <v>3939838.4127854598</v>
      </c>
      <c r="AF11" s="163">
        <f t="shared" si="0"/>
        <v>0</v>
      </c>
      <c r="AG11" s="318">
        <f>SUM(C11:AF11)</f>
        <v>116355125.46534698</v>
      </c>
      <c r="AH11" s="4"/>
    </row>
    <row r="12" spans="1:34" x14ac:dyDescent="0.25"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</row>
    <row r="13" spans="1:34" x14ac:dyDescent="0.25"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</row>
    <row r="26" spans="32:32" x14ac:dyDescent="0.25">
      <c r="AF26" s="155" t="s">
        <v>256</v>
      </c>
    </row>
    <row r="54" spans="2:17" x14ac:dyDescent="0.25">
      <c r="B54" s="595"/>
      <c r="C54" s="595"/>
      <c r="D54" s="595"/>
      <c r="E54" s="595"/>
      <c r="F54" s="595"/>
      <c r="G54" s="595"/>
      <c r="H54" s="595"/>
      <c r="I54" s="595"/>
      <c r="J54" s="595"/>
      <c r="K54" s="595"/>
      <c r="L54" s="595"/>
      <c r="M54" s="595"/>
      <c r="N54" s="595"/>
      <c r="O54" s="595"/>
      <c r="P54" s="595"/>
      <c r="Q54" s="595"/>
    </row>
  </sheetData>
  <mergeCells count="7">
    <mergeCell ref="A8:A9"/>
    <mergeCell ref="A10:A11"/>
    <mergeCell ref="B54:Q54"/>
    <mergeCell ref="A2:A4"/>
    <mergeCell ref="B2:E2"/>
    <mergeCell ref="B3:E3"/>
    <mergeCell ref="B4:E4"/>
  </mergeCells>
  <pageMargins left="0.70866141732283472" right="0.70866141732283472" top="0.74803149606299213" bottom="0.74803149606299213" header="0.31496062992125984" footer="0.31496062992125984"/>
  <pageSetup paperSize="9" scale="2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N26"/>
  <sheetViews>
    <sheetView showGridLines="0" view="pageBreakPreview" zoomScale="80" zoomScaleSheetLayoutView="80" workbookViewId="0">
      <selection activeCell="Q25" sqref="Q25"/>
    </sheetView>
  </sheetViews>
  <sheetFormatPr defaultColWidth="8.85546875" defaultRowHeight="15" x14ac:dyDescent="0.25"/>
  <cols>
    <col min="1" max="1" width="15.7109375" style="7" customWidth="1"/>
    <col min="2" max="11" width="15.7109375" style="171" customWidth="1"/>
    <col min="12" max="12" width="4.140625" style="5" customWidth="1"/>
    <col min="13" max="16384" width="8.85546875" style="4"/>
  </cols>
  <sheetData>
    <row r="2" spans="1:14" x14ac:dyDescent="0.25">
      <c r="A2" s="578"/>
      <c r="B2" s="167">
        <v>2019</v>
      </c>
      <c r="C2" s="168"/>
      <c r="D2" s="169"/>
      <c r="E2" s="170"/>
    </row>
    <row r="3" spans="1:14" x14ac:dyDescent="0.25">
      <c r="A3" s="578"/>
      <c r="B3" s="411" t="s">
        <v>13</v>
      </c>
      <c r="C3" s="411"/>
      <c r="D3" s="168"/>
      <c r="E3" s="172"/>
    </row>
    <row r="4" spans="1:14" x14ac:dyDescent="0.25">
      <c r="A4" s="578"/>
      <c r="B4" s="598" t="s">
        <v>288</v>
      </c>
      <c r="C4" s="598"/>
      <c r="D4" s="598"/>
      <c r="E4" s="172"/>
      <c r="F4" s="172"/>
      <c r="G4" s="172"/>
    </row>
    <row r="5" spans="1:14" ht="15.75" thickBot="1" x14ac:dyDescent="0.3">
      <c r="A5" s="410"/>
      <c r="B5" s="172"/>
      <c r="C5" s="172"/>
      <c r="D5" s="172"/>
      <c r="E5" s="172"/>
    </row>
    <row r="6" spans="1:14" x14ac:dyDescent="0.25">
      <c r="A6" s="599" t="s">
        <v>112</v>
      </c>
      <c r="B6" s="600" t="s">
        <v>113</v>
      </c>
      <c r="C6" s="601"/>
      <c r="D6" s="600" t="s">
        <v>52</v>
      </c>
      <c r="E6" s="601"/>
      <c r="F6" s="600" t="s">
        <v>53</v>
      </c>
      <c r="G6" s="601"/>
      <c r="H6" s="596" t="s">
        <v>114</v>
      </c>
      <c r="I6" s="596"/>
      <c r="J6" s="596" t="s">
        <v>115</v>
      </c>
      <c r="K6" s="597"/>
      <c r="L6" s="7"/>
      <c r="M6" s="173"/>
      <c r="N6" s="173"/>
    </row>
    <row r="7" spans="1:14" x14ac:dyDescent="0.25">
      <c r="A7" s="593"/>
      <c r="B7" s="174" t="s">
        <v>15</v>
      </c>
      <c r="C7" s="174" t="s">
        <v>106</v>
      </c>
      <c r="D7" s="174" t="s">
        <v>15</v>
      </c>
      <c r="E7" s="174" t="s">
        <v>106</v>
      </c>
      <c r="F7" s="68" t="s">
        <v>287</v>
      </c>
      <c r="G7" s="68" t="s">
        <v>107</v>
      </c>
      <c r="H7" s="174" t="s">
        <v>15</v>
      </c>
      <c r="I7" s="174" t="s">
        <v>106</v>
      </c>
      <c r="J7" s="68" t="s">
        <v>287</v>
      </c>
      <c r="K7" s="165" t="s">
        <v>107</v>
      </c>
      <c r="L7" s="7"/>
      <c r="M7" s="173"/>
      <c r="N7" s="173"/>
    </row>
    <row r="8" spans="1:14" x14ac:dyDescent="0.25">
      <c r="A8" s="175" t="s">
        <v>40</v>
      </c>
      <c r="B8" s="244">
        <v>13563.5</v>
      </c>
      <c r="C8" s="255">
        <f>B8*7.5</f>
        <v>101726.25</v>
      </c>
      <c r="D8" s="254">
        <v>11675.15</v>
      </c>
      <c r="E8" s="254">
        <v>87699.36000000003</v>
      </c>
      <c r="F8" s="256">
        <v>4262.12</v>
      </c>
      <c r="G8" s="256">
        <f>F8*35.3146667</f>
        <v>150515.34723540398</v>
      </c>
      <c r="H8" s="256">
        <v>12033</v>
      </c>
      <c r="I8" s="256">
        <f>H8*6.2893/0.82</f>
        <v>92291.642560975612</v>
      </c>
      <c r="J8" s="276">
        <v>3753.9</v>
      </c>
      <c r="K8" s="257">
        <f>J8*35.3146667</f>
        <v>132567.72732512999</v>
      </c>
      <c r="L8" s="7"/>
      <c r="M8" s="173"/>
      <c r="N8" s="173"/>
    </row>
    <row r="9" spans="1:14" x14ac:dyDescent="0.25">
      <c r="A9" s="175" t="s">
        <v>41</v>
      </c>
      <c r="B9" s="244">
        <v>11569.8</v>
      </c>
      <c r="C9" s="255">
        <f t="shared" ref="C9:C15" si="0">B9*7.5</f>
        <v>86773.5</v>
      </c>
      <c r="D9" s="254">
        <v>10670.38</v>
      </c>
      <c r="E9" s="254">
        <v>80316.27</v>
      </c>
      <c r="F9" s="258">
        <v>3828.6</v>
      </c>
      <c r="G9" s="256">
        <f>F9*35.3146667</f>
        <v>135205.73292761997</v>
      </c>
      <c r="H9" s="258">
        <v>11501.75</v>
      </c>
      <c r="I9" s="256">
        <f>H9*6.2893/0.82</f>
        <v>88217.01984756098</v>
      </c>
      <c r="J9" s="276">
        <v>3342.39</v>
      </c>
      <c r="K9" s="257">
        <f>J9*35.3146667</f>
        <v>118035.38883141299</v>
      </c>
      <c r="L9" s="7"/>
      <c r="M9" s="173"/>
      <c r="N9" s="173"/>
    </row>
    <row r="10" spans="1:14" x14ac:dyDescent="0.25">
      <c r="A10" s="175" t="s">
        <v>42</v>
      </c>
      <c r="B10" s="244">
        <v>13078.6</v>
      </c>
      <c r="C10" s="255">
        <f t="shared" si="0"/>
        <v>98089.5</v>
      </c>
      <c r="D10" s="254">
        <v>10531.51</v>
      </c>
      <c r="E10" s="254">
        <v>79267.31</v>
      </c>
      <c r="F10" s="258">
        <v>3768.1</v>
      </c>
      <c r="G10" s="256">
        <f>F10*35.3146667</f>
        <v>133069.19559226997</v>
      </c>
      <c r="H10" s="258">
        <v>10028</v>
      </c>
      <c r="I10" s="256">
        <f>H10*6.2893/0.82</f>
        <v>76913.537073170737</v>
      </c>
      <c r="J10" s="277">
        <v>3372.11</v>
      </c>
      <c r="K10" s="257">
        <f>J10*35.3146667</f>
        <v>119084.94072573699</v>
      </c>
      <c r="L10" s="7"/>
      <c r="M10" s="173"/>
      <c r="N10" s="173"/>
    </row>
    <row r="11" spans="1:14" x14ac:dyDescent="0.25">
      <c r="A11" s="175" t="s">
        <v>43</v>
      </c>
      <c r="B11" s="244">
        <v>13173.4</v>
      </c>
      <c r="C11" s="255">
        <f t="shared" si="0"/>
        <v>98800.5</v>
      </c>
      <c r="D11" s="254">
        <v>10234.200000000001</v>
      </c>
      <c r="E11" s="254">
        <v>76952.929999999993</v>
      </c>
      <c r="F11" s="258">
        <v>3477.88</v>
      </c>
      <c r="G11" s="256">
        <f>F11*35.3146667</f>
        <v>122820.17302259599</v>
      </c>
      <c r="H11" s="258">
        <v>10028</v>
      </c>
      <c r="I11" s="256">
        <f>H11*6.2893/0.82</f>
        <v>76913.537073170737</v>
      </c>
      <c r="J11" s="277">
        <v>3085.19</v>
      </c>
      <c r="K11" s="257">
        <f>J11*35.3146667</f>
        <v>108952.456556173</v>
      </c>
      <c r="L11" s="7"/>
      <c r="M11" s="173"/>
      <c r="N11" s="173"/>
    </row>
    <row r="12" spans="1:14" x14ac:dyDescent="0.25">
      <c r="A12" s="175" t="s">
        <v>44</v>
      </c>
      <c r="B12" s="244">
        <v>11225.1</v>
      </c>
      <c r="C12" s="255">
        <f t="shared" si="0"/>
        <v>84188.25</v>
      </c>
      <c r="D12" s="177">
        <v>9253.99</v>
      </c>
      <c r="E12" s="177">
        <v>69676.91</v>
      </c>
      <c r="F12" s="180">
        <v>3709.93</v>
      </c>
      <c r="G12" s="178">
        <f t="shared" ref="G12:G19" si="1">F12*35.3146667</f>
        <v>131014.94143033097</v>
      </c>
      <c r="H12" s="180">
        <v>8522</v>
      </c>
      <c r="I12" s="178">
        <f t="shared" ref="I12:I19" si="2">H12*6.2893/0.82</f>
        <v>65362.700731707315</v>
      </c>
      <c r="J12" s="278">
        <v>2706.14</v>
      </c>
      <c r="K12" s="179">
        <f t="shared" ref="K12:K19" si="3">J12*35.3146667</f>
        <v>95566.432143537982</v>
      </c>
      <c r="L12" s="7"/>
      <c r="M12" s="173"/>
      <c r="N12" s="173"/>
    </row>
    <row r="13" spans="1:14" x14ac:dyDescent="0.25">
      <c r="A13" s="175" t="s">
        <v>45</v>
      </c>
      <c r="B13" s="244">
        <v>11577.3</v>
      </c>
      <c r="C13" s="255">
        <f t="shared" si="0"/>
        <v>86829.75</v>
      </c>
      <c r="D13" s="177">
        <v>9437.4599999999991</v>
      </c>
      <c r="E13" s="177">
        <v>70999.009999999995</v>
      </c>
      <c r="F13" s="181">
        <v>3635.59</v>
      </c>
      <c r="G13" s="178">
        <f t="shared" si="1"/>
        <v>128389.64910785299</v>
      </c>
      <c r="H13" s="180">
        <v>10028</v>
      </c>
      <c r="I13" s="178">
        <f t="shared" si="2"/>
        <v>76913.537073170737</v>
      </c>
      <c r="J13" s="278">
        <v>3098.21</v>
      </c>
      <c r="K13" s="179">
        <f t="shared" si="3"/>
        <v>109412.25351660699</v>
      </c>
      <c r="L13" s="7"/>
      <c r="M13" s="173"/>
      <c r="N13" s="173"/>
    </row>
    <row r="14" spans="1:14" x14ac:dyDescent="0.25">
      <c r="A14" s="175" t="s">
        <v>46</v>
      </c>
      <c r="B14" s="244">
        <v>12078.46</v>
      </c>
      <c r="C14" s="255">
        <f t="shared" si="0"/>
        <v>90588.45</v>
      </c>
      <c r="D14" s="182">
        <v>9731.76</v>
      </c>
      <c r="E14" s="182">
        <v>73336.19</v>
      </c>
      <c r="F14" s="183">
        <v>3509.98</v>
      </c>
      <c r="G14" s="178">
        <f t="shared" si="1"/>
        <v>123953.77382366599</v>
      </c>
      <c r="H14" s="183">
        <v>7219</v>
      </c>
      <c r="I14" s="178">
        <f t="shared" si="2"/>
        <v>55368.849634146347</v>
      </c>
      <c r="J14" s="285">
        <v>3245.62</v>
      </c>
      <c r="K14" s="179">
        <f t="shared" si="3"/>
        <v>114617.98853485398</v>
      </c>
      <c r="L14" s="7"/>
      <c r="M14" s="173"/>
      <c r="N14" s="173"/>
    </row>
    <row r="15" spans="1:14" x14ac:dyDescent="0.25">
      <c r="A15" s="175" t="s">
        <v>47</v>
      </c>
      <c r="B15" s="244">
        <v>11083.74</v>
      </c>
      <c r="C15" s="255">
        <f t="shared" si="0"/>
        <v>83128.05</v>
      </c>
      <c r="D15" s="182">
        <v>9057.92</v>
      </c>
      <c r="E15" s="182">
        <v>68407.259999999995</v>
      </c>
      <c r="F15" s="184">
        <v>3501.72</v>
      </c>
      <c r="G15" s="178">
        <f t="shared" si="1"/>
        <v>123662.07467672398</v>
      </c>
      <c r="H15" s="185">
        <v>5716</v>
      </c>
      <c r="I15" s="178">
        <f t="shared" si="2"/>
        <v>43841.022926829275</v>
      </c>
      <c r="J15" s="278">
        <v>3106.2</v>
      </c>
      <c r="K15" s="179">
        <f t="shared" si="3"/>
        <v>109694.41770353998</v>
      </c>
      <c r="L15" s="7"/>
      <c r="M15" s="173"/>
      <c r="N15" s="173"/>
    </row>
    <row r="16" spans="1:14" x14ac:dyDescent="0.25">
      <c r="A16" s="175" t="s">
        <v>48</v>
      </c>
      <c r="B16" s="244"/>
      <c r="C16" s="255"/>
      <c r="D16" s="182"/>
      <c r="E16" s="182"/>
      <c r="F16" s="184"/>
      <c r="G16" s="178">
        <f t="shared" si="1"/>
        <v>0</v>
      </c>
      <c r="H16" s="184"/>
      <c r="I16" s="178">
        <f t="shared" si="2"/>
        <v>0</v>
      </c>
      <c r="J16" s="279"/>
      <c r="K16" s="179">
        <f t="shared" si="3"/>
        <v>0</v>
      </c>
      <c r="L16" s="7"/>
      <c r="M16" s="173"/>
      <c r="N16" s="173"/>
    </row>
    <row r="17" spans="1:14" x14ac:dyDescent="0.25">
      <c r="A17" s="175" t="s">
        <v>49</v>
      </c>
      <c r="B17" s="244"/>
      <c r="C17" s="255"/>
      <c r="D17" s="178"/>
      <c r="E17" s="178"/>
      <c r="F17" s="184"/>
      <c r="G17" s="178">
        <f t="shared" si="1"/>
        <v>0</v>
      </c>
      <c r="H17" s="184"/>
      <c r="I17" s="178">
        <f t="shared" si="2"/>
        <v>0</v>
      </c>
      <c r="J17" s="279"/>
      <c r="K17" s="179">
        <f t="shared" si="3"/>
        <v>0</v>
      </c>
      <c r="L17" s="7"/>
      <c r="M17" s="173"/>
      <c r="N17" s="173"/>
    </row>
    <row r="18" spans="1:14" x14ac:dyDescent="0.25">
      <c r="A18" s="175" t="s">
        <v>50</v>
      </c>
      <c r="B18" s="244"/>
      <c r="C18" s="255"/>
      <c r="D18" s="178"/>
      <c r="E18" s="178"/>
      <c r="F18" s="184"/>
      <c r="G18" s="178">
        <f t="shared" si="1"/>
        <v>0</v>
      </c>
      <c r="H18" s="184"/>
      <c r="I18" s="178">
        <f t="shared" si="2"/>
        <v>0</v>
      </c>
      <c r="J18" s="279"/>
      <c r="K18" s="179">
        <f t="shared" si="3"/>
        <v>0</v>
      </c>
      <c r="L18" s="7"/>
      <c r="M18" s="173"/>
      <c r="N18" s="173"/>
    </row>
    <row r="19" spans="1:14" ht="15.75" thickBot="1" x14ac:dyDescent="0.3">
      <c r="A19" s="176" t="s">
        <v>51</v>
      </c>
      <c r="B19" s="280"/>
      <c r="C19" s="264"/>
      <c r="D19" s="186"/>
      <c r="E19" s="186"/>
      <c r="F19" s="186"/>
      <c r="G19" s="187">
        <f t="shared" si="1"/>
        <v>0</v>
      </c>
      <c r="H19" s="186"/>
      <c r="I19" s="187">
        <f t="shared" si="2"/>
        <v>0</v>
      </c>
      <c r="J19" s="281"/>
      <c r="K19" s="188">
        <f t="shared" si="3"/>
        <v>0</v>
      </c>
      <c r="L19" s="7"/>
      <c r="M19" s="173"/>
      <c r="N19" s="173"/>
    </row>
    <row r="20" spans="1:14" x14ac:dyDescent="0.25">
      <c r="L20" s="7"/>
      <c r="M20" s="173"/>
      <c r="N20" s="173"/>
    </row>
    <row r="21" spans="1:14" x14ac:dyDescent="0.25">
      <c r="L21" s="7"/>
      <c r="M21" s="173"/>
      <c r="N21" s="173"/>
    </row>
    <row r="22" spans="1:14" x14ac:dyDescent="0.25">
      <c r="L22" s="7"/>
      <c r="M22" s="173"/>
      <c r="N22" s="173"/>
    </row>
    <row r="23" spans="1:14" x14ac:dyDescent="0.25">
      <c r="L23" s="7"/>
      <c r="M23" s="173"/>
      <c r="N23" s="173"/>
    </row>
    <row r="24" spans="1:14" x14ac:dyDescent="0.25">
      <c r="L24" s="7"/>
      <c r="M24" s="173"/>
      <c r="N24" s="173"/>
    </row>
    <row r="25" spans="1:14" x14ac:dyDescent="0.25">
      <c r="L25" s="7"/>
      <c r="M25" s="173"/>
      <c r="N25" s="173"/>
    </row>
    <row r="26" spans="1:14" x14ac:dyDescent="0.25">
      <c r="L26" s="7"/>
      <c r="M26" s="173"/>
      <c r="N26" s="173"/>
    </row>
  </sheetData>
  <mergeCells count="8">
    <mergeCell ref="H6:I6"/>
    <mergeCell ref="J6:K6"/>
    <mergeCell ref="A2:A4"/>
    <mergeCell ref="B4:D4"/>
    <mergeCell ref="A6:A7"/>
    <mergeCell ref="B6:C6"/>
    <mergeCell ref="D6:E6"/>
    <mergeCell ref="F6:G6"/>
  </mergeCells>
  <pageMargins left="0.15748031496062992" right="0.15748031496062992" top="0.27559055118110237" bottom="0.74803149606299213" header="0.15748031496062992" footer="0.31496062992125984"/>
  <pageSetup paperSize="9" scale="58" orientation="portrait" r:id="rId1"/>
  <colBreaks count="1" manualBreakCount="1">
    <brk id="11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Main data</vt:lpstr>
      <vt:lpstr>General data </vt:lpstr>
      <vt:lpstr>Workover</vt:lpstr>
      <vt:lpstr>_</vt:lpstr>
      <vt:lpstr>Fluid density calculator</vt:lpstr>
      <vt:lpstr>Transport</vt:lpstr>
      <vt:lpstr>ESP</vt:lpstr>
      <vt:lpstr>Graphs</vt:lpstr>
      <vt:lpstr>Months</vt:lpstr>
      <vt:lpstr>'General data '!Область_печати</vt:lpstr>
      <vt:lpstr>Graphs!Область_печати</vt:lpstr>
      <vt:lpstr>'Main data'!Область_печати</vt:lpstr>
      <vt:lpstr>Months!Область_печати</vt:lpstr>
      <vt:lpstr>Transport!Область_печати</vt:lpstr>
      <vt:lpstr>Workover!Область_печати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a_orakova</dc:creator>
  <cp:lastModifiedBy>Dispatcher Emir-Oil LLP</cp:lastModifiedBy>
  <cp:lastPrinted>2019-09-19T05:47:55Z</cp:lastPrinted>
  <dcterms:created xsi:type="dcterms:W3CDTF">2017-06-14T09:30:04Z</dcterms:created>
  <dcterms:modified xsi:type="dcterms:W3CDTF">2019-09-30T01:38:59Z</dcterms:modified>
</cp:coreProperties>
</file>