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Users\olegk\Documents\unifloc_vba\excercises\excercises\"/>
    </mc:Choice>
  </mc:AlternateContent>
  <xr:revisionPtr revIDLastSave="0" documentId="13_ncr:1_{945758B4-49F3-4B1A-A5C5-FF5AF335694A}" xr6:coauthVersionLast="43" xr6:coauthVersionMax="43" xr10:uidLastSave="{00000000-0000-0000-0000-000000000000}"/>
  <bookViews>
    <workbookView xWindow="-120" yWindow="-120" windowWidth="24240" windowHeight="13140" tabRatio="591" xr2:uid="{00000000-000D-0000-FFFF-FFFF00000000}"/>
  </bookViews>
  <sheets>
    <sheet name="Choke" sheetId="118" r:id="rId1"/>
  </sheets>
  <externalReferences>
    <externalReference r:id="rId2"/>
  </externalReferences>
  <definedNames>
    <definedName name="Bob_" localSheetId="0">Choke!$C$14</definedName>
    <definedName name="calibr_for_fsolve">Choke!$P$26</definedName>
    <definedName name="d_choke">Choke!$C$21</definedName>
    <definedName name="d_pipe">Choke!$C$20</definedName>
    <definedName name="fw_" localSheetId="0">Choke!$C$17</definedName>
    <definedName name="gamma_gas_" localSheetId="0">Choke!$C$9</definedName>
    <definedName name="gamma_oil_" localSheetId="0">Choke!$C$7</definedName>
    <definedName name="gamma_wat_" localSheetId="0">Choke!$C$8</definedName>
    <definedName name="muob_" localSheetId="0">Choke!$C$15</definedName>
    <definedName name="p_other_atma">Choke!$P$25</definedName>
    <definedName name="Pb_" localSheetId="0">Choke!$C$12</definedName>
    <definedName name="Pbuf_">Choke!$C$28</definedName>
    <definedName name="Plin_">Choke!$C$32</definedName>
    <definedName name="PVTstr_">Choke!$C$23</definedName>
    <definedName name="Qliq_">Choke!$C$27</definedName>
    <definedName name="Rp_" localSheetId="0">Choke!$C$11</definedName>
    <definedName name="Rsb_" localSheetId="0">Choke!$C$10</definedName>
    <definedName name="T_choke">Choke!$C$18</definedName>
    <definedName name="T_upchoke">Choke!$C$18</definedName>
    <definedName name="Tres_" localSheetId="0">Choke!$C$13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8" i="118" l="1"/>
  <c r="G1" i="118"/>
  <c r="C23" i="118"/>
  <c r="P25" i="118" s="1"/>
  <c r="K55" i="118"/>
  <c r="G55" i="118"/>
  <c r="C55" i="118"/>
  <c r="K54" i="118"/>
  <c r="G54" i="118"/>
  <c r="C54" i="118"/>
  <c r="K53" i="118"/>
  <c r="G53" i="118"/>
  <c r="C53" i="118"/>
  <c r="G52" i="118"/>
  <c r="C51" i="118"/>
  <c r="C50" i="118"/>
  <c r="I53" i="118"/>
  <c r="I51" i="118"/>
  <c r="C37" i="118" a="1"/>
  <c r="N55" i="118"/>
  <c r="J55" i="118"/>
  <c r="F55" i="118"/>
  <c r="N54" i="118"/>
  <c r="J54" i="118"/>
  <c r="F54" i="118"/>
  <c r="N53" i="118"/>
  <c r="J53" i="118"/>
  <c r="F53" i="118"/>
  <c r="N52" i="118"/>
  <c r="J52" i="118"/>
  <c r="F52" i="118"/>
  <c r="N51" i="118"/>
  <c r="J51" i="118"/>
  <c r="F51" i="118"/>
  <c r="N50" i="118"/>
  <c r="J50" i="118"/>
  <c r="F50" i="118"/>
  <c r="U33" i="118" a="1"/>
  <c r="M55" i="118"/>
  <c r="I55" i="118"/>
  <c r="E55" i="118"/>
  <c r="I54" i="118"/>
  <c r="M53" i="118"/>
  <c r="M52" i="118"/>
  <c r="E52" i="118"/>
  <c r="E51" i="118"/>
  <c r="E50" i="118"/>
  <c r="I50" i="118"/>
  <c r="M50" i="118"/>
  <c r="M51" i="118"/>
  <c r="I52" i="118"/>
  <c r="E53" i="118"/>
  <c r="E54" i="118"/>
  <c r="M54" i="118"/>
  <c r="G50" i="118"/>
  <c r="K50" i="118"/>
  <c r="G51" i="118"/>
  <c r="K51" i="118"/>
  <c r="C52" i="118"/>
  <c r="K52" i="118"/>
  <c r="D50" i="118"/>
  <c r="H50" i="118"/>
  <c r="L50" i="118"/>
  <c r="D51" i="118"/>
  <c r="H51" i="118"/>
  <c r="L51" i="118"/>
  <c r="D52" i="118"/>
  <c r="H52" i="118"/>
  <c r="L52" i="118"/>
  <c r="D53" i="118"/>
  <c r="H53" i="118"/>
  <c r="L53" i="118"/>
  <c r="D54" i="118"/>
  <c r="H54" i="118"/>
  <c r="L54" i="118"/>
  <c r="D55" i="118"/>
  <c r="H55" i="118"/>
  <c r="L55" i="118"/>
  <c r="O41" i="118" a="1"/>
  <c r="O29" i="118" a="1"/>
  <c r="U29" i="118" a="1"/>
  <c r="O33" i="118" a="1"/>
  <c r="O33" i="118" l="1"/>
  <c r="P34" i="118"/>
  <c r="S34" i="118"/>
  <c r="Q34" i="118"/>
  <c r="Q33" i="118"/>
  <c r="O34" i="118"/>
  <c r="R34" i="118"/>
  <c r="S33" i="118"/>
  <c r="R33" i="118"/>
  <c r="P33" i="118"/>
  <c r="W29" i="118"/>
  <c r="V30" i="118"/>
  <c r="W30" i="118"/>
  <c r="U29" i="118"/>
  <c r="V29" i="118"/>
  <c r="U30" i="118"/>
  <c r="O29" i="118"/>
  <c r="O30" i="118"/>
  <c r="P29" i="118"/>
  <c r="S29" i="118"/>
  <c r="Q30" i="118"/>
  <c r="Q29" i="118"/>
  <c r="R29" i="118"/>
  <c r="S30" i="118"/>
  <c r="P30" i="118"/>
  <c r="R30" i="118"/>
  <c r="P41" i="118"/>
  <c r="S41" i="118"/>
  <c r="Q42" i="118"/>
  <c r="P42" i="118"/>
  <c r="O41" i="118"/>
  <c r="R42" i="118"/>
  <c r="Q41" i="118"/>
  <c r="S42" i="118"/>
  <c r="R41" i="118"/>
  <c r="O42" i="118"/>
  <c r="W33" i="118"/>
  <c r="U33" i="118"/>
  <c r="W34" i="118"/>
  <c r="V33" i="118"/>
  <c r="U34" i="118"/>
  <c r="V34" i="118"/>
  <c r="D37" i="118"/>
  <c r="G37" i="118"/>
  <c r="C37" i="118"/>
  <c r="E38" i="118"/>
  <c r="D38" i="118"/>
  <c r="G38" i="118"/>
  <c r="F37" i="118"/>
  <c r="E37" i="118"/>
  <c r="C38" i="118"/>
  <c r="F38" i="118"/>
  <c r="E25" i="118"/>
  <c r="E13" i="118"/>
  <c r="E12" i="118"/>
  <c r="E11" i="118"/>
  <c r="E10" i="118"/>
  <c r="E9" i="118"/>
  <c r="E7" i="118"/>
  <c r="C41" i="118" a="1"/>
  <c r="C33" i="118" a="1"/>
  <c r="K29" i="118" a="1"/>
  <c r="C29" i="118" a="1"/>
  <c r="K33" i="118" a="1"/>
  <c r="K33" i="118" l="1"/>
  <c r="AE33" i="118" s="1"/>
  <c r="K34" i="118"/>
  <c r="L33" i="118"/>
  <c r="AF33" i="118" s="1"/>
  <c r="L34" i="118"/>
  <c r="M33" i="118"/>
  <c r="M34" i="118"/>
  <c r="C29" i="118"/>
  <c r="Y29" i="118" s="1"/>
  <c r="E30" i="118"/>
  <c r="G30" i="118"/>
  <c r="F30" i="118"/>
  <c r="D30" i="118"/>
  <c r="C30" i="118"/>
  <c r="G29" i="118"/>
  <c r="AC29" i="118" s="1"/>
  <c r="F29" i="118"/>
  <c r="E29" i="118"/>
  <c r="AA29" i="118" s="1"/>
  <c r="D29" i="118"/>
  <c r="Z29" i="118" s="1"/>
  <c r="K29" i="118"/>
  <c r="AE29" i="118" s="1"/>
  <c r="L30" i="118"/>
  <c r="L29" i="118"/>
  <c r="AF29" i="118" s="1"/>
  <c r="M30" i="118"/>
  <c r="M29" i="118"/>
  <c r="AG29" i="118" s="1"/>
  <c r="K30" i="118"/>
  <c r="D33" i="118"/>
  <c r="Z33" i="118" s="1"/>
  <c r="C33" i="118"/>
  <c r="Y33" i="118" s="1"/>
  <c r="F34" i="118"/>
  <c r="F33" i="118"/>
  <c r="C34" i="118"/>
  <c r="E33" i="118"/>
  <c r="AA33" i="118" s="1"/>
  <c r="E34" i="118"/>
  <c r="D34" i="118"/>
  <c r="G34" i="118"/>
  <c r="G33" i="118"/>
  <c r="AC33" i="118" s="1"/>
  <c r="C41" i="118"/>
  <c r="E42" i="118"/>
  <c r="D42" i="118"/>
  <c r="C42" i="118"/>
  <c r="G41" i="118"/>
  <c r="AC41" i="118" s="1"/>
  <c r="E41" i="118"/>
  <c r="AA41" i="118" s="1"/>
  <c r="F41" i="118"/>
  <c r="AB41" i="118" s="1"/>
  <c r="F42" i="118"/>
  <c r="D41" i="118"/>
  <c r="G42" i="118"/>
  <c r="AB33" i="118"/>
  <c r="Y41" i="118"/>
  <c r="Z41" i="118"/>
  <c r="AG33" i="118"/>
  <c r="AB29" i="118"/>
  <c r="R25" i="118"/>
</calcChain>
</file>

<file path=xl/sharedStrings.xml><?xml version="1.0" encoding="utf-8"?>
<sst xmlns="http://schemas.openxmlformats.org/spreadsheetml/2006/main" count="69" uniqueCount="56">
  <si>
    <t>Физико - химические свойства флюида   PVT</t>
  </si>
  <si>
    <t>м3/м3</t>
  </si>
  <si>
    <t>С</t>
  </si>
  <si>
    <t>%</t>
  </si>
  <si>
    <t>сП</t>
  </si>
  <si>
    <t>атмa</t>
  </si>
  <si>
    <t>МПа</t>
  </si>
  <si>
    <t>Ф</t>
  </si>
  <si>
    <t>Дебит жидкости</t>
  </si>
  <si>
    <t>Параметры потока флюида</t>
  </si>
  <si>
    <t xml:space="preserve">Упражнение </t>
  </si>
  <si>
    <t xml:space="preserve">графики для расчета потока через ограничение - штуцер </t>
  </si>
  <si>
    <t>Конструкция</t>
  </si>
  <si>
    <t>мм</t>
  </si>
  <si>
    <t>Диаметр трубы</t>
  </si>
  <si>
    <t>Диаметр штуцера</t>
  </si>
  <si>
    <t xml:space="preserve">Температура на входе </t>
  </si>
  <si>
    <t>Рвых</t>
  </si>
  <si>
    <t>Расчет характеристики штуцера</t>
  </si>
  <si>
    <t>Упражнения по работе с макросами Unifloc VBA</t>
  </si>
  <si>
    <t>версия</t>
  </si>
  <si>
    <t>PVT строка</t>
  </si>
  <si>
    <t>м3/сут</t>
  </si>
  <si>
    <t>Буферное давление</t>
  </si>
  <si>
    <t>атм</t>
  </si>
  <si>
    <t>Рассчитать линейное давление</t>
  </si>
  <si>
    <t>Линейное давление</t>
  </si>
  <si>
    <t>Рассчитать буферное давление</t>
  </si>
  <si>
    <t>Перепад давлений</t>
  </si>
  <si>
    <t>Рассчитать подстроечный параметр</t>
  </si>
  <si>
    <t>Рассчитать дебит через штуцер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</si>
  <si>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</si>
  <si>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</si>
  <si>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</si>
  <si>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</si>
  <si>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</si>
  <si>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</si>
  <si>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</si>
  <si>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</si>
  <si>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</si>
  <si>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</si>
  <si>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color theme="1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</si>
  <si>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</si>
  <si>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</si>
  <si>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calibr fsolve</t>
  </si>
  <si>
    <t>calibr by MF_calibr_choke_fr</t>
  </si>
  <si>
    <t>Перепад давления</t>
  </si>
  <si>
    <t>Относительные ошибки</t>
  </si>
  <si>
    <t xml:space="preserve">разница в </t>
  </si>
  <si>
    <t>Калибровка аналитически</t>
  </si>
  <si>
    <t>Калибровка численно</t>
  </si>
  <si>
    <t>Сравнение соответствующих функций, использующих разные калибровки</t>
  </si>
  <si>
    <t>c_calibr_fr_min</t>
  </si>
  <si>
    <t>c_calibr_fr_max</t>
  </si>
  <si>
    <t>решения зависят от граничный уловий</t>
  </si>
  <si>
    <t>c_calibr_fr_max 10 и 30 приводят к разным результатам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</si>
</sst>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0.0000%"/>
  </numFmts>
  <fonts count="17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8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sz val="10"/>
      <color rgb="FFFF0000"/>
      <name val="Arial Cyr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43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/>
    <xf numFmtId="2" fontId="0" fillId="3" borderId="2" xfId="0" applyNumberForma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9" fillId="4" borderId="2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0" fontId="0" fillId="0" borderId="0" xfId="0" applyFill="1" applyBorder="1"/>
    <xf numFmtId="1" fontId="0" fillId="2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0" fillId="6" borderId="2" xfId="0" applyFill="1" applyBorder="1"/>
    <xf numFmtId="166" fontId="0" fillId="6" borderId="2" xfId="9" applyNumberFormat="1" applyFont="1" applyFill="1" applyBorder="1"/>
    <xf numFmtId="166" fontId="0" fillId="0" borderId="0" xfId="9" applyNumberFormat="1" applyFont="1"/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3" borderId="4" xfId="0" applyFill="1" applyBorder="1"/>
    <xf numFmtId="2" fontId="0" fillId="3" borderId="3" xfId="0" applyNumberFormat="1" applyFill="1" applyBorder="1" applyAlignment="1">
      <alignment horizontal="center"/>
    </xf>
    <xf numFmtId="10" fontId="0" fillId="6" borderId="3" xfId="9" applyNumberFormat="1" applyFont="1" applyFill="1" applyBorder="1"/>
    <xf numFmtId="0" fontId="0" fillId="0" borderId="2" xfId="0" applyBorder="1"/>
    <xf numFmtId="0" fontId="0" fillId="2" borderId="2" xfId="0" applyFill="1" applyBorder="1"/>
    <xf numFmtId="0" fontId="0" fillId="0" borderId="2" xfId="0" applyFill="1" applyBorder="1"/>
    <xf numFmtId="0" fontId="0" fillId="7" borderId="2" xfId="0" applyFill="1" applyBorder="1"/>
    <xf numFmtId="0" fontId="16" fillId="0" borderId="0" xfId="0" applyFont="1"/>
  </cellXfs>
  <cellStyles count="10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" xfId="9" builtinId="5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входе от дебита пр разных давлениях на выходе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Choke!$B$50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Choke!$C$49:$N$49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Choke!$C$50:$N$50</c:f>
              <c:numCache>
                <c:formatCode>0.00</c:formatCode>
                <c:ptCount val="12"/>
                <c:pt idx="0">
                  <c:v>1</c:v>
                </c:pt>
                <c:pt idx="1">
                  <c:v>1.009857177734375</c:v>
                </c:pt>
                <c:pt idx="2">
                  <c:v>2.3203125</c:v>
                </c:pt>
                <c:pt idx="3">
                  <c:v>4.625</c:v>
                </c:pt>
                <c:pt idx="4">
                  <c:v>6.90625</c:v>
                </c:pt>
                <c:pt idx="5">
                  <c:v>9.15625</c:v>
                </c:pt>
                <c:pt idx="6">
                  <c:v>11.375</c:v>
                </c:pt>
                <c:pt idx="7">
                  <c:v>22</c:v>
                </c:pt>
                <c:pt idx="8">
                  <c:v>31.9375</c:v>
                </c:pt>
                <c:pt idx="9">
                  <c:v>41.0625</c:v>
                </c:pt>
                <c:pt idx="10">
                  <c:v>57.125</c:v>
                </c:pt>
                <c:pt idx="11">
                  <c:v>70.25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C8-4F94-9DA2-93398BF73BD5}"/>
            </c:ext>
          </c:extLst>
        </c:ser>
        <c:ser>
          <c:idx val="0"/>
          <c:order val="1"/>
          <c:tx>
            <c:strRef>
              <c:f>Choke!$B$51</c:f>
              <c:strCache>
                <c:ptCount val="1"/>
                <c:pt idx="0">
                  <c:v>10</c:v>
                </c:pt>
              </c:strCache>
            </c:strRef>
          </c:tx>
          <c:xVal>
            <c:numRef>
              <c:f>Choke!$C$49:$O$49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Choke!$C$51:$O$51</c:f>
              <c:numCache>
                <c:formatCode>0.00</c:formatCode>
                <c:ptCount val="13"/>
                <c:pt idx="0">
                  <c:v>10</c:v>
                </c:pt>
                <c:pt idx="1">
                  <c:v>10.001020431518555</c:v>
                </c:pt>
                <c:pt idx="2">
                  <c:v>10.1025390625</c:v>
                </c:pt>
                <c:pt idx="3">
                  <c:v>10.4150390625</c:v>
                </c:pt>
                <c:pt idx="4">
                  <c:v>10.947265625</c:v>
                </c:pt>
                <c:pt idx="5">
                  <c:v>11.728515625</c:v>
                </c:pt>
                <c:pt idx="6">
                  <c:v>12.7734375</c:v>
                </c:pt>
                <c:pt idx="7">
                  <c:v>22.03125</c:v>
                </c:pt>
                <c:pt idx="8">
                  <c:v>31.9140625</c:v>
                </c:pt>
                <c:pt idx="9">
                  <c:v>41.0546875</c:v>
                </c:pt>
                <c:pt idx="10">
                  <c:v>57.1875</c:v>
                </c:pt>
                <c:pt idx="11">
                  <c:v>70.234375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C8-4F94-9DA2-93398BF73BD5}"/>
            </c:ext>
          </c:extLst>
        </c:ser>
        <c:ser>
          <c:idx val="2"/>
          <c:order val="2"/>
          <c:tx>
            <c:strRef>
              <c:f>Choke!$B$52</c:f>
              <c:strCache>
                <c:ptCount val="1"/>
                <c:pt idx="0">
                  <c:v>20</c:v>
                </c:pt>
              </c:strCache>
            </c:strRef>
          </c:tx>
          <c:xVal>
            <c:numRef>
              <c:f>Choke!$C$49:$O$49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Choke!$C$52:$O$52</c:f>
              <c:numCache>
                <c:formatCode>0.00</c:formatCode>
                <c:ptCount val="13"/>
                <c:pt idx="0">
                  <c:v>20</c:v>
                </c:pt>
                <c:pt idx="1">
                  <c:v>20.000526905059814</c:v>
                </c:pt>
                <c:pt idx="2">
                  <c:v>20.05279541015625</c:v>
                </c:pt>
                <c:pt idx="3">
                  <c:v>20.211181640625</c:v>
                </c:pt>
                <c:pt idx="4">
                  <c:v>20.47607421875</c:v>
                </c:pt>
                <c:pt idx="5">
                  <c:v>20.849609375</c:v>
                </c:pt>
                <c:pt idx="6">
                  <c:v>21.3330078125</c:v>
                </c:pt>
                <c:pt idx="7">
                  <c:v>25.44921875</c:v>
                </c:pt>
                <c:pt idx="8">
                  <c:v>32.34375</c:v>
                </c:pt>
                <c:pt idx="9">
                  <c:v>41.0546875</c:v>
                </c:pt>
                <c:pt idx="10">
                  <c:v>57.1875</c:v>
                </c:pt>
                <c:pt idx="11">
                  <c:v>70.234375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C8-4F94-9DA2-93398BF73BD5}"/>
            </c:ext>
          </c:extLst>
        </c:ser>
        <c:ser>
          <c:idx val="1"/>
          <c:order val="3"/>
          <c:tx>
            <c:strRef>
              <c:f>Choke!$B$53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Choke!$C$49:$O$49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Choke!$C$53:$O$53</c:f>
              <c:numCache>
                <c:formatCode>0.00</c:formatCode>
                <c:ptCount val="13"/>
                <c:pt idx="0">
                  <c:v>30</c:v>
                </c:pt>
                <c:pt idx="1">
                  <c:v>30.000362992286682</c:v>
                </c:pt>
                <c:pt idx="2">
                  <c:v>30.036163330078125</c:v>
                </c:pt>
                <c:pt idx="3">
                  <c:v>30.1446533203125</c:v>
                </c:pt>
                <c:pt idx="4">
                  <c:v>30.325927734375</c:v>
                </c:pt>
                <c:pt idx="5">
                  <c:v>30.57861328125</c:v>
                </c:pt>
                <c:pt idx="6">
                  <c:v>30.904541015625</c:v>
                </c:pt>
                <c:pt idx="7">
                  <c:v>33.6181640625</c:v>
                </c:pt>
                <c:pt idx="8">
                  <c:v>38.02734375</c:v>
                </c:pt>
                <c:pt idx="9">
                  <c:v>43.88671875</c:v>
                </c:pt>
                <c:pt idx="10">
                  <c:v>57.5390625</c:v>
                </c:pt>
                <c:pt idx="11">
                  <c:v>70.3125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5"/>
          <c:order val="4"/>
          <c:tx>
            <c:strRef>
              <c:f>Choke!$B$54</c:f>
              <c:strCache>
                <c:ptCount val="1"/>
                <c:pt idx="0">
                  <c:v>40</c:v>
                </c:pt>
              </c:strCache>
            </c:strRef>
          </c:tx>
          <c:xVal>
            <c:numRef>
              <c:f>Choke!$C$49:$N$49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Choke!$C$54:$N$54</c:f>
              <c:numCache>
                <c:formatCode>0.00</c:formatCode>
                <c:ptCount val="12"/>
                <c:pt idx="0">
                  <c:v>40</c:v>
                </c:pt>
                <c:pt idx="1">
                  <c:v>40.000280141830444</c:v>
                </c:pt>
                <c:pt idx="2">
                  <c:v>40.027999877929688</c:v>
                </c:pt>
                <c:pt idx="3">
                  <c:v>40.1116943359375</c:v>
                </c:pt>
                <c:pt idx="4">
                  <c:v>40.25146484375</c:v>
                </c:pt>
                <c:pt idx="5">
                  <c:v>40.44677734375</c:v>
                </c:pt>
                <c:pt idx="6">
                  <c:v>40.6982421875</c:v>
                </c:pt>
                <c:pt idx="7">
                  <c:v>42.763671875</c:v>
                </c:pt>
                <c:pt idx="8">
                  <c:v>46.1328125</c:v>
                </c:pt>
                <c:pt idx="9">
                  <c:v>50.5859375</c:v>
                </c:pt>
                <c:pt idx="10">
                  <c:v>61.5625</c:v>
                </c:pt>
                <c:pt idx="11">
                  <c:v>73.125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C8-4F94-9DA2-93398BF73BD5}"/>
            </c:ext>
          </c:extLst>
        </c:ser>
        <c:ser>
          <c:idx val="3"/>
          <c:order val="5"/>
          <c:tx>
            <c:strRef>
              <c:f>Choke!$B$55</c:f>
              <c:strCache>
                <c:ptCount val="1"/>
                <c:pt idx="0">
                  <c:v>50</c:v>
                </c:pt>
              </c:strCache>
            </c:strRef>
          </c:tx>
          <c:xVal>
            <c:numRef>
              <c:f>Choke!$C$49:$N$49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Choke!$C$55:$N$55</c:f>
              <c:numCache>
                <c:formatCode>0.00</c:formatCode>
                <c:ptCount val="12"/>
                <c:pt idx="0">
                  <c:v>50</c:v>
                </c:pt>
                <c:pt idx="1">
                  <c:v>50.000230967998505</c:v>
                </c:pt>
                <c:pt idx="2">
                  <c:v>50.023078918457031</c:v>
                </c:pt>
                <c:pt idx="3">
                  <c:v>50.092315673828125</c:v>
                </c:pt>
                <c:pt idx="4">
                  <c:v>50.20751953125</c:v>
                </c:pt>
                <c:pt idx="5">
                  <c:v>50.36773681640625</c:v>
                </c:pt>
                <c:pt idx="6">
                  <c:v>50.57373046875</c:v>
                </c:pt>
                <c:pt idx="7">
                  <c:v>52.276611328125</c:v>
                </c:pt>
                <c:pt idx="8">
                  <c:v>55.029296875</c:v>
                </c:pt>
                <c:pt idx="9">
                  <c:v>58.69140625</c:v>
                </c:pt>
                <c:pt idx="10">
                  <c:v>68.017578125</c:v>
                </c:pt>
                <c:pt idx="11">
                  <c:v>78.3203125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C8-4F94-9DA2-93398BF73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39136"/>
        <c:axId val="374139712"/>
      </c:scatterChart>
      <c:valAx>
        <c:axId val="37413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712"/>
        <c:crosses val="autoZero"/>
        <c:crossBetween val="midCat"/>
      </c:valAx>
      <c:valAx>
        <c:axId val="3741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en-US"/>
                  <a:t>,</a:t>
                </a:r>
                <a:r>
                  <a:rPr lang="ru-RU"/>
                  <a:t> на входе</a:t>
                </a:r>
                <a:r>
                  <a:rPr lang="en-US" baseline="0"/>
                  <a:t>  </a:t>
                </a:r>
                <a:r>
                  <a:rPr lang="ru-RU" baseline="0"/>
                  <a:t>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67233</xdr:colOff>
      <xdr:row>56</xdr:row>
      <xdr:rowOff>123265</xdr:rowOff>
    </xdr:from>
    <xdr:to>
      <xdr:col>10</xdr:col>
      <xdr:colOff>560293</xdr:colOff>
      <xdr:row>88</xdr:row>
      <xdr:rowOff>44822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C6FECB26-41C3-4C03-BBA5-31D7FB0624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493058</xdr:colOff>
      <xdr:row>5</xdr:row>
      <xdr:rowOff>56029</xdr:rowOff>
    </xdr:from>
    <xdr:to>
      <xdr:col>19</xdr:col>
      <xdr:colOff>452047</xdr:colOff>
      <xdr:row>17</xdr:row>
      <xdr:rowOff>103333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2D0F3DE-AEA2-491D-B075-89716985388D}"/>
            </a:ext>
          </a:extLst>
        </xdr:cNvPr>
        <xdr:cNvSpPr txBox="1"/>
      </xdr:nvSpPr>
      <xdr:spPr>
        <a:xfrm>
          <a:off x="6869205" y="840441"/>
          <a:ext cx="7847930" cy="27591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Какие параметры описывают гидравлический элемент штуцер? какие надо задать, а какие можно рассчитать?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давления на выходе из штуцера от дебита при различных диаметрах и давлениях на входе</a:t>
          </a:r>
          <a:endParaRPr lang="en-US" sz="1100" baseline="0"/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/>
            <a:t>Постройте зависимость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давления на входе в штуцер от дебита. Для всех ли значений дебита можно построить такую зависимость?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>
              <a:effectLst/>
            </a:rPr>
            <a:t>Постройте описанные выше</a:t>
          </a:r>
          <a:r>
            <a:rPr lang="ru-RU" sz="1100" baseline="0">
              <a:effectLst/>
            </a:rPr>
            <a:t> зависимости от газового фактора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>
              <a:effectLst/>
            </a:rPr>
            <a:t>Настройте модель штуцера по известному дебиту и перепаду давления. Как изменится дебит в этом случае при уменьшении диаметра штуцера</a:t>
          </a:r>
          <a:endParaRPr lang="ru-RU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gk/Documents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Choke_calibr_by_MF_p_choke_atma"/>
      <definedName name="getUFVersion"/>
      <definedName name="MF_calibr_choke_fr"/>
      <definedName name="MF_dp_choke_atm"/>
      <definedName name="MF_p_choke_atma"/>
      <definedName name="MF_qliq_choke_sm3day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Choke">
    <outlinePr summaryBelow="0"/>
  </sheetPr>
  <dimension ref="A1:AG75"/>
  <sheetViews>
    <sheetView tabSelected="1" topLeftCell="A43" zoomScale="85" zoomScaleNormal="85" workbookViewId="0">
      <selection activeCell="Q33" sqref="Q33"/>
    </sheetView>
  </sheetViews>
  <sheetFormatPr defaultRowHeight="12.75" outlineLevelRow="1" x14ac:dyDescent="0.2"/>
  <cols>
    <col min="2" max="2" width="33" customWidth="1"/>
    <col min="3" max="3" width="12.28515625" customWidth="1"/>
    <col min="4" max="4" width="25.140625" bestFit="1" customWidth="1"/>
    <col min="5" max="5" width="11.28515625" customWidth="1"/>
    <col min="6" max="6" width="9.85546875" customWidth="1"/>
    <col min="7" max="7" width="10.28515625" customWidth="1"/>
    <col min="8" max="8" width="12.28515625" customWidth="1"/>
    <col min="9" max="9" width="10.7109375" bestFit="1" customWidth="1"/>
    <col min="10" max="10" width="11.28515625" customWidth="1"/>
    <col min="11" max="11" width="17.28515625" bestFit="1" customWidth="1"/>
    <col min="12" max="12" width="10.140625" customWidth="1"/>
    <col min="13" max="13" width="10.7109375" bestFit="1" customWidth="1"/>
    <col min="14" max="14" width="29.7109375" bestFit="1" customWidth="1"/>
    <col min="15" max="15" width="17.28515625" bestFit="1" customWidth="1"/>
    <col min="16" max="16" width="12.28515625" bestFit="1" customWidth="1"/>
    <col min="17" max="17" width="10.7109375" bestFit="1" customWidth="1"/>
    <col min="22" max="32" width="9.140625" customWidth="1"/>
  </cols>
  <sheetData>
    <row r="1" spans="1:7" x14ac:dyDescent="0.2">
      <c r="A1" s="1" t="s">
        <v>19</v>
      </c>
      <c r="F1" t="s">
        <v>20</v>
      </c>
      <c r="G1" t="str">
        <f>[1]!getUFVersion()</f>
        <v>7.8</v>
      </c>
    </row>
    <row r="2" spans="1:7" x14ac:dyDescent="0.2">
      <c r="A2" t="s">
        <v>18</v>
      </c>
    </row>
    <row r="6" spans="1:7" x14ac:dyDescent="0.2">
      <c r="A6" s="1" t="s">
        <v>0</v>
      </c>
    </row>
    <row r="7" spans="1:7" ht="18.75" outlineLevel="1" x14ac:dyDescent="0.35">
      <c r="B7" s="9" t="s">
        <v>31</v>
      </c>
      <c r="C7" s="2">
        <v>0.87</v>
      </c>
      <c r="D7" s="17"/>
      <c r="E7" s="13">
        <f>gamma_oil_*1000</f>
        <v>870</v>
      </c>
      <c r="F7" s="15" t="s">
        <v>40</v>
      </c>
    </row>
    <row r="8" spans="1:7" ht="18.75" outlineLevel="1" x14ac:dyDescent="0.35">
      <c r="B8" s="10" t="s">
        <v>32</v>
      </c>
      <c r="C8" s="2">
        <v>1</v>
      </c>
      <c r="D8" s="17"/>
      <c r="E8" s="13">
        <f>gamma_wat_*1000</f>
        <v>1000</v>
      </c>
      <c r="F8" s="15" t="s">
        <v>40</v>
      </c>
    </row>
    <row r="9" spans="1:7" ht="18.75" outlineLevel="1" x14ac:dyDescent="0.35">
      <c r="B9" s="10" t="s">
        <v>33</v>
      </c>
      <c r="C9" s="2">
        <v>0.8</v>
      </c>
      <c r="D9" s="17"/>
      <c r="E9" s="13">
        <f>gamma_gas_*1.22</f>
        <v>0.97599999999999998</v>
      </c>
      <c r="F9" s="15" t="s">
        <v>40</v>
      </c>
    </row>
    <row r="10" spans="1:7" ht="18.75" outlineLevel="1" x14ac:dyDescent="0.35">
      <c r="B10" s="11" t="s">
        <v>34</v>
      </c>
      <c r="C10" s="2">
        <v>80</v>
      </c>
      <c r="D10" s="10" t="s">
        <v>43</v>
      </c>
      <c r="E10" s="14">
        <f>Rsb_/gamma_oil_</f>
        <v>91.954022988505741</v>
      </c>
      <c r="F10" s="15" t="s">
        <v>41</v>
      </c>
    </row>
    <row r="11" spans="1:7" ht="18.75" outlineLevel="1" x14ac:dyDescent="0.35">
      <c r="B11" s="11" t="s">
        <v>35</v>
      </c>
      <c r="C11" s="2">
        <v>80</v>
      </c>
      <c r="D11" s="10" t="s">
        <v>43</v>
      </c>
      <c r="E11" s="14">
        <f>Rsb_/gamma_oil_</f>
        <v>91.954022988505741</v>
      </c>
      <c r="F11" s="15" t="s">
        <v>41</v>
      </c>
    </row>
    <row r="12" spans="1:7" ht="18" outlineLevel="1" x14ac:dyDescent="0.35">
      <c r="B12" s="10" t="s">
        <v>36</v>
      </c>
      <c r="C12" s="2">
        <v>120</v>
      </c>
      <c r="D12" s="17" t="s">
        <v>5</v>
      </c>
      <c r="E12" s="14">
        <f>Pb_*1.01325</f>
        <v>121.59</v>
      </c>
      <c r="F12" s="16" t="s">
        <v>6</v>
      </c>
    </row>
    <row r="13" spans="1:7" ht="18" outlineLevel="1" x14ac:dyDescent="0.35">
      <c r="B13" s="10" t="s">
        <v>37</v>
      </c>
      <c r="C13" s="2">
        <v>100</v>
      </c>
      <c r="D13" s="17" t="s">
        <v>2</v>
      </c>
      <c r="E13" s="14">
        <f>Tres_*9/5+32</f>
        <v>212</v>
      </c>
      <c r="F13" s="16" t="s">
        <v>7</v>
      </c>
    </row>
    <row r="14" spans="1:7" ht="18" outlineLevel="1" x14ac:dyDescent="0.35">
      <c r="B14" s="11" t="s">
        <v>38</v>
      </c>
      <c r="C14" s="2">
        <v>1.2</v>
      </c>
      <c r="D14" s="18" t="s">
        <v>1</v>
      </c>
    </row>
    <row r="15" spans="1:7" ht="18" outlineLevel="1" x14ac:dyDescent="0.35">
      <c r="B15" s="12" t="s">
        <v>39</v>
      </c>
      <c r="C15" s="2">
        <v>1</v>
      </c>
      <c r="D15" s="17" t="s">
        <v>4</v>
      </c>
    </row>
    <row r="16" spans="1:7" x14ac:dyDescent="0.2">
      <c r="A16" s="1" t="s">
        <v>9</v>
      </c>
      <c r="C16" s="8"/>
    </row>
    <row r="17" spans="1:33" ht="15.75" x14ac:dyDescent="0.3">
      <c r="B17" s="12" t="s">
        <v>42</v>
      </c>
      <c r="C17" s="2">
        <v>20</v>
      </c>
      <c r="D17" s="17" t="s">
        <v>3</v>
      </c>
    </row>
    <row r="18" spans="1:33" x14ac:dyDescent="0.2">
      <c r="B18" s="19" t="s">
        <v>16</v>
      </c>
      <c r="C18" s="2">
        <v>30</v>
      </c>
      <c r="D18" s="17" t="s">
        <v>2</v>
      </c>
    </row>
    <row r="19" spans="1:33" x14ac:dyDescent="0.2">
      <c r="A19" s="1" t="s">
        <v>12</v>
      </c>
      <c r="C19" s="3"/>
      <c r="D19" s="3"/>
    </row>
    <row r="20" spans="1:33" x14ac:dyDescent="0.2">
      <c r="B20" s="20" t="s">
        <v>14</v>
      </c>
      <c r="C20" s="2">
        <v>70</v>
      </c>
      <c r="D20" s="17" t="s">
        <v>13</v>
      </c>
    </row>
    <row r="21" spans="1:33" x14ac:dyDescent="0.2">
      <c r="B21" s="19" t="s">
        <v>15</v>
      </c>
      <c r="C21" s="2">
        <v>10</v>
      </c>
      <c r="D21" s="17" t="s">
        <v>13</v>
      </c>
    </row>
    <row r="22" spans="1:33" x14ac:dyDescent="0.2">
      <c r="B22" s="6"/>
    </row>
    <row r="23" spans="1:33" x14ac:dyDescent="0.2">
      <c r="B23" s="20" t="s">
        <v>21</v>
      </c>
      <c r="C23" s="35" t="str">
        <f>[1]!PVT_encode_string(gamma_gas_,gamma_oil_,gamma_wat_,Rsb_,Rp_,Pb_,Tres_,Bob_,muob_)</f>
        <v>gamma_gas:0,800;gamma_oil:0,870;gamma_wat:1,000;rsb_m3m3:80,000;rp_m3m3:80,000;pb_atma:120,000;tres_C:100,000;bob_m3m3:1,200;muob_cP:1,000;PVTcorr:0;ksep_fr:0,000;pksep_atma:-1,000;tksep_C:-1,000;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</row>
    <row r="24" spans="1:33" x14ac:dyDescent="0.2">
      <c r="B24" s="6"/>
      <c r="C24" s="32" t="s">
        <v>49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 t="s">
        <v>50</v>
      </c>
      <c r="O24" s="32"/>
      <c r="P24" s="32"/>
      <c r="Q24" s="32"/>
      <c r="R24" s="32"/>
      <c r="S24" s="32"/>
      <c r="T24" s="32"/>
      <c r="U24" s="32"/>
      <c r="V24" s="32"/>
      <c r="W24" s="32"/>
      <c r="X24" s="32" t="s">
        <v>51</v>
      </c>
      <c r="Y24" s="32"/>
      <c r="Z24" s="32"/>
      <c r="AA24" s="32"/>
      <c r="AB24" s="32"/>
      <c r="AC24" s="32"/>
      <c r="AD24" s="32"/>
      <c r="AE24" s="32"/>
      <c r="AF24" s="32"/>
      <c r="AG24" s="32"/>
    </row>
    <row r="25" spans="1:33" x14ac:dyDescent="0.2">
      <c r="A25" t="s">
        <v>10</v>
      </c>
      <c r="D25" t="s">
        <v>45</v>
      </c>
      <c r="E25" s="36">
        <f>C37</f>
        <v>0.10751988252791558</v>
      </c>
      <c r="O25" s="41" t="s">
        <v>44</v>
      </c>
      <c r="P25" s="29">
        <f>[1]!Choke_calibr_by_MF_p_choke_atma(Qliq_,fw_,d_choke,Pbuf_,1,d_pipe,T_choke,PVTstr_,Plin_,$P$27,$P$28)</f>
        <v>0.10749392915438712</v>
      </c>
      <c r="Q25" t="s">
        <v>48</v>
      </c>
      <c r="R25" s="37">
        <f>(E25-p_other_atma)/E25</f>
        <v>2.4138208597585613E-4</v>
      </c>
    </row>
    <row r="26" spans="1:33" x14ac:dyDescent="0.2">
      <c r="O26" s="38"/>
      <c r="P26" s="40"/>
      <c r="R26" s="42" t="s">
        <v>54</v>
      </c>
    </row>
    <row r="27" spans="1:33" x14ac:dyDescent="0.2">
      <c r="B27" s="20" t="s">
        <v>8</v>
      </c>
      <c r="C27" s="2">
        <v>111</v>
      </c>
      <c r="D27" s="17" t="s">
        <v>22</v>
      </c>
      <c r="O27" s="41" t="s">
        <v>52</v>
      </c>
      <c r="P27" s="39">
        <v>0</v>
      </c>
      <c r="R27" s="42" t="s">
        <v>55</v>
      </c>
    </row>
    <row r="28" spans="1:33" x14ac:dyDescent="0.2">
      <c r="B28" s="20" t="s">
        <v>23</v>
      </c>
      <c r="C28" s="2">
        <v>250</v>
      </c>
      <c r="D28" s="17" t="s">
        <v>24</v>
      </c>
      <c r="O28" s="41" t="s">
        <v>53</v>
      </c>
      <c r="P28" s="39">
        <v>30</v>
      </c>
      <c r="Y28" t="s">
        <v>47</v>
      </c>
    </row>
    <row r="29" spans="1:33" x14ac:dyDescent="0.2">
      <c r="B29" s="26" t="s">
        <v>25</v>
      </c>
      <c r="C29" s="23">
        <f t="array" ref="C29:G30">[1]!MF_p_choke_atma(Qliq_,fw_,d_choke,Pbuf_,1,d_pipe,T_choke,E25,PVTstr_)</f>
        <v>100.09765625</v>
      </c>
      <c r="D29" s="23">
        <v>250</v>
      </c>
      <c r="E29" s="23">
        <v>100.09765625</v>
      </c>
      <c r="F29" s="23">
        <v>30</v>
      </c>
      <c r="G29" s="23">
        <v>0.10751988252791558</v>
      </c>
      <c r="I29" s="33" t="s">
        <v>28</v>
      </c>
      <c r="J29" s="34"/>
      <c r="K29" s="7">
        <f t="array" ref="K29:M30">[1]!MF_dp_choke_atm(Qliq_,fw_,d_choke,Pbuf_,1,d_pipe,T_choke,E25,PVTstr_)</f>
        <v>149.90234375</v>
      </c>
      <c r="L29" s="7">
        <v>30</v>
      </c>
      <c r="M29" s="7">
        <v>0.10751988252791558</v>
      </c>
      <c r="N29" s="26" t="s">
        <v>25</v>
      </c>
      <c r="O29" s="29">
        <f t="array" ref="O29:S30">[1]!MF_p_choke_atma(Qliq_,fw_,d_choke,Pbuf_,1,d_pipe,T_choke,$P$25,PVTstr_)</f>
        <v>100.09765625</v>
      </c>
      <c r="P29" s="29">
        <v>250</v>
      </c>
      <c r="Q29" s="29">
        <v>100.09765625</v>
      </c>
      <c r="R29" s="29">
        <v>30</v>
      </c>
      <c r="S29" s="29">
        <v>0.10749392915438712</v>
      </c>
      <c r="T29" t="s">
        <v>46</v>
      </c>
      <c r="U29" s="29">
        <f t="array" ref="U29:W30">[1]!MF_dp_choke_atm(Qliq_,fw_,d_choke,Pbuf_,1,d_pipe,T_choke,P25,PVTstr_)</f>
        <v>149.90234375</v>
      </c>
      <c r="V29" s="29">
        <v>30</v>
      </c>
      <c r="W29" s="29">
        <v>0.10749392915438712</v>
      </c>
      <c r="Y29" s="30">
        <f>(C29-O29)/C29</f>
        <v>0</v>
      </c>
      <c r="Z29" s="30">
        <f t="shared" ref="Z29:AC29" si="0">(D29-P29)/D29</f>
        <v>0</v>
      </c>
      <c r="AA29" s="30">
        <f t="shared" si="0"/>
        <v>0</v>
      </c>
      <c r="AB29" s="30">
        <f t="shared" si="0"/>
        <v>0</v>
      </c>
      <c r="AC29" s="30">
        <f t="shared" si="0"/>
        <v>2.4138208597585613E-4</v>
      </c>
      <c r="AD29" s="31"/>
      <c r="AE29" s="30">
        <f>(K29-U29)/K29</f>
        <v>0</v>
      </c>
      <c r="AF29" s="30">
        <f t="shared" ref="AF29:AG29" si="1">(L29-V29)/L29</f>
        <v>0</v>
      </c>
      <c r="AG29" s="30">
        <f t="shared" si="1"/>
        <v>2.4138208597585613E-4</v>
      </c>
    </row>
    <row r="30" spans="1:33" x14ac:dyDescent="0.2">
      <c r="C30" s="23" t="str">
        <v>Pout, atma</v>
      </c>
      <c r="D30" s="23" t="str">
        <v>p_intake_atma</v>
      </c>
      <c r="E30" s="23" t="str">
        <v>p_out_atma</v>
      </c>
      <c r="F30" s="23" t="str">
        <v>Tchoke_C</v>
      </c>
      <c r="G30" s="23" t="str">
        <v>c_calibr_fr</v>
      </c>
      <c r="K30" s="7" t="str">
        <v>dP_atm</v>
      </c>
      <c r="L30" s="7" t="str">
        <v>Tchoke_C</v>
      </c>
      <c r="M30" s="7" t="str">
        <v>c_calibr_fr</v>
      </c>
      <c r="O30" s="29" t="str">
        <v>Pout, atma</v>
      </c>
      <c r="P30" s="29" t="str">
        <v>p_intake_atma</v>
      </c>
      <c r="Q30" s="29" t="str">
        <v>p_out_atma</v>
      </c>
      <c r="R30" s="29" t="str">
        <v>Tchoke_C</v>
      </c>
      <c r="S30" s="29" t="str">
        <v>c_calibr_fr</v>
      </c>
      <c r="U30" s="29" t="str">
        <v>dP_atm</v>
      </c>
      <c r="V30" s="29" t="str">
        <v>Tchoke_C</v>
      </c>
      <c r="W30" s="29" t="str">
        <v>c_calibr_fr</v>
      </c>
      <c r="Y30" s="31"/>
      <c r="Z30" s="31"/>
      <c r="AA30" s="31"/>
      <c r="AB30" s="31"/>
      <c r="AC30" s="31"/>
      <c r="AD30" s="31"/>
      <c r="AE30" s="31"/>
      <c r="AF30" s="31"/>
      <c r="AG30" s="31"/>
    </row>
    <row r="31" spans="1:33" x14ac:dyDescent="0.2">
      <c r="Y31" s="31"/>
      <c r="Z31" s="31"/>
      <c r="AA31" s="31"/>
      <c r="AB31" s="31"/>
      <c r="AC31" s="31"/>
      <c r="AD31" s="31"/>
      <c r="AE31" s="31"/>
      <c r="AF31" s="31"/>
      <c r="AG31" s="31"/>
    </row>
    <row r="32" spans="1:33" x14ac:dyDescent="0.2">
      <c r="B32" s="20" t="s">
        <v>26</v>
      </c>
      <c r="C32" s="21">
        <v>100</v>
      </c>
      <c r="D32" s="22" t="s">
        <v>24</v>
      </c>
      <c r="Y32" s="31"/>
      <c r="Z32" s="31"/>
      <c r="AA32" s="31"/>
      <c r="AB32" s="31"/>
      <c r="AC32" s="31"/>
      <c r="AD32" s="31"/>
      <c r="AE32" s="31"/>
      <c r="AF32" s="31"/>
      <c r="AG32" s="31"/>
    </row>
    <row r="33" spans="2:33" x14ac:dyDescent="0.2">
      <c r="B33" s="26" t="s">
        <v>27</v>
      </c>
      <c r="C33" s="23">
        <f t="array" ref="C33:G34">[1]!MF_p_choke_atma(Qliq_,fw_,d_choke,Plin_,0,d_pipe,T_choke,E25,PVTstr_)</f>
        <v>250</v>
      </c>
      <c r="D33" s="23">
        <v>250</v>
      </c>
      <c r="E33" s="23">
        <v>100</v>
      </c>
      <c r="F33" s="23">
        <v>30</v>
      </c>
      <c r="G33" s="23">
        <v>0.10751988252791558</v>
      </c>
      <c r="I33" s="32" t="s">
        <v>28</v>
      </c>
      <c r="J33" s="32"/>
      <c r="K33" s="7">
        <f t="array" ref="K33:M34">[1]!MF_dp_choke_atm(Qliq_,fw_,d_choke,Plin_,0,d_pipe,T_choke,E25,PVTstr_)</f>
        <v>150</v>
      </c>
      <c r="L33" s="7">
        <v>30</v>
      </c>
      <c r="M33" s="7">
        <v>0.10751988252791558</v>
      </c>
      <c r="N33" s="26" t="s">
        <v>27</v>
      </c>
      <c r="O33" s="29">
        <f t="array" ref="O33:S34">[1]!MF_p_choke_atma(Qliq_,fw_,d_choke,Plin_,0,d_pipe,T_choke,P25,PVTstr_)</f>
        <v>250</v>
      </c>
      <c r="P33" s="29">
        <v>250</v>
      </c>
      <c r="Q33" s="29">
        <v>100</v>
      </c>
      <c r="R33" s="29">
        <v>30</v>
      </c>
      <c r="S33" s="29">
        <v>0.10749392915438712</v>
      </c>
      <c r="T33" t="s">
        <v>28</v>
      </c>
      <c r="U33" s="29">
        <f t="array" ref="U33:W34">[1]!MF_dp_choke_atm(Qliq_,fw_,d_choke,Plin_,0,d_pipe,T_choke,P25,PVTstr_)</f>
        <v>150</v>
      </c>
      <c r="V33" s="29">
        <v>30</v>
      </c>
      <c r="W33" s="29">
        <v>0.10749392915438712</v>
      </c>
      <c r="Y33" s="30">
        <f t="shared" ref="Y33" si="2">(C33-O33)/C33</f>
        <v>0</v>
      </c>
      <c r="Z33" s="30">
        <f t="shared" ref="Z33" si="3">(D33-P33)/D33</f>
        <v>0</v>
      </c>
      <c r="AA33" s="30">
        <f t="shared" ref="AA33" si="4">(E33-Q33)/E33</f>
        <v>0</v>
      </c>
      <c r="AB33" s="30">
        <f t="shared" ref="AB33" si="5">(F33-R33)/F33</f>
        <v>0</v>
      </c>
      <c r="AC33" s="30">
        <f t="shared" ref="AC33" si="6">(G33-S33)/G33</f>
        <v>2.4138208597585613E-4</v>
      </c>
      <c r="AD33" s="31"/>
      <c r="AE33" s="30">
        <f t="shared" ref="AE33" si="7">(K33-U33)/K33</f>
        <v>0</v>
      </c>
      <c r="AF33" s="30">
        <f t="shared" ref="AF33" si="8">(L33-V33)/L33</f>
        <v>0</v>
      </c>
      <c r="AG33" s="30">
        <f t="shared" ref="AG33" si="9">(M33-W33)/M33</f>
        <v>2.4138208597585613E-4</v>
      </c>
    </row>
    <row r="34" spans="2:33" x14ac:dyDescent="0.2">
      <c r="C34" s="23" t="str">
        <v>Pin, atma</v>
      </c>
      <c r="D34" s="23" t="str">
        <v>p_intake_atma</v>
      </c>
      <c r="E34" s="23" t="str">
        <v>p_out_atma</v>
      </c>
      <c r="F34" s="23" t="str">
        <v>Tchoke_C</v>
      </c>
      <c r="G34" s="23" t="str">
        <v>c_calibr_fr</v>
      </c>
      <c r="K34" s="24" t="str">
        <v>dP_atm</v>
      </c>
      <c r="L34" s="24" t="str">
        <v>Tchoke_C</v>
      </c>
      <c r="M34" s="24" t="str">
        <v>c_calibr_fr</v>
      </c>
      <c r="O34" s="29" t="str">
        <v>Pin, atma</v>
      </c>
      <c r="P34" s="29" t="str">
        <v>p_intake_atma</v>
      </c>
      <c r="Q34" s="29" t="str">
        <v>p_out_atma</v>
      </c>
      <c r="R34" s="29" t="str">
        <v>Tchoke_C</v>
      </c>
      <c r="S34" s="29" t="str">
        <v>c_calibr_fr</v>
      </c>
      <c r="U34" s="29" t="str">
        <v>dP_atm</v>
      </c>
      <c r="V34" s="29" t="str">
        <v>Tchoke_C</v>
      </c>
      <c r="W34" s="29" t="str">
        <v>c_calibr_fr</v>
      </c>
      <c r="Y34" s="31"/>
      <c r="Z34" s="31"/>
      <c r="AA34" s="31"/>
      <c r="AB34" s="31"/>
      <c r="AC34" s="31"/>
      <c r="AD34" s="31"/>
      <c r="AE34" s="31"/>
      <c r="AF34" s="31"/>
      <c r="AG34" s="31"/>
    </row>
    <row r="35" spans="2:33" outlineLevel="1" x14ac:dyDescent="0.2">
      <c r="Y35" s="31"/>
      <c r="Z35" s="31"/>
      <c r="AA35" s="31"/>
      <c r="AB35" s="31"/>
      <c r="AC35" s="31"/>
      <c r="AD35" s="31"/>
      <c r="AE35" s="31"/>
      <c r="AF35" s="31"/>
      <c r="AG35" s="31"/>
    </row>
    <row r="36" spans="2:33" outlineLevel="1" x14ac:dyDescent="0.2">
      <c r="B36" t="s">
        <v>29</v>
      </c>
      <c r="Y36" s="31"/>
      <c r="Z36" s="31"/>
      <c r="AA36" s="31"/>
      <c r="AB36" s="31"/>
      <c r="AC36" s="31"/>
      <c r="AD36" s="31"/>
      <c r="AE36" s="31"/>
      <c r="AF36" s="31"/>
      <c r="AG36" s="31"/>
    </row>
    <row r="37" spans="2:33" outlineLevel="1" x14ac:dyDescent="0.2">
      <c r="C37" s="7">
        <f t="array" ref="C37:G38">[1]!MF_calibr_choke_fr(Qliq_,fw_,d_choke,Pbuf_,Plin_,d_pipe,T_choke,PVTstr_)</f>
        <v>0.10751988252791558</v>
      </c>
      <c r="D37" s="25">
        <v>250</v>
      </c>
      <c r="E37" s="25">
        <v>100</v>
      </c>
      <c r="F37" s="25">
        <v>30</v>
      </c>
      <c r="G37" s="7">
        <v>0.10751988252791558</v>
      </c>
      <c r="Y37" s="31"/>
      <c r="Z37" s="31"/>
      <c r="AA37" s="31"/>
      <c r="AB37" s="31"/>
      <c r="AC37" s="31"/>
      <c r="AD37" s="31"/>
      <c r="AE37" s="31"/>
      <c r="AF37" s="31"/>
      <c r="AG37" s="31"/>
    </row>
    <row r="38" spans="2:33" outlineLevel="1" x14ac:dyDescent="0.2">
      <c r="C38" s="25" t="str">
        <v>c_calibr_fr</v>
      </c>
      <c r="D38" s="25" t="str">
        <v>p_intake_atma</v>
      </c>
      <c r="E38" s="25" t="str">
        <v>p_out_atma</v>
      </c>
      <c r="F38" s="25" t="str">
        <v>Tchoke_C</v>
      </c>
      <c r="G38" s="25" t="str">
        <v>c_calibr_fr</v>
      </c>
      <c r="Y38" s="31"/>
      <c r="Z38" s="31"/>
      <c r="AA38" s="31"/>
      <c r="AB38" s="31"/>
      <c r="AC38" s="31"/>
      <c r="AD38" s="31"/>
      <c r="AE38" s="31"/>
      <c r="AF38" s="31"/>
      <c r="AG38" s="31"/>
    </row>
    <row r="39" spans="2:33" outlineLevel="1" x14ac:dyDescent="0.2">
      <c r="Y39" s="31"/>
      <c r="Z39" s="31"/>
      <c r="AA39" s="31"/>
      <c r="AB39" s="31"/>
      <c r="AC39" s="31"/>
      <c r="AD39" s="31"/>
      <c r="AE39" s="31"/>
      <c r="AF39" s="31"/>
      <c r="AG39" s="31"/>
    </row>
    <row r="40" spans="2:33" outlineLevel="1" x14ac:dyDescent="0.2">
      <c r="B40" t="s">
        <v>30</v>
      </c>
      <c r="N40" t="s">
        <v>30</v>
      </c>
      <c r="Y40" s="31"/>
      <c r="Z40" s="31"/>
      <c r="AA40" s="31"/>
      <c r="AB40" s="31"/>
      <c r="AC40" s="31"/>
      <c r="AD40" s="31"/>
      <c r="AE40" s="31"/>
      <c r="AF40" s="31"/>
      <c r="AG40" s="31"/>
    </row>
    <row r="41" spans="2:33" outlineLevel="1" x14ac:dyDescent="0.2">
      <c r="C41" s="24">
        <f t="array" ref="C41:G42">[1]!MF_qliq_choke_sm3day(fw_,d_choke,Pbuf_,Plin_,d_pipe,T_choke,E25,PVTstr_)</f>
        <v>111.00000000000001</v>
      </c>
      <c r="D41" s="24">
        <v>250</v>
      </c>
      <c r="E41" s="24">
        <v>100</v>
      </c>
      <c r="F41" s="24">
        <v>30</v>
      </c>
      <c r="G41" s="7">
        <v>0.10751988252791558</v>
      </c>
      <c r="O41" s="29">
        <f t="array" ref="O41:S42">[1]!MF_qliq_choke_sm3day(fw_,d_choke,Pbuf_,Plin_,d_pipe,T_choke,P25,PVTstr_)</f>
        <v>110.97320658845669</v>
      </c>
      <c r="P41" s="29">
        <v>250</v>
      </c>
      <c r="Q41" s="29">
        <v>100</v>
      </c>
      <c r="R41" s="29">
        <v>30</v>
      </c>
      <c r="S41" s="29">
        <v>0.10749392915438712</v>
      </c>
      <c r="Y41" s="30">
        <f t="shared" ref="Y41" si="10">(C41-O41)/C41</f>
        <v>2.4138208597588724E-4</v>
      </c>
      <c r="Z41" s="30">
        <f>(D41-P41)/D41</f>
        <v>0</v>
      </c>
      <c r="AA41" s="30">
        <f t="shared" ref="AA41" si="11">(E41-Q41)/E41</f>
        <v>0</v>
      </c>
      <c r="AB41" s="30">
        <f t="shared" ref="AB41" si="12">(F41-R41)/F41</f>
        <v>0</v>
      </c>
      <c r="AC41" s="30">
        <f t="shared" ref="AC41" si="13">(G41-S41)/G41</f>
        <v>2.4138208597585613E-4</v>
      </c>
      <c r="AD41" s="31"/>
      <c r="AE41" s="31"/>
      <c r="AF41" s="31"/>
      <c r="AG41" s="31"/>
    </row>
    <row r="42" spans="2:33" outlineLevel="1" x14ac:dyDescent="0.2">
      <c r="C42" s="24" t="str">
        <v>Qliq</v>
      </c>
      <c r="D42" s="24" t="str">
        <v>p_intake_atma</v>
      </c>
      <c r="E42" s="24" t="str">
        <v>p_out_atma</v>
      </c>
      <c r="F42" s="24" t="str">
        <v>Tchoke_C</v>
      </c>
      <c r="G42" s="24" t="str">
        <v>c_calibr_fr</v>
      </c>
      <c r="O42" s="29" t="str">
        <v>Qliq</v>
      </c>
      <c r="P42" s="29" t="str">
        <v>p_intake_atma</v>
      </c>
      <c r="Q42" s="29" t="str">
        <v>p_out_atma</v>
      </c>
      <c r="R42" s="29" t="str">
        <v>Tchoke_C</v>
      </c>
      <c r="S42" s="29" t="str">
        <v>c_calibr_fr</v>
      </c>
    </row>
    <row r="43" spans="2:33" outlineLevel="1" x14ac:dyDescent="0.2"/>
    <row r="44" spans="2:33" outlineLevel="1" x14ac:dyDescent="0.2"/>
    <row r="45" spans="2:33" outlineLevel="1" x14ac:dyDescent="0.2"/>
    <row r="46" spans="2:33" outlineLevel="1" x14ac:dyDescent="0.2">
      <c r="C46" t="s">
        <v>11</v>
      </c>
    </row>
    <row r="47" spans="2:33" outlineLevel="1" x14ac:dyDescent="0.2">
      <c r="J47" s="3"/>
      <c r="K47" s="3"/>
      <c r="L47" s="3"/>
    </row>
    <row r="48" spans="2:33" outlineLevel="1" x14ac:dyDescent="0.2">
      <c r="C48" s="32" t="s">
        <v>8</v>
      </c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</row>
    <row r="49" spans="2:15" outlineLevel="1" x14ac:dyDescent="0.2">
      <c r="B49" s="17" t="s">
        <v>17</v>
      </c>
      <c r="C49" s="2">
        <v>0</v>
      </c>
      <c r="D49" s="2">
        <v>1</v>
      </c>
      <c r="E49" s="27">
        <v>10</v>
      </c>
      <c r="F49" s="2">
        <v>20</v>
      </c>
      <c r="G49" s="28">
        <v>30</v>
      </c>
      <c r="H49" s="2">
        <v>40</v>
      </c>
      <c r="I49" s="2">
        <v>50</v>
      </c>
      <c r="J49" s="2">
        <v>100</v>
      </c>
      <c r="K49" s="2">
        <v>150</v>
      </c>
      <c r="L49" s="2">
        <v>200</v>
      </c>
      <c r="M49" s="2">
        <v>300</v>
      </c>
      <c r="N49" s="2">
        <v>400</v>
      </c>
    </row>
    <row r="50" spans="2:15" outlineLevel="1" x14ac:dyDescent="0.2">
      <c r="B50" s="2">
        <v>1</v>
      </c>
      <c r="C50" s="7">
        <f>[1]!MF_p_choke_atma(C$49,fw_,d_choke,$B50,0,d_pipe,T_choke,1,PVTstr_)</f>
        <v>1</v>
      </c>
      <c r="D50" s="7">
        <f>[1]!MF_p_choke_atma(D$49,fw_,d_choke,$B50,0,d_pipe,T_choke,1,PVTstr_)</f>
        <v>1.009857177734375</v>
      </c>
      <c r="E50" s="7">
        <f>[1]!MF_p_choke_atma(E$49,fw_,d_choke,$B50,0,d_pipe,T_choke,1,PVTstr_)</f>
        <v>2.3203125</v>
      </c>
      <c r="F50" s="7">
        <f>[1]!MF_p_choke_atma(F$49,fw_,d_choke,$B50,0,d_pipe,T_choke,1,PVTstr_)</f>
        <v>4.625</v>
      </c>
      <c r="G50" s="7">
        <f>[1]!MF_p_choke_atma(G$49,fw_,d_choke,$B50,0,d_pipe,T_choke,1,PVTstr_)</f>
        <v>6.90625</v>
      </c>
      <c r="H50" s="7">
        <f>[1]!MF_p_choke_atma(H$49,fw_,d_choke,$B50,0,d_pipe,T_choke,1,PVTstr_)</f>
        <v>9.15625</v>
      </c>
      <c r="I50" s="7">
        <f>[1]!MF_p_choke_atma(I$49,fw_,d_choke,$B50,0,d_pipe,T_choke,1,PVTstr_)</f>
        <v>11.375</v>
      </c>
      <c r="J50" s="7">
        <f>[1]!MF_p_choke_atma(J$49,fw_,d_choke,$B50,0,d_pipe,T_choke,1,PVTstr_)</f>
        <v>22</v>
      </c>
      <c r="K50" s="7">
        <f>[1]!MF_p_choke_atma(K$49,fw_,d_choke,$B50,0,d_pipe,T_choke,1,PVTstr_)</f>
        <v>31.9375</v>
      </c>
      <c r="L50" s="7">
        <f>[1]!MF_p_choke_atma(L$49,fw_,d_choke,$B50,0,d_pipe,T_choke,1,PVTstr_)</f>
        <v>41.0625</v>
      </c>
      <c r="M50" s="7">
        <f>[1]!MF_p_choke_atma(M$49,fw_,d_choke,$B50,0,d_pipe,T_choke,1,PVTstr_)</f>
        <v>57.125</v>
      </c>
      <c r="N50" s="7">
        <f>[1]!MF_p_choke_atma(N$49,fw_,d_choke,$B50,0,d_pipe,T_choke,1,PVTstr_)</f>
        <v>70.25</v>
      </c>
      <c r="O50" s="3"/>
    </row>
    <row r="51" spans="2:15" outlineLevel="1" x14ac:dyDescent="0.2">
      <c r="B51" s="2">
        <v>10</v>
      </c>
      <c r="C51" s="7">
        <f>[1]!MF_p_choke_atma(C$49,fw_,d_choke,$B51,0,d_pipe,T_choke,1,PVTstr_)</f>
        <v>10</v>
      </c>
      <c r="D51" s="7">
        <f>[1]!MF_p_choke_atma(D$49,fw_,d_choke,$B51,0,d_pipe,T_choke,1,PVTstr_)</f>
        <v>10.001020431518555</v>
      </c>
      <c r="E51" s="7">
        <f>[1]!MF_p_choke_atma(E$49,fw_,d_choke,$B51,0,d_pipe,T_choke,1,PVTstr_)</f>
        <v>10.1025390625</v>
      </c>
      <c r="F51" s="7">
        <f>[1]!MF_p_choke_atma(F$49,fw_,d_choke,$B51,0,d_pipe,T_choke,1,PVTstr_)</f>
        <v>10.4150390625</v>
      </c>
      <c r="G51" s="7">
        <f>[1]!MF_p_choke_atma(G$49,fw_,d_choke,$B51,0,d_pipe,T_choke,1,PVTstr_)</f>
        <v>10.947265625</v>
      </c>
      <c r="H51" s="7">
        <f>[1]!MF_p_choke_atma(H$49,fw_,d_choke,$B51,0,d_pipe,T_choke,1,PVTstr_)</f>
        <v>11.728515625</v>
      </c>
      <c r="I51" s="7">
        <f>[1]!MF_p_choke_atma(I$49,fw_,d_choke,$B51,0,d_pipe,T_choke,1,PVTstr_)</f>
        <v>12.7734375</v>
      </c>
      <c r="J51" s="7">
        <f>[1]!MF_p_choke_atma(J$49,fw_,d_choke,$B51,0,d_pipe,T_choke,1,PVTstr_)</f>
        <v>22.03125</v>
      </c>
      <c r="K51" s="7">
        <f>[1]!MF_p_choke_atma(K$49,fw_,d_choke,$B51,0,d_pipe,T_choke,1,PVTstr_)</f>
        <v>31.9140625</v>
      </c>
      <c r="L51" s="7">
        <f>[1]!MF_p_choke_atma(L$49,fw_,d_choke,$B51,0,d_pipe,T_choke,1,PVTstr_)</f>
        <v>41.0546875</v>
      </c>
      <c r="M51" s="7">
        <f>[1]!MF_p_choke_atma(M$49,fw_,d_choke,$B51,0,d_pipe,T_choke,1,PVTstr_)</f>
        <v>57.1875</v>
      </c>
      <c r="N51" s="7">
        <f>[1]!MF_p_choke_atma(N$49,fw_,d_choke,$B51,0,d_pipe,T_choke,1,PVTstr_)</f>
        <v>70.234375</v>
      </c>
      <c r="O51" s="3"/>
    </row>
    <row r="52" spans="2:15" outlineLevel="1" x14ac:dyDescent="0.2">
      <c r="B52" s="2">
        <v>20</v>
      </c>
      <c r="C52" s="7">
        <f>[1]!MF_p_choke_atma(C$49,fw_,d_choke,$B52,0,d_pipe,T_choke,1,PVTstr_)</f>
        <v>20</v>
      </c>
      <c r="D52" s="7">
        <f>[1]!MF_p_choke_atma(D$49,fw_,d_choke,$B52,0,d_pipe,T_choke,1,PVTstr_)</f>
        <v>20.000526905059814</v>
      </c>
      <c r="E52" s="7">
        <f>[1]!MF_p_choke_atma(E$49,fw_,d_choke,$B52,0,d_pipe,T_choke,1,PVTstr_)</f>
        <v>20.05279541015625</v>
      </c>
      <c r="F52" s="7">
        <f>[1]!MF_p_choke_atma(F$49,fw_,d_choke,$B52,0,d_pipe,T_choke,1,PVTstr_)</f>
        <v>20.211181640625</v>
      </c>
      <c r="G52" s="7">
        <f>[1]!MF_p_choke_atma(G$49,fw_,d_choke,$B52,0,d_pipe,T_choke,1,PVTstr_)</f>
        <v>20.47607421875</v>
      </c>
      <c r="H52" s="7">
        <f>[1]!MF_p_choke_atma(H$49,fw_,d_choke,$B52,0,d_pipe,T_choke,1,PVTstr_)</f>
        <v>20.849609375</v>
      </c>
      <c r="I52" s="7">
        <f>[1]!MF_p_choke_atma(I$49,fw_,d_choke,$B52,0,d_pipe,T_choke,1,PVTstr_)</f>
        <v>21.3330078125</v>
      </c>
      <c r="J52" s="7">
        <f>[1]!MF_p_choke_atma(J$49,fw_,d_choke,$B52,0,d_pipe,T_choke,1,PVTstr_)</f>
        <v>25.44921875</v>
      </c>
      <c r="K52" s="7">
        <f>[1]!MF_p_choke_atma(K$49,fw_,d_choke,$B52,0,d_pipe,T_choke,1,PVTstr_)</f>
        <v>32.34375</v>
      </c>
      <c r="L52" s="7">
        <f>[1]!MF_p_choke_atma(L$49,fw_,d_choke,$B52,0,d_pipe,T_choke,1,PVTstr_)</f>
        <v>41.0546875</v>
      </c>
      <c r="M52" s="7">
        <f>[1]!MF_p_choke_atma(M$49,fw_,d_choke,$B52,0,d_pipe,T_choke,1,PVTstr_)</f>
        <v>57.1875</v>
      </c>
      <c r="N52" s="7">
        <f>[1]!MF_p_choke_atma(N$49,fw_,d_choke,$B52,0,d_pipe,T_choke,1,PVTstr_)</f>
        <v>70.234375</v>
      </c>
      <c r="O52" s="3"/>
    </row>
    <row r="53" spans="2:15" outlineLevel="1" x14ac:dyDescent="0.2">
      <c r="B53" s="2">
        <v>30</v>
      </c>
      <c r="C53" s="7">
        <f>[1]!MF_p_choke_atma(C$49,fw_,d_choke,$B53,0,d_pipe,T_choke,1,PVTstr_)</f>
        <v>30</v>
      </c>
      <c r="D53" s="7">
        <f>[1]!MF_p_choke_atma(D$49,fw_,d_choke,$B53,0,d_pipe,T_choke,1,PVTstr_)</f>
        <v>30.000362992286682</v>
      </c>
      <c r="E53" s="7">
        <f>[1]!MF_p_choke_atma(E$49,fw_,d_choke,$B53,0,d_pipe,T_choke,1,PVTstr_)</f>
        <v>30.036163330078125</v>
      </c>
      <c r="F53" s="7">
        <f>[1]!MF_p_choke_atma(F$49,fw_,d_choke,$B53,0,d_pipe,T_choke,1,PVTstr_)</f>
        <v>30.1446533203125</v>
      </c>
      <c r="G53" s="7">
        <f>[1]!MF_p_choke_atma(G$49,fw_,d_choke,$B53,0,d_pipe,T_choke,1,PVTstr_)</f>
        <v>30.325927734375</v>
      </c>
      <c r="H53" s="7">
        <f>[1]!MF_p_choke_atma(H$49,fw_,d_choke,$B53,0,d_pipe,T_choke,1,PVTstr_)</f>
        <v>30.57861328125</v>
      </c>
      <c r="I53" s="7">
        <f>[1]!MF_p_choke_atma(I$49,fw_,d_choke,$B53,0,d_pipe,T_choke,1,PVTstr_)</f>
        <v>30.904541015625</v>
      </c>
      <c r="J53" s="7">
        <f>[1]!MF_p_choke_atma(J$49,fw_,d_choke,$B53,0,d_pipe,T_choke,1,PVTstr_)</f>
        <v>33.6181640625</v>
      </c>
      <c r="K53" s="7">
        <f>[1]!MF_p_choke_atma(K$49,fw_,d_choke,$B53,0,d_pipe,T_choke,1,PVTstr_)</f>
        <v>38.02734375</v>
      </c>
      <c r="L53" s="7">
        <f>[1]!MF_p_choke_atma(L$49,fw_,d_choke,$B53,0,d_pipe,T_choke,1,PVTstr_)</f>
        <v>43.88671875</v>
      </c>
      <c r="M53" s="7">
        <f>[1]!MF_p_choke_atma(M$49,fw_,d_choke,$B53,0,d_pipe,T_choke,1,PVTstr_)</f>
        <v>57.5390625</v>
      </c>
      <c r="N53" s="7">
        <f>[1]!MF_p_choke_atma(N$49,fw_,d_choke,$B53,0,d_pipe,T_choke,1,PVTstr_)</f>
        <v>70.3125</v>
      </c>
      <c r="O53" s="3"/>
    </row>
    <row r="54" spans="2:15" outlineLevel="1" x14ac:dyDescent="0.2">
      <c r="B54" s="2">
        <v>40</v>
      </c>
      <c r="C54" s="7">
        <f>[1]!MF_p_choke_atma(C$49,fw_,d_choke,$B54,0,d_pipe,T_choke,1,PVTstr_)</f>
        <v>40</v>
      </c>
      <c r="D54" s="7">
        <f>[1]!MF_p_choke_atma(D$49,fw_,d_choke,$B54,0,d_pipe,T_choke,1,PVTstr_)</f>
        <v>40.000280141830444</v>
      </c>
      <c r="E54" s="7">
        <f>[1]!MF_p_choke_atma(E$49,fw_,d_choke,$B54,0,d_pipe,T_choke,1,PVTstr_)</f>
        <v>40.027999877929688</v>
      </c>
      <c r="F54" s="7">
        <f>[1]!MF_p_choke_atma(F$49,fw_,d_choke,$B54,0,d_pipe,T_choke,1,PVTstr_)</f>
        <v>40.1116943359375</v>
      </c>
      <c r="G54" s="7">
        <f>[1]!MF_p_choke_atma(G$49,fw_,d_choke,$B54,0,d_pipe,T_choke,1,PVTstr_)</f>
        <v>40.25146484375</v>
      </c>
      <c r="H54" s="7">
        <f>[1]!MF_p_choke_atma(H$49,fw_,d_choke,$B54,0,d_pipe,T_choke,1,PVTstr_)</f>
        <v>40.44677734375</v>
      </c>
      <c r="I54" s="7">
        <f>[1]!MF_p_choke_atma(I$49,fw_,d_choke,$B54,0,d_pipe,T_choke,1,PVTstr_)</f>
        <v>40.6982421875</v>
      </c>
      <c r="J54" s="7">
        <f>[1]!MF_p_choke_atma(J$49,fw_,d_choke,$B54,0,d_pipe,T_choke,1,PVTstr_)</f>
        <v>42.763671875</v>
      </c>
      <c r="K54" s="7">
        <f>[1]!MF_p_choke_atma(K$49,fw_,d_choke,$B54,0,d_pipe,T_choke,1,PVTstr_)</f>
        <v>46.1328125</v>
      </c>
      <c r="L54" s="7">
        <f>[1]!MF_p_choke_atma(L$49,fw_,d_choke,$B54,0,d_pipe,T_choke,1,PVTstr_)</f>
        <v>50.5859375</v>
      </c>
      <c r="M54" s="7">
        <f>[1]!MF_p_choke_atma(M$49,fw_,d_choke,$B54,0,d_pipe,T_choke,1,PVTstr_)</f>
        <v>61.5625</v>
      </c>
      <c r="N54" s="7">
        <f>[1]!MF_p_choke_atma(N$49,fw_,d_choke,$B54,0,d_pipe,T_choke,1,PVTstr_)</f>
        <v>73.125</v>
      </c>
      <c r="O54" s="3"/>
    </row>
    <row r="55" spans="2:15" outlineLevel="1" x14ac:dyDescent="0.2">
      <c r="B55" s="2">
        <v>50</v>
      </c>
      <c r="C55" s="7">
        <f>[1]!MF_p_choke_atma(C$49,fw_,d_choke,$B55,0,d_pipe,T_choke,1,PVTstr_)</f>
        <v>50</v>
      </c>
      <c r="D55" s="7">
        <f>[1]!MF_p_choke_atma(D$49,fw_,d_choke,$B55,0,d_pipe,T_choke,1,PVTstr_)</f>
        <v>50.000230967998505</v>
      </c>
      <c r="E55" s="7">
        <f>[1]!MF_p_choke_atma(E$49,fw_,d_choke,$B55,0,d_pipe,T_choke,1,PVTstr_)</f>
        <v>50.023078918457031</v>
      </c>
      <c r="F55" s="7">
        <f>[1]!MF_p_choke_atma(F$49,fw_,d_choke,$B55,0,d_pipe,T_choke,1,PVTstr_)</f>
        <v>50.092315673828125</v>
      </c>
      <c r="G55" s="7">
        <f>[1]!MF_p_choke_atma(G$49,fw_,d_choke,$B55,0,d_pipe,T_choke,1,PVTstr_)</f>
        <v>50.20751953125</v>
      </c>
      <c r="H55" s="7">
        <f>[1]!MF_p_choke_atma(H$49,fw_,d_choke,$B55,0,d_pipe,T_choke,1,PVTstr_)</f>
        <v>50.36773681640625</v>
      </c>
      <c r="I55" s="7">
        <f>[1]!MF_p_choke_atma(I$49,fw_,d_choke,$B55,0,d_pipe,T_choke,1,PVTstr_)</f>
        <v>50.57373046875</v>
      </c>
      <c r="J55" s="7">
        <f>[1]!MF_p_choke_atma(J$49,fw_,d_choke,$B55,0,d_pipe,T_choke,1,PVTstr_)</f>
        <v>52.276611328125</v>
      </c>
      <c r="K55" s="7">
        <f>[1]!MF_p_choke_atma(K$49,fw_,d_choke,$B55,0,d_pipe,T_choke,1,PVTstr_)</f>
        <v>55.029296875</v>
      </c>
      <c r="L55" s="7">
        <f>[1]!MF_p_choke_atma(L$49,fw_,d_choke,$B55,0,d_pipe,T_choke,1,PVTstr_)</f>
        <v>58.69140625</v>
      </c>
      <c r="M55" s="7">
        <f>[1]!MF_p_choke_atma(M$49,fw_,d_choke,$B55,0,d_pipe,T_choke,1,PVTstr_)</f>
        <v>68.017578125</v>
      </c>
      <c r="N55" s="7">
        <f>[1]!MF_p_choke_atma(N$49,fw_,d_choke,$B55,0,d_pipe,T_choke,1,PVTstr_)</f>
        <v>78.3203125</v>
      </c>
    </row>
    <row r="56" spans="2:15" outlineLevel="1" x14ac:dyDescent="0.2">
      <c r="C56" s="3"/>
      <c r="D56" s="3"/>
      <c r="E56" s="4"/>
      <c r="F56" s="5"/>
      <c r="G56" s="5"/>
      <c r="I56" s="3"/>
    </row>
    <row r="57" spans="2:15" outlineLevel="1" x14ac:dyDescent="0.2">
      <c r="C57" s="3"/>
      <c r="D57" s="3"/>
      <c r="E57" s="4"/>
      <c r="F57" s="5"/>
      <c r="G57" s="5"/>
      <c r="I57" s="3"/>
    </row>
    <row r="58" spans="2:15" outlineLevel="1" x14ac:dyDescent="0.2">
      <c r="C58" s="3"/>
      <c r="D58" s="3"/>
      <c r="E58" s="4"/>
      <c r="F58" s="5"/>
      <c r="G58" s="5"/>
      <c r="I58" s="3"/>
    </row>
    <row r="59" spans="2:15" outlineLevel="1" x14ac:dyDescent="0.2">
      <c r="C59" s="3"/>
      <c r="D59" s="3"/>
      <c r="E59" s="4"/>
      <c r="F59" s="5"/>
      <c r="G59" s="5"/>
      <c r="I59" s="3"/>
    </row>
    <row r="60" spans="2:15" outlineLevel="1" x14ac:dyDescent="0.2">
      <c r="C60" s="3"/>
      <c r="D60" s="3"/>
      <c r="E60" s="4"/>
      <c r="F60" s="5"/>
      <c r="G60" s="5"/>
      <c r="I60" s="3"/>
    </row>
    <row r="61" spans="2:15" outlineLevel="1" x14ac:dyDescent="0.2">
      <c r="C61" s="3"/>
      <c r="D61" s="3"/>
      <c r="E61" s="4"/>
      <c r="F61" s="5"/>
      <c r="G61" s="5"/>
      <c r="I61" s="3"/>
    </row>
    <row r="62" spans="2:15" outlineLevel="1" x14ac:dyDescent="0.2">
      <c r="C62" s="3"/>
      <c r="D62" s="3"/>
      <c r="E62" s="4"/>
      <c r="F62" s="5"/>
      <c r="G62" s="5"/>
      <c r="I62" s="3"/>
    </row>
    <row r="63" spans="2:15" outlineLevel="1" x14ac:dyDescent="0.2">
      <c r="C63" s="3"/>
      <c r="D63" s="3"/>
      <c r="E63" s="4"/>
      <c r="F63" s="5"/>
      <c r="G63" s="5"/>
      <c r="I63" s="3"/>
    </row>
    <row r="64" spans="2:15" outlineLevel="1" x14ac:dyDescent="0.2">
      <c r="C64" s="3"/>
      <c r="D64" s="3"/>
      <c r="E64" s="4"/>
      <c r="F64" s="5"/>
      <c r="G64" s="5"/>
      <c r="I64" s="3"/>
    </row>
    <row r="65" spans="3:9" outlineLevel="1" x14ac:dyDescent="0.2">
      <c r="C65" s="3"/>
      <c r="D65" s="3"/>
      <c r="E65" s="4"/>
      <c r="F65" s="5"/>
      <c r="G65" s="5"/>
      <c r="I65" s="3"/>
    </row>
    <row r="66" spans="3:9" outlineLevel="1" x14ac:dyDescent="0.2">
      <c r="C66" s="3"/>
      <c r="D66" s="3"/>
      <c r="E66" s="4"/>
      <c r="F66" s="5"/>
      <c r="G66" s="5"/>
      <c r="I66" s="3"/>
    </row>
    <row r="67" spans="3:9" outlineLevel="1" x14ac:dyDescent="0.2">
      <c r="C67" s="3"/>
      <c r="D67" s="3"/>
      <c r="E67" s="4"/>
      <c r="F67" s="5"/>
      <c r="G67" s="5"/>
      <c r="I67" s="3"/>
    </row>
    <row r="68" spans="3:9" outlineLevel="1" x14ac:dyDescent="0.2">
      <c r="C68" s="3"/>
      <c r="D68" s="3"/>
      <c r="E68" s="4"/>
      <c r="F68" s="5"/>
      <c r="G68" s="5"/>
      <c r="I68" s="3"/>
    </row>
    <row r="69" spans="3:9" outlineLevel="1" x14ac:dyDescent="0.2">
      <c r="C69" s="3"/>
      <c r="D69" s="3"/>
      <c r="E69" s="4"/>
      <c r="F69" s="5"/>
      <c r="G69" s="5"/>
      <c r="I69" s="3"/>
    </row>
    <row r="70" spans="3:9" outlineLevel="1" x14ac:dyDescent="0.2">
      <c r="C70" s="3"/>
      <c r="D70" s="3"/>
      <c r="E70" s="4"/>
      <c r="F70" s="5"/>
      <c r="G70" s="5"/>
      <c r="I70" s="3"/>
    </row>
    <row r="71" spans="3:9" outlineLevel="1" x14ac:dyDescent="0.2">
      <c r="C71" s="3"/>
      <c r="D71" s="3"/>
      <c r="E71" s="4"/>
      <c r="F71" s="5"/>
      <c r="G71" s="5"/>
      <c r="I71" s="3"/>
    </row>
    <row r="72" spans="3:9" outlineLevel="1" x14ac:dyDescent="0.2">
      <c r="C72" s="3"/>
      <c r="D72" s="3"/>
      <c r="E72" s="4"/>
      <c r="F72" s="5"/>
      <c r="G72" s="5"/>
      <c r="I72" s="3"/>
    </row>
    <row r="73" spans="3:9" outlineLevel="1" x14ac:dyDescent="0.2">
      <c r="C73" s="3"/>
      <c r="D73" s="3"/>
      <c r="E73" s="4"/>
      <c r="F73" s="5"/>
      <c r="G73" s="5"/>
      <c r="I73" s="3"/>
    </row>
    <row r="74" spans="3:9" outlineLevel="1" x14ac:dyDescent="0.2">
      <c r="C74" s="3"/>
      <c r="D74" s="3"/>
      <c r="E74" s="4"/>
      <c r="F74" s="5"/>
      <c r="G74" s="5"/>
      <c r="I74" s="3"/>
    </row>
    <row r="75" spans="3:9" outlineLevel="1" x14ac:dyDescent="0.2"/>
  </sheetData>
  <mergeCells count="6">
    <mergeCell ref="X24:AG24"/>
    <mergeCell ref="C48:N48"/>
    <mergeCell ref="I33:J33"/>
    <mergeCell ref="I29:J29"/>
    <mergeCell ref="C24:M24"/>
    <mergeCell ref="N24:W24"/>
  </mergeCells>
  <phoneticPr fontId="1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20</vt:i4>
      </vt:variant>
    </vt:vector>
  </HeadingPairs>
  <TitlesOfParts>
    <vt:vector size="21" baseType="lpstr">
      <vt:lpstr>Choke</vt:lpstr>
      <vt:lpstr>Choke!Bob_</vt:lpstr>
      <vt:lpstr>calibr_for_fsolve</vt:lpstr>
      <vt:lpstr>d_choke</vt:lpstr>
      <vt:lpstr>d_pipe</vt:lpstr>
      <vt:lpstr>Choke!fw_</vt:lpstr>
      <vt:lpstr>Choke!gamma_gas_</vt:lpstr>
      <vt:lpstr>Choke!gamma_oil_</vt:lpstr>
      <vt:lpstr>Choke!gamma_wat_</vt:lpstr>
      <vt:lpstr>Choke!muob_</vt:lpstr>
      <vt:lpstr>p_other_atma</vt:lpstr>
      <vt:lpstr>Choke!Pb_</vt:lpstr>
      <vt:lpstr>Pbuf_</vt:lpstr>
      <vt:lpstr>Plin_</vt:lpstr>
      <vt:lpstr>PVTstr_</vt:lpstr>
      <vt:lpstr>Qliq_</vt:lpstr>
      <vt:lpstr>Choke!Rp_</vt:lpstr>
      <vt:lpstr>Choke!Rsb_</vt:lpstr>
      <vt:lpstr>T_choke</vt:lpstr>
      <vt:lpstr>T_upchoke</vt:lpstr>
      <vt:lpstr>Choke!Tres_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Олег Кобзарь</cp:lastModifiedBy>
  <cp:lastPrinted>2007-08-27T05:31:44Z</cp:lastPrinted>
  <dcterms:created xsi:type="dcterms:W3CDTF">2005-04-11T05:46:28Z</dcterms:created>
  <dcterms:modified xsi:type="dcterms:W3CDTF">2019-07-25T16:31:53Z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