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np\Documents\ITS\semester 8\commision\CII-calculator-website\"/>
    </mc:Choice>
  </mc:AlternateContent>
  <xr:revisionPtr revIDLastSave="0" documentId="13_ncr:1_{E73EAFDA-F962-4958-B700-C5D57D56AC4B}" xr6:coauthVersionLast="47" xr6:coauthVersionMax="47" xr10:uidLastSave="{00000000-0000-0000-0000-000000000000}"/>
  <bookViews>
    <workbookView xWindow="-108" yWindow="-108" windowWidth="30936" windowHeight="16896" tabRatio="619" activeTab="1" xr2:uid="{C389CCFE-06E1-4C6D-B4D8-61E5808D4579}"/>
  </bookViews>
  <sheets>
    <sheet name="External Input" sheetId="4" r:id="rId1"/>
    <sheet name="Calculation" sheetId="5" r:id="rId2"/>
    <sheet name="Results" sheetId="6" r:id="rId3"/>
    <sheet name="Sheet1" sheetId="1" state="hidden" r:id="rId4"/>
    <sheet name="data, etc" sheetId="2" r:id="rId5"/>
    <sheet name="Route Distance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6" i="5" l="1"/>
  <c r="D83" i="5"/>
  <c r="C83" i="5"/>
  <c r="D107" i="5"/>
  <c r="D154" i="5"/>
  <c r="D132" i="5"/>
  <c r="I136" i="5"/>
  <c r="F136" i="5"/>
  <c r="D136" i="5"/>
  <c r="H136" i="5"/>
  <c r="G136" i="5"/>
  <c r="C149" i="5"/>
  <c r="N119" i="5"/>
  <c r="F10" i="6"/>
  <c r="Q67" i="5"/>
  <c r="F14" i="5" l="1"/>
  <c r="L15" i="5" s="1"/>
  <c r="H3" i="5"/>
  <c r="H4" i="5" s="1"/>
  <c r="L9" i="6"/>
  <c r="M9" i="6"/>
  <c r="N9" i="6"/>
  <c r="O9" i="6"/>
  <c r="P9" i="6"/>
  <c r="Q9" i="6"/>
  <c r="R9" i="6"/>
  <c r="K9" i="6"/>
  <c r="D6" i="6"/>
  <c r="I7" i="5"/>
  <c r="H7" i="5" s="1"/>
  <c r="D5" i="6"/>
  <c r="D4" i="6"/>
  <c r="D3" i="6"/>
  <c r="I132" i="5"/>
  <c r="I131" i="5"/>
  <c r="I130" i="5"/>
  <c r="I129" i="5"/>
  <c r="N118" i="5"/>
  <c r="O118" i="5"/>
  <c r="M5" i="2"/>
  <c r="B71" i="5"/>
  <c r="AM108" i="1"/>
  <c r="L55" i="5"/>
  <c r="K66" i="5"/>
  <c r="H98" i="1"/>
  <c r="M5" i="5"/>
  <c r="M4" i="5"/>
  <c r="M3" i="5"/>
  <c r="I6" i="5"/>
  <c r="H6" i="5" s="1"/>
  <c r="I5" i="5"/>
  <c r="H5" i="5" s="1"/>
  <c r="Y97" i="1"/>
  <c r="H56" i="5"/>
  <c r="H60" i="5" s="1"/>
  <c r="L60" i="5" s="1"/>
  <c r="D60" i="5"/>
  <c r="M99" i="1"/>
  <c r="L38" i="5"/>
  <c r="M31" i="1"/>
  <c r="C32" i="5"/>
  <c r="C31" i="5"/>
  <c r="C30" i="5"/>
  <c r="F32" i="5"/>
  <c r="I16" i="5" s="1"/>
  <c r="F22" i="5"/>
  <c r="L31" i="5" s="1"/>
  <c r="F21" i="5"/>
  <c r="L26" i="5" s="1"/>
  <c r="F20" i="5"/>
  <c r="L32" i="5" s="1"/>
  <c r="F19" i="5"/>
  <c r="I45" i="5" s="1"/>
  <c r="L49" i="5" s="1"/>
  <c r="F18" i="5"/>
  <c r="I50" i="5" s="1"/>
  <c r="F16" i="5"/>
  <c r="I40" i="5" s="1"/>
  <c r="C3" i="5"/>
  <c r="C22" i="5" s="1"/>
  <c r="C4" i="5"/>
  <c r="C15" i="5" s="1"/>
  <c r="Y99" i="1"/>
  <c r="Y98" i="1"/>
  <c r="N5" i="2" l="1"/>
  <c r="O5" i="2"/>
  <c r="V67" i="5"/>
  <c r="B72" i="5"/>
  <c r="B73" i="5" s="1"/>
  <c r="B85" i="5" s="1"/>
  <c r="B96" i="5" s="1"/>
  <c r="B108" i="5" s="1"/>
  <c r="C71" i="5"/>
  <c r="Q66" i="5"/>
  <c r="V66" i="5" s="1"/>
  <c r="Q33" i="5"/>
  <c r="M6" i="2"/>
  <c r="O6" i="2" s="1"/>
  <c r="I44" i="5"/>
  <c r="L48" i="5" s="1"/>
  <c r="T66" i="5"/>
  <c r="I24" i="5"/>
  <c r="M6" i="5"/>
  <c r="M7" i="5" s="1"/>
  <c r="I38" i="5"/>
  <c r="I43" i="5"/>
  <c r="L19" i="5"/>
  <c r="L24" i="5"/>
  <c r="L39" i="5"/>
  <c r="L42" i="5"/>
  <c r="L35" i="5"/>
  <c r="I48" i="5"/>
  <c r="L41" i="5"/>
  <c r="I49" i="5"/>
  <c r="L40" i="5"/>
  <c r="L21" i="5"/>
  <c r="L25" i="5"/>
  <c r="I39" i="5"/>
  <c r="L14" i="5"/>
  <c r="L27" i="5"/>
  <c r="L30" i="5"/>
  <c r="Q43" i="5" s="1"/>
  <c r="F33" i="5"/>
  <c r="I22" i="5"/>
  <c r="I20" i="5"/>
  <c r="I19" i="5"/>
  <c r="F35" i="5"/>
  <c r="F15" i="5"/>
  <c r="I18" i="5"/>
  <c r="I21" i="5"/>
  <c r="I17" i="5"/>
  <c r="C39" i="5"/>
  <c r="I27" i="5"/>
  <c r="I29" i="5"/>
  <c r="F34" i="5"/>
  <c r="I28" i="5"/>
  <c r="I23" i="5"/>
  <c r="F25" i="5"/>
  <c r="F26" i="5"/>
  <c r="F27" i="5"/>
  <c r="F28" i="5"/>
  <c r="F29" i="5"/>
  <c r="F30" i="5"/>
  <c r="F31" i="5"/>
  <c r="F23" i="5"/>
  <c r="F24" i="5"/>
  <c r="C14" i="5"/>
  <c r="Q12" i="5" s="1"/>
  <c r="C24" i="5"/>
  <c r="Q14" i="5" s="1"/>
  <c r="AC137" i="1"/>
  <c r="M83" i="1"/>
  <c r="AO107" i="1"/>
  <c r="M98" i="1"/>
  <c r="M95" i="1"/>
  <c r="H99" i="1"/>
  <c r="H100" i="1" s="1"/>
  <c r="H101" i="1" s="1"/>
  <c r="AE107" i="1" s="1"/>
  <c r="AK107" i="1" s="1"/>
  <c r="H96" i="1"/>
  <c r="M96" i="1" s="1"/>
  <c r="M100" i="1" s="1"/>
  <c r="M101" i="1" s="1"/>
  <c r="H95" i="1"/>
  <c r="R51" i="1"/>
  <c r="P5" i="2" l="1"/>
  <c r="Q5" i="2" s="1"/>
  <c r="R5" i="2" s="1"/>
  <c r="L119" i="5" s="1"/>
  <c r="G106" i="5"/>
  <c r="D135" i="5"/>
  <c r="B74" i="5"/>
  <c r="B86" i="5" s="1"/>
  <c r="B97" i="5" s="1"/>
  <c r="B109" i="5" s="1"/>
  <c r="Q25" i="5"/>
  <c r="V25" i="5" s="1"/>
  <c r="C73" i="5"/>
  <c r="C72" i="5"/>
  <c r="B84" i="5"/>
  <c r="B95" i="5" s="1"/>
  <c r="B107" i="5" s="1"/>
  <c r="B120" i="5" s="1"/>
  <c r="F71" i="5"/>
  <c r="G71" i="5" s="1"/>
  <c r="D71" i="5"/>
  <c r="E71" i="5" s="1"/>
  <c r="T67" i="5"/>
  <c r="D134" i="5"/>
  <c r="D133" i="5"/>
  <c r="B11" i="6"/>
  <c r="V12" i="5"/>
  <c r="T12" i="5"/>
  <c r="C19" i="5"/>
  <c r="Q13" i="5" s="1"/>
  <c r="B121" i="5"/>
  <c r="B12" i="6"/>
  <c r="B122" i="5"/>
  <c r="B13" i="6"/>
  <c r="I34" i="5"/>
  <c r="T14" i="5"/>
  <c r="V14" i="5"/>
  <c r="Q42" i="5"/>
  <c r="Q30" i="5"/>
  <c r="D137" i="5"/>
  <c r="D142" i="5"/>
  <c r="D141" i="5"/>
  <c r="D138" i="5"/>
  <c r="D140" i="5"/>
  <c r="D139" i="5"/>
  <c r="P6" i="2"/>
  <c r="Q6" i="2" s="1"/>
  <c r="R6" i="2" s="1"/>
  <c r="L120" i="5" s="1"/>
  <c r="G107" i="5"/>
  <c r="K107" i="5" s="1"/>
  <c r="N6" i="2"/>
  <c r="M7" i="2"/>
  <c r="O7" i="2" s="1"/>
  <c r="B83" i="5"/>
  <c r="B94" i="5" s="1"/>
  <c r="B106" i="5" s="1"/>
  <c r="Q24" i="5"/>
  <c r="C74" i="5"/>
  <c r="C86" i="5" s="1"/>
  <c r="B75" i="5"/>
  <c r="B87" i="5" s="1"/>
  <c r="B98" i="5" s="1"/>
  <c r="B110" i="5" s="1"/>
  <c r="F73" i="5"/>
  <c r="C85" i="5"/>
  <c r="D73" i="5"/>
  <c r="E73" i="5" s="1"/>
  <c r="C84" i="5"/>
  <c r="F72" i="5"/>
  <c r="D72" i="5"/>
  <c r="E72" i="5" s="1"/>
  <c r="L16" i="5"/>
  <c r="Q27" i="5" s="1"/>
  <c r="L20" i="5"/>
  <c r="Q28" i="5" s="1"/>
  <c r="D59" i="5"/>
  <c r="Q55" i="5" s="1"/>
  <c r="T55" i="5" s="1"/>
  <c r="Q26" i="5"/>
  <c r="D56" i="5"/>
  <c r="L47" i="5"/>
  <c r="F36" i="5"/>
  <c r="L36" i="5"/>
  <c r="F37" i="5"/>
  <c r="L37" i="5"/>
  <c r="Q29" i="5"/>
  <c r="I14" i="5"/>
  <c r="C27" i="5"/>
  <c r="Q15" i="5" s="1"/>
  <c r="AF107" i="1"/>
  <c r="AF108" i="1" s="1"/>
  <c r="AF109" i="1" s="1"/>
  <c r="AF110" i="1" s="1"/>
  <c r="AF111" i="1" s="1"/>
  <c r="AF112" i="1" s="1"/>
  <c r="AF113" i="1" s="1"/>
  <c r="AF114" i="1" s="1"/>
  <c r="AF115" i="1" s="1"/>
  <c r="AF116" i="1" s="1"/>
  <c r="M102" i="1"/>
  <c r="H102" i="1"/>
  <c r="C135" i="1"/>
  <c r="C134" i="1"/>
  <c r="K106" i="5" l="1"/>
  <c r="L106" i="5"/>
  <c r="H106" i="5"/>
  <c r="C119" i="5"/>
  <c r="T25" i="5"/>
  <c r="E83" i="5"/>
  <c r="H71" i="5"/>
  <c r="C36" i="5"/>
  <c r="V13" i="5"/>
  <c r="T13" i="5"/>
  <c r="L135" i="5"/>
  <c r="B149" i="5"/>
  <c r="K12" i="6" s="1"/>
  <c r="T28" i="5"/>
  <c r="V28" i="5"/>
  <c r="T24" i="5"/>
  <c r="V24" i="5"/>
  <c r="V30" i="5"/>
  <c r="T30" i="5"/>
  <c r="T27" i="5"/>
  <c r="V27" i="5"/>
  <c r="T29" i="5"/>
  <c r="V29" i="5"/>
  <c r="K135" i="5"/>
  <c r="B148" i="5"/>
  <c r="K11" i="6" s="1"/>
  <c r="B119" i="5"/>
  <c r="B10" i="6"/>
  <c r="T26" i="5"/>
  <c r="V26" i="5"/>
  <c r="B123" i="5"/>
  <c r="B14" i="6"/>
  <c r="F17" i="5"/>
  <c r="Q16" i="5" s="1"/>
  <c r="V15" i="5"/>
  <c r="T15" i="5"/>
  <c r="M135" i="5"/>
  <c r="B150" i="5"/>
  <c r="K13" i="6" s="1"/>
  <c r="M106" i="5"/>
  <c r="I10" i="6" s="1"/>
  <c r="D119" i="5"/>
  <c r="I119" i="5" s="1"/>
  <c r="I138" i="5"/>
  <c r="G138" i="5"/>
  <c r="F138" i="5"/>
  <c r="H138" i="5"/>
  <c r="F139" i="5"/>
  <c r="I139" i="5"/>
  <c r="G139" i="5"/>
  <c r="H139" i="5"/>
  <c r="F140" i="5"/>
  <c r="H140" i="5"/>
  <c r="G140" i="5"/>
  <c r="I140" i="5"/>
  <c r="I137" i="5"/>
  <c r="G137" i="5"/>
  <c r="H137" i="5"/>
  <c r="F137" i="5"/>
  <c r="F141" i="5"/>
  <c r="I141" i="5"/>
  <c r="G141" i="5"/>
  <c r="H141" i="5"/>
  <c r="I142" i="5"/>
  <c r="F142" i="5"/>
  <c r="G142" i="5"/>
  <c r="H142" i="5"/>
  <c r="C120" i="5"/>
  <c r="P7" i="2"/>
  <c r="Q7" i="2" s="1"/>
  <c r="R7" i="2" s="1"/>
  <c r="L121" i="5" s="1"/>
  <c r="G108" i="5"/>
  <c r="K108" i="5" s="1"/>
  <c r="L107" i="5"/>
  <c r="G11" i="6" s="1"/>
  <c r="M107" i="5"/>
  <c r="I11" i="6" s="1"/>
  <c r="H107" i="5"/>
  <c r="G10" i="6"/>
  <c r="N7" i="2"/>
  <c r="M8" i="2"/>
  <c r="O8" i="2" s="1"/>
  <c r="C75" i="5"/>
  <c r="F75" i="5" s="1"/>
  <c r="B76" i="5"/>
  <c r="B88" i="5" s="1"/>
  <c r="B99" i="5" s="1"/>
  <c r="B111" i="5" s="1"/>
  <c r="F74" i="5"/>
  <c r="G74" i="5" s="1"/>
  <c r="D74" i="5"/>
  <c r="E74" i="5" s="1"/>
  <c r="D64" i="5"/>
  <c r="D99" i="5"/>
  <c r="D96" i="5"/>
  <c r="D97" i="5"/>
  <c r="D98" i="5"/>
  <c r="D100" i="5"/>
  <c r="D94" i="5"/>
  <c r="D101" i="5"/>
  <c r="D95" i="5"/>
  <c r="G73" i="5"/>
  <c r="G72" i="5"/>
  <c r="B77" i="5"/>
  <c r="B89" i="5" s="1"/>
  <c r="B100" i="5" s="1"/>
  <c r="B112" i="5" s="1"/>
  <c r="C76" i="5"/>
  <c r="AE108" i="1"/>
  <c r="H48" i="1"/>
  <c r="H47" i="1"/>
  <c r="G216" i="1"/>
  <c r="F176" i="1"/>
  <c r="H216" i="1" s="1"/>
  <c r="D120" i="5" l="1"/>
  <c r="I120" i="5" s="1"/>
  <c r="C87" i="5"/>
  <c r="D75" i="5"/>
  <c r="E75" i="5" s="1"/>
  <c r="I71" i="5"/>
  <c r="J71" i="5" s="1"/>
  <c r="C33" i="5"/>
  <c r="Q17" i="5" s="1"/>
  <c r="V16" i="5"/>
  <c r="T16" i="5"/>
  <c r="B125" i="5"/>
  <c r="B16" i="6"/>
  <c r="J135" i="5"/>
  <c r="B147" i="5"/>
  <c r="K10" i="6" s="1"/>
  <c r="B124" i="5"/>
  <c r="B15" i="6"/>
  <c r="N135" i="5"/>
  <c r="B151" i="5"/>
  <c r="K14" i="6" s="1"/>
  <c r="I15" i="5"/>
  <c r="I30" i="5" s="1"/>
  <c r="Q22" i="5" s="1"/>
  <c r="H73" i="5"/>
  <c r="I73" i="5" s="1"/>
  <c r="J73" i="5" s="1"/>
  <c r="E85" i="5"/>
  <c r="F85" i="5" s="1"/>
  <c r="H72" i="5"/>
  <c r="I72" i="5" s="1"/>
  <c r="J72" i="5" s="1"/>
  <c r="E84" i="5"/>
  <c r="H74" i="5"/>
  <c r="I74" i="5" s="1"/>
  <c r="J74" i="5" s="1"/>
  <c r="E86" i="5"/>
  <c r="F86" i="5" s="1"/>
  <c r="C121" i="5"/>
  <c r="D121" i="5" s="1"/>
  <c r="I121" i="5" s="1"/>
  <c r="P8" i="2"/>
  <c r="Q8" i="2" s="1"/>
  <c r="R8" i="2" s="1"/>
  <c r="L122" i="5" s="1"/>
  <c r="G109" i="5"/>
  <c r="K109" i="5" s="1"/>
  <c r="L108" i="5"/>
  <c r="G12" i="6" s="1"/>
  <c r="M108" i="5"/>
  <c r="I12" i="6" s="1"/>
  <c r="H108" i="5"/>
  <c r="N8" i="2"/>
  <c r="M9" i="2"/>
  <c r="O9" i="2" s="1"/>
  <c r="D86" i="5"/>
  <c r="D85" i="5"/>
  <c r="D76" i="5"/>
  <c r="E76" i="5" s="1"/>
  <c r="C88" i="5"/>
  <c r="F76" i="5"/>
  <c r="G75" i="5"/>
  <c r="D84" i="5"/>
  <c r="C77" i="5"/>
  <c r="B78" i="5"/>
  <c r="AE109" i="1"/>
  <c r="AE110" i="1" s="1"/>
  <c r="AE111" i="1" s="1"/>
  <c r="AE112" i="1" s="1"/>
  <c r="AE113" i="1" s="1"/>
  <c r="AE114" i="1" s="1"/>
  <c r="AE115" i="1" s="1"/>
  <c r="AE116" i="1" s="1"/>
  <c r="AK108" i="1"/>
  <c r="A189" i="1"/>
  <c r="I216" i="1" s="1"/>
  <c r="H41" i="1"/>
  <c r="I33" i="5" l="1"/>
  <c r="I35" i="5" s="1"/>
  <c r="Q23" i="5" s="1"/>
  <c r="T22" i="5"/>
  <c r="V22" i="5"/>
  <c r="O135" i="5"/>
  <c r="B152" i="5"/>
  <c r="K15" i="6" s="1"/>
  <c r="P135" i="5"/>
  <c r="B153" i="5"/>
  <c r="K16" i="6" s="1"/>
  <c r="Q21" i="5"/>
  <c r="C38" i="5"/>
  <c r="Q18" i="5" s="1"/>
  <c r="Q35" i="5" s="1"/>
  <c r="V17" i="5"/>
  <c r="T17" i="5"/>
  <c r="H75" i="5"/>
  <c r="I75" i="5" s="1"/>
  <c r="J75" i="5" s="1"/>
  <c r="E87" i="5"/>
  <c r="F87" i="5" s="1"/>
  <c r="C122" i="5"/>
  <c r="D122" i="5" s="1"/>
  <c r="I122" i="5" s="1"/>
  <c r="P9" i="2"/>
  <c r="Q9" i="2" s="1"/>
  <c r="R9" i="2" s="1"/>
  <c r="L123" i="5" s="1"/>
  <c r="G110" i="5"/>
  <c r="K110" i="5" s="1"/>
  <c r="L109" i="5"/>
  <c r="G13" i="6" s="1"/>
  <c r="M109" i="5"/>
  <c r="I13" i="6" s="1"/>
  <c r="H109" i="5"/>
  <c r="N9" i="2"/>
  <c r="M10" i="2"/>
  <c r="O10" i="2" s="1"/>
  <c r="G86" i="5"/>
  <c r="H86" i="5" s="1"/>
  <c r="J86" i="5" s="1"/>
  <c r="C97" i="5" s="1"/>
  <c r="E97" i="5" s="1"/>
  <c r="C78" i="5"/>
  <c r="B90" i="5"/>
  <c r="B101" i="5" s="1"/>
  <c r="B113" i="5" s="1"/>
  <c r="F84" i="5"/>
  <c r="G84" i="5" s="1"/>
  <c r="H84" i="5" s="1"/>
  <c r="J84" i="5" s="1"/>
  <c r="C95" i="5" s="1"/>
  <c r="E95" i="5" s="1"/>
  <c r="F77" i="5"/>
  <c r="D77" i="5"/>
  <c r="E77" i="5" s="1"/>
  <c r="C89" i="5"/>
  <c r="D87" i="5"/>
  <c r="G76" i="5"/>
  <c r="G85" i="5"/>
  <c r="H85" i="5" s="1"/>
  <c r="J85" i="5" s="1"/>
  <c r="C96" i="5" s="1"/>
  <c r="E96" i="5" s="1"/>
  <c r="F189" i="1"/>
  <c r="J216" i="1" s="1"/>
  <c r="A165" i="1"/>
  <c r="A166" i="1"/>
  <c r="A167" i="1"/>
  <c r="A168" i="1"/>
  <c r="A169" i="1"/>
  <c r="A170" i="1"/>
  <c r="A171" i="1"/>
  <c r="A172" i="1"/>
  <c r="A173" i="1"/>
  <c r="A174" i="1"/>
  <c r="A164" i="1"/>
  <c r="H161" i="1"/>
  <c r="H159" i="1"/>
  <c r="H160" i="1"/>
  <c r="H158" i="1"/>
  <c r="C130" i="1"/>
  <c r="C133" i="1" s="1"/>
  <c r="F83" i="5" l="1"/>
  <c r="G83" i="5" s="1"/>
  <c r="H83" i="5"/>
  <c r="J83" i="5" s="1"/>
  <c r="C94" i="5" s="1"/>
  <c r="E94" i="5" s="1"/>
  <c r="F94" i="5" s="1"/>
  <c r="G94" i="5" s="1"/>
  <c r="H94" i="5" s="1"/>
  <c r="I94" i="5" s="1"/>
  <c r="J94" i="5" s="1"/>
  <c r="V18" i="5"/>
  <c r="T18" i="5"/>
  <c r="V21" i="5"/>
  <c r="T21" i="5"/>
  <c r="Q31" i="5"/>
  <c r="V31" i="5" s="1"/>
  <c r="B126" i="5"/>
  <c r="B17" i="6"/>
  <c r="T23" i="5"/>
  <c r="V23" i="5"/>
  <c r="T31" i="5"/>
  <c r="D88" i="5"/>
  <c r="E88" i="5"/>
  <c r="F88" i="5" s="1"/>
  <c r="G88" i="5" s="1"/>
  <c r="H88" i="5" s="1"/>
  <c r="C123" i="5"/>
  <c r="D123" i="5" s="1"/>
  <c r="I123" i="5" s="1"/>
  <c r="P10" i="2"/>
  <c r="Q10" i="2" s="1"/>
  <c r="R10" i="2" s="1"/>
  <c r="L124" i="5" s="1"/>
  <c r="G111" i="5"/>
  <c r="K111" i="5" s="1"/>
  <c r="L110" i="5"/>
  <c r="G14" i="6" s="1"/>
  <c r="M110" i="5"/>
  <c r="I14" i="6" s="1"/>
  <c r="H110" i="5"/>
  <c r="M11" i="2"/>
  <c r="O11" i="2" s="1"/>
  <c r="N10" i="2"/>
  <c r="F97" i="5"/>
  <c r="G97" i="5" s="1"/>
  <c r="H97" i="5" s="1"/>
  <c r="I97" i="5" s="1"/>
  <c r="J97" i="5" s="1"/>
  <c r="F96" i="5"/>
  <c r="G96" i="5" s="1"/>
  <c r="H96" i="5" s="1"/>
  <c r="I96" i="5" s="1"/>
  <c r="J96" i="5" s="1"/>
  <c r="F95" i="5"/>
  <c r="G95" i="5" s="1"/>
  <c r="H95" i="5" s="1"/>
  <c r="I95" i="5" s="1"/>
  <c r="J95" i="5" s="1"/>
  <c r="C90" i="5"/>
  <c r="F78" i="5"/>
  <c r="D78" i="5"/>
  <c r="E78" i="5" s="1"/>
  <c r="G87" i="5"/>
  <c r="H87" i="5" s="1"/>
  <c r="J87" i="5" s="1"/>
  <c r="C98" i="5" s="1"/>
  <c r="E98" i="5" s="1"/>
  <c r="H76" i="5"/>
  <c r="I76" i="5" s="1"/>
  <c r="J76" i="5" s="1"/>
  <c r="G77" i="5"/>
  <c r="A202" i="1"/>
  <c r="K216" i="1" s="1"/>
  <c r="C137" i="1"/>
  <c r="C141" i="1" s="1"/>
  <c r="S10" i="1"/>
  <c r="Q10" i="1" s="1"/>
  <c r="S9" i="1"/>
  <c r="Q9" i="1" s="1"/>
  <c r="S8" i="1"/>
  <c r="Q8" i="1" s="1"/>
  <c r="F5" i="2"/>
  <c r="E146" i="1" l="1"/>
  <c r="B166" i="1" s="1"/>
  <c r="E144" i="1"/>
  <c r="B164" i="1" s="1"/>
  <c r="F164" i="1" s="1"/>
  <c r="J164" i="1" s="1"/>
  <c r="E145" i="1"/>
  <c r="B165" i="1" s="1"/>
  <c r="D165" i="1" s="1"/>
  <c r="L165" i="1" s="1"/>
  <c r="E106" i="5"/>
  <c r="C106" i="5"/>
  <c r="F106" i="5"/>
  <c r="L45" i="5"/>
  <c r="Q32" i="5" s="1"/>
  <c r="V32" i="5" s="1"/>
  <c r="Q135" i="5"/>
  <c r="B154" i="5"/>
  <c r="K17" i="6" s="1"/>
  <c r="V35" i="5"/>
  <c r="T35" i="5"/>
  <c r="T32" i="5"/>
  <c r="J88" i="5"/>
  <c r="C99" i="5" s="1"/>
  <c r="E99" i="5" s="1"/>
  <c r="F99" i="5" s="1"/>
  <c r="G99" i="5" s="1"/>
  <c r="H99" i="5" s="1"/>
  <c r="I99" i="5" s="1"/>
  <c r="J99" i="5" s="1"/>
  <c r="D89" i="5"/>
  <c r="E89" i="5"/>
  <c r="F89" i="5" s="1"/>
  <c r="C124" i="5"/>
  <c r="D124" i="5" s="1"/>
  <c r="I124" i="5" s="1"/>
  <c r="P11" i="2"/>
  <c r="Q11" i="2" s="1"/>
  <c r="R11" i="2" s="1"/>
  <c r="L125" i="5" s="1"/>
  <c r="G112" i="5"/>
  <c r="K112" i="5" s="1"/>
  <c r="L111" i="5"/>
  <c r="G15" i="6" s="1"/>
  <c r="M111" i="5"/>
  <c r="I15" i="6" s="1"/>
  <c r="H111" i="5"/>
  <c r="E107" i="5"/>
  <c r="F107" i="5"/>
  <c r="C107" i="5"/>
  <c r="E109" i="5"/>
  <c r="F109" i="5"/>
  <c r="C109" i="5"/>
  <c r="D109" i="5"/>
  <c r="E108" i="5"/>
  <c r="F108" i="5"/>
  <c r="C108" i="5"/>
  <c r="D108" i="5"/>
  <c r="N11" i="2"/>
  <c r="M12" i="2"/>
  <c r="O12" i="2" s="1"/>
  <c r="F98" i="5"/>
  <c r="G98" i="5" s="1"/>
  <c r="H98" i="5" s="1"/>
  <c r="I98" i="5" s="1"/>
  <c r="J98" i="5" s="1"/>
  <c r="G78" i="5"/>
  <c r="H77" i="5"/>
  <c r="I77" i="5" s="1"/>
  <c r="J77" i="5" s="1"/>
  <c r="F202" i="1"/>
  <c r="L216" i="1" s="1"/>
  <c r="E152" i="1"/>
  <c r="E153" i="1"/>
  <c r="B173" i="1" s="1"/>
  <c r="D173" i="1" s="1"/>
  <c r="L173" i="1" s="1"/>
  <c r="E148" i="1"/>
  <c r="E154" i="1"/>
  <c r="B174" i="1" s="1"/>
  <c r="E174" i="1" s="1"/>
  <c r="K174" i="1" s="1"/>
  <c r="A215" i="1"/>
  <c r="E150" i="1"/>
  <c r="E149" i="1"/>
  <c r="E151" i="1"/>
  <c r="E147" i="1"/>
  <c r="B167" i="1" s="1"/>
  <c r="F167" i="1" s="1"/>
  <c r="J167" i="1" s="1"/>
  <c r="A107" i="1"/>
  <c r="G5" i="2"/>
  <c r="C95" i="1"/>
  <c r="C96" i="1" s="1"/>
  <c r="Q13" i="1"/>
  <c r="Q12" i="1"/>
  <c r="Q11" i="1"/>
  <c r="Q6" i="1"/>
  <c r="AK115" i="3"/>
  <c r="AO195" i="3"/>
  <c r="AR195" i="3" s="1"/>
  <c r="AS195" i="3" s="1"/>
  <c r="AM195" i="3"/>
  <c r="AK195" i="3"/>
  <c r="AK203" i="3" s="1"/>
  <c r="AO194" i="3"/>
  <c r="AR194" i="3" s="1"/>
  <c r="AS194" i="3" s="1"/>
  <c r="AM194" i="3"/>
  <c r="AM202" i="3" s="1"/>
  <c r="L156" i="3" s="1"/>
  <c r="AK194" i="3"/>
  <c r="AK202" i="3" s="1"/>
  <c r="I156" i="3" s="1"/>
  <c r="AR193" i="3"/>
  <c r="AO193" i="3"/>
  <c r="AO192" i="3"/>
  <c r="AP188" i="3" s="1"/>
  <c r="AP201" i="3" s="1"/>
  <c r="AO191" i="3"/>
  <c r="AR191" i="3" s="1"/>
  <c r="AR190" i="3"/>
  <c r="AO190" i="3"/>
  <c r="AO189" i="3"/>
  <c r="AR189" i="3" s="1"/>
  <c r="AR188" i="3"/>
  <c r="AO188" i="3"/>
  <c r="AM188" i="3"/>
  <c r="AM201" i="3" s="1"/>
  <c r="K154" i="3" s="1"/>
  <c r="AK188" i="3"/>
  <c r="AK201" i="3" s="1"/>
  <c r="H154" i="3" s="1"/>
  <c r="AO187" i="3"/>
  <c r="AR187" i="3" s="1"/>
  <c r="AR186" i="3"/>
  <c r="AO186" i="3"/>
  <c r="AO185" i="3"/>
  <c r="AR185" i="3" s="1"/>
  <c r="AO184" i="3"/>
  <c r="AR184" i="3" s="1"/>
  <c r="AO183" i="3"/>
  <c r="AR183" i="3" s="1"/>
  <c r="AM183" i="3"/>
  <c r="AM199" i="3" s="1"/>
  <c r="AK183" i="3"/>
  <c r="AO182" i="3"/>
  <c r="AR182" i="3" s="1"/>
  <c r="AS182" i="3" s="1"/>
  <c r="AM182" i="3"/>
  <c r="AK182" i="3"/>
  <c r="AK200" i="3" s="1"/>
  <c r="AO181" i="3"/>
  <c r="AR181" i="3" s="1"/>
  <c r="AS181" i="3" s="1"/>
  <c r="AM181" i="3"/>
  <c r="AK181" i="3"/>
  <c r="AR175" i="3"/>
  <c r="AO175" i="3"/>
  <c r="AO174" i="3"/>
  <c r="AR174" i="3" s="1"/>
  <c r="AR173" i="3"/>
  <c r="AS173" i="3" s="1"/>
  <c r="AP173" i="3"/>
  <c r="AO173" i="3"/>
  <c r="AM173" i="3"/>
  <c r="K155" i="3" s="1"/>
  <c r="AK173" i="3"/>
  <c r="H155" i="3" s="1"/>
  <c r="AO172" i="3"/>
  <c r="AR172" i="3" s="1"/>
  <c r="AO171" i="3"/>
  <c r="AR171" i="3" s="1"/>
  <c r="AS171" i="3" s="1"/>
  <c r="AM171" i="3"/>
  <c r="AK171" i="3"/>
  <c r="AR170" i="3"/>
  <c r="AO170" i="3"/>
  <c r="AO169" i="3"/>
  <c r="AP168" i="3" s="1"/>
  <c r="AR168" i="3"/>
  <c r="AO168" i="3"/>
  <c r="AM168" i="3"/>
  <c r="AK168" i="3"/>
  <c r="AO167" i="3"/>
  <c r="AR167" i="3" s="1"/>
  <c r="AR166" i="3"/>
  <c r="AO166" i="3"/>
  <c r="AO165" i="3"/>
  <c r="AP164" i="3" s="1"/>
  <c r="AR164" i="3"/>
  <c r="AO164" i="3"/>
  <c r="AM164" i="3"/>
  <c r="AK164" i="3"/>
  <c r="AO163" i="3"/>
  <c r="AR163" i="3" s="1"/>
  <c r="AR162" i="3"/>
  <c r="AO162" i="3"/>
  <c r="AR161" i="3"/>
  <c r="AS161" i="3" s="1"/>
  <c r="AO161" i="3"/>
  <c r="AP161" i="3" s="1"/>
  <c r="AM161" i="3"/>
  <c r="AM203" i="3" s="1"/>
  <c r="AK161" i="3"/>
  <c r="AR160" i="3"/>
  <c r="AO160" i="3"/>
  <c r="AO159" i="3"/>
  <c r="AR159" i="3" s="1"/>
  <c r="AR158" i="3"/>
  <c r="AO158" i="3"/>
  <c r="J158" i="3"/>
  <c r="AO157" i="3"/>
  <c r="AP156" i="3" s="1"/>
  <c r="AR156" i="3"/>
  <c r="AO156" i="3"/>
  <c r="AM156" i="3"/>
  <c r="K151" i="3" s="1"/>
  <c r="AK156" i="3"/>
  <c r="H151" i="3" s="1"/>
  <c r="AR155" i="3"/>
  <c r="AO155" i="3"/>
  <c r="M155" i="3"/>
  <c r="J155" i="3"/>
  <c r="AR154" i="3"/>
  <c r="AO154" i="3"/>
  <c r="AR153" i="3"/>
  <c r="AS153" i="3" s="1"/>
  <c r="AP153" i="3"/>
  <c r="AO153" i="3"/>
  <c r="AM153" i="3"/>
  <c r="K150" i="3" s="1"/>
  <c r="AK153" i="3"/>
  <c r="M153" i="3"/>
  <c r="K153" i="3"/>
  <c r="H153" i="3"/>
  <c r="G153" i="3"/>
  <c r="AO152" i="3"/>
  <c r="AR152" i="3" s="1"/>
  <c r="K152" i="3"/>
  <c r="H152" i="3"/>
  <c r="AR151" i="3"/>
  <c r="AO151" i="3"/>
  <c r="M151" i="3"/>
  <c r="AO150" i="3"/>
  <c r="AR150" i="3" s="1"/>
  <c r="AS150" i="3" s="1"/>
  <c r="AM150" i="3"/>
  <c r="AK150" i="3"/>
  <c r="J150" i="3"/>
  <c r="H150" i="3"/>
  <c r="AO149" i="3"/>
  <c r="AR149" i="3" s="1"/>
  <c r="AS149" i="3" s="1"/>
  <c r="AM149" i="3"/>
  <c r="AK149" i="3"/>
  <c r="M149" i="3"/>
  <c r="H149" i="3"/>
  <c r="AR148" i="3"/>
  <c r="AO148" i="3"/>
  <c r="K148" i="3"/>
  <c r="H148" i="3"/>
  <c r="G148" i="3"/>
  <c r="AO147" i="3"/>
  <c r="AR147" i="3" s="1"/>
  <c r="L147" i="3"/>
  <c r="AO146" i="3"/>
  <c r="AR146" i="3" s="1"/>
  <c r="AO145" i="3"/>
  <c r="AR145" i="3" s="1"/>
  <c r="AS144" i="3" s="1"/>
  <c r="AR144" i="3"/>
  <c r="AO144" i="3"/>
  <c r="AM144" i="3"/>
  <c r="K158" i="3" s="1"/>
  <c r="AK144" i="3"/>
  <c r="I147" i="3" s="1"/>
  <c r="AR143" i="3"/>
  <c r="AO143" i="3"/>
  <c r="AO142" i="3"/>
  <c r="AR142" i="3" s="1"/>
  <c r="AO141" i="3"/>
  <c r="AR141" i="3" s="1"/>
  <c r="AO140" i="3"/>
  <c r="AR140" i="3" s="1"/>
  <c r="O140" i="3"/>
  <c r="O141" i="3" s="1"/>
  <c r="AR139" i="3"/>
  <c r="AP139" i="3"/>
  <c r="AO139" i="3"/>
  <c r="AM139" i="3"/>
  <c r="K157" i="3" s="1"/>
  <c r="AK139" i="3"/>
  <c r="H157" i="3" s="1"/>
  <c r="AO138" i="3"/>
  <c r="AR138" i="3" s="1"/>
  <c r="AO137" i="3"/>
  <c r="AR137" i="3" s="1"/>
  <c r="AO136" i="3"/>
  <c r="AR136" i="3" s="1"/>
  <c r="AO135" i="3"/>
  <c r="AR135" i="3" s="1"/>
  <c r="AR134" i="3"/>
  <c r="AP134" i="3"/>
  <c r="AO134" i="3"/>
  <c r="AM134" i="3"/>
  <c r="J151" i="3" s="1"/>
  <c r="AK134" i="3"/>
  <c r="G151" i="3" s="1"/>
  <c r="AO133" i="3"/>
  <c r="AR133" i="3" s="1"/>
  <c r="AO132" i="3"/>
  <c r="AR132" i="3" s="1"/>
  <c r="AR131" i="3"/>
  <c r="AO131" i="3"/>
  <c r="AP131" i="3" s="1"/>
  <c r="AM131" i="3"/>
  <c r="AK131" i="3"/>
  <c r="G155" i="3" s="1"/>
  <c r="AO130" i="3"/>
  <c r="AR130" i="3" s="1"/>
  <c r="AS130" i="3" s="1"/>
  <c r="AM130" i="3"/>
  <c r="AK130" i="3"/>
  <c r="AO129" i="3"/>
  <c r="AR129" i="3" s="1"/>
  <c r="AO128" i="3"/>
  <c r="AR128" i="3" s="1"/>
  <c r="AR127" i="3"/>
  <c r="AS127" i="3" s="1"/>
  <c r="AP127" i="3"/>
  <c r="AO127" i="3"/>
  <c r="AM127" i="3"/>
  <c r="AK127" i="3"/>
  <c r="AK199" i="3" s="1"/>
  <c r="G154" i="3" s="1"/>
  <c r="AO126" i="3"/>
  <c r="AR126" i="3" s="1"/>
  <c r="AS126" i="3" s="1"/>
  <c r="AM126" i="3"/>
  <c r="AK126" i="3"/>
  <c r="AR125" i="3"/>
  <c r="AS124" i="3" s="1"/>
  <c r="AO125" i="3"/>
  <c r="AR124" i="3"/>
  <c r="AP124" i="3"/>
  <c r="AO124" i="3"/>
  <c r="AM124" i="3"/>
  <c r="AK124" i="3"/>
  <c r="G150" i="3" s="1"/>
  <c r="AO123" i="3"/>
  <c r="AR123" i="3" s="1"/>
  <c r="AO122" i="3"/>
  <c r="AR122" i="3" s="1"/>
  <c r="AR121" i="3"/>
  <c r="AO121" i="3"/>
  <c r="AP121" i="3" s="1"/>
  <c r="AM121" i="3"/>
  <c r="J149" i="3" s="1"/>
  <c r="AK121" i="3"/>
  <c r="G149" i="3" s="1"/>
  <c r="AR120" i="3"/>
  <c r="AS120" i="3" s="1"/>
  <c r="AO120" i="3"/>
  <c r="AP120" i="3" s="1"/>
  <c r="AM120" i="3"/>
  <c r="J148" i="3" s="1"/>
  <c r="AK120" i="3"/>
  <c r="AO119" i="3"/>
  <c r="AR119" i="3" s="1"/>
  <c r="AR118" i="3"/>
  <c r="AO118" i="3"/>
  <c r="AR117" i="3"/>
  <c r="AO117" i="3"/>
  <c r="AR116" i="3"/>
  <c r="AO116" i="3"/>
  <c r="AP115" i="3"/>
  <c r="AO115" i="3"/>
  <c r="AR115" i="3" s="1"/>
  <c r="AM115" i="3"/>
  <c r="J157" i="3" s="1"/>
  <c r="G157" i="3"/>
  <c r="O115" i="3"/>
  <c r="AR114" i="3"/>
  <c r="AS114" i="3" s="1"/>
  <c r="AP114" i="3"/>
  <c r="AO114" i="3"/>
  <c r="AM114" i="3"/>
  <c r="AK114" i="3"/>
  <c r="O114" i="3"/>
  <c r="AR113" i="3"/>
  <c r="AO113" i="3"/>
  <c r="AO112" i="3"/>
  <c r="AR112" i="3" s="1"/>
  <c r="G112" i="3"/>
  <c r="AO111" i="3"/>
  <c r="AR111" i="3" s="1"/>
  <c r="G111" i="3"/>
  <c r="AR110" i="3"/>
  <c r="AS110" i="3" s="1"/>
  <c r="AO110" i="3"/>
  <c r="AP110" i="3" s="1"/>
  <c r="AM110" i="3"/>
  <c r="J152" i="3" s="1"/>
  <c r="AK110" i="3"/>
  <c r="G152" i="3" s="1"/>
  <c r="G110" i="3"/>
  <c r="AO109" i="3"/>
  <c r="AR109" i="3" s="1"/>
  <c r="G109" i="3"/>
  <c r="AO108" i="3"/>
  <c r="AR108" i="3" s="1"/>
  <c r="G108" i="3"/>
  <c r="AO107" i="3"/>
  <c r="AR107" i="3" s="1"/>
  <c r="AM107" i="3"/>
  <c r="J153" i="3" s="1"/>
  <c r="AK107" i="3"/>
  <c r="G107" i="3"/>
  <c r="AO106" i="3"/>
  <c r="AR106" i="3" s="1"/>
  <c r="AS106" i="3" s="1"/>
  <c r="AM106" i="3"/>
  <c r="K149" i="3" s="1"/>
  <c r="AK106" i="3"/>
  <c r="G106" i="3"/>
  <c r="G105" i="3"/>
  <c r="G104" i="3"/>
  <c r="K103" i="3"/>
  <c r="I103" i="3"/>
  <c r="G103" i="3"/>
  <c r="J103" i="3" s="1"/>
  <c r="K102" i="3"/>
  <c r="I102" i="3"/>
  <c r="G102" i="3"/>
  <c r="K101" i="3"/>
  <c r="I101" i="3"/>
  <c r="G101" i="3"/>
  <c r="K100" i="3"/>
  <c r="I100" i="3"/>
  <c r="AK99" i="3"/>
  <c r="AR95" i="3"/>
  <c r="AS95" i="3" s="1"/>
  <c r="AP95" i="3"/>
  <c r="AO95" i="3"/>
  <c r="AM95" i="3"/>
  <c r="AK95" i="3"/>
  <c r="AR94" i="3"/>
  <c r="AS94" i="3" s="1"/>
  <c r="AP94" i="3"/>
  <c r="AO94" i="3"/>
  <c r="AM94" i="3"/>
  <c r="AM101" i="3" s="1"/>
  <c r="AK94" i="3"/>
  <c r="AK101" i="3" s="1"/>
  <c r="AO93" i="3"/>
  <c r="AR93" i="3" s="1"/>
  <c r="W93" i="3"/>
  <c r="U93" i="3"/>
  <c r="N93" i="3"/>
  <c r="G93" i="3"/>
  <c r="AO92" i="3"/>
  <c r="AR92" i="3" s="1"/>
  <c r="W92" i="3"/>
  <c r="U92" i="3"/>
  <c r="N92" i="3"/>
  <c r="G92" i="3"/>
  <c r="AO91" i="3"/>
  <c r="AR91" i="3" s="1"/>
  <c r="W91" i="3"/>
  <c r="U91" i="3"/>
  <c r="N91" i="3"/>
  <c r="G91" i="3"/>
  <c r="AO90" i="3"/>
  <c r="AR90" i="3" s="1"/>
  <c r="W90" i="3"/>
  <c r="U90" i="3"/>
  <c r="N90" i="3"/>
  <c r="G90" i="3"/>
  <c r="AO89" i="3"/>
  <c r="AR89" i="3" s="1"/>
  <c r="W89" i="3"/>
  <c r="U89" i="3"/>
  <c r="N89" i="3"/>
  <c r="G89" i="3"/>
  <c r="AR88" i="3"/>
  <c r="AS88" i="3" s="1"/>
  <c r="AP88" i="3"/>
  <c r="AO88" i="3"/>
  <c r="AM88" i="3"/>
  <c r="AM100" i="3" s="1"/>
  <c r="AK88" i="3"/>
  <c r="AK100" i="3" s="1"/>
  <c r="W88" i="3"/>
  <c r="X88" i="3" s="1"/>
  <c r="V88" i="3"/>
  <c r="U88" i="3"/>
  <c r="T88" i="3"/>
  <c r="R88" i="3"/>
  <c r="P88" i="3"/>
  <c r="O88" i="3"/>
  <c r="N88" i="3"/>
  <c r="K88" i="3"/>
  <c r="AA88" i="3" s="1"/>
  <c r="J88" i="3"/>
  <c r="N155" i="3" s="1"/>
  <c r="I88" i="3"/>
  <c r="G88" i="3"/>
  <c r="AR87" i="3"/>
  <c r="AO87" i="3"/>
  <c r="W87" i="3"/>
  <c r="U87" i="3"/>
  <c r="N87" i="3"/>
  <c r="G87" i="3"/>
  <c r="AR86" i="3"/>
  <c r="AO86" i="3"/>
  <c r="W86" i="3"/>
  <c r="U86" i="3"/>
  <c r="N86" i="3"/>
  <c r="G86" i="3"/>
  <c r="AR85" i="3"/>
  <c r="AO85" i="3"/>
  <c r="W85" i="3"/>
  <c r="U85" i="3"/>
  <c r="N85" i="3"/>
  <c r="G85" i="3"/>
  <c r="AR84" i="3"/>
  <c r="AO84" i="3"/>
  <c r="W84" i="3"/>
  <c r="U84" i="3"/>
  <c r="V72" i="3" s="1"/>
  <c r="O138" i="3" s="1"/>
  <c r="O139" i="3" s="1"/>
  <c r="N84" i="3"/>
  <c r="G84" i="3"/>
  <c r="AR83" i="3"/>
  <c r="AO83" i="3"/>
  <c r="W83" i="3"/>
  <c r="U83" i="3"/>
  <c r="N83" i="3"/>
  <c r="G83" i="3"/>
  <c r="AR82" i="3"/>
  <c r="AS81" i="3" s="1"/>
  <c r="AO82" i="3"/>
  <c r="W82" i="3"/>
  <c r="U82" i="3"/>
  <c r="N82" i="3"/>
  <c r="G82" i="3"/>
  <c r="AR81" i="3"/>
  <c r="AP81" i="3"/>
  <c r="AP99" i="3" s="1"/>
  <c r="F133" i="3" s="1"/>
  <c r="AO81" i="3"/>
  <c r="AM81" i="3"/>
  <c r="AK81" i="3"/>
  <c r="W81" i="3"/>
  <c r="U81" i="3"/>
  <c r="N81" i="3"/>
  <c r="G81" i="3"/>
  <c r="W80" i="3"/>
  <c r="U80" i="3"/>
  <c r="N80" i="3"/>
  <c r="G80" i="3"/>
  <c r="W79" i="3"/>
  <c r="U79" i="3"/>
  <c r="N79" i="3"/>
  <c r="G79" i="3"/>
  <c r="W78" i="3"/>
  <c r="U78" i="3"/>
  <c r="N78" i="3"/>
  <c r="G78" i="3"/>
  <c r="W77" i="3"/>
  <c r="U77" i="3"/>
  <c r="N77" i="3"/>
  <c r="G77" i="3"/>
  <c r="W76" i="3"/>
  <c r="U76" i="3"/>
  <c r="N76" i="3"/>
  <c r="G76" i="3"/>
  <c r="J72" i="3" s="1"/>
  <c r="N154" i="3" s="1"/>
  <c r="AR75" i="3"/>
  <c r="AO75" i="3"/>
  <c r="W75" i="3"/>
  <c r="U75" i="3"/>
  <c r="N75" i="3"/>
  <c r="G75" i="3"/>
  <c r="AR74" i="3"/>
  <c r="AO74" i="3"/>
  <c r="W74" i="3"/>
  <c r="U74" i="3"/>
  <c r="N74" i="3"/>
  <c r="G74" i="3"/>
  <c r="AO73" i="3"/>
  <c r="AR73" i="3" s="1"/>
  <c r="AS73" i="3" s="1"/>
  <c r="AM73" i="3"/>
  <c r="AK73" i="3"/>
  <c r="W73" i="3"/>
  <c r="U73" i="3"/>
  <c r="N73" i="3"/>
  <c r="P72" i="3" s="1"/>
  <c r="G73" i="3"/>
  <c r="AO72" i="3"/>
  <c r="AR72" i="3" s="1"/>
  <c r="AA72" i="3"/>
  <c r="W72" i="3"/>
  <c r="X72" i="3" s="1"/>
  <c r="U72" i="3"/>
  <c r="T72" i="3"/>
  <c r="R72" i="3"/>
  <c r="O72" i="3"/>
  <c r="N72" i="3"/>
  <c r="K72" i="3"/>
  <c r="I72" i="3"/>
  <c r="M154" i="3" s="1"/>
  <c r="G72" i="3"/>
  <c r="AO71" i="3"/>
  <c r="AR71" i="3" s="1"/>
  <c r="W71" i="3"/>
  <c r="U71" i="3"/>
  <c r="N71" i="3"/>
  <c r="G71" i="3"/>
  <c r="AR70" i="3"/>
  <c r="AO70" i="3"/>
  <c r="W70" i="3"/>
  <c r="U70" i="3"/>
  <c r="N70" i="3"/>
  <c r="G70" i="3"/>
  <c r="AO69" i="3"/>
  <c r="AR69" i="3" s="1"/>
  <c r="W69" i="3"/>
  <c r="U69" i="3"/>
  <c r="N69" i="3"/>
  <c r="G69" i="3"/>
  <c r="AO68" i="3"/>
  <c r="AR68" i="3" s="1"/>
  <c r="AM68" i="3"/>
  <c r="AK68" i="3"/>
  <c r="W68" i="3"/>
  <c r="U68" i="3"/>
  <c r="N68" i="3"/>
  <c r="G68" i="3"/>
  <c r="AR67" i="3"/>
  <c r="AO67" i="3"/>
  <c r="W67" i="3"/>
  <c r="U67" i="3"/>
  <c r="N67" i="3"/>
  <c r="G67" i="3"/>
  <c r="AR66" i="3"/>
  <c r="AO66" i="3"/>
  <c r="X66" i="3"/>
  <c r="W66" i="3"/>
  <c r="U66" i="3"/>
  <c r="V66" i="3" s="1"/>
  <c r="O136" i="3" s="1"/>
  <c r="O137" i="3" s="1"/>
  <c r="T66" i="3"/>
  <c r="R66" i="3"/>
  <c r="O66" i="3"/>
  <c r="N66" i="3"/>
  <c r="P66" i="3" s="1"/>
  <c r="K66" i="3"/>
  <c r="AA66" i="3" s="1"/>
  <c r="I66" i="3"/>
  <c r="G66" i="3"/>
  <c r="J66" i="3" s="1"/>
  <c r="N153" i="3" s="1"/>
  <c r="AO65" i="3"/>
  <c r="AR65" i="3" s="1"/>
  <c r="W65" i="3"/>
  <c r="U65" i="3"/>
  <c r="N65" i="3"/>
  <c r="G65" i="3"/>
  <c r="AR64" i="3"/>
  <c r="AP64" i="3"/>
  <c r="F141" i="3" s="1"/>
  <c r="AO64" i="3"/>
  <c r="AM64" i="3"/>
  <c r="AK64" i="3"/>
  <c r="W64" i="3"/>
  <c r="U64" i="3"/>
  <c r="N64" i="3"/>
  <c r="G64" i="3"/>
  <c r="AR63" i="3"/>
  <c r="AO63" i="3"/>
  <c r="W63" i="3"/>
  <c r="U63" i="3"/>
  <c r="N63" i="3"/>
  <c r="G63" i="3"/>
  <c r="AO62" i="3"/>
  <c r="AR62" i="3" s="1"/>
  <c r="W62" i="3"/>
  <c r="U62" i="3"/>
  <c r="N62" i="3"/>
  <c r="G62" i="3"/>
  <c r="AO61" i="3"/>
  <c r="AR61" i="3" s="1"/>
  <c r="AM61" i="3"/>
  <c r="AM102" i="3" s="1"/>
  <c r="AK61" i="3"/>
  <c r="AK102" i="3" s="1"/>
  <c r="W61" i="3"/>
  <c r="U61" i="3"/>
  <c r="N61" i="3"/>
  <c r="G61" i="3"/>
  <c r="AR60" i="3"/>
  <c r="AO60" i="3"/>
  <c r="W60" i="3"/>
  <c r="U60" i="3"/>
  <c r="N60" i="3"/>
  <c r="G60" i="3"/>
  <c r="AR59" i="3"/>
  <c r="AO59" i="3"/>
  <c r="W59" i="3"/>
  <c r="U59" i="3"/>
  <c r="N59" i="3"/>
  <c r="G59" i="3"/>
  <c r="AR58" i="3"/>
  <c r="AO58" i="3"/>
  <c r="W58" i="3"/>
  <c r="X58" i="3" s="1"/>
  <c r="U58" i="3"/>
  <c r="V58" i="3" s="1"/>
  <c r="O134" i="3" s="1"/>
  <c r="O135" i="3" s="1"/>
  <c r="T58" i="3"/>
  <c r="R58" i="3"/>
  <c r="P58" i="3"/>
  <c r="O58" i="3"/>
  <c r="N58" i="3"/>
  <c r="K58" i="3"/>
  <c r="AA58" i="3" s="1"/>
  <c r="I58" i="3"/>
  <c r="M152" i="3" s="1"/>
  <c r="G58" i="3"/>
  <c r="J58" i="3" s="1"/>
  <c r="N152" i="3" s="1"/>
  <c r="AO57" i="3"/>
  <c r="AR57" i="3" s="1"/>
  <c r="W57" i="3"/>
  <c r="U57" i="3"/>
  <c r="N57" i="3"/>
  <c r="G57" i="3"/>
  <c r="AR56" i="3"/>
  <c r="AP56" i="3"/>
  <c r="F140" i="3" s="1"/>
  <c r="AO56" i="3"/>
  <c r="AM56" i="3"/>
  <c r="AK56" i="3"/>
  <c r="W56" i="3"/>
  <c r="U56" i="3"/>
  <c r="N56" i="3"/>
  <c r="G56" i="3"/>
  <c r="AO55" i="3"/>
  <c r="AP53" i="3" s="1"/>
  <c r="F139" i="3" s="1"/>
  <c r="W55" i="3"/>
  <c r="U55" i="3"/>
  <c r="N55" i="3"/>
  <c r="G55" i="3"/>
  <c r="AR54" i="3"/>
  <c r="AO54" i="3"/>
  <c r="W54" i="3"/>
  <c r="U54" i="3"/>
  <c r="N54" i="3"/>
  <c r="AR53" i="3"/>
  <c r="AO53" i="3"/>
  <c r="AM53" i="3"/>
  <c r="AK53" i="3"/>
  <c r="W53" i="3"/>
  <c r="U53" i="3"/>
  <c r="N53" i="3"/>
  <c r="G53" i="3"/>
  <c r="AO52" i="3"/>
  <c r="AR52" i="3" s="1"/>
  <c r="W52" i="3"/>
  <c r="U52" i="3"/>
  <c r="N52" i="3"/>
  <c r="G52" i="3"/>
  <c r="AO51" i="3"/>
  <c r="AR51" i="3" s="1"/>
  <c r="W51" i="3"/>
  <c r="U51" i="3"/>
  <c r="N51" i="3"/>
  <c r="G51" i="3"/>
  <c r="AO50" i="3"/>
  <c r="AR50" i="3" s="1"/>
  <c r="W50" i="3"/>
  <c r="U50" i="3"/>
  <c r="N50" i="3"/>
  <c r="P48" i="3" s="1"/>
  <c r="G50" i="3"/>
  <c r="AR49" i="3"/>
  <c r="AO49" i="3"/>
  <c r="AP49" i="3" s="1"/>
  <c r="AM49" i="3"/>
  <c r="AK49" i="3"/>
  <c r="W49" i="3"/>
  <c r="U49" i="3"/>
  <c r="V48" i="3" s="1"/>
  <c r="O132" i="3" s="1"/>
  <c r="O133" i="3" s="1"/>
  <c r="N49" i="3"/>
  <c r="G49" i="3"/>
  <c r="AR48" i="3"/>
  <c r="AO48" i="3"/>
  <c r="X48" i="3"/>
  <c r="W48" i="3"/>
  <c r="U48" i="3"/>
  <c r="T48" i="3"/>
  <c r="R48" i="3"/>
  <c r="O48" i="3"/>
  <c r="N48" i="3"/>
  <c r="K48" i="3"/>
  <c r="AA48" i="3" s="1"/>
  <c r="I48" i="3"/>
  <c r="G48" i="3"/>
  <c r="J48" i="3" s="1"/>
  <c r="N151" i="3" s="1"/>
  <c r="AO47" i="3"/>
  <c r="AR47" i="3" s="1"/>
  <c r="W47" i="3"/>
  <c r="U47" i="3"/>
  <c r="N47" i="3"/>
  <c r="G47" i="3"/>
  <c r="AO46" i="3"/>
  <c r="AR46" i="3" s="1"/>
  <c r="W46" i="3"/>
  <c r="X43" i="3" s="1"/>
  <c r="U46" i="3"/>
  <c r="N46" i="3"/>
  <c r="G46" i="3"/>
  <c r="AO45" i="3"/>
  <c r="AR45" i="3" s="1"/>
  <c r="W45" i="3"/>
  <c r="U45" i="3"/>
  <c r="N45" i="3"/>
  <c r="G45" i="3"/>
  <c r="AR44" i="3"/>
  <c r="AP44" i="3"/>
  <c r="F138" i="3" s="1"/>
  <c r="AO44" i="3"/>
  <c r="AM44" i="3"/>
  <c r="AK44" i="3"/>
  <c r="W44" i="3"/>
  <c r="U44" i="3"/>
  <c r="N44" i="3"/>
  <c r="G44" i="3"/>
  <c r="AO43" i="3"/>
  <c r="AR43" i="3" s="1"/>
  <c r="V43" i="3"/>
  <c r="O130" i="3" s="1"/>
  <c r="O131" i="3" s="1"/>
  <c r="T43" i="3"/>
  <c r="R43" i="3"/>
  <c r="P43" i="3"/>
  <c r="O43" i="3"/>
  <c r="N43" i="3"/>
  <c r="K43" i="3"/>
  <c r="AA43" i="3" s="1"/>
  <c r="I43" i="3"/>
  <c r="G43" i="3"/>
  <c r="J43" i="3" s="1"/>
  <c r="AO42" i="3"/>
  <c r="AR42" i="3" s="1"/>
  <c r="W42" i="3"/>
  <c r="U42" i="3"/>
  <c r="N42" i="3"/>
  <c r="G42" i="3"/>
  <c r="AO41" i="3"/>
  <c r="AR41" i="3" s="1"/>
  <c r="W41" i="3"/>
  <c r="U41" i="3"/>
  <c r="N41" i="3"/>
  <c r="G41" i="3"/>
  <c r="AO40" i="3"/>
  <c r="AP39" i="3" s="1"/>
  <c r="F137" i="3" s="1"/>
  <c r="W40" i="3"/>
  <c r="X38" i="3" s="1"/>
  <c r="U40" i="3"/>
  <c r="N40" i="3"/>
  <c r="G40" i="3"/>
  <c r="AR39" i="3"/>
  <c r="AO39" i="3"/>
  <c r="AM39" i="3"/>
  <c r="AK39" i="3"/>
  <c r="W39" i="3"/>
  <c r="U39" i="3"/>
  <c r="V38" i="3" s="1"/>
  <c r="O128" i="3" s="1"/>
  <c r="O129" i="3" s="1"/>
  <c r="N39" i="3"/>
  <c r="P38" i="3" s="1"/>
  <c r="G39" i="3"/>
  <c r="AO38" i="3"/>
  <c r="AR38" i="3" s="1"/>
  <c r="T38" i="3"/>
  <c r="R38" i="3"/>
  <c r="O38" i="3"/>
  <c r="N38" i="3"/>
  <c r="K38" i="3"/>
  <c r="AA38" i="3" s="1"/>
  <c r="I38" i="3"/>
  <c r="M156" i="3" s="1"/>
  <c r="G38" i="3"/>
  <c r="J38" i="3" s="1"/>
  <c r="AO37" i="3"/>
  <c r="AR37" i="3" s="1"/>
  <c r="W37" i="3"/>
  <c r="U37" i="3"/>
  <c r="N37" i="3"/>
  <c r="G37" i="3"/>
  <c r="AO36" i="3"/>
  <c r="AR36" i="3" s="1"/>
  <c r="W36" i="3"/>
  <c r="U36" i="3"/>
  <c r="N36" i="3"/>
  <c r="G36" i="3"/>
  <c r="AO35" i="3"/>
  <c r="AR35" i="3" s="1"/>
  <c r="W35" i="3"/>
  <c r="U35" i="3"/>
  <c r="N35" i="3"/>
  <c r="G35" i="3"/>
  <c r="AO34" i="3"/>
  <c r="AR34" i="3" s="1"/>
  <c r="W34" i="3"/>
  <c r="U34" i="3"/>
  <c r="N34" i="3"/>
  <c r="G34" i="3"/>
  <c r="AO33" i="3"/>
  <c r="AR33" i="3" s="1"/>
  <c r="W33" i="3"/>
  <c r="U33" i="3"/>
  <c r="N33" i="3"/>
  <c r="G33" i="3"/>
  <c r="J32" i="3" s="1"/>
  <c r="N150" i="3" s="1"/>
  <c r="AO32" i="3"/>
  <c r="AR32" i="3" s="1"/>
  <c r="AA32" i="3"/>
  <c r="W32" i="3"/>
  <c r="X32" i="3" s="1"/>
  <c r="V32" i="3"/>
  <c r="O126" i="3" s="1"/>
  <c r="O127" i="3" s="1"/>
  <c r="U32" i="3"/>
  <c r="T32" i="3"/>
  <c r="R32" i="3"/>
  <c r="O32" i="3"/>
  <c r="N32" i="3"/>
  <c r="P32" i="3" s="1"/>
  <c r="K32" i="3"/>
  <c r="I32" i="3"/>
  <c r="M150" i="3" s="1"/>
  <c r="G32" i="3"/>
  <c r="AO31" i="3"/>
  <c r="AR31" i="3" s="1"/>
  <c r="W31" i="3"/>
  <c r="U31" i="3"/>
  <c r="N31" i="3"/>
  <c r="G31" i="3"/>
  <c r="AO30" i="3"/>
  <c r="AR30" i="3" s="1"/>
  <c r="W30" i="3"/>
  <c r="U30" i="3"/>
  <c r="N30" i="3"/>
  <c r="G30" i="3"/>
  <c r="AO29" i="3"/>
  <c r="AR29" i="3" s="1"/>
  <c r="W29" i="3"/>
  <c r="U29" i="3"/>
  <c r="N29" i="3"/>
  <c r="G29" i="3"/>
  <c r="AO28" i="3"/>
  <c r="AR28" i="3" s="1"/>
  <c r="W28" i="3"/>
  <c r="U28" i="3"/>
  <c r="N28" i="3"/>
  <c r="P25" i="3" s="1"/>
  <c r="G28" i="3"/>
  <c r="AO27" i="3"/>
  <c r="AR27" i="3" s="1"/>
  <c r="N27" i="3"/>
  <c r="G27" i="3"/>
  <c r="AR26" i="3"/>
  <c r="AO26" i="3"/>
  <c r="W26" i="3"/>
  <c r="U26" i="3"/>
  <c r="N26" i="3"/>
  <c r="G26" i="3"/>
  <c r="AR25" i="3"/>
  <c r="AO25" i="3"/>
  <c r="X25" i="3"/>
  <c r="W25" i="3"/>
  <c r="U25" i="3"/>
  <c r="V25" i="3" s="1"/>
  <c r="O124" i="3" s="1"/>
  <c r="O125" i="3" s="1"/>
  <c r="T25" i="3"/>
  <c r="R25" i="3"/>
  <c r="O25" i="3"/>
  <c r="N25" i="3"/>
  <c r="K25" i="3"/>
  <c r="AA25" i="3" s="1"/>
  <c r="I25" i="3"/>
  <c r="M148" i="3" s="1"/>
  <c r="G25" i="3"/>
  <c r="J25" i="3" s="1"/>
  <c r="N148" i="3" s="1"/>
  <c r="AO24" i="3"/>
  <c r="AR24" i="3" s="1"/>
  <c r="W24" i="3"/>
  <c r="U24" i="3"/>
  <c r="N24" i="3"/>
  <c r="G24" i="3"/>
  <c r="AO23" i="3"/>
  <c r="AR23" i="3" s="1"/>
  <c r="W23" i="3"/>
  <c r="U23" i="3"/>
  <c r="N23" i="3"/>
  <c r="G23" i="3"/>
  <c r="AO22" i="3"/>
  <c r="AR22" i="3" s="1"/>
  <c r="W22" i="3"/>
  <c r="U22" i="3"/>
  <c r="N22" i="3"/>
  <c r="G22" i="3"/>
  <c r="AO21" i="3"/>
  <c r="AR21" i="3" s="1"/>
  <c r="W21" i="3"/>
  <c r="U21" i="3"/>
  <c r="N21" i="3"/>
  <c r="G21" i="3"/>
  <c r="J20" i="3" s="1"/>
  <c r="N158" i="3" s="1"/>
  <c r="AO20" i="3"/>
  <c r="AR20" i="3" s="1"/>
  <c r="AA20" i="3"/>
  <c r="W20" i="3"/>
  <c r="X20" i="3" s="1"/>
  <c r="V20" i="3"/>
  <c r="O122" i="3" s="1"/>
  <c r="O123" i="3" s="1"/>
  <c r="U20" i="3"/>
  <c r="T20" i="3"/>
  <c r="R20" i="3"/>
  <c r="O20" i="3"/>
  <c r="N20" i="3"/>
  <c r="P20" i="3" s="1"/>
  <c r="K20" i="3"/>
  <c r="I20" i="3"/>
  <c r="M158" i="3" s="1"/>
  <c r="G20" i="3"/>
  <c r="AO19" i="3"/>
  <c r="AR19" i="3" s="1"/>
  <c r="W19" i="3"/>
  <c r="U19" i="3"/>
  <c r="N19" i="3"/>
  <c r="G19" i="3"/>
  <c r="AO18" i="3"/>
  <c r="AR18" i="3" s="1"/>
  <c r="W18" i="3"/>
  <c r="U18" i="3"/>
  <c r="N18" i="3"/>
  <c r="G18" i="3"/>
  <c r="AO17" i="3"/>
  <c r="AR17" i="3" s="1"/>
  <c r="W17" i="3"/>
  <c r="U17" i="3"/>
  <c r="N17" i="3"/>
  <c r="P15" i="3" s="1"/>
  <c r="G17" i="3"/>
  <c r="AO16" i="3"/>
  <c r="AR16" i="3" s="1"/>
  <c r="W16" i="3"/>
  <c r="U16" i="3"/>
  <c r="N16" i="3"/>
  <c r="G16" i="3"/>
  <c r="AR15" i="3"/>
  <c r="AO15" i="3"/>
  <c r="AP15" i="3" s="1"/>
  <c r="AM15" i="3"/>
  <c r="AM99" i="3" s="1"/>
  <c r="AK15" i="3"/>
  <c r="X15" i="3"/>
  <c r="W15" i="3"/>
  <c r="U15" i="3"/>
  <c r="V15" i="3" s="1"/>
  <c r="O120" i="3" s="1"/>
  <c r="O121" i="3" s="1"/>
  <c r="T15" i="3"/>
  <c r="R15" i="3"/>
  <c r="O15" i="3"/>
  <c r="N15" i="3"/>
  <c r="K15" i="3"/>
  <c r="AA15" i="3" s="1"/>
  <c r="I15" i="3"/>
  <c r="G15" i="3"/>
  <c r="J15" i="3" s="1"/>
  <c r="AO14" i="3"/>
  <c r="AR14" i="3" s="1"/>
  <c r="N14" i="3"/>
  <c r="M14" i="3"/>
  <c r="O10" i="3" s="1"/>
  <c r="G14" i="3"/>
  <c r="AO13" i="3"/>
  <c r="AR13" i="3" s="1"/>
  <c r="W13" i="3"/>
  <c r="U13" i="3"/>
  <c r="N13" i="3"/>
  <c r="G13" i="3"/>
  <c r="AO12" i="3"/>
  <c r="AR12" i="3" s="1"/>
  <c r="U12" i="3"/>
  <c r="N12" i="3"/>
  <c r="M12" i="3"/>
  <c r="W12" i="3" s="1"/>
  <c r="G12" i="3"/>
  <c r="AR11" i="3"/>
  <c r="AO11" i="3"/>
  <c r="W11" i="3"/>
  <c r="U11" i="3"/>
  <c r="N11" i="3"/>
  <c r="M11" i="3"/>
  <c r="G11" i="3"/>
  <c r="AO10" i="3"/>
  <c r="AR10" i="3" s="1"/>
  <c r="AA10" i="3"/>
  <c r="W10" i="3"/>
  <c r="U10" i="3"/>
  <c r="T10" i="3"/>
  <c r="R10" i="3"/>
  <c r="N10" i="3"/>
  <c r="P10" i="3" s="1"/>
  <c r="K10" i="3"/>
  <c r="J10" i="3"/>
  <c r="N157" i="3" s="1"/>
  <c r="I10" i="3"/>
  <c r="M157" i="3" s="1"/>
  <c r="G10" i="3"/>
  <c r="AO9" i="3"/>
  <c r="AR9" i="3" s="1"/>
  <c r="W9" i="3"/>
  <c r="U9" i="3"/>
  <c r="N9" i="3"/>
  <c r="G9" i="3"/>
  <c r="AO8" i="3"/>
  <c r="AR8" i="3" s="1"/>
  <c r="W8" i="3"/>
  <c r="U8" i="3"/>
  <c r="N8" i="3"/>
  <c r="P7" i="3" s="1"/>
  <c r="G8" i="3"/>
  <c r="AO7" i="3"/>
  <c r="AR7" i="3" s="1"/>
  <c r="W7" i="3"/>
  <c r="X7" i="3" s="1"/>
  <c r="U7" i="3"/>
  <c r="V7" i="3" s="1"/>
  <c r="O116" i="3" s="1"/>
  <c r="O117" i="3" s="1"/>
  <c r="T7" i="3"/>
  <c r="R7" i="3"/>
  <c r="O7" i="3"/>
  <c r="N7" i="3"/>
  <c r="K7" i="3"/>
  <c r="AA7" i="3" s="1"/>
  <c r="J7" i="3"/>
  <c r="N149" i="3" s="1"/>
  <c r="I7" i="3"/>
  <c r="G7" i="3"/>
  <c r="AO6" i="3"/>
  <c r="AR6" i="3" s="1"/>
  <c r="AM6" i="3"/>
  <c r="AK6" i="3"/>
  <c r="AA6" i="3"/>
  <c r="W6" i="3"/>
  <c r="U6" i="3"/>
  <c r="N6" i="3"/>
  <c r="K6" i="3"/>
  <c r="G6" i="3"/>
  <c r="Q17" i="1"/>
  <c r="M66" i="1"/>
  <c r="R89" i="1"/>
  <c r="H89" i="1"/>
  <c r="H90" i="1"/>
  <c r="C89" i="1"/>
  <c r="M82" i="1"/>
  <c r="I82" i="1"/>
  <c r="M75" i="1"/>
  <c r="M74" i="1"/>
  <c r="M62" i="1"/>
  <c r="M64" i="1"/>
  <c r="M65" i="1"/>
  <c r="M63" i="1"/>
  <c r="H51" i="1"/>
  <c r="H52" i="1"/>
  <c r="H53" i="1"/>
  <c r="H54" i="1"/>
  <c r="H55" i="1"/>
  <c r="H56" i="1"/>
  <c r="H57" i="1"/>
  <c r="H58" i="1"/>
  <c r="H50" i="1"/>
  <c r="O106" i="5" l="1"/>
  <c r="E10" i="6" s="1"/>
  <c r="Q36" i="5"/>
  <c r="Q37" i="5" s="1"/>
  <c r="G119" i="5"/>
  <c r="H119" i="5" s="1"/>
  <c r="J106" i="5"/>
  <c r="I106" i="5"/>
  <c r="E119" i="5"/>
  <c r="F119" i="5" s="1"/>
  <c r="J119" i="5" s="1"/>
  <c r="N106" i="5"/>
  <c r="C10" i="6" s="1"/>
  <c r="G89" i="5"/>
  <c r="H89" i="5" s="1"/>
  <c r="J89" i="5" s="1"/>
  <c r="C100" i="5" s="1"/>
  <c r="E100" i="5" s="1"/>
  <c r="J107" i="5"/>
  <c r="J108" i="5"/>
  <c r="J109" i="5"/>
  <c r="G121" i="5"/>
  <c r="H121" i="5" s="1"/>
  <c r="G122" i="5"/>
  <c r="H122" i="5" s="1"/>
  <c r="E122" i="5"/>
  <c r="F122" i="5" s="1"/>
  <c r="J122" i="5" s="1"/>
  <c r="K122" i="5" s="1"/>
  <c r="M122" i="5" s="1"/>
  <c r="D90" i="5"/>
  <c r="E90" i="5"/>
  <c r="F90" i="5" s="1"/>
  <c r="G90" i="5" s="1"/>
  <c r="H90" i="5" s="1"/>
  <c r="G120" i="5"/>
  <c r="H120" i="5" s="1"/>
  <c r="I107" i="5"/>
  <c r="E120" i="5"/>
  <c r="F120" i="5" s="1"/>
  <c r="J120" i="5" s="1"/>
  <c r="K120" i="5" s="1"/>
  <c r="M120" i="5" s="1"/>
  <c r="I108" i="5"/>
  <c r="E121" i="5"/>
  <c r="F121" i="5" s="1"/>
  <c r="J121" i="5" s="1"/>
  <c r="K121" i="5" s="1"/>
  <c r="M121" i="5" s="1"/>
  <c r="C125" i="5"/>
  <c r="D125" i="5" s="1"/>
  <c r="I125" i="5" s="1"/>
  <c r="I109" i="5"/>
  <c r="O107" i="5"/>
  <c r="E11" i="6" s="1"/>
  <c r="N107" i="5"/>
  <c r="C11" i="6" s="1"/>
  <c r="O108" i="5"/>
  <c r="E12" i="6" s="1"/>
  <c r="N108" i="5"/>
  <c r="C12" i="6" s="1"/>
  <c r="N109" i="5"/>
  <c r="C13" i="6" s="1"/>
  <c r="O109" i="5"/>
  <c r="E13" i="6" s="1"/>
  <c r="P12" i="2"/>
  <c r="Q12" i="2" s="1"/>
  <c r="R12" i="2" s="1"/>
  <c r="L126" i="5" s="1"/>
  <c r="G113" i="5"/>
  <c r="K113" i="5" s="1"/>
  <c r="M112" i="5"/>
  <c r="I16" i="6" s="1"/>
  <c r="L112" i="5"/>
  <c r="G16" i="6" s="1"/>
  <c r="H112" i="5"/>
  <c r="D110" i="5"/>
  <c r="F110" i="5"/>
  <c r="E110" i="5"/>
  <c r="C110" i="5"/>
  <c r="C111" i="5"/>
  <c r="E111" i="5"/>
  <c r="D111" i="5"/>
  <c r="F111" i="5"/>
  <c r="N12" i="2"/>
  <c r="M13" i="2"/>
  <c r="O13" i="2" s="1"/>
  <c r="P13" i="2" s="1"/>
  <c r="H78" i="5"/>
  <c r="I78" i="5" s="1"/>
  <c r="J78" i="5" s="1"/>
  <c r="F165" i="1"/>
  <c r="J165" i="1" s="1"/>
  <c r="E165" i="1"/>
  <c r="K165" i="1" s="1"/>
  <c r="D174" i="1"/>
  <c r="L174" i="1" s="1"/>
  <c r="C173" i="1"/>
  <c r="M173" i="1" s="1"/>
  <c r="C174" i="1"/>
  <c r="M174" i="1" s="1"/>
  <c r="C165" i="1"/>
  <c r="M165" i="1" s="1"/>
  <c r="F173" i="1"/>
  <c r="J173" i="1" s="1"/>
  <c r="H204" i="1"/>
  <c r="H205" i="1" s="1"/>
  <c r="H206" i="1" s="1"/>
  <c r="H207" i="1" s="1"/>
  <c r="H208" i="1" s="1"/>
  <c r="H209" i="1" s="1"/>
  <c r="H210" i="1" s="1"/>
  <c r="H211" i="1" s="1"/>
  <c r="D164" i="1"/>
  <c r="L164" i="1" s="1"/>
  <c r="C164" i="1"/>
  <c r="M164" i="1" s="1"/>
  <c r="E164" i="1"/>
  <c r="K164" i="1" s="1"/>
  <c r="E173" i="1"/>
  <c r="K173" i="1" s="1"/>
  <c r="F174" i="1"/>
  <c r="J174" i="1" s="1"/>
  <c r="B171" i="1"/>
  <c r="H191" i="1"/>
  <c r="H192" i="1" s="1"/>
  <c r="H193" i="1" s="1"/>
  <c r="H194" i="1" s="1"/>
  <c r="H195" i="1" s="1"/>
  <c r="H196" i="1" s="1"/>
  <c r="H197" i="1" s="1"/>
  <c r="H198" i="1" s="1"/>
  <c r="M216" i="1"/>
  <c r="C217" i="1"/>
  <c r="C218" i="1" s="1"/>
  <c r="C219" i="1" s="1"/>
  <c r="C220" i="1" s="1"/>
  <c r="C221" i="1" s="1"/>
  <c r="C222" i="1" s="1"/>
  <c r="C223" i="1" s="1"/>
  <c r="C224" i="1" s="1"/>
  <c r="B168" i="1"/>
  <c r="C178" i="1"/>
  <c r="C179" i="1" s="1"/>
  <c r="C180" i="1" s="1"/>
  <c r="C181" i="1" s="1"/>
  <c r="C182" i="1" s="1"/>
  <c r="C183" i="1" s="1"/>
  <c r="C184" i="1" s="1"/>
  <c r="C185" i="1" s="1"/>
  <c r="B169" i="1"/>
  <c r="E169" i="1" s="1"/>
  <c r="K169" i="1" s="1"/>
  <c r="H178" i="1"/>
  <c r="H179" i="1" s="1"/>
  <c r="H180" i="1" s="1"/>
  <c r="H181" i="1" s="1"/>
  <c r="H182" i="1" s="1"/>
  <c r="H183" i="1" s="1"/>
  <c r="H184" i="1" s="1"/>
  <c r="H185" i="1" s="1"/>
  <c r="B170" i="1"/>
  <c r="C191" i="1"/>
  <c r="C192" i="1" s="1"/>
  <c r="C193" i="1" s="1"/>
  <c r="C194" i="1" s="1"/>
  <c r="C195" i="1" s="1"/>
  <c r="C196" i="1" s="1"/>
  <c r="C197" i="1" s="1"/>
  <c r="C198" i="1" s="1"/>
  <c r="B172" i="1"/>
  <c r="C204" i="1"/>
  <c r="C205" i="1" s="1"/>
  <c r="C206" i="1" s="1"/>
  <c r="C207" i="1" s="1"/>
  <c r="C208" i="1" s="1"/>
  <c r="C209" i="1" s="1"/>
  <c r="C210" i="1" s="1"/>
  <c r="C211" i="1" s="1"/>
  <c r="E167" i="1"/>
  <c r="K167" i="1" s="1"/>
  <c r="C167" i="1"/>
  <c r="M167" i="1" s="1"/>
  <c r="D167" i="1"/>
  <c r="L167" i="1" s="1"/>
  <c r="A108" i="1"/>
  <c r="F121" i="1"/>
  <c r="A178" i="1" s="1"/>
  <c r="C166" i="1"/>
  <c r="M166" i="1" s="1"/>
  <c r="D166" i="1"/>
  <c r="L166" i="1" s="1"/>
  <c r="E166" i="1"/>
  <c r="K166" i="1" s="1"/>
  <c r="F166" i="1"/>
  <c r="J166" i="1" s="1"/>
  <c r="AM113" i="1"/>
  <c r="AO113" i="1" s="1"/>
  <c r="AO108" i="1"/>
  <c r="AM115" i="1"/>
  <c r="AO115" i="1" s="1"/>
  <c r="AM109" i="1"/>
  <c r="AO109" i="1" s="1"/>
  <c r="AM110" i="1"/>
  <c r="AO110" i="1" s="1"/>
  <c r="AM114" i="1"/>
  <c r="AO114" i="1" s="1"/>
  <c r="AM111" i="1"/>
  <c r="AO111" i="1" s="1"/>
  <c r="AM112" i="1"/>
  <c r="AO112" i="1" s="1"/>
  <c r="AM116" i="1"/>
  <c r="AO116" i="1" s="1"/>
  <c r="AM107" i="1"/>
  <c r="AK111" i="1"/>
  <c r="AK112" i="1"/>
  <c r="AK114" i="1"/>
  <c r="AK115" i="1"/>
  <c r="AK116" i="1"/>
  <c r="AK109" i="1"/>
  <c r="AK110" i="1"/>
  <c r="AK113" i="1"/>
  <c r="Q7" i="1"/>
  <c r="Q14" i="1" s="1"/>
  <c r="Q18" i="1" s="1"/>
  <c r="H5" i="2"/>
  <c r="AQ107" i="1" s="1"/>
  <c r="F6" i="2"/>
  <c r="G6" i="2" s="1"/>
  <c r="AS68" i="3"/>
  <c r="AS100" i="3" s="1"/>
  <c r="AS131" i="3"/>
  <c r="AS168" i="3"/>
  <c r="AS183" i="3"/>
  <c r="AS199" i="3" s="1"/>
  <c r="H159" i="3"/>
  <c r="H156" i="3"/>
  <c r="J156" i="3"/>
  <c r="J154" i="3"/>
  <c r="AP101" i="3"/>
  <c r="F135" i="3" s="1"/>
  <c r="AS101" i="3"/>
  <c r="AS53" i="3"/>
  <c r="X10" i="3"/>
  <c r="N156" i="3"/>
  <c r="N159" i="3"/>
  <c r="AS49" i="3"/>
  <c r="AS139" i="3"/>
  <c r="AS44" i="3"/>
  <c r="AS107" i="3"/>
  <c r="AS15" i="3"/>
  <c r="AS64" i="3"/>
  <c r="AS115" i="3"/>
  <c r="AS39" i="3"/>
  <c r="AP100" i="3"/>
  <c r="AS134" i="3"/>
  <c r="K156" i="3"/>
  <c r="K159" i="3"/>
  <c r="G159" i="3"/>
  <c r="G156" i="3"/>
  <c r="AS202" i="3"/>
  <c r="AS99" i="3"/>
  <c r="AS200" i="3"/>
  <c r="AS6" i="3"/>
  <c r="AS56" i="3"/>
  <c r="AS61" i="3"/>
  <c r="AS102" i="3" s="1"/>
  <c r="AS121" i="3"/>
  <c r="AS203" i="3"/>
  <c r="AR55" i="3"/>
  <c r="AP73" i="3"/>
  <c r="F142" i="3" s="1"/>
  <c r="AP130" i="3"/>
  <c r="AR157" i="3"/>
  <c r="AS156" i="3" s="1"/>
  <c r="AR165" i="3"/>
  <c r="AS164" i="3" s="1"/>
  <c r="AR169" i="3"/>
  <c r="AP181" i="3"/>
  <c r="AP183" i="3"/>
  <c r="AP199" i="3" s="1"/>
  <c r="AR192" i="3"/>
  <c r="AS188" i="3" s="1"/>
  <c r="AS201" i="3" s="1"/>
  <c r="AP195" i="3"/>
  <c r="AP203" i="3" s="1"/>
  <c r="AR40" i="3"/>
  <c r="G147" i="3"/>
  <c r="G158" i="3"/>
  <c r="M159" i="3"/>
  <c r="H147" i="3"/>
  <c r="H158" i="3"/>
  <c r="U14" i="3"/>
  <c r="V10" i="3" s="1"/>
  <c r="O118" i="3" s="1"/>
  <c r="O119" i="3" s="1"/>
  <c r="AP61" i="3"/>
  <c r="AP102" i="3" s="1"/>
  <c r="F136" i="3" s="1"/>
  <c r="AP68" i="3"/>
  <c r="F134" i="3" s="1"/>
  <c r="AP107" i="3"/>
  <c r="AP126" i="3"/>
  <c r="J147" i="3"/>
  <c r="AP149" i="3"/>
  <c r="AP150" i="3"/>
  <c r="W14" i="3"/>
  <c r="K147" i="3"/>
  <c r="AP6" i="3"/>
  <c r="F132" i="3" s="1"/>
  <c r="AP144" i="3"/>
  <c r="AP171" i="3"/>
  <c r="AP182" i="3"/>
  <c r="AP200" i="3" s="1"/>
  <c r="AP194" i="3"/>
  <c r="AP202" i="3" s="1"/>
  <c r="M147" i="3"/>
  <c r="N147" i="3"/>
  <c r="AM200" i="3"/>
  <c r="J159" i="3" s="1"/>
  <c r="AP106" i="3"/>
  <c r="R73" i="1"/>
  <c r="R72" i="1"/>
  <c r="R64" i="1"/>
  <c r="R67" i="1"/>
  <c r="C8" i="1"/>
  <c r="R59" i="1"/>
  <c r="R57" i="1"/>
  <c r="R50" i="1"/>
  <c r="R45" i="1"/>
  <c r="R44" i="1"/>
  <c r="R43" i="1"/>
  <c r="R36" i="1"/>
  <c r="R40" i="1" s="1"/>
  <c r="R38" i="1"/>
  <c r="R37" i="1"/>
  <c r="R31" i="1"/>
  <c r="R30" i="1"/>
  <c r="R29" i="1"/>
  <c r="M45" i="1"/>
  <c r="M46" i="1"/>
  <c r="M44" i="1"/>
  <c r="M32" i="1"/>
  <c r="M33" i="1"/>
  <c r="M34" i="1"/>
  <c r="M35" i="1"/>
  <c r="M36" i="1"/>
  <c r="M37" i="1"/>
  <c r="M38" i="1"/>
  <c r="M39" i="1"/>
  <c r="C43" i="1"/>
  <c r="H49" i="1"/>
  <c r="H46" i="1"/>
  <c r="V36" i="5" l="1"/>
  <c r="T36" i="5"/>
  <c r="K119" i="5"/>
  <c r="D55" i="5"/>
  <c r="Q54" i="5" s="1"/>
  <c r="T37" i="5"/>
  <c r="V37" i="5"/>
  <c r="J110" i="5"/>
  <c r="J111" i="5"/>
  <c r="M136" i="5"/>
  <c r="M137" i="5" s="1"/>
  <c r="M138" i="5" s="1"/>
  <c r="M139" i="5" s="1"/>
  <c r="M140" i="5" s="1"/>
  <c r="M141" i="5" s="1"/>
  <c r="M142" i="5" s="1"/>
  <c r="H150" i="5"/>
  <c r="Q13" i="6" s="1"/>
  <c r="E150" i="5"/>
  <c r="N13" i="6" s="1"/>
  <c r="G150" i="5"/>
  <c r="P13" i="6" s="1"/>
  <c r="I150" i="5"/>
  <c r="R13" i="6" s="1"/>
  <c r="F150" i="5"/>
  <c r="O13" i="6" s="1"/>
  <c r="C150" i="5"/>
  <c r="L13" i="6" s="1"/>
  <c r="D150" i="5"/>
  <c r="M13" i="6" s="1"/>
  <c r="K136" i="5"/>
  <c r="K137" i="5" s="1"/>
  <c r="K138" i="5" s="1"/>
  <c r="K139" i="5" s="1"/>
  <c r="K140" i="5" s="1"/>
  <c r="K141" i="5" s="1"/>
  <c r="K142" i="5" s="1"/>
  <c r="H148" i="5"/>
  <c r="Q11" i="6" s="1"/>
  <c r="E148" i="5"/>
  <c r="N11" i="6" s="1"/>
  <c r="C148" i="5"/>
  <c r="L11" i="6" s="1"/>
  <c r="G148" i="5"/>
  <c r="P11" i="6" s="1"/>
  <c r="D148" i="5"/>
  <c r="M11" i="6" s="1"/>
  <c r="I148" i="5"/>
  <c r="R11" i="6" s="1"/>
  <c r="F148" i="5"/>
  <c r="O11" i="6" s="1"/>
  <c r="L136" i="5"/>
  <c r="L137" i="5" s="1"/>
  <c r="L138" i="5" s="1"/>
  <c r="L139" i="5" s="1"/>
  <c r="L140" i="5" s="1"/>
  <c r="L141" i="5" s="1"/>
  <c r="L142" i="5" s="1"/>
  <c r="F149" i="5"/>
  <c r="O12" i="6" s="1"/>
  <c r="G149" i="5"/>
  <c r="P12" i="6" s="1"/>
  <c r="D149" i="5"/>
  <c r="M12" i="6" s="1"/>
  <c r="H149" i="5"/>
  <c r="Q12" i="6" s="1"/>
  <c r="E149" i="5"/>
  <c r="N12" i="6" s="1"/>
  <c r="I149" i="5"/>
  <c r="R12" i="6" s="1"/>
  <c r="L12" i="6"/>
  <c r="G124" i="5"/>
  <c r="H124" i="5" s="1"/>
  <c r="G123" i="5"/>
  <c r="H123" i="5" s="1"/>
  <c r="I111" i="5"/>
  <c r="E124" i="5"/>
  <c r="F124" i="5" s="1"/>
  <c r="J124" i="5" s="1"/>
  <c r="K124" i="5" s="1"/>
  <c r="M124" i="5" s="1"/>
  <c r="I152" i="5" s="1"/>
  <c r="I110" i="5"/>
  <c r="E123" i="5"/>
  <c r="F123" i="5" s="1"/>
  <c r="J123" i="5" s="1"/>
  <c r="K123" i="5" s="1"/>
  <c r="M123" i="5" s="1"/>
  <c r="C126" i="5"/>
  <c r="D126" i="5" s="1"/>
  <c r="I126" i="5" s="1"/>
  <c r="N111" i="5"/>
  <c r="C15" i="6" s="1"/>
  <c r="O111" i="5"/>
  <c r="E15" i="6" s="1"/>
  <c r="M113" i="5"/>
  <c r="I17" i="6" s="1"/>
  <c r="H113" i="5"/>
  <c r="L113" i="5"/>
  <c r="G17" i="6" s="1"/>
  <c r="O110" i="5"/>
  <c r="E14" i="6" s="1"/>
  <c r="N110" i="5"/>
  <c r="C14" i="6" s="1"/>
  <c r="M14" i="2"/>
  <c r="O14" i="2" s="1"/>
  <c r="P14" i="2" s="1"/>
  <c r="Q13" i="2"/>
  <c r="R13" i="2" s="1"/>
  <c r="N13" i="2"/>
  <c r="F100" i="5"/>
  <c r="G100" i="5" s="1"/>
  <c r="H100" i="5" s="1"/>
  <c r="I100" i="5" s="1"/>
  <c r="J100" i="5" s="1"/>
  <c r="J90" i="5"/>
  <c r="C101" i="5" s="1"/>
  <c r="E101" i="5" s="1"/>
  <c r="AR107" i="1"/>
  <c r="AS107" i="1"/>
  <c r="AT107" i="1" s="1"/>
  <c r="F178" i="1"/>
  <c r="A191" i="1" s="1"/>
  <c r="F191" i="1" s="1"/>
  <c r="A204" i="1" s="1"/>
  <c r="F204" i="1" s="1"/>
  <c r="F217" i="1" s="1"/>
  <c r="N163" i="1"/>
  <c r="A217" i="1"/>
  <c r="F169" i="1"/>
  <c r="J169" i="1" s="1"/>
  <c r="C168" i="1"/>
  <c r="M168" i="1" s="1"/>
  <c r="E168" i="1"/>
  <c r="K168" i="1" s="1"/>
  <c r="F168" i="1"/>
  <c r="J168" i="1" s="1"/>
  <c r="D168" i="1"/>
  <c r="L168" i="1" s="1"/>
  <c r="E170" i="1"/>
  <c r="K170" i="1" s="1"/>
  <c r="C170" i="1"/>
  <c r="M170" i="1" s="1"/>
  <c r="F170" i="1"/>
  <c r="J170" i="1" s="1"/>
  <c r="D170" i="1"/>
  <c r="L170" i="1" s="1"/>
  <c r="C169" i="1"/>
  <c r="M169" i="1" s="1"/>
  <c r="C172" i="1"/>
  <c r="M172" i="1" s="1"/>
  <c r="D172" i="1"/>
  <c r="L172" i="1" s="1"/>
  <c r="E172" i="1"/>
  <c r="K172" i="1" s="1"/>
  <c r="F172" i="1"/>
  <c r="J172" i="1" s="1"/>
  <c r="R58" i="1"/>
  <c r="R61" i="1" s="1"/>
  <c r="H31" i="1"/>
  <c r="D107" i="1" s="1"/>
  <c r="E107" i="1" s="1"/>
  <c r="I107" i="1" s="1"/>
  <c r="D169" i="1"/>
  <c r="L169" i="1" s="1"/>
  <c r="F171" i="1"/>
  <c r="J171" i="1" s="1"/>
  <c r="D171" i="1"/>
  <c r="L171" i="1" s="1"/>
  <c r="C171" i="1"/>
  <c r="M171" i="1" s="1"/>
  <c r="E171" i="1"/>
  <c r="K171" i="1" s="1"/>
  <c r="A109" i="1"/>
  <c r="B109" i="1" s="1"/>
  <c r="C109" i="1" s="1"/>
  <c r="F122" i="1"/>
  <c r="A179" i="1" s="1"/>
  <c r="AL113" i="1"/>
  <c r="AL108" i="1"/>
  <c r="AL109" i="1"/>
  <c r="AL110" i="1"/>
  <c r="AL116" i="1"/>
  <c r="AL115" i="1"/>
  <c r="AL114" i="1"/>
  <c r="AL112" i="1"/>
  <c r="AL111" i="1"/>
  <c r="AL107" i="1"/>
  <c r="I5" i="2"/>
  <c r="J5" i="2" s="1"/>
  <c r="F7" i="2"/>
  <c r="G7" i="2" s="1"/>
  <c r="B107" i="1"/>
  <c r="C107" i="1" s="1"/>
  <c r="H6" i="2"/>
  <c r="AQ108" i="1" s="1"/>
  <c r="AR108" i="1" s="1"/>
  <c r="M111" i="1"/>
  <c r="R33" i="1"/>
  <c r="D108" i="1"/>
  <c r="E108" i="1" s="1"/>
  <c r="H108" i="1" s="1"/>
  <c r="B108" i="1"/>
  <c r="C108" i="1" s="1"/>
  <c r="R47" i="1"/>
  <c r="R52" i="1"/>
  <c r="R54" i="1" s="1"/>
  <c r="M119" i="5" l="1"/>
  <c r="T54" i="5"/>
  <c r="Q56" i="5"/>
  <c r="D63" i="5"/>
  <c r="N136" i="5"/>
  <c r="N137" i="5" s="1"/>
  <c r="N138" i="5" s="1"/>
  <c r="N139" i="5" s="1"/>
  <c r="N140" i="5" s="1"/>
  <c r="N141" i="5" s="1"/>
  <c r="N142" i="5" s="1"/>
  <c r="C151" i="5"/>
  <c r="L14" i="6" s="1"/>
  <c r="G151" i="5"/>
  <c r="P14" i="6" s="1"/>
  <c r="D151" i="5"/>
  <c r="M14" i="6" s="1"/>
  <c r="H151" i="5"/>
  <c r="Q14" i="6" s="1"/>
  <c r="E151" i="5"/>
  <c r="N14" i="6" s="1"/>
  <c r="I151" i="5"/>
  <c r="R14" i="6" s="1"/>
  <c r="F151" i="5"/>
  <c r="O14" i="6" s="1"/>
  <c r="O136" i="5"/>
  <c r="O137" i="5" s="1"/>
  <c r="O138" i="5" s="1"/>
  <c r="O139" i="5" s="1"/>
  <c r="O140" i="5" s="1"/>
  <c r="O141" i="5" s="1"/>
  <c r="O142" i="5" s="1"/>
  <c r="G152" i="5"/>
  <c r="P15" i="6" s="1"/>
  <c r="D152" i="5"/>
  <c r="M15" i="6" s="1"/>
  <c r="H152" i="5"/>
  <c r="Q15" i="6" s="1"/>
  <c r="E152" i="5"/>
  <c r="N15" i="6" s="1"/>
  <c r="R15" i="6"/>
  <c r="F152" i="5"/>
  <c r="O15" i="6" s="1"/>
  <c r="C152" i="5"/>
  <c r="L15" i="6" s="1"/>
  <c r="C112" i="5"/>
  <c r="D112" i="5"/>
  <c r="E112" i="5"/>
  <c r="F112" i="5"/>
  <c r="Q14" i="2"/>
  <c r="R14" i="2" s="1"/>
  <c r="N14" i="2"/>
  <c r="F101" i="5"/>
  <c r="G101" i="5" s="1"/>
  <c r="H101" i="5" s="1"/>
  <c r="I101" i="5" s="1"/>
  <c r="J101" i="5" s="1"/>
  <c r="BE107" i="1"/>
  <c r="BF107" i="1"/>
  <c r="AW107" i="1"/>
  <c r="F179" i="1"/>
  <c r="A192" i="1" s="1"/>
  <c r="F192" i="1" s="1"/>
  <c r="A205" i="1" s="1"/>
  <c r="F205" i="1" s="1"/>
  <c r="F218" i="1" s="1"/>
  <c r="O163" i="1"/>
  <c r="H107" i="1"/>
  <c r="D109" i="1"/>
  <c r="E109" i="1" s="1"/>
  <c r="H109" i="1" s="1"/>
  <c r="F123" i="1"/>
  <c r="A180" i="1" s="1"/>
  <c r="A110" i="1"/>
  <c r="H7" i="2"/>
  <c r="AQ109" i="1" s="1"/>
  <c r="AS108" i="1"/>
  <c r="I6" i="2"/>
  <c r="J6" i="2" s="1"/>
  <c r="K6" i="2" s="1"/>
  <c r="N122" i="1" s="1"/>
  <c r="F8" i="2"/>
  <c r="G8" i="2" s="1"/>
  <c r="M112" i="1"/>
  <c r="M114" i="1"/>
  <c r="M110" i="1"/>
  <c r="M113" i="1"/>
  <c r="M108" i="1"/>
  <c r="M115" i="1"/>
  <c r="M116" i="1"/>
  <c r="M107" i="1"/>
  <c r="M109" i="1"/>
  <c r="O111" i="1"/>
  <c r="O113" i="1"/>
  <c r="O108" i="1"/>
  <c r="O115" i="1"/>
  <c r="O110" i="1"/>
  <c r="O107" i="1"/>
  <c r="O112" i="1"/>
  <c r="O114" i="1"/>
  <c r="O109" i="1"/>
  <c r="O116" i="1"/>
  <c r="N113" i="1"/>
  <c r="N108" i="1"/>
  <c r="N115" i="1"/>
  <c r="N110" i="1"/>
  <c r="N112" i="1"/>
  <c r="N107" i="1"/>
  <c r="N114" i="1"/>
  <c r="N109" i="1"/>
  <c r="N116" i="1"/>
  <c r="N111" i="1"/>
  <c r="P116" i="1"/>
  <c r="P111" i="1"/>
  <c r="P113" i="1"/>
  <c r="P108" i="1"/>
  <c r="P115" i="1"/>
  <c r="P107" i="1"/>
  <c r="P110" i="1"/>
  <c r="P112" i="1"/>
  <c r="P114" i="1"/>
  <c r="P109" i="1"/>
  <c r="L108" i="1"/>
  <c r="L115" i="1"/>
  <c r="L110" i="1"/>
  <c r="L112" i="1"/>
  <c r="L114" i="1"/>
  <c r="L109" i="1"/>
  <c r="L116" i="1"/>
  <c r="L111" i="1"/>
  <c r="L107" i="1"/>
  <c r="L113" i="1"/>
  <c r="I108" i="1"/>
  <c r="J107" i="1"/>
  <c r="K107" i="1" s="1"/>
  <c r="C42" i="1"/>
  <c r="C41" i="1"/>
  <c r="R66" i="1"/>
  <c r="H45" i="1"/>
  <c r="H59" i="1"/>
  <c r="C147" i="5" l="1"/>
  <c r="L10" i="6" s="1"/>
  <c r="D147" i="5"/>
  <c r="M10" i="6" s="1"/>
  <c r="J136" i="5"/>
  <c r="E136" i="5" s="1"/>
  <c r="F147" i="5"/>
  <c r="O10" i="6" s="1"/>
  <c r="E147" i="5"/>
  <c r="N10" i="6" s="1"/>
  <c r="G147" i="5"/>
  <c r="P10" i="6" s="1"/>
  <c r="H147" i="5"/>
  <c r="Q10" i="6" s="1"/>
  <c r="I147" i="5"/>
  <c r="R10" i="6" s="1"/>
  <c r="J137" i="5"/>
  <c r="J138" i="5" s="1"/>
  <c r="J139" i="5" s="1"/>
  <c r="J140" i="5" s="1"/>
  <c r="V56" i="5"/>
  <c r="T56" i="5"/>
  <c r="H55" i="5"/>
  <c r="Q57" i="5" s="1"/>
  <c r="H59" i="5"/>
  <c r="Q58" i="5" s="1"/>
  <c r="J112" i="5"/>
  <c r="E125" i="5"/>
  <c r="F125" i="5" s="1"/>
  <c r="J125" i="5" s="1"/>
  <c r="K125" i="5" s="1"/>
  <c r="M125" i="5" s="1"/>
  <c r="G125" i="5"/>
  <c r="H125" i="5" s="1"/>
  <c r="I112" i="5"/>
  <c r="N112" i="5"/>
  <c r="C16" i="6" s="1"/>
  <c r="O112" i="5"/>
  <c r="E16" i="6" s="1"/>
  <c r="E113" i="5"/>
  <c r="C113" i="5"/>
  <c r="D113" i="5"/>
  <c r="F113" i="5"/>
  <c r="AT108" i="1"/>
  <c r="BE108" i="1"/>
  <c r="BF108" i="1"/>
  <c r="F180" i="1"/>
  <c r="A193" i="1" s="1"/>
  <c r="F193" i="1" s="1"/>
  <c r="A206" i="1" s="1"/>
  <c r="F206" i="1" s="1"/>
  <c r="A219" i="1" s="1"/>
  <c r="P163" i="1"/>
  <c r="A218" i="1"/>
  <c r="I7" i="2"/>
  <c r="J7" i="2" s="1"/>
  <c r="K7" i="2" s="1"/>
  <c r="N123" i="1" s="1"/>
  <c r="I109" i="1"/>
  <c r="F124" i="1"/>
  <c r="A181" i="1" s="1"/>
  <c r="B110" i="1"/>
  <c r="C110" i="1" s="1"/>
  <c r="A111" i="1"/>
  <c r="D110" i="1"/>
  <c r="E110" i="1" s="1"/>
  <c r="H110" i="1" s="1"/>
  <c r="K5" i="2"/>
  <c r="N121" i="1" s="1"/>
  <c r="AW108" i="1"/>
  <c r="AR109" i="1"/>
  <c r="AS109" i="1"/>
  <c r="H8" i="2"/>
  <c r="AQ110" i="1" s="1"/>
  <c r="F9" i="2"/>
  <c r="F10" i="2" s="1"/>
  <c r="J108" i="1"/>
  <c r="K108" i="1" s="1"/>
  <c r="H60" i="1"/>
  <c r="M59" i="1"/>
  <c r="H62" i="1"/>
  <c r="H61" i="1"/>
  <c r="H43" i="1"/>
  <c r="H42" i="1"/>
  <c r="C30" i="1"/>
  <c r="C18" i="1"/>
  <c r="E137" i="5" l="1"/>
  <c r="E138" i="5"/>
  <c r="E139" i="5"/>
  <c r="H64" i="5"/>
  <c r="Q59" i="5" s="1"/>
  <c r="T58" i="5"/>
  <c r="H61" i="5"/>
  <c r="T57" i="5"/>
  <c r="J113" i="5"/>
  <c r="P136" i="5"/>
  <c r="P137" i="5" s="1"/>
  <c r="P138" i="5" s="1"/>
  <c r="P139" i="5" s="1"/>
  <c r="P140" i="5" s="1"/>
  <c r="P141" i="5" s="1"/>
  <c r="P142" i="5" s="1"/>
  <c r="H153" i="5"/>
  <c r="Q16" i="6" s="1"/>
  <c r="E153" i="5"/>
  <c r="N16" i="6" s="1"/>
  <c r="I153" i="5"/>
  <c r="R16" i="6" s="1"/>
  <c r="F153" i="5"/>
  <c r="O16" i="6" s="1"/>
  <c r="C153" i="5"/>
  <c r="L16" i="6" s="1"/>
  <c r="G153" i="5"/>
  <c r="P16" i="6" s="1"/>
  <c r="D153" i="5"/>
  <c r="M16" i="6" s="1"/>
  <c r="G126" i="5"/>
  <c r="H126" i="5" s="1"/>
  <c r="E126" i="5"/>
  <c r="F126" i="5" s="1"/>
  <c r="J126" i="5" s="1"/>
  <c r="K126" i="5" s="1"/>
  <c r="M126" i="5" s="1"/>
  <c r="J141" i="5"/>
  <c r="E140" i="5"/>
  <c r="I113" i="5"/>
  <c r="N113" i="5"/>
  <c r="C17" i="6" s="1"/>
  <c r="O113" i="5"/>
  <c r="E17" i="6" s="1"/>
  <c r="AT109" i="1"/>
  <c r="BF109" i="1"/>
  <c r="BE109" i="1"/>
  <c r="F219" i="1"/>
  <c r="F181" i="1"/>
  <c r="A194" i="1" s="1"/>
  <c r="F194" i="1" s="1"/>
  <c r="A207" i="1" s="1"/>
  <c r="F207" i="1" s="1"/>
  <c r="A220" i="1" s="1"/>
  <c r="Q163" i="1"/>
  <c r="J109" i="1"/>
  <c r="K109" i="1" s="1"/>
  <c r="I110" i="1"/>
  <c r="K110" i="1" s="1"/>
  <c r="F125" i="1"/>
  <c r="A182" i="1" s="1"/>
  <c r="A112" i="1"/>
  <c r="D111" i="1"/>
  <c r="E111" i="1" s="1"/>
  <c r="H111" i="1" s="1"/>
  <c r="B111" i="1"/>
  <c r="C111" i="1" s="1"/>
  <c r="C128" i="1"/>
  <c r="H9" i="2"/>
  <c r="AQ111" i="1" s="1"/>
  <c r="AR111" i="1" s="1"/>
  <c r="AX107" i="1"/>
  <c r="J121" i="1" s="1"/>
  <c r="L121" i="1" s="1"/>
  <c r="I121" i="1"/>
  <c r="AX108" i="1"/>
  <c r="J122" i="1" s="1"/>
  <c r="L122" i="1" s="1"/>
  <c r="I122" i="1"/>
  <c r="AR110" i="1"/>
  <c r="AS110" i="1"/>
  <c r="AW109" i="1"/>
  <c r="G9" i="2"/>
  <c r="I8" i="2"/>
  <c r="J8" i="2" s="1"/>
  <c r="K8" i="2" s="1"/>
  <c r="N124" i="1" s="1"/>
  <c r="G10" i="2"/>
  <c r="H10" i="2"/>
  <c r="AQ112" i="1" s="1"/>
  <c r="J110" i="1"/>
  <c r="F11" i="2"/>
  <c r="R74" i="1"/>
  <c r="R76" i="1" s="1"/>
  <c r="R65" i="1"/>
  <c r="R69" i="1" s="1"/>
  <c r="H83" i="1"/>
  <c r="M73" i="1"/>
  <c r="M61" i="1"/>
  <c r="H64" i="1"/>
  <c r="M60" i="1"/>
  <c r="H63" i="1"/>
  <c r="H29" i="1"/>
  <c r="H33" i="1" s="1"/>
  <c r="C52" i="1"/>
  <c r="C29" i="1"/>
  <c r="C33" i="1" s="1"/>
  <c r="C36" i="1" s="1"/>
  <c r="C38" i="1" s="1"/>
  <c r="C49" i="1" s="1"/>
  <c r="L56" i="5" l="1"/>
  <c r="Q60" i="5" s="1"/>
  <c r="Q61" i="5" s="1"/>
  <c r="V61" i="5" s="1"/>
  <c r="V59" i="5"/>
  <c r="T59" i="5"/>
  <c r="Q136" i="5"/>
  <c r="Q137" i="5" s="1"/>
  <c r="Q138" i="5" s="1"/>
  <c r="Q139" i="5" s="1"/>
  <c r="Q140" i="5" s="1"/>
  <c r="Q141" i="5" s="1"/>
  <c r="Q142" i="5" s="1"/>
  <c r="I154" i="5"/>
  <c r="R17" i="6" s="1"/>
  <c r="G154" i="5"/>
  <c r="P17" i="6" s="1"/>
  <c r="M17" i="6"/>
  <c r="H154" i="5"/>
  <c r="Q17" i="6" s="1"/>
  <c r="E154" i="5"/>
  <c r="N17" i="6" s="1"/>
  <c r="C154" i="5"/>
  <c r="L17" i="6" s="1"/>
  <c r="F154" i="5"/>
  <c r="O17" i="6" s="1"/>
  <c r="J142" i="5"/>
  <c r="E142" i="5" s="1"/>
  <c r="E141" i="5"/>
  <c r="AT110" i="1"/>
  <c r="BE110" i="1"/>
  <c r="BF110" i="1"/>
  <c r="F182" i="1"/>
  <c r="A195" i="1" s="1"/>
  <c r="F195" i="1" s="1"/>
  <c r="A208" i="1" s="1"/>
  <c r="F208" i="1" s="1"/>
  <c r="A221" i="1" s="1"/>
  <c r="R163" i="1"/>
  <c r="F220" i="1"/>
  <c r="F111" i="1"/>
  <c r="F126" i="1"/>
  <c r="A183" i="1" s="1"/>
  <c r="D112" i="1"/>
  <c r="E112" i="1" s="1"/>
  <c r="H112" i="1" s="1"/>
  <c r="A113" i="1"/>
  <c r="B112" i="1"/>
  <c r="C112" i="1" s="1"/>
  <c r="I111" i="1"/>
  <c r="K111" i="1" s="1"/>
  <c r="AS111" i="1"/>
  <c r="I9" i="2"/>
  <c r="J9" i="2" s="1"/>
  <c r="K9" i="2" s="1"/>
  <c r="N125" i="1" s="1"/>
  <c r="AX109" i="1"/>
  <c r="J123" i="1" s="1"/>
  <c r="L123" i="1" s="1"/>
  <c r="I123" i="1"/>
  <c r="AW110" i="1"/>
  <c r="AR112" i="1"/>
  <c r="AS112" i="1"/>
  <c r="F107" i="1"/>
  <c r="I10" i="2"/>
  <c r="J10" i="2" s="1"/>
  <c r="K10" i="2" s="1"/>
  <c r="N126" i="1" s="1"/>
  <c r="G11" i="2"/>
  <c r="H11" i="2"/>
  <c r="AQ113" i="1" s="1"/>
  <c r="F110" i="1"/>
  <c r="Q109" i="1"/>
  <c r="Q116" i="1"/>
  <c r="Q111" i="1"/>
  <c r="Q113" i="1"/>
  <c r="Q107" i="1"/>
  <c r="Q108" i="1"/>
  <c r="S108" i="1" s="1"/>
  <c r="Q115" i="1"/>
  <c r="Q110" i="1"/>
  <c r="Q112" i="1"/>
  <c r="Q114" i="1"/>
  <c r="R114" i="1"/>
  <c r="R109" i="1"/>
  <c r="R116" i="1"/>
  <c r="R111" i="1"/>
  <c r="R107" i="1"/>
  <c r="R113" i="1"/>
  <c r="R108" i="1"/>
  <c r="R115" i="1"/>
  <c r="R110" i="1"/>
  <c r="R112" i="1"/>
  <c r="F108" i="1"/>
  <c r="F109" i="1"/>
  <c r="F12" i="2"/>
  <c r="H36" i="1"/>
  <c r="H38" i="1" s="1"/>
  <c r="M29" i="1"/>
  <c r="M53" i="1"/>
  <c r="T60" i="5" l="1"/>
  <c r="V60" i="5"/>
  <c r="AT112" i="1"/>
  <c r="BE112" i="1"/>
  <c r="BF112" i="1"/>
  <c r="AT111" i="1"/>
  <c r="BE111" i="1"/>
  <c r="BF111" i="1"/>
  <c r="H44" i="1"/>
  <c r="M47" i="1" s="1"/>
  <c r="M49" i="1" s="1"/>
  <c r="M52" i="1" s="1"/>
  <c r="F183" i="1"/>
  <c r="A196" i="1" s="1"/>
  <c r="F196" i="1" s="1"/>
  <c r="A209" i="1" s="1"/>
  <c r="F209" i="1" s="1"/>
  <c r="S163" i="1"/>
  <c r="F221" i="1"/>
  <c r="I112" i="1"/>
  <c r="K112" i="1" s="1"/>
  <c r="F112" i="1"/>
  <c r="A222" i="1"/>
  <c r="F222" i="1"/>
  <c r="J111" i="1"/>
  <c r="F127" i="1"/>
  <c r="A184" i="1" s="1"/>
  <c r="A114" i="1"/>
  <c r="D113" i="1"/>
  <c r="E113" i="1" s="1"/>
  <c r="H113" i="1" s="1"/>
  <c r="B113" i="1"/>
  <c r="C113" i="1" s="1"/>
  <c r="AW111" i="1"/>
  <c r="AX111" i="1" s="1"/>
  <c r="J125" i="1" s="1"/>
  <c r="L125" i="1" s="1"/>
  <c r="AX110" i="1"/>
  <c r="J124" i="1" s="1"/>
  <c r="L124" i="1" s="1"/>
  <c r="I124" i="1"/>
  <c r="AW112" i="1"/>
  <c r="AR113" i="1"/>
  <c r="AS113" i="1"/>
  <c r="I11" i="2"/>
  <c r="J11" i="2" s="1"/>
  <c r="K11" i="2" s="1"/>
  <c r="N127" i="1" s="1"/>
  <c r="G12" i="2"/>
  <c r="H12" i="2"/>
  <c r="AQ114" i="1" s="1"/>
  <c r="T108" i="1"/>
  <c r="S109" i="1"/>
  <c r="T109" i="1" s="1"/>
  <c r="S110" i="1"/>
  <c r="T110" i="1" s="1"/>
  <c r="S111" i="1"/>
  <c r="T111" i="1" s="1"/>
  <c r="F13" i="2"/>
  <c r="M30" i="1"/>
  <c r="J112" i="1" l="1"/>
  <c r="M54" i="1"/>
  <c r="M56" i="1" s="1"/>
  <c r="Q62" i="5"/>
  <c r="V62" i="5" s="1"/>
  <c r="T61" i="5"/>
  <c r="AT113" i="1"/>
  <c r="BF113" i="1"/>
  <c r="BE113" i="1"/>
  <c r="H66" i="1"/>
  <c r="C44" i="1" s="1"/>
  <c r="C46" i="1" s="1"/>
  <c r="C51" i="1" s="1"/>
  <c r="G113" i="1" s="1"/>
  <c r="F184" i="1"/>
  <c r="A197" i="1" s="1"/>
  <c r="F197" i="1" s="1"/>
  <c r="A210" i="1" s="1"/>
  <c r="F210" i="1" s="1"/>
  <c r="F223" i="1" s="1"/>
  <c r="T163" i="1"/>
  <c r="I125" i="1"/>
  <c r="F113" i="1"/>
  <c r="I113" i="1"/>
  <c r="J113" i="1" s="1"/>
  <c r="F128" i="1"/>
  <c r="A185" i="1" s="1"/>
  <c r="B114" i="1"/>
  <c r="C114" i="1" s="1"/>
  <c r="D114" i="1"/>
  <c r="E114" i="1" s="1"/>
  <c r="H114" i="1" s="1"/>
  <c r="A115" i="1"/>
  <c r="AX112" i="1"/>
  <c r="J126" i="1" s="1"/>
  <c r="L126" i="1" s="1"/>
  <c r="I126" i="1"/>
  <c r="AW113" i="1"/>
  <c r="AR114" i="1"/>
  <c r="AS114" i="1"/>
  <c r="I12" i="2"/>
  <c r="J12" i="2" s="1"/>
  <c r="K12" i="2" s="1"/>
  <c r="N128" i="1" s="1"/>
  <c r="G13" i="2"/>
  <c r="H13" i="2"/>
  <c r="AQ115" i="1" s="1"/>
  <c r="M41" i="1"/>
  <c r="S107" i="1"/>
  <c r="T107" i="1" s="1"/>
  <c r="S112" i="1"/>
  <c r="T112" i="1" s="1"/>
  <c r="F14" i="2"/>
  <c r="Q63" i="5" l="1"/>
  <c r="V63" i="5" s="1"/>
  <c r="T62" i="5"/>
  <c r="G114" i="1"/>
  <c r="AT114" i="1"/>
  <c r="BE114" i="1"/>
  <c r="BF114" i="1"/>
  <c r="G108" i="1"/>
  <c r="U108" i="1" s="1"/>
  <c r="V108" i="1" s="1"/>
  <c r="G111" i="1"/>
  <c r="U111" i="1" s="1"/>
  <c r="V111" i="1" s="1"/>
  <c r="G112" i="1"/>
  <c r="U112" i="1" s="1"/>
  <c r="V112" i="1" s="1"/>
  <c r="G109" i="1"/>
  <c r="U109" i="1" s="1"/>
  <c r="V109" i="1" s="1"/>
  <c r="C54" i="1"/>
  <c r="C55" i="1" s="1"/>
  <c r="C82" i="1" s="1"/>
  <c r="G110" i="1"/>
  <c r="U110" i="1" s="1"/>
  <c r="V110" i="1" s="1"/>
  <c r="G107" i="1"/>
  <c r="U107" i="1" s="1"/>
  <c r="V107" i="1" s="1"/>
  <c r="F185" i="1"/>
  <c r="A198" i="1" s="1"/>
  <c r="F198" i="1" s="1"/>
  <c r="A211" i="1" s="1"/>
  <c r="F211" i="1" s="1"/>
  <c r="A224" i="1" s="1"/>
  <c r="U163" i="1"/>
  <c r="A223" i="1"/>
  <c r="K113" i="1"/>
  <c r="S113" i="1" s="1"/>
  <c r="T113" i="1" s="1"/>
  <c r="U113" i="1" s="1"/>
  <c r="V113" i="1" s="1"/>
  <c r="I114" i="1"/>
  <c r="K114" i="1" s="1"/>
  <c r="S114" i="1" s="1"/>
  <c r="T114" i="1" s="1"/>
  <c r="F114" i="1"/>
  <c r="F129" i="1"/>
  <c r="D115" i="1"/>
  <c r="B115" i="1"/>
  <c r="C115" i="1" s="1"/>
  <c r="G115" i="1" s="1"/>
  <c r="A116" i="1"/>
  <c r="AX113" i="1"/>
  <c r="J127" i="1" s="1"/>
  <c r="L127" i="1" s="1"/>
  <c r="I127" i="1"/>
  <c r="AW114" i="1"/>
  <c r="AR115" i="1"/>
  <c r="AS115" i="1"/>
  <c r="I13" i="2"/>
  <c r="J13" i="2" s="1"/>
  <c r="K13" i="2" s="1"/>
  <c r="N129" i="1" s="1"/>
  <c r="G14" i="2"/>
  <c r="H14" i="2"/>
  <c r="M68" i="1"/>
  <c r="M71" i="1" s="1"/>
  <c r="M77" i="1" s="1"/>
  <c r="M78" i="1" s="1"/>
  <c r="C83" i="1" s="1"/>
  <c r="Q64" i="5" l="1"/>
  <c r="V64" i="5" s="1"/>
  <c r="T63" i="5"/>
  <c r="Q65" i="5"/>
  <c r="V65" i="5" s="1"/>
  <c r="U114" i="1"/>
  <c r="V114" i="1" s="1"/>
  <c r="AT115" i="1"/>
  <c r="BE115" i="1"/>
  <c r="BF115" i="1"/>
  <c r="J114" i="1"/>
  <c r="F224" i="1"/>
  <c r="C85" i="1"/>
  <c r="H82" i="1" s="1"/>
  <c r="H85" i="1" s="1"/>
  <c r="F130" i="1"/>
  <c r="B116" i="1"/>
  <c r="C116" i="1" s="1"/>
  <c r="G116" i="1" s="1"/>
  <c r="D116" i="1"/>
  <c r="E116" i="1" s="1"/>
  <c r="H116" i="1" s="1"/>
  <c r="E115" i="1"/>
  <c r="H115" i="1" s="1"/>
  <c r="AX114" i="1"/>
  <c r="J128" i="1" s="1"/>
  <c r="L128" i="1" s="1"/>
  <c r="I128" i="1"/>
  <c r="AW115" i="1"/>
  <c r="I14" i="2"/>
  <c r="J14" i="2" s="1"/>
  <c r="AQ116" i="1"/>
  <c r="T65" i="5" l="1"/>
  <c r="T64" i="5"/>
  <c r="F225" i="1"/>
  <c r="F116" i="1"/>
  <c r="U92" i="1"/>
  <c r="R82" i="1"/>
  <c r="I115" i="1"/>
  <c r="F115" i="1"/>
  <c r="I116" i="1"/>
  <c r="K116" i="1" s="1"/>
  <c r="S116" i="1" s="1"/>
  <c r="T116" i="1" s="1"/>
  <c r="U116" i="1" s="1"/>
  <c r="V116" i="1" s="1"/>
  <c r="AX115" i="1"/>
  <c r="J129" i="1" s="1"/>
  <c r="L129" i="1" s="1"/>
  <c r="I129" i="1"/>
  <c r="K14" i="2"/>
  <c r="N130" i="1" s="1"/>
  <c r="AR116" i="1"/>
  <c r="AS116" i="1"/>
  <c r="AT116" i="1" l="1"/>
  <c r="BE116" i="1"/>
  <c r="BF116" i="1"/>
  <c r="F226" i="1"/>
  <c r="J116" i="1"/>
  <c r="J115" i="1"/>
  <c r="K115" i="1"/>
  <c r="S115" i="1" s="1"/>
  <c r="T115" i="1" s="1"/>
  <c r="U115" i="1" s="1"/>
  <c r="V115" i="1" s="1"/>
  <c r="AW116" i="1"/>
  <c r="AX116" i="1" l="1"/>
  <c r="J130" i="1" s="1"/>
  <c r="L130" i="1" s="1"/>
  <c r="I130" i="1"/>
  <c r="C121" i="1"/>
  <c r="C122" i="1" s="1"/>
  <c r="M85" i="1" l="1"/>
  <c r="W107" i="1" s="1"/>
  <c r="W112" i="1" l="1"/>
  <c r="X112" i="1" s="1"/>
  <c r="W114" i="1"/>
  <c r="X114" i="1" s="1"/>
  <c r="W115" i="1"/>
  <c r="X115" i="1" s="1"/>
  <c r="W116" i="1"/>
  <c r="X116" i="1" s="1"/>
  <c r="W109" i="1"/>
  <c r="X109" i="1" s="1"/>
  <c r="W108" i="1"/>
  <c r="X108" i="1" s="1"/>
  <c r="X107" i="1"/>
  <c r="W111" i="1"/>
  <c r="X111" i="1" s="1"/>
  <c r="W110" i="1"/>
  <c r="X110" i="1" s="1"/>
  <c r="W113" i="1"/>
  <c r="X113" i="1" s="1"/>
  <c r="R83" i="1"/>
  <c r="R85" i="1" s="1"/>
  <c r="AC144" i="1" s="1"/>
  <c r="Y110" i="1" l="1"/>
  <c r="Z110" i="1" s="1"/>
  <c r="AA110" i="1" s="1"/>
  <c r="AB110" i="1" s="1"/>
  <c r="AC110" i="1" s="1"/>
  <c r="AD110" i="1" s="1"/>
  <c r="H88" i="1"/>
  <c r="H92" i="1" s="1"/>
  <c r="M88" i="1" s="1"/>
  <c r="M90" i="1" s="1"/>
  <c r="R88" i="1" s="1"/>
  <c r="R91" i="1" s="1"/>
  <c r="C98" i="1" s="1"/>
  <c r="C99" i="1" s="1"/>
  <c r="C88" i="1"/>
  <c r="C91" i="1" s="1"/>
  <c r="C92" i="1" s="1"/>
  <c r="Y109" i="1"/>
  <c r="Z109" i="1" s="1"/>
  <c r="AA109" i="1" s="1"/>
  <c r="AB109" i="1" s="1"/>
  <c r="AC109" i="1" s="1"/>
  <c r="AD109" i="1" s="1"/>
  <c r="Y113" i="1"/>
  <c r="Z113" i="1" s="1"/>
  <c r="AA113" i="1" s="1"/>
  <c r="AB113" i="1" s="1"/>
  <c r="AC113" i="1" s="1"/>
  <c r="AD113" i="1" s="1"/>
  <c r="Y111" i="1"/>
  <c r="Z111" i="1" s="1"/>
  <c r="AA111" i="1" s="1"/>
  <c r="AB111" i="1" s="1"/>
  <c r="AC111" i="1" s="1"/>
  <c r="AD111" i="1" s="1"/>
  <c r="Y107" i="1"/>
  <c r="Z107" i="1" s="1"/>
  <c r="AA107" i="1" s="1"/>
  <c r="AB107" i="1" s="1"/>
  <c r="AC107" i="1" s="1"/>
  <c r="AD107" i="1" s="1"/>
  <c r="Y108" i="1"/>
  <c r="Z108" i="1" s="1"/>
  <c r="AA108" i="1" s="1"/>
  <c r="AB108" i="1" s="1"/>
  <c r="AC108" i="1" s="1"/>
  <c r="AD108" i="1" s="1"/>
  <c r="Y116" i="1"/>
  <c r="Z116" i="1" s="1"/>
  <c r="AA116" i="1" s="1"/>
  <c r="AB116" i="1" s="1"/>
  <c r="AC116" i="1" s="1"/>
  <c r="AD116" i="1" s="1"/>
  <c r="Y115" i="1"/>
  <c r="Z115" i="1" s="1"/>
  <c r="AA115" i="1" s="1"/>
  <c r="AB115" i="1" s="1"/>
  <c r="AC115" i="1" s="1"/>
  <c r="AD115" i="1" s="1"/>
  <c r="Y114" i="1"/>
  <c r="Z114" i="1" s="1"/>
  <c r="AA114" i="1" s="1"/>
  <c r="AB114" i="1" s="1"/>
  <c r="AC114" i="1" s="1"/>
  <c r="AD114" i="1" s="1"/>
  <c r="Y112" i="1"/>
  <c r="Z112" i="1" s="1"/>
  <c r="AA112" i="1" s="1"/>
  <c r="AB112" i="1" s="1"/>
  <c r="AC112" i="1" s="1"/>
  <c r="AD112" i="1" s="1"/>
  <c r="AG108" i="1" l="1"/>
  <c r="AH108" i="1"/>
  <c r="AH107" i="1"/>
  <c r="AG107" i="1"/>
  <c r="AI107" i="1" s="1"/>
  <c r="AH109" i="1"/>
  <c r="AG109" i="1"/>
  <c r="AG112" i="1"/>
  <c r="AH112" i="1"/>
  <c r="AG114" i="1"/>
  <c r="AH114" i="1"/>
  <c r="AH115" i="1"/>
  <c r="AG115" i="1"/>
  <c r="AH110" i="1"/>
  <c r="AG110" i="1"/>
  <c r="AH111" i="1"/>
  <c r="AG111" i="1"/>
  <c r="AG113" i="1"/>
  <c r="AH113" i="1"/>
  <c r="AG116" i="1"/>
  <c r="AH116" i="1"/>
  <c r="C100" i="1"/>
  <c r="C102" i="1" l="1"/>
  <c r="C101" i="1"/>
  <c r="AI108" i="1"/>
  <c r="AY108" i="1"/>
  <c r="AZ108" i="1" s="1"/>
  <c r="AY115" i="1"/>
  <c r="AZ115" i="1" s="1"/>
  <c r="AI115" i="1"/>
  <c r="AU110" i="1"/>
  <c r="AJ110" i="1"/>
  <c r="AY114" i="1"/>
  <c r="AZ114" i="1" s="1"/>
  <c r="AI114" i="1"/>
  <c r="AU112" i="1"/>
  <c r="AJ112" i="1"/>
  <c r="AJ115" i="1"/>
  <c r="AU115" i="1"/>
  <c r="AU116" i="1"/>
  <c r="AJ116" i="1"/>
  <c r="AI109" i="1"/>
  <c r="AY109" i="1"/>
  <c r="AZ109" i="1" s="1"/>
  <c r="AU114" i="1"/>
  <c r="AJ114" i="1"/>
  <c r="AY116" i="1"/>
  <c r="AZ116" i="1" s="1"/>
  <c r="AI116" i="1"/>
  <c r="AJ113" i="1"/>
  <c r="AU113" i="1"/>
  <c r="AI113" i="1"/>
  <c r="AY113" i="1"/>
  <c r="AZ113" i="1" s="1"/>
  <c r="AU109" i="1"/>
  <c r="AJ109" i="1"/>
  <c r="AY112" i="1"/>
  <c r="AZ112" i="1" s="1"/>
  <c r="AI112" i="1"/>
  <c r="AY111" i="1"/>
  <c r="AZ111" i="1" s="1"/>
  <c r="AI111" i="1"/>
  <c r="AY107" i="1"/>
  <c r="AJ111" i="1"/>
  <c r="AU111" i="1"/>
  <c r="AU107" i="1"/>
  <c r="AJ107" i="1"/>
  <c r="AI110" i="1"/>
  <c r="AY110" i="1"/>
  <c r="AZ110" i="1" s="1"/>
  <c r="AJ108" i="1"/>
  <c r="AU108" i="1"/>
  <c r="BH107" i="1" l="1"/>
  <c r="BG107" i="1"/>
  <c r="BG113" i="1"/>
  <c r="BH113" i="1"/>
  <c r="BG112" i="1"/>
  <c r="BH112" i="1"/>
  <c r="BG110" i="1"/>
  <c r="BH110" i="1"/>
  <c r="BG108" i="1"/>
  <c r="BH108" i="1"/>
  <c r="BG114" i="1"/>
  <c r="BH114" i="1"/>
  <c r="BG111" i="1"/>
  <c r="BH111" i="1"/>
  <c r="BG109" i="1"/>
  <c r="BH109" i="1"/>
  <c r="BG116" i="1"/>
  <c r="BH116" i="1"/>
  <c r="BG115" i="1"/>
  <c r="BH115" i="1"/>
  <c r="BA111" i="1"/>
  <c r="AV111" i="1"/>
  <c r="AV115" i="1"/>
  <c r="BA115" i="1"/>
  <c r="BA112" i="1"/>
  <c r="AV112" i="1"/>
  <c r="AV113" i="1"/>
  <c r="BA113" i="1"/>
  <c r="AV108" i="1"/>
  <c r="BA108" i="1"/>
  <c r="AV114" i="1"/>
  <c r="BA114" i="1"/>
  <c r="BA110" i="1"/>
  <c r="AV110" i="1"/>
  <c r="C123" i="1"/>
  <c r="C124" i="1" s="1"/>
  <c r="C125" i="1" s="1"/>
  <c r="C127" i="1" s="1"/>
  <c r="AZ107" i="1"/>
  <c r="BA107" i="1"/>
  <c r="AV107" i="1"/>
  <c r="AV109" i="1"/>
  <c r="BA109" i="1"/>
  <c r="AV116" i="1"/>
  <c r="BA116" i="1"/>
  <c r="BB116" i="1" l="1"/>
  <c r="H130" i="1" s="1"/>
  <c r="K130" i="1" s="1"/>
  <c r="M130" i="1" s="1"/>
  <c r="G130" i="1"/>
  <c r="BB112" i="1"/>
  <c r="H126" i="1" s="1"/>
  <c r="K126" i="1" s="1"/>
  <c r="M126" i="1" s="1"/>
  <c r="O126" i="1" s="1"/>
  <c r="B18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G126" i="1"/>
  <c r="BB113" i="1"/>
  <c r="H127" i="1" s="1"/>
  <c r="K127" i="1" s="1"/>
  <c r="M127" i="1" s="1"/>
  <c r="O127" i="1" s="1"/>
  <c r="B184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G127" i="1"/>
  <c r="G121" i="1"/>
  <c r="BB107" i="1"/>
  <c r="H121" i="1" s="1"/>
  <c r="K121" i="1" s="1"/>
  <c r="M121" i="1" s="1"/>
  <c r="O121" i="1" s="1"/>
  <c r="B178" i="1" s="1"/>
  <c r="D178" i="1" s="1"/>
  <c r="BB115" i="1"/>
  <c r="H129" i="1" s="1"/>
  <c r="K129" i="1" s="1"/>
  <c r="M129" i="1" s="1"/>
  <c r="O129" i="1" s="1"/>
  <c r="G129" i="1"/>
  <c r="G128" i="1"/>
  <c r="BB114" i="1"/>
  <c r="H128" i="1" s="1"/>
  <c r="K128" i="1" s="1"/>
  <c r="M128" i="1" s="1"/>
  <c r="O128" i="1" s="1"/>
  <c r="B185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BB108" i="1"/>
  <c r="H122" i="1" s="1"/>
  <c r="K122" i="1" s="1"/>
  <c r="M122" i="1" s="1"/>
  <c r="O122" i="1" s="1"/>
  <c r="B179" i="1" s="1"/>
  <c r="G122" i="1"/>
  <c r="G123" i="1"/>
  <c r="BB109" i="1"/>
  <c r="H123" i="1" s="1"/>
  <c r="K123" i="1" s="1"/>
  <c r="M123" i="1" s="1"/>
  <c r="O123" i="1" s="1"/>
  <c r="B180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G124" i="1"/>
  <c r="BB110" i="1"/>
  <c r="H124" i="1" s="1"/>
  <c r="K124" i="1" s="1"/>
  <c r="M124" i="1" s="1"/>
  <c r="O124" i="1" s="1"/>
  <c r="B181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G125" i="1"/>
  <c r="BB111" i="1"/>
  <c r="H125" i="1" s="1"/>
  <c r="K125" i="1" s="1"/>
  <c r="M125" i="1" s="1"/>
  <c r="O125" i="1" s="1"/>
  <c r="B182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O164" i="1" l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30" i="1"/>
  <c r="I165" i="1"/>
  <c r="I166" i="1" s="1"/>
  <c r="I167" i="1" s="1"/>
  <c r="I168" i="1" s="1"/>
  <c r="I169" i="1" s="1"/>
  <c r="I170" i="1" s="1"/>
  <c r="I171" i="1" s="1"/>
  <c r="I172" i="1" s="1"/>
  <c r="I173" i="1" s="1"/>
  <c r="I174" i="1" s="1"/>
  <c r="N164" i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G179" i="1"/>
  <c r="D179" i="1"/>
  <c r="G218" i="1" s="1"/>
  <c r="G217" i="1"/>
  <c r="G178" i="1"/>
  <c r="D185" i="1"/>
  <c r="G224" i="1" s="1"/>
  <c r="G185" i="1"/>
  <c r="G226" i="1"/>
  <c r="D184" i="1"/>
  <c r="G223" i="1" s="1"/>
  <c r="G184" i="1"/>
  <c r="D181" i="1"/>
  <c r="G220" i="1" s="1"/>
  <c r="G181" i="1"/>
  <c r="G225" i="1"/>
  <c r="G183" i="1"/>
  <c r="D183" i="1"/>
  <c r="G222" i="1" s="1"/>
  <c r="D182" i="1"/>
  <c r="G221" i="1" s="1"/>
  <c r="G182" i="1"/>
  <c r="D180" i="1"/>
  <c r="G219" i="1" s="1"/>
  <c r="G180" i="1"/>
  <c r="I181" i="1" l="1"/>
  <c r="H220" i="1" s="1"/>
  <c r="B194" i="1"/>
  <c r="I184" i="1"/>
  <c r="H223" i="1" s="1"/>
  <c r="B197" i="1"/>
  <c r="B193" i="1"/>
  <c r="I180" i="1"/>
  <c r="H219" i="1" s="1"/>
  <c r="H226" i="1"/>
  <c r="B195" i="1"/>
  <c r="I182" i="1"/>
  <c r="H221" i="1" s="1"/>
  <c r="I185" i="1"/>
  <c r="H224" i="1" s="1"/>
  <c r="B198" i="1"/>
  <c r="B191" i="1"/>
  <c r="I178" i="1"/>
  <c r="H217" i="1" s="1"/>
  <c r="B196" i="1"/>
  <c r="I183" i="1"/>
  <c r="H222" i="1" s="1"/>
  <c r="H225" i="1"/>
  <c r="B192" i="1"/>
  <c r="I179" i="1"/>
  <c r="H218" i="1" s="1"/>
  <c r="G195" i="1" l="1"/>
  <c r="D195" i="1"/>
  <c r="I221" i="1" s="1"/>
  <c r="D193" i="1"/>
  <c r="I219" i="1" s="1"/>
  <c r="G193" i="1"/>
  <c r="G191" i="1"/>
  <c r="D191" i="1"/>
  <c r="I217" i="1" s="1"/>
  <c r="D198" i="1"/>
  <c r="I224" i="1" s="1"/>
  <c r="G198" i="1"/>
  <c r="D192" i="1"/>
  <c r="I218" i="1" s="1"/>
  <c r="G192" i="1"/>
  <c r="I225" i="1"/>
  <c r="G197" i="1"/>
  <c r="D197" i="1"/>
  <c r="I223" i="1" s="1"/>
  <c r="D196" i="1"/>
  <c r="I222" i="1" s="1"/>
  <c r="G196" i="1"/>
  <c r="I226" i="1"/>
  <c r="D194" i="1"/>
  <c r="I220" i="1" s="1"/>
  <c r="G194" i="1"/>
  <c r="I197" i="1" l="1"/>
  <c r="J223" i="1" s="1"/>
  <c r="B210" i="1"/>
  <c r="J226" i="1"/>
  <c r="B204" i="1"/>
  <c r="I191" i="1"/>
  <c r="J217" i="1" s="1"/>
  <c r="I198" i="1"/>
  <c r="J224" i="1" s="1"/>
  <c r="B211" i="1"/>
  <c r="I196" i="1"/>
  <c r="J222" i="1" s="1"/>
  <c r="B209" i="1"/>
  <c r="B206" i="1"/>
  <c r="I193" i="1"/>
  <c r="J219" i="1" s="1"/>
  <c r="J225" i="1"/>
  <c r="B205" i="1"/>
  <c r="I192" i="1"/>
  <c r="J218" i="1" s="1"/>
  <c r="I194" i="1"/>
  <c r="J220" i="1" s="1"/>
  <c r="B207" i="1"/>
  <c r="I195" i="1"/>
  <c r="J221" i="1" s="1"/>
  <c r="B208" i="1"/>
  <c r="G206" i="1" l="1"/>
  <c r="D206" i="1"/>
  <c r="K219" i="1" s="1"/>
  <c r="D208" i="1"/>
  <c r="K221" i="1" s="1"/>
  <c r="G208" i="1"/>
  <c r="D211" i="1"/>
  <c r="K224" i="1" s="1"/>
  <c r="G211" i="1"/>
  <c r="D209" i="1"/>
  <c r="K222" i="1" s="1"/>
  <c r="G209" i="1"/>
  <c r="G207" i="1"/>
  <c r="D207" i="1"/>
  <c r="K220" i="1" s="1"/>
  <c r="G204" i="1"/>
  <c r="I204" i="1" s="1"/>
  <c r="D204" i="1"/>
  <c r="K217" i="1" s="1"/>
  <c r="K226" i="1"/>
  <c r="G205" i="1"/>
  <c r="D205" i="1"/>
  <c r="K218" i="1" s="1"/>
  <c r="K225" i="1"/>
  <c r="D210" i="1"/>
  <c r="K223" i="1" s="1"/>
  <c r="G210" i="1"/>
  <c r="L217" i="1" l="1"/>
  <c r="B217" i="1"/>
  <c r="D217" i="1" s="1"/>
  <c r="M217" i="1" s="1"/>
  <c r="I210" i="1"/>
  <c r="L223" i="1" s="1"/>
  <c r="B223" i="1"/>
  <c r="D223" i="1" s="1"/>
  <c r="M223" i="1" s="1"/>
  <c r="I209" i="1"/>
  <c r="L222" i="1" s="1"/>
  <c r="B222" i="1"/>
  <c r="D222" i="1" s="1"/>
  <c r="M222" i="1" s="1"/>
  <c r="B221" i="1"/>
  <c r="D221" i="1" s="1"/>
  <c r="M221" i="1" s="1"/>
  <c r="I208" i="1"/>
  <c r="L221" i="1" s="1"/>
  <c r="I207" i="1"/>
  <c r="L220" i="1" s="1"/>
  <c r="B220" i="1"/>
  <c r="D220" i="1" s="1"/>
  <c r="M220" i="1" s="1"/>
  <c r="L225" i="1"/>
  <c r="M225" i="1"/>
  <c r="I211" i="1"/>
  <c r="L224" i="1" s="1"/>
  <c r="B224" i="1"/>
  <c r="D224" i="1" s="1"/>
  <c r="M224" i="1" s="1"/>
  <c r="B218" i="1"/>
  <c r="D218" i="1" s="1"/>
  <c r="M218" i="1" s="1"/>
  <c r="I205" i="1"/>
  <c r="L218" i="1" s="1"/>
  <c r="M226" i="1"/>
  <c r="L226" i="1"/>
  <c r="I206" i="1"/>
  <c r="L219" i="1" s="1"/>
  <c r="B219" i="1"/>
  <c r="D219" i="1" s="1"/>
  <c r="M219" i="1" s="1"/>
</calcChain>
</file>

<file path=xl/sharedStrings.xml><?xml version="1.0" encoding="utf-8"?>
<sst xmlns="http://schemas.openxmlformats.org/spreadsheetml/2006/main" count="1724" uniqueCount="603">
  <si>
    <t>PARTICULAR SHIP DATA</t>
  </si>
  <si>
    <t>Name</t>
  </si>
  <si>
    <t>Type</t>
  </si>
  <si>
    <t>LOA</t>
  </si>
  <si>
    <t>LPP</t>
  </si>
  <si>
    <t>B</t>
  </si>
  <si>
    <t>D</t>
  </si>
  <si>
    <t>T</t>
  </si>
  <si>
    <t>DWT</t>
  </si>
  <si>
    <t>GT</t>
  </si>
  <si>
    <t>NT</t>
  </si>
  <si>
    <t>Displacement</t>
  </si>
  <si>
    <t>Vs</t>
  </si>
  <si>
    <t>ship type</t>
  </si>
  <si>
    <t>Bulk carrier</t>
  </si>
  <si>
    <t>Gas carrier</t>
  </si>
  <si>
    <t>Tanker</t>
  </si>
  <si>
    <t>Container ship</t>
  </si>
  <si>
    <t>Refrigerated cargo carrier</t>
  </si>
  <si>
    <t>Combination carrier</t>
  </si>
  <si>
    <t>LNG carrier</t>
  </si>
  <si>
    <t>Ro-ro cargo ship (vehicle carrier)</t>
  </si>
  <si>
    <t>Ro-ro passenger ship</t>
  </si>
  <si>
    <t>Ro-ro cargo ship</t>
  </si>
  <si>
    <t>Reynold Number</t>
  </si>
  <si>
    <t>m/s</t>
  </si>
  <si>
    <t>knot</t>
  </si>
  <si>
    <t>m</t>
  </si>
  <si>
    <t>ton</t>
  </si>
  <si>
    <t>LWL</t>
  </si>
  <si>
    <t>Cruise passenger ship</t>
  </si>
  <si>
    <t>V</t>
  </si>
  <si>
    <t>L</t>
  </si>
  <si>
    <t>v</t>
  </si>
  <si>
    <t>25C</t>
  </si>
  <si>
    <t>Rn</t>
  </si>
  <si>
    <t>Coefficient Friction</t>
  </si>
  <si>
    <t>Cf</t>
  </si>
  <si>
    <t>Froude Number</t>
  </si>
  <si>
    <t>g</t>
  </si>
  <si>
    <t>Fn</t>
  </si>
  <si>
    <t>Coefficient Block</t>
  </si>
  <si>
    <t>Cb</t>
  </si>
  <si>
    <t>Luas Permukaan Basah</t>
  </si>
  <si>
    <t>Koefisien Bentuk</t>
  </si>
  <si>
    <t>LoS</t>
  </si>
  <si>
    <t>Lwl</t>
  </si>
  <si>
    <t>TA</t>
  </si>
  <si>
    <t>TF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</si>
  <si>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</si>
  <si>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</si>
  <si>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</si>
  <si>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</si>
  <si>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</si>
  <si>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</si>
  <si>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</si>
  <si>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</si>
  <si>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</si>
  <si>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Nrudder</t>
  </si>
  <si>
    <t>Nbracket</t>
  </si>
  <si>
    <t>Nbossing</t>
  </si>
  <si>
    <t>krudder</t>
  </si>
  <si>
    <t>kbracket</t>
  </si>
  <si>
    <t>kbossing</t>
  </si>
  <si>
    <t>D prop</t>
  </si>
  <si>
    <t>N rudder</t>
  </si>
  <si>
    <t>Single propeller vessels</t>
  </si>
  <si>
    <t>Twin propeller vessels</t>
  </si>
  <si>
    <t>Design Draft</t>
  </si>
  <si>
    <t>Ballast Condition</t>
  </si>
  <si>
    <t>Design Draft with bulb</t>
  </si>
  <si>
    <t>Design draft w/o bulb</t>
  </si>
  <si>
    <r>
      <t>k</t>
    </r>
    <r>
      <rPr>
        <i/>
        <vertAlign val="subscript"/>
        <sz val="12"/>
        <color theme="1"/>
        <rFont val="Times New Roman"/>
        <family val="1"/>
      </rPr>
      <t>rudders</t>
    </r>
  </si>
  <si>
    <t>-</t>
  </si>
  <si>
    <r>
      <t>k</t>
    </r>
    <r>
      <rPr>
        <i/>
        <vertAlign val="subscript"/>
        <sz val="12"/>
        <color theme="1"/>
        <rFont val="Times New Roman"/>
        <family val="1"/>
      </rPr>
      <t>brackets</t>
    </r>
  </si>
  <si>
    <r>
      <t>k</t>
    </r>
    <r>
      <rPr>
        <i/>
        <vertAlign val="subscript"/>
        <sz val="12"/>
        <color theme="1"/>
        <rFont val="Times New Roman"/>
        <family val="1"/>
      </rPr>
      <t>bossings</t>
    </r>
  </si>
  <si>
    <t>k</t>
  </si>
  <si>
    <t>Jaladhimantri</t>
  </si>
  <si>
    <t>H</t>
  </si>
  <si>
    <t>S</t>
  </si>
  <si>
    <t>Hollenbach Ship Resistance Method</t>
  </si>
  <si>
    <t>Resistance Friction</t>
  </si>
  <si>
    <t>p</t>
  </si>
  <si>
    <t>Rf</t>
  </si>
  <si>
    <t>N</t>
  </si>
  <si>
    <t>kN</t>
  </si>
  <si>
    <t>Resistance Residual</t>
  </si>
  <si>
    <t>Coefficient Friction Residual</t>
  </si>
  <si>
    <t>mean residuary resistance</t>
  </si>
  <si>
    <t>minimum residuary resistance</t>
  </si>
  <si>
    <t>Ballast draft</t>
  </si>
  <si>
    <t>twin screw design draft</t>
  </si>
  <si>
    <t>single screw design drat</t>
  </si>
  <si>
    <t>b11</t>
  </si>
  <si>
    <t>b12</t>
  </si>
  <si>
    <t>b13</t>
  </si>
  <si>
    <t>b21</t>
  </si>
  <si>
    <t>b22</t>
  </si>
  <si>
    <t>b23</t>
  </si>
  <si>
    <t>b31</t>
  </si>
  <si>
    <t>b32</t>
  </si>
  <si>
    <t>b33</t>
  </si>
  <si>
    <t>Crstd</t>
  </si>
  <si>
    <t>Critical Froude Number</t>
  </si>
  <si>
    <t>d1</t>
  </si>
  <si>
    <t>d2</t>
  </si>
  <si>
    <t>d3</t>
  </si>
  <si>
    <t>Single screw</t>
  </si>
  <si>
    <t>twin screw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</si>
  <si>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</si>
  <si>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</si>
  <si>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</si>
  <si>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</si>
  <si>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</si>
  <si>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</si>
  <si>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</si>
  <si>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</si>
  <si>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</si>
  <si>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</si>
  <si>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c1</t>
  </si>
  <si>
    <t>(Fn/Frcrit)</t>
  </si>
  <si>
    <t>10CB(Fn/Frcrit - 1)</t>
  </si>
  <si>
    <t>e1</t>
  </si>
  <si>
    <t>e2</t>
  </si>
  <si>
    <t>f1</t>
  </si>
  <si>
    <t>f2</t>
  </si>
  <si>
    <t>f3</t>
  </si>
  <si>
    <t>g1</t>
  </si>
  <si>
    <t>g2</t>
  </si>
  <si>
    <t>g3</t>
  </si>
  <si>
    <t>Frcrit</t>
  </si>
  <si>
    <t>High Froude Number Factor</t>
  </si>
  <si>
    <t>Fcrit</t>
  </si>
  <si>
    <t>Kfr</t>
  </si>
  <si>
    <t>Length factor</t>
  </si>
  <si>
    <t>Kl</t>
  </si>
  <si>
    <t>Beam-draft ratio factor</t>
  </si>
  <si>
    <t>Kbt</t>
  </si>
  <si>
    <t>Length-beam ratio factor</t>
  </si>
  <si>
    <t>Klb</t>
  </si>
  <si>
    <t>Wetted length ratio factor</t>
  </si>
  <si>
    <t>Kll</t>
  </si>
  <si>
    <t>Aft overhang ratio factor</t>
  </si>
  <si>
    <t>Lc</t>
  </si>
  <si>
    <t>Kao</t>
  </si>
  <si>
    <t>Trim correction factor</t>
  </si>
  <si>
    <t>Ktr</t>
  </si>
  <si>
    <t>Propeller factor</t>
  </si>
  <si>
    <t>Kpr</t>
  </si>
  <si>
    <t>Coefficient Residual</t>
  </si>
  <si>
    <t>N thruster</t>
  </si>
  <si>
    <t>Nthruster</t>
  </si>
  <si>
    <t>Cr</t>
  </si>
  <si>
    <t>Rr</t>
  </si>
  <si>
    <t>STEAM2 Jalkanen Method</t>
  </si>
  <si>
    <t>Resistance Total</t>
  </si>
  <si>
    <t>Rt</t>
  </si>
  <si>
    <t>Propulsion power needed</t>
  </si>
  <si>
    <t>Ppropel</t>
  </si>
  <si>
    <t>Propulsion efficiency</t>
  </si>
  <si>
    <t>LBP</t>
  </si>
  <si>
    <t>e</t>
  </si>
  <si>
    <t>Total Power Needed</t>
  </si>
  <si>
    <t>Ptotal</t>
  </si>
  <si>
    <t>kW</t>
  </si>
  <si>
    <t>n operating engine</t>
  </si>
  <si>
    <t>PE</t>
  </si>
  <si>
    <t>NoE</t>
  </si>
  <si>
    <t>Pme</t>
  </si>
  <si>
    <t>Engine Load</t>
  </si>
  <si>
    <t>NE</t>
  </si>
  <si>
    <t>EL</t>
  </si>
  <si>
    <t>SFOC Relative</t>
  </si>
  <si>
    <t>SFOC</t>
  </si>
  <si>
    <t>SFOCrelative</t>
  </si>
  <si>
    <t>SFOCbase</t>
  </si>
  <si>
    <t>FOC</t>
  </si>
  <si>
    <t>Pservice</t>
  </si>
  <si>
    <t>Nprop</t>
  </si>
  <si>
    <t>Distance</t>
  </si>
  <si>
    <t>Sailing time</t>
  </si>
  <si>
    <t>Days/Year</t>
  </si>
  <si>
    <t>Docking</t>
  </si>
  <si>
    <t>Avail</t>
  </si>
  <si>
    <t>Max voyage</t>
  </si>
  <si>
    <t>Time at Port 1</t>
  </si>
  <si>
    <t>Time at Port 2</t>
  </si>
  <si>
    <t>Time at Port 3</t>
  </si>
  <si>
    <t>Maneuver Time Port 1</t>
  </si>
  <si>
    <t>Maneuver Time Port 2</t>
  </si>
  <si>
    <t>Maneuver Time Port 3</t>
  </si>
  <si>
    <t>Route</t>
  </si>
  <si>
    <t>JKT-BDJ-JKT</t>
  </si>
  <si>
    <t>Load</t>
  </si>
  <si>
    <t xml:space="preserve">Vs = </t>
  </si>
  <si>
    <t>g/kwh</t>
  </si>
  <si>
    <t>Year</t>
  </si>
  <si>
    <t>Tahun</t>
  </si>
  <si>
    <t>No</t>
  </si>
  <si>
    <t>Voyage Number</t>
  </si>
  <si>
    <t>Sea Distance</t>
  </si>
  <si>
    <t>MD</t>
  </si>
  <si>
    <t>Speed</t>
  </si>
  <si>
    <t>Avg Sea Distance</t>
  </si>
  <si>
    <t>Avg MNV Distance</t>
  </si>
  <si>
    <t>Average Speed</t>
  </si>
  <si>
    <t>No of Trip</t>
  </si>
  <si>
    <t>Real Sailing Time</t>
  </si>
  <si>
    <t>Calculated Sailing Time</t>
  </si>
  <si>
    <t>Avg Real Sailing Time</t>
  </si>
  <si>
    <t>Avg Calculated Sailing Time</t>
  </si>
  <si>
    <t>RPM</t>
  </si>
  <si>
    <t>Avg RPM</t>
  </si>
  <si>
    <t>AE FOC Sailing (l)</t>
  </si>
  <si>
    <t>Avg AE FOC Sailing (l)</t>
  </si>
  <si>
    <t>AE FOC Sailing</t>
  </si>
  <si>
    <t>Avg AE FOC Sailing (l/h)</t>
  </si>
  <si>
    <t>AE Load Sailing</t>
  </si>
  <si>
    <t>Avg AE Load Sailing</t>
  </si>
  <si>
    <t>Port</t>
  </si>
  <si>
    <t>Total Time at Port</t>
  </si>
  <si>
    <t>Cargo Handling Time (h)</t>
  </si>
  <si>
    <t>Avg Total Time at port  (h)</t>
  </si>
  <si>
    <t>Manouver Time</t>
  </si>
  <si>
    <t>Avg Manouver Time</t>
  </si>
  <si>
    <t>Total AE FOC at Port</t>
  </si>
  <si>
    <t>AE FOC at Port (l/h)</t>
  </si>
  <si>
    <t>Avg AE FOC at Port</t>
  </si>
  <si>
    <t>AE load at port (kw)</t>
  </si>
  <si>
    <t>Avg AE load at port (kW)</t>
  </si>
  <si>
    <t>JKT -CLG</t>
  </si>
  <si>
    <t>JKT</t>
  </si>
  <si>
    <t>JKT-SUB</t>
  </si>
  <si>
    <t>JP019</t>
  </si>
  <si>
    <t>BD020</t>
  </si>
  <si>
    <t>MK050</t>
  </si>
  <si>
    <t>JP022</t>
  </si>
  <si>
    <t>SUB-WIN</t>
  </si>
  <si>
    <t>BD023</t>
  </si>
  <si>
    <t>JP025</t>
  </si>
  <si>
    <t>BD026</t>
  </si>
  <si>
    <t>JP028</t>
  </si>
  <si>
    <t>WIN-DIL</t>
  </si>
  <si>
    <t>SUB</t>
  </si>
  <si>
    <t>SUB-DIL</t>
  </si>
  <si>
    <t>SL009S</t>
  </si>
  <si>
    <t>SL011</t>
  </si>
  <si>
    <t>SL013</t>
  </si>
  <si>
    <t>SUB-PTL</t>
  </si>
  <si>
    <t>SL015</t>
  </si>
  <si>
    <t>PT008</t>
  </si>
  <si>
    <t>PT010</t>
  </si>
  <si>
    <t>PT012</t>
  </si>
  <si>
    <t>PT044</t>
  </si>
  <si>
    <t>MK052</t>
  </si>
  <si>
    <t>SUB-MKS</t>
  </si>
  <si>
    <t>SL041</t>
  </si>
  <si>
    <t>BJ104</t>
  </si>
  <si>
    <t>ST032</t>
  </si>
  <si>
    <t>ST034</t>
  </si>
  <si>
    <t>ST036</t>
  </si>
  <si>
    <t>BJ125</t>
  </si>
  <si>
    <t>SUB-TLI</t>
  </si>
  <si>
    <t>BJ127</t>
  </si>
  <si>
    <t>WIN</t>
  </si>
  <si>
    <t>TLI-PTL</t>
  </si>
  <si>
    <t>DIL</t>
  </si>
  <si>
    <t>SUB-BPN</t>
  </si>
  <si>
    <t>PTL</t>
  </si>
  <si>
    <t>MKS</t>
  </si>
  <si>
    <t>BPN</t>
  </si>
  <si>
    <t>JKT-PDG</t>
  </si>
  <si>
    <t>TLI</t>
  </si>
  <si>
    <t>PDG</t>
  </si>
  <si>
    <t>JKT-BDJ</t>
  </si>
  <si>
    <t>BDJ</t>
  </si>
  <si>
    <t>SUB-BDJ</t>
  </si>
  <si>
    <t>TRK</t>
  </si>
  <si>
    <t>BJ151</t>
  </si>
  <si>
    <t>BJ154</t>
  </si>
  <si>
    <t>Time at Port</t>
  </si>
  <si>
    <t>BJ156</t>
  </si>
  <si>
    <t>BJ158</t>
  </si>
  <si>
    <t>BJ160</t>
  </si>
  <si>
    <t>SUB-TRK</t>
  </si>
  <si>
    <t>PTL-TLI</t>
  </si>
  <si>
    <t>Avg Distance</t>
  </si>
  <si>
    <t>JKT-CLG</t>
  </si>
  <si>
    <t>JKT-SUB-MKS-SUB</t>
  </si>
  <si>
    <t>Port 1</t>
  </si>
  <si>
    <t>Port 2</t>
  </si>
  <si>
    <t>Avg Mnv Distance</t>
  </si>
  <si>
    <t>CLG-JKT</t>
  </si>
  <si>
    <t>SUB-WIN-DIL-SUB</t>
  </si>
  <si>
    <t>Jakarta</t>
  </si>
  <si>
    <t>Surabaya</t>
  </si>
  <si>
    <t>SUB-JKT</t>
  </si>
  <si>
    <t>Wini</t>
  </si>
  <si>
    <t>Dili</t>
  </si>
  <si>
    <t>WIN-SUB</t>
  </si>
  <si>
    <t>Pantoloan</t>
  </si>
  <si>
    <t>DIL-WIN</t>
  </si>
  <si>
    <t>SUB-PTL-TLI-SUB</t>
  </si>
  <si>
    <t>Makassar</t>
  </si>
  <si>
    <t>Toli-toli</t>
  </si>
  <si>
    <t>DIL-SUB</t>
  </si>
  <si>
    <t>Balikpapan</t>
  </si>
  <si>
    <t>PTL-SUB</t>
  </si>
  <si>
    <t>Padang</t>
  </si>
  <si>
    <t>Banjarmasin</t>
  </si>
  <si>
    <t>MKS-SUB</t>
  </si>
  <si>
    <t>Tarakan</t>
  </si>
  <si>
    <t>TLI-SUB</t>
  </si>
  <si>
    <t>SUB-JKT-PDG-JKT</t>
  </si>
  <si>
    <t>Avg Time at port</t>
  </si>
  <si>
    <t>Avg mnv time</t>
  </si>
  <si>
    <t>Avg AE cons at port (l/h)</t>
  </si>
  <si>
    <t>BPN-SUB</t>
  </si>
  <si>
    <t>PDG-JKT</t>
  </si>
  <si>
    <t>BDJ-JKT</t>
  </si>
  <si>
    <t>BDJ-SUB</t>
  </si>
  <si>
    <t>TRK-SUB</t>
  </si>
  <si>
    <t>Port 3</t>
  </si>
  <si>
    <t>Avg Time at port 1</t>
  </si>
  <si>
    <t>Avg Time at port 2</t>
  </si>
  <si>
    <t>Avg Time at port 3</t>
  </si>
  <si>
    <t>Avg mnv time port 1</t>
  </si>
  <si>
    <t>Avg mnv time port 2</t>
  </si>
  <si>
    <t>Avg mnv time port 3</t>
  </si>
  <si>
    <t>SUB-PTL-SUB</t>
  </si>
  <si>
    <t>SUB-JKT-SUB</t>
  </si>
  <si>
    <t>SUB-MKS-SUB</t>
  </si>
  <si>
    <t>SUB-BPN-SUB</t>
  </si>
  <si>
    <t>JKT-PDG-JKT</t>
  </si>
  <si>
    <t>SUB-BDJ-SUB</t>
  </si>
  <si>
    <t>SUB-TRK-SUB</t>
  </si>
  <si>
    <t>SUB-TLI-PTL-SUB</t>
  </si>
  <si>
    <t>SUB-WIN-SUB</t>
  </si>
  <si>
    <t>SUB-DIL-SUB</t>
  </si>
  <si>
    <t>SUB-TLI-SUB</t>
  </si>
  <si>
    <t>AE FOC (l/h)</t>
  </si>
  <si>
    <t>Pelabuhan</t>
  </si>
  <si>
    <t>Total Sailing time</t>
  </si>
  <si>
    <t>g/kWh</t>
  </si>
  <si>
    <t>MACHINERY DATA</t>
  </si>
  <si>
    <t>ROUTE</t>
  </si>
  <si>
    <t>(assumed)</t>
  </si>
  <si>
    <t>g/h</t>
  </si>
  <si>
    <t>kg/h</t>
  </si>
  <si>
    <t>ton/h</t>
  </si>
  <si>
    <t>m3/h</t>
  </si>
  <si>
    <t>LFO</t>
  </si>
  <si>
    <t>MDO</t>
  </si>
  <si>
    <t>Variasi Vs</t>
  </si>
  <si>
    <t>Var Sailing Time</t>
  </si>
  <si>
    <t>total var</t>
  </si>
  <si>
    <t>FOC Estimation</t>
  </si>
  <si>
    <t>Ppower</t>
  </si>
  <si>
    <t>Peff</t>
  </si>
  <si>
    <t>SFOCrel</t>
  </si>
  <si>
    <t>FOC ME
(kg/h)</t>
  </si>
  <si>
    <t>SFOC
(g/kWh)</t>
  </si>
  <si>
    <t>Preq
(kW)</t>
  </si>
  <si>
    <t>Max Voyage</t>
  </si>
  <si>
    <t>FOC AE at port</t>
  </si>
  <si>
    <t>FOC AE at sailing</t>
  </si>
  <si>
    <t>HSD</t>
  </si>
  <si>
    <t>MFO</t>
  </si>
  <si>
    <t>ME at sailing</t>
  </si>
  <si>
    <t>FOC (litre)</t>
  </si>
  <si>
    <t>FOC (ton)</t>
  </si>
  <si>
    <t>AE at port</t>
  </si>
  <si>
    <t>litre</t>
  </si>
  <si>
    <t>FOC (HSD)</t>
  </si>
  <si>
    <t>by design</t>
  </si>
  <si>
    <t>Estimation Mnv</t>
  </si>
  <si>
    <t>FOC (Litre)</t>
  </si>
  <si>
    <t>FOC(ton)</t>
  </si>
  <si>
    <t>AE Estimation Sailing</t>
  </si>
  <si>
    <t>Total FOC</t>
  </si>
  <si>
    <t>FOC estimation per year</t>
  </si>
  <si>
    <t>CII Calculation</t>
  </si>
  <si>
    <t>type of fuel</t>
  </si>
  <si>
    <t>reference</t>
  </si>
  <si>
    <t>loewr calorific value</t>
  </si>
  <si>
    <t>carbon content</t>
  </si>
  <si>
    <t>Diesel/Gas oil</t>
  </si>
  <si>
    <t>HFO</t>
  </si>
  <si>
    <t>LNG</t>
  </si>
  <si>
    <t>Methanol</t>
  </si>
  <si>
    <t>Ethanol</t>
  </si>
  <si>
    <t>LPG propane</t>
  </si>
  <si>
    <t>LPG Butane</t>
  </si>
  <si>
    <t>Total MFO</t>
  </si>
  <si>
    <t>MFO CO2 em</t>
  </si>
  <si>
    <t>Total HSD</t>
  </si>
  <si>
    <t>HSD CO2 em</t>
  </si>
  <si>
    <t>ltr</t>
  </si>
  <si>
    <t>HSD AE</t>
  </si>
  <si>
    <t>HSD ME (Sailing)</t>
  </si>
  <si>
    <t>Total CO2</t>
  </si>
  <si>
    <t>total distance</t>
  </si>
  <si>
    <t>Total Distance</t>
  </si>
  <si>
    <t>Nm</t>
  </si>
  <si>
    <t>Mass for supply-based CII</t>
  </si>
  <si>
    <t>Attained CII</t>
  </si>
  <si>
    <t>liter</t>
  </si>
  <si>
    <t>CO2 em</t>
  </si>
  <si>
    <t>total</t>
  </si>
  <si>
    <t>Required CII</t>
  </si>
  <si>
    <t>CII ref</t>
  </si>
  <si>
    <t>Capacity</t>
  </si>
  <si>
    <t>a</t>
  </si>
  <si>
    <t>c</t>
  </si>
  <si>
    <t>Ship Type</t>
  </si>
  <si>
    <t>Bulk Carrier</t>
  </si>
  <si>
    <t xml:space="preserve">&gt;=279000 DWT </t>
  </si>
  <si>
    <t>&lt;279000 DWT</t>
  </si>
  <si>
    <t>Gas Carrier</t>
  </si>
  <si>
    <t>&gt;=65000 DWT</t>
  </si>
  <si>
    <t>&lt;65000 DWT</t>
  </si>
  <si>
    <t>Container Ship</t>
  </si>
  <si>
    <t>General Cargo Ship</t>
  </si>
  <si>
    <t xml:space="preserve">&gt;=20000 DWT </t>
  </si>
  <si>
    <t>&lt;20000 DWT</t>
  </si>
  <si>
    <t>Refrigerated Cargo carrier</t>
  </si>
  <si>
    <t>Combination Carrier</t>
  </si>
  <si>
    <t>LNG Carrier</t>
  </si>
  <si>
    <t>&gt;=100000 DWT</t>
  </si>
  <si>
    <t>65000 &lt;= DWT&lt; 100000</t>
  </si>
  <si>
    <t>&gt;=57700 GT</t>
  </si>
  <si>
    <t>30000 &lt;= GT &lt; 57700</t>
  </si>
  <si>
    <t>&lt;30000 GT</t>
  </si>
  <si>
    <t xml:space="preserve">Ro-ro cargo ship </t>
  </si>
  <si>
    <t>High speed craft designed to SOLAS Chapter X</t>
  </si>
  <si>
    <t>General cargo ship</t>
  </si>
  <si>
    <t>CII Required</t>
  </si>
  <si>
    <t xml:space="preserve">CII Required </t>
  </si>
  <si>
    <t>1 - Z / 100 x CII ref</t>
  </si>
  <si>
    <t>Reduction Factor</t>
  </si>
  <si>
    <t>CII Req</t>
  </si>
  <si>
    <t>CII Rating</t>
  </si>
  <si>
    <t>Capacity in CII Calculation</t>
  </si>
  <si>
    <t>dd vectors</t>
  </si>
  <si>
    <t>exp (d1)</t>
  </si>
  <si>
    <t>exp (d2)</t>
  </si>
  <si>
    <t>exp (d3)</t>
  </si>
  <si>
    <t>exp (d4)</t>
  </si>
  <si>
    <t>Refrigerated Cargo Carrier</t>
  </si>
  <si>
    <t>&lt;100000 DWT</t>
  </si>
  <si>
    <t>Cruise pasengger ship</t>
  </si>
  <si>
    <t>Superior Boundary</t>
  </si>
  <si>
    <t>Lower</t>
  </si>
  <si>
    <t>Upper</t>
  </si>
  <si>
    <t>Inferior</t>
  </si>
  <si>
    <t>exp(d1) x CII req</t>
  </si>
  <si>
    <t>exp(d2) x CII req</t>
  </si>
  <si>
    <t>exp(d3) x CII req</t>
  </si>
  <si>
    <t>exp(d4) x CII req</t>
  </si>
  <si>
    <t>CII req</t>
  </si>
  <si>
    <t>Superior</t>
  </si>
  <si>
    <t>upper</t>
  </si>
  <si>
    <t>inferior</t>
  </si>
  <si>
    <t>exp(d1)</t>
  </si>
  <si>
    <t>exp(d2)</t>
  </si>
  <si>
    <t>exp(d3)</t>
  </si>
  <si>
    <t>exp(d4)</t>
  </si>
  <si>
    <t>Rating</t>
  </si>
  <si>
    <t>vs\year</t>
  </si>
  <si>
    <t>n cyl</t>
  </si>
  <si>
    <t>n prop</t>
  </si>
  <si>
    <t>ratio</t>
  </si>
  <si>
    <t>lower</t>
  </si>
  <si>
    <t>Pae</t>
  </si>
  <si>
    <t>n AE</t>
  </si>
  <si>
    <t>n ae</t>
  </si>
  <si>
    <t>assumed</t>
  </si>
  <si>
    <t>FOC AE at sail</t>
  </si>
  <si>
    <t>margin</t>
  </si>
  <si>
    <t>+10%</t>
  </si>
  <si>
    <t>l/hr</t>
  </si>
  <si>
    <t>kg/hr</t>
  </si>
  <si>
    <t>g/hr</t>
  </si>
  <si>
    <t>diganti  L/hr</t>
  </si>
  <si>
    <t>SHIP PARTICULAR DATA</t>
  </si>
  <si>
    <t>Vessel Name*</t>
  </si>
  <si>
    <t>Vessel Type*</t>
  </si>
  <si>
    <t>Length Overall (LOA)*</t>
  </si>
  <si>
    <t>Length perpendicular (LPP)*</t>
  </si>
  <si>
    <t>Length overwetted Surface (LOS)*</t>
  </si>
  <si>
    <t>Breath (B)*</t>
  </si>
  <si>
    <t>Draft (T)*</t>
  </si>
  <si>
    <t>Deadweight Tonnage (DWT)*</t>
  </si>
  <si>
    <t>Service Speed (Vs)*</t>
  </si>
  <si>
    <t>Propeller Diameter*</t>
  </si>
  <si>
    <t>number of rudder*</t>
  </si>
  <si>
    <t>number of thruster*</t>
  </si>
  <si>
    <t>Afterpeak Draft (TA)</t>
  </si>
  <si>
    <t>Forepeak Draft (TF)</t>
  </si>
  <si>
    <t>Coefficient Block (Cb)</t>
  </si>
  <si>
    <t>SHIP MACHINERY DATA</t>
  </si>
  <si>
    <t>Power Main Engine*</t>
  </si>
  <si>
    <t>SFOC Main Engine*</t>
  </si>
  <si>
    <t>n propeller*</t>
  </si>
  <si>
    <t>Power Auxiliary Engine*</t>
  </si>
  <si>
    <t>number of Auxiliary Engine*</t>
  </si>
  <si>
    <t>Aauxiliary Engine FOC*</t>
  </si>
  <si>
    <t>g/KwH</t>
  </si>
  <si>
    <t>l/h</t>
  </si>
  <si>
    <t>number of Main Engine*</t>
  </si>
  <si>
    <t>Route*</t>
  </si>
  <si>
    <t>RESISTANCE FRICTION</t>
  </si>
  <si>
    <t>ALTERNATE INPUT</t>
  </si>
  <si>
    <t>Coefficent Block</t>
  </si>
  <si>
    <t>Wetted Surface Area</t>
  </si>
  <si>
    <t xml:space="preserve"> RESISTANCE FRICTION RESULT</t>
  </si>
  <si>
    <t>RESISTANCE RESIDUAL RESULT</t>
  </si>
  <si>
    <t>Length Factor</t>
  </si>
  <si>
    <t>Beam-draft Ratio Factor</t>
  </si>
  <si>
    <t>Length-beam Ratio Factor</t>
  </si>
  <si>
    <t>RESISTANCE TOTAL</t>
  </si>
  <si>
    <t>RESISTANCE RESIDUAL</t>
  </si>
  <si>
    <t>Coefficent friction Residual</t>
  </si>
  <si>
    <t>RESISTANCE RESULT</t>
  </si>
  <si>
    <t>FUEL OIL CALCULATION (STEAM2 METHOD)</t>
  </si>
  <si>
    <t>RESISTANCE CALCULATION (HOLLENBACH METHOD)</t>
  </si>
  <si>
    <t>MV JALADHIMANTRI</t>
  </si>
  <si>
    <t>+3%</t>
  </si>
  <si>
    <t>Propulsion Power Needed</t>
  </si>
  <si>
    <t>Propulsion Efficiency</t>
  </si>
  <si>
    <t>n propeller</t>
  </si>
  <si>
    <t>Ppropeller</t>
  </si>
  <si>
    <t>Prop Eff</t>
  </si>
  <si>
    <t>N operating Engine</t>
  </si>
  <si>
    <t>Pmain engine</t>
  </si>
  <si>
    <t>Number of Operating Engine</t>
  </si>
  <si>
    <t>Pmain Engine</t>
  </si>
  <si>
    <t>SFOC Base</t>
  </si>
  <si>
    <t>Output Power</t>
  </si>
  <si>
    <t>m3h</t>
  </si>
  <si>
    <t>Fuel Oil Consumption ME</t>
  </si>
  <si>
    <t>FOC AE at Sail</t>
  </si>
  <si>
    <t>nm</t>
  </si>
  <si>
    <t>h</t>
  </si>
  <si>
    <t>ROUTE DATA</t>
  </si>
  <si>
    <t>FOC AE at Port</t>
  </si>
  <si>
    <t>FUEL OIL RESULTS</t>
  </si>
  <si>
    <t>FUEL OIL CONSUMPTION PER VARIANT VS</t>
  </si>
  <si>
    <t>Vs (m/s)</t>
  </si>
  <si>
    <t>Kb</t>
  </si>
  <si>
    <t>Rf (kN)</t>
  </si>
  <si>
    <t>Vs (knot)</t>
  </si>
  <si>
    <t>Cfn</t>
  </si>
  <si>
    <t>Hfn</t>
  </si>
  <si>
    <t>Rr (kN)</t>
  </si>
  <si>
    <t>Rtotal</t>
  </si>
  <si>
    <t>RESISTANCE FRICTION CALC. PER VARIANT VS</t>
  </si>
  <si>
    <t>RESISTANCE RESIDUAL CALC. PER VARIANT VS</t>
  </si>
  <si>
    <t>Propel</t>
  </si>
  <si>
    <t>Nme</t>
  </si>
  <si>
    <t>SFOC Rel</t>
  </si>
  <si>
    <t>FOC (kg/h)</t>
  </si>
  <si>
    <t>ME at sail</t>
  </si>
  <si>
    <t>ME at mnv</t>
  </si>
  <si>
    <t>Main Engine Fuel</t>
  </si>
  <si>
    <t>AE at Sail</t>
  </si>
  <si>
    <t>FOC Total per Trip</t>
  </si>
  <si>
    <t>Margin AE</t>
  </si>
  <si>
    <t>Margin ME</t>
  </si>
  <si>
    <t>CARBON INTENSITY INDICATOR CALCULATION</t>
  </si>
  <si>
    <t>FOC per Annual</t>
  </si>
  <si>
    <t>Auxiliary Engine (MDO)</t>
  </si>
  <si>
    <t>Litre</t>
  </si>
  <si>
    <t>Ton</t>
  </si>
  <si>
    <t>Main Engine (HFO)</t>
  </si>
  <si>
    <t>Main Engine (MDO)</t>
  </si>
  <si>
    <t>CO2 emmision</t>
  </si>
  <si>
    <t>AE</t>
  </si>
  <si>
    <t>ME</t>
  </si>
  <si>
    <t>Total</t>
  </si>
  <si>
    <t>CII Required w/ reduction factor/year</t>
  </si>
  <si>
    <t>CII Rating Calculation</t>
  </si>
  <si>
    <t>CII Rating Boundary</t>
  </si>
  <si>
    <t>FUEL OIL ESTIMATION BASED ON VESSEL TRIP PER VARIANT VS (Litre)</t>
  </si>
  <si>
    <t>CII Rating per Variant Vs per Years</t>
  </si>
  <si>
    <t>Vessel Name</t>
  </si>
  <si>
    <t>Vessel Type</t>
  </si>
  <si>
    <t>Main Engine OC</t>
  </si>
  <si>
    <t>Aux. Engine OC</t>
  </si>
  <si>
    <t>type FO</t>
  </si>
  <si>
    <t>FOC ME</t>
  </si>
  <si>
    <t>FOC AE</t>
  </si>
  <si>
    <t>CII Rating Per years per Vs</t>
  </si>
  <si>
    <t>FUEL OIL ESTIMATION PER Vs (litre)</t>
  </si>
  <si>
    <t>reynold number</t>
  </si>
  <si>
    <t>coefficient friction</t>
  </si>
  <si>
    <t>froude number</t>
  </si>
  <si>
    <t>coeff block</t>
  </si>
  <si>
    <t>koef bentuk</t>
  </si>
  <si>
    <t>wetted</t>
  </si>
  <si>
    <t>res friction</t>
  </si>
  <si>
    <t>DISTANCE / VS</t>
  </si>
  <si>
    <t>&gt;=57700 DWT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</si>
</sst>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"/>
    <numFmt numFmtId="166" formatCode="0.000"/>
    <numFmt numFmtId="167" formatCode="0.00000"/>
    <numFmt numFmtId="168" formatCode="0.00000000"/>
    <numFmt numFmtId="169" formatCode="0.0000000"/>
    <numFmt numFmtId="170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</cellStyleXfs>
  <cellXfs count="283">
    <xf numFmtId="0" fontId="0" fillId="0" borderId="0" xfId="0"/>
    <xf numFmtId="0" fontId="0" fillId="4" borderId="0" xfId="0" applyFill="1"/>
    <xf numFmtId="0" fontId="0" fillId="5" borderId="0" xfId="0" applyFill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0" fontId="0" fillId="6" borderId="0" xfId="0" applyFill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0" fillId="8" borderId="0" xfId="0" applyFill="1"/>
    <xf numFmtId="1" fontId="0" fillId="0" borderId="0" xfId="0" applyNumberFormat="1"/>
    <xf numFmtId="0" fontId="0" fillId="9" borderId="0" xfId="0" applyFill="1"/>
    <xf numFmtId="0" fontId="0" fillId="10" borderId="0" xfId="0" applyFill="1"/>
    <xf numFmtId="0" fontId="7" fillId="0" borderId="0" xfId="2" applyAlignment="1">
      <alignment horizontal="center" vertical="center"/>
    </xf>
    <xf numFmtId="0" fontId="3" fillId="3" borderId="4" xfId="2" applyFont="1" applyFill="1" applyBorder="1" applyAlignment="1">
      <alignment horizontal="center" vertical="center"/>
    </xf>
    <xf numFmtId="0" fontId="7" fillId="0" borderId="0" xfId="2"/>
    <xf numFmtId="2" fontId="7" fillId="0" borderId="0" xfId="2" applyNumberFormat="1"/>
    <xf numFmtId="10" fontId="3" fillId="3" borderId="4" xfId="2" applyNumberFormat="1" applyFont="1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7" fillId="0" borderId="5" xfId="2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2" fontId="1" fillId="0" borderId="1" xfId="2" applyNumberFormat="1" applyFont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2" fontId="7" fillId="0" borderId="1" xfId="2" applyNumberFormat="1" applyBorder="1" applyAlignment="1">
      <alignment horizontal="center" vertical="center"/>
    </xf>
    <xf numFmtId="1" fontId="7" fillId="0" borderId="1" xfId="2" applyNumberFormat="1" applyBorder="1" applyAlignment="1">
      <alignment horizontal="center" vertical="center"/>
    </xf>
    <xf numFmtId="2" fontId="7" fillId="0" borderId="6" xfId="2" applyNumberFormat="1" applyBorder="1" applyAlignment="1">
      <alignment horizontal="center" vertical="center"/>
    </xf>
    <xf numFmtId="0" fontId="7" fillId="11" borderId="1" xfId="2" applyFill="1" applyBorder="1" applyAlignment="1">
      <alignment horizontal="center" vertical="center"/>
    </xf>
    <xf numFmtId="0" fontId="7" fillId="11" borderId="6" xfId="2" applyFill="1" applyBorder="1" applyAlignment="1">
      <alignment horizontal="center" vertical="center"/>
    </xf>
    <xf numFmtId="166" fontId="7" fillId="11" borderId="6" xfId="2" applyNumberFormat="1" applyFill="1" applyBorder="1" applyAlignment="1">
      <alignment horizontal="center" vertical="center"/>
    </xf>
    <xf numFmtId="166" fontId="7" fillId="11" borderId="1" xfId="2" applyNumberFormat="1" applyFill="1" applyBorder="1" applyAlignment="1">
      <alignment horizontal="center" vertical="center"/>
    </xf>
    <xf numFmtId="0" fontId="7" fillId="9" borderId="1" xfId="2" applyFill="1" applyBorder="1" applyAlignment="1">
      <alignment horizontal="center" vertical="center"/>
    </xf>
    <xf numFmtId="166" fontId="7" fillId="0" borderId="1" xfId="2" applyNumberFormat="1" applyBorder="1" applyAlignment="1">
      <alignment horizontal="center" vertical="center"/>
    </xf>
    <xf numFmtId="0" fontId="7" fillId="5" borderId="1" xfId="2" applyFill="1" applyBorder="1" applyAlignment="1">
      <alignment horizontal="center" vertical="center"/>
    </xf>
    <xf numFmtId="166" fontId="7" fillId="0" borderId="0" xfId="2" applyNumberFormat="1"/>
    <xf numFmtId="0" fontId="7" fillId="0" borderId="1" xfId="2" applyBorder="1" applyAlignment="1">
      <alignment horizontal="center"/>
    </xf>
    <xf numFmtId="1" fontId="7" fillId="0" borderId="0" xfId="2" applyNumberFormat="1" applyAlignment="1">
      <alignment horizontal="center" vertical="center"/>
    </xf>
    <xf numFmtId="0" fontId="7" fillId="0" borderId="1" xfId="2" applyBorder="1"/>
    <xf numFmtId="2" fontId="7" fillId="0" borderId="0" xfId="2" applyNumberFormat="1" applyAlignment="1">
      <alignment horizontal="center" vertical="center"/>
    </xf>
    <xf numFmtId="0" fontId="7" fillId="10" borderId="1" xfId="2" applyFill="1" applyBorder="1" applyAlignment="1">
      <alignment horizontal="center" vertical="center"/>
    </xf>
    <xf numFmtId="0" fontId="7" fillId="0" borderId="1" xfId="2" applyBorder="1" applyAlignment="1">
      <alignment horizontal="center" vertical="center" wrapText="1"/>
    </xf>
    <xf numFmtId="9" fontId="0" fillId="0" borderId="0" xfId="3" applyFont="1" applyAlignment="1">
      <alignment horizontal="center" vertical="center"/>
    </xf>
    <xf numFmtId="0" fontId="7" fillId="3" borderId="1" xfId="2" applyFill="1" applyBorder="1" applyAlignment="1">
      <alignment horizontal="center" vertical="center"/>
    </xf>
    <xf numFmtId="0" fontId="0" fillId="12" borderId="0" xfId="0" applyFill="1"/>
    <xf numFmtId="9" fontId="0" fillId="0" borderId="0" xfId="1" applyFont="1"/>
    <xf numFmtId="166" fontId="0" fillId="0" borderId="0" xfId="0" applyNumberFormat="1"/>
    <xf numFmtId="166" fontId="0" fillId="7" borderId="0" xfId="0" applyNumberFormat="1" applyFill="1" applyAlignment="1">
      <alignment horizontal="center" vertical="center"/>
    </xf>
    <xf numFmtId="0" fontId="1" fillId="0" borderId="0" xfId="2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6" fillId="0" borderId="0" xfId="2" applyFont="1" applyAlignment="1">
      <alignment vertical="center"/>
    </xf>
    <xf numFmtId="0" fontId="6" fillId="0" borderId="0" xfId="2" applyFont="1" applyAlignment="1">
      <alignment vertical="center" wrapText="1"/>
    </xf>
    <xf numFmtId="0" fontId="8" fillId="1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1" fontId="3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14" borderId="0" xfId="0" applyFill="1"/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167" fontId="0" fillId="0" borderId="1" xfId="0" applyNumberFormat="1" applyBorder="1"/>
    <xf numFmtId="166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9" fontId="0" fillId="0" borderId="0" xfId="0" applyNumberFormat="1" applyAlignment="1">
      <alignment horizont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0" fillId="11" borderId="0" xfId="0" applyFill="1"/>
    <xf numFmtId="0" fontId="0" fillId="15" borderId="0" xfId="0" applyFill="1"/>
    <xf numFmtId="0" fontId="0" fillId="17" borderId="0" xfId="0" applyFill="1"/>
    <xf numFmtId="2" fontId="0" fillId="17" borderId="0" xfId="0" applyNumberFormat="1" applyFill="1"/>
    <xf numFmtId="166" fontId="0" fillId="17" borderId="0" xfId="0" applyNumberFormat="1" applyFill="1"/>
    <xf numFmtId="9" fontId="0" fillId="0" borderId="0" xfId="0" applyNumberFormat="1"/>
    <xf numFmtId="9" fontId="0" fillId="0" borderId="0" xfId="0" applyNumberFormat="1" applyAlignment="1">
      <alignment horizontal="center" vertical="center"/>
    </xf>
    <xf numFmtId="9" fontId="0" fillId="0" borderId="0" xfId="0" quotePrefix="1" applyNumberFormat="1" applyAlignment="1">
      <alignment horizontal="center" vertical="center"/>
    </xf>
    <xf numFmtId="0" fontId="0" fillId="18" borderId="0" xfId="0" applyFill="1"/>
    <xf numFmtId="0" fontId="0" fillId="0" borderId="1" xfId="0" applyBorder="1" applyAlignment="1">
      <alignment horizontal="center"/>
    </xf>
    <xf numFmtId="0" fontId="1" fillId="0" borderId="0" xfId="0" applyFont="1"/>
    <xf numFmtId="0" fontId="0" fillId="3" borderId="0" xfId="0" applyFill="1"/>
    <xf numFmtId="0" fontId="1" fillId="8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8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0" fillId="0" borderId="17" xfId="0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2" fontId="0" fillId="0" borderId="15" xfId="0" applyNumberFormat="1" applyBorder="1"/>
    <xf numFmtId="9" fontId="0" fillId="0" borderId="17" xfId="0" applyNumberFormat="1" applyBorder="1" applyAlignment="1">
      <alignment horizontal="center"/>
    </xf>
    <xf numFmtId="2" fontId="0" fillId="0" borderId="18" xfId="0" applyNumberFormat="1" applyBorder="1"/>
    <xf numFmtId="0" fontId="9" fillId="0" borderId="0" xfId="0" applyFont="1"/>
    <xf numFmtId="2" fontId="0" fillId="0" borderId="1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1" fillId="24" borderId="14" xfId="0" applyFont="1" applyFill="1" applyBorder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1" fillId="24" borderId="15" xfId="0" applyFon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4" borderId="14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0" fillId="3" borderId="25" xfId="0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0" fillId="3" borderId="28" xfId="0" applyFill="1" applyBorder="1" applyAlignment="1">
      <alignment horizontal="left"/>
    </xf>
    <xf numFmtId="0" fontId="0" fillId="3" borderId="26" xfId="0" applyFill="1" applyBorder="1"/>
    <xf numFmtId="0" fontId="0" fillId="3" borderId="25" xfId="0" applyFill="1" applyBorder="1"/>
    <xf numFmtId="0" fontId="0" fillId="3" borderId="28" xfId="0" applyFill="1" applyBorder="1"/>
    <xf numFmtId="9" fontId="1" fillId="5" borderId="1" xfId="0" quotePrefix="1" applyNumberFormat="1" applyFont="1" applyFill="1" applyBorder="1" applyAlignment="1">
      <alignment horizontal="center"/>
    </xf>
    <xf numFmtId="9" fontId="1" fillId="5" borderId="15" xfId="0" quotePrefix="1" applyNumberFormat="1" applyFont="1" applyFill="1" applyBorder="1" applyAlignment="1">
      <alignment horizontal="center"/>
    </xf>
    <xf numFmtId="0" fontId="0" fillId="0" borderId="10" xfId="0" quotePrefix="1" applyBorder="1" applyAlignment="1">
      <alignment horizontal="center"/>
    </xf>
    <xf numFmtId="2" fontId="0" fillId="0" borderId="10" xfId="0" applyNumberFormat="1" applyBorder="1"/>
    <xf numFmtId="0" fontId="0" fillId="0" borderId="0" xfId="0" quotePrefix="1" applyAlignment="1">
      <alignment horizontal="center"/>
    </xf>
    <xf numFmtId="2" fontId="0" fillId="0" borderId="26" xfId="0" applyNumberFormat="1" applyBorder="1"/>
    <xf numFmtId="2" fontId="0" fillId="0" borderId="25" xfId="0" applyNumberFormat="1" applyBorder="1"/>
    <xf numFmtId="2" fontId="0" fillId="0" borderId="27" xfId="0" applyNumberFormat="1" applyBorder="1"/>
    <xf numFmtId="0" fontId="0" fillId="0" borderId="27" xfId="0" quotePrefix="1" applyBorder="1" applyAlignment="1">
      <alignment horizontal="center"/>
    </xf>
    <xf numFmtId="2" fontId="0" fillId="0" borderId="28" xfId="0" applyNumberFormat="1" applyBorder="1"/>
    <xf numFmtId="0" fontId="1" fillId="5" borderId="14" xfId="0" applyFont="1" applyFill="1" applyBorder="1" applyAlignment="1">
      <alignment horizontal="center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69" fontId="0" fillId="9" borderId="0" xfId="0" applyNumberFormat="1" applyFill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25" borderId="0" xfId="0" applyFill="1"/>
    <xf numFmtId="0" fontId="6" fillId="25" borderId="0" xfId="2" applyFont="1" applyFill="1" applyAlignment="1">
      <alignment vertical="center"/>
    </xf>
    <xf numFmtId="0" fontId="0" fillId="0" borderId="14" xfId="0" applyBorder="1"/>
    <xf numFmtId="0" fontId="0" fillId="0" borderId="1" xfId="0" applyBorder="1"/>
    <xf numFmtId="0" fontId="0" fillId="3" borderId="0" xfId="0" applyFill="1" applyAlignment="1">
      <alignment horizontal="right"/>
    </xf>
    <xf numFmtId="0" fontId="0" fillId="3" borderId="10" xfId="0" applyFill="1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3" borderId="27" xfId="0" applyFill="1" applyBorder="1" applyAlignment="1">
      <alignment horizontal="right"/>
    </xf>
    <xf numFmtId="0" fontId="1" fillId="19" borderId="22" xfId="0" applyFont="1" applyFill="1" applyBorder="1" applyAlignment="1">
      <alignment horizontal="center"/>
    </xf>
    <xf numFmtId="0" fontId="1" fillId="19" borderId="23" xfId="0" applyFont="1" applyFill="1" applyBorder="1" applyAlignment="1">
      <alignment horizontal="center"/>
    </xf>
    <xf numFmtId="0" fontId="1" fillId="19" borderId="24" xfId="0" applyFont="1" applyFill="1" applyBorder="1" applyAlignment="1">
      <alignment horizontal="center"/>
    </xf>
    <xf numFmtId="0" fontId="1" fillId="19" borderId="11" xfId="0" applyFont="1" applyFill="1" applyBorder="1" applyAlignment="1">
      <alignment horizontal="center"/>
    </xf>
    <xf numFmtId="0" fontId="1" fillId="19" borderId="12" xfId="0" applyFont="1" applyFill="1" applyBorder="1" applyAlignment="1">
      <alignment horizontal="center"/>
    </xf>
    <xf numFmtId="0" fontId="1" fillId="19" borderId="13" xfId="0" applyFont="1" applyFill="1" applyBorder="1" applyAlignment="1">
      <alignment horizontal="center"/>
    </xf>
    <xf numFmtId="0" fontId="0" fillId="0" borderId="29" xfId="0" applyBorder="1"/>
    <xf numFmtId="0" fontId="0" fillId="0" borderId="6" xfId="0" applyBorder="1"/>
    <xf numFmtId="0" fontId="0" fillId="3" borderId="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1" fillId="12" borderId="1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/>
    </xf>
    <xf numFmtId="0" fontId="1" fillId="23" borderId="12" xfId="0" applyFont="1" applyFill="1" applyBorder="1" applyAlignment="1">
      <alignment horizontal="center"/>
    </xf>
    <xf numFmtId="0" fontId="1" fillId="23" borderId="13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/>
    </xf>
    <xf numFmtId="169" fontId="0" fillId="0" borderId="0" xfId="0" applyNumberFormat="1"/>
    <xf numFmtId="0" fontId="1" fillId="7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0" fillId="3" borderId="0" xfId="0" applyFill="1" applyAlignment="1">
      <alignment horizontal="left" vertical="center"/>
    </xf>
    <xf numFmtId="169" fontId="0" fillId="9" borderId="0" xfId="0" applyNumberFormat="1" applyFill="1"/>
    <xf numFmtId="0" fontId="0" fillId="0" borderId="0" xfId="0"/>
    <xf numFmtId="0" fontId="0" fillId="3" borderId="0" xfId="0" applyFill="1"/>
    <xf numFmtId="169" fontId="1" fillId="22" borderId="0" xfId="0" applyNumberFormat="1" applyFont="1" applyFill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12" borderId="19" xfId="0" applyFont="1" applyFill="1" applyBorder="1" applyAlignment="1">
      <alignment horizontal="center"/>
    </xf>
    <xf numFmtId="0" fontId="1" fillId="12" borderId="20" xfId="0" applyFont="1" applyFill="1" applyBorder="1" applyAlignment="1">
      <alignment horizontal="center"/>
    </xf>
    <xf numFmtId="0" fontId="1" fillId="12" borderId="21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left" vertical="center"/>
    </xf>
    <xf numFmtId="9" fontId="0" fillId="3" borderId="0" xfId="0" applyNumberFormat="1" applyFill="1" applyAlignment="1">
      <alignment horizontal="center"/>
    </xf>
    <xf numFmtId="0" fontId="0" fillId="7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9" fontId="0" fillId="3" borderId="0" xfId="1" applyFont="1" applyFill="1" applyAlignment="1">
      <alignment horizontal="center"/>
    </xf>
    <xf numFmtId="0" fontId="0" fillId="14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16" borderId="0" xfId="0" applyFill="1"/>
    <xf numFmtId="0" fontId="0" fillId="14" borderId="1" xfId="0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8" fillId="13" borderId="1" xfId="0" applyFont="1" applyFill="1" applyBorder="1" applyAlignment="1">
      <alignment horizontal="center" vertical="center"/>
    </xf>
    <xf numFmtId="2" fontId="7" fillId="0" borderId="8" xfId="2" applyNumberFormat="1" applyBorder="1" applyAlignment="1">
      <alignment horizontal="center" vertical="center"/>
    </xf>
    <xf numFmtId="2" fontId="7" fillId="0" borderId="6" xfId="2" applyNumberFormat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2" fontId="7" fillId="0" borderId="1" xfId="2" applyNumberFormat="1" applyBorder="1" applyAlignment="1">
      <alignment horizontal="center" vertical="center"/>
    </xf>
    <xf numFmtId="1" fontId="7" fillId="0" borderId="1" xfId="2" applyNumberFormat="1" applyBorder="1" applyAlignment="1">
      <alignment horizontal="center" vertical="center"/>
    </xf>
    <xf numFmtId="0" fontId="7" fillId="0" borderId="7" xfId="2" applyBorder="1" applyAlignment="1">
      <alignment horizontal="center" vertical="center"/>
    </xf>
    <xf numFmtId="0" fontId="7" fillId="0" borderId="8" xfId="2" applyBorder="1" applyAlignment="1">
      <alignment horizontal="center" vertical="center"/>
    </xf>
    <xf numFmtId="0" fontId="7" fillId="0" borderId="6" xfId="2" applyBorder="1" applyAlignment="1">
      <alignment horizontal="center" vertical="center"/>
    </xf>
    <xf numFmtId="2" fontId="7" fillId="0" borderId="7" xfId="2" applyNumberFormat="1" applyBorder="1" applyAlignment="1">
      <alignment horizontal="center" vertical="center"/>
    </xf>
    <xf numFmtId="166" fontId="7" fillId="0" borderId="1" xfId="2" applyNumberFormat="1" applyBorder="1" applyAlignment="1">
      <alignment horizontal="center" vertical="center"/>
    </xf>
    <xf numFmtId="0" fontId="7" fillId="10" borderId="7" xfId="2" applyFill="1" applyBorder="1" applyAlignment="1">
      <alignment horizontal="center" vertical="center"/>
    </xf>
    <xf numFmtId="0" fontId="7" fillId="10" borderId="8" xfId="2" applyFill="1" applyBorder="1" applyAlignment="1">
      <alignment horizontal="center" vertical="center"/>
    </xf>
    <xf numFmtId="0" fontId="7" fillId="10" borderId="6" xfId="2" applyFill="1" applyBorder="1" applyAlignment="1">
      <alignment horizontal="center" vertical="center"/>
    </xf>
    <xf numFmtId="0" fontId="7" fillId="3" borderId="7" xfId="2" applyFill="1" applyBorder="1" applyAlignment="1">
      <alignment horizontal="center" vertical="center"/>
    </xf>
    <xf numFmtId="0" fontId="7" fillId="3" borderId="8" xfId="2" applyFill="1" applyBorder="1" applyAlignment="1">
      <alignment horizontal="center" vertical="center"/>
    </xf>
    <xf numFmtId="0" fontId="7" fillId="3" borderId="6" xfId="2" applyFill="1" applyBorder="1" applyAlignment="1">
      <alignment horizontal="center" vertical="center"/>
    </xf>
    <xf numFmtId="0" fontId="7" fillId="11" borderId="7" xfId="2" applyFill="1" applyBorder="1" applyAlignment="1">
      <alignment horizontal="center" vertical="center"/>
    </xf>
    <xf numFmtId="0" fontId="7" fillId="11" borderId="8" xfId="2" applyFill="1" applyBorder="1" applyAlignment="1">
      <alignment horizontal="center" vertical="center"/>
    </xf>
    <xf numFmtId="0" fontId="7" fillId="11" borderId="6" xfId="2" applyFill="1" applyBorder="1" applyAlignment="1">
      <alignment horizontal="center" vertical="center"/>
    </xf>
    <xf numFmtId="0" fontId="7" fillId="5" borderId="1" xfId="2" applyFill="1" applyBorder="1" applyAlignment="1">
      <alignment horizontal="center" vertical="center"/>
    </xf>
    <xf numFmtId="0" fontId="7" fillId="5" borderId="7" xfId="2" applyFill="1" applyBorder="1" applyAlignment="1">
      <alignment horizontal="center" vertical="center"/>
    </xf>
    <xf numFmtId="0" fontId="7" fillId="5" borderId="8" xfId="2" applyFill="1" applyBorder="1" applyAlignment="1">
      <alignment horizontal="center" vertical="center"/>
    </xf>
    <xf numFmtId="0" fontId="7" fillId="5" borderId="6" xfId="2" applyFill="1" applyBorder="1" applyAlignment="1">
      <alignment horizontal="center" vertical="center"/>
    </xf>
    <xf numFmtId="0" fontId="7" fillId="0" borderId="9" xfId="2" applyBorder="1" applyAlignment="1">
      <alignment horizontal="center" vertical="center"/>
    </xf>
    <xf numFmtId="0" fontId="7" fillId="0" borderId="4" xfId="2" applyBorder="1" applyAlignment="1">
      <alignment horizontal="center" vertical="center"/>
    </xf>
    <xf numFmtId="0" fontId="7" fillId="10" borderId="1" xfId="2" applyFill="1" applyBorder="1" applyAlignment="1">
      <alignment horizontal="center" vertical="center"/>
    </xf>
  </cellXfs>
  <cellStyles count="4">
    <cellStyle name="Normal" xfId="0" builtinId="0"/>
    <cellStyle name="Normal 2" xfId="2" xr:uid="{4CE40AA7-3D21-4F30-90BD-E79F5D8B6CD3}"/>
    <cellStyle name="Percent" xfId="1" builtinId="5"/>
    <cellStyle name="Percent 2" xfId="3" xr:uid="{EB4C04D8-4578-4FDB-BA78-D702B97596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FOC (litre)</a:t>
            </a:r>
            <a:r>
              <a:rPr lang="en-ID" baseline="0"/>
              <a:t> per Vs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Calculation!$J$104</c:f>
              <c:strCache>
                <c:ptCount val="1"/>
                <c:pt idx="0">
                  <c:v>FOC ME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Calculation!$B$106:$B$113</c:f>
              <c:numCache>
                <c:formatCode>General</c:formatCode>
                <c:ptCount val="8"/>
                <c:pt idx="0">
                  <c:v>13.8</c:v>
                </c:pt>
                <c:pt idx="1">
                  <c:v>12.8</c:v>
                </c:pt>
                <c:pt idx="2">
                  <c:v>11.8</c:v>
                </c:pt>
                <c:pt idx="3">
                  <c:v>10.8</c:v>
                </c:pt>
                <c:pt idx="4">
                  <c:v>9.8000000000000007</c:v>
                </c:pt>
                <c:pt idx="5">
                  <c:v>8.8000000000000007</c:v>
                </c:pt>
                <c:pt idx="6">
                  <c:v>7.8000000000000007</c:v>
                </c:pt>
                <c:pt idx="7">
                  <c:v>6.8000000000000007</c:v>
                </c:pt>
              </c:numCache>
            </c:numRef>
          </c:xVal>
          <c:yVal>
            <c:numRef>
              <c:f>Calculation!$J$106:$J$113</c:f>
              <c:numCache>
                <c:formatCode>General</c:formatCode>
                <c:ptCount val="8"/>
                <c:pt idx="0">
                  <c:v>120995.34939169823</c:v>
                </c:pt>
                <c:pt idx="1">
                  <c:v>105799.86324801113</c:v>
                </c:pt>
                <c:pt idx="2">
                  <c:v>90097.361996477484</c:v>
                </c:pt>
                <c:pt idx="3">
                  <c:v>75769.878424416238</c:v>
                </c:pt>
                <c:pt idx="4">
                  <c:v>62822.16026441451</c:v>
                </c:pt>
                <c:pt idx="5">
                  <c:v>51418.682678730562</c:v>
                </c:pt>
                <c:pt idx="6">
                  <c:v>41579.36657510003</c:v>
                </c:pt>
                <c:pt idx="7">
                  <c:v>33141.999678120366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9C-4668-A175-D782445A4F2B}"/>
            </c:ext>
          </c:extLst>
        </c:ser>
        <c:ser>
          <c:idx val="3"/>
          <c:order val="1"/>
          <c:tx>
            <c:v>10%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Results!$B$10:$B$17</c:f>
              <c:numCache>
                <c:formatCode>General</c:formatCode>
                <c:ptCount val="8"/>
                <c:pt idx="0">
                  <c:v>13.8</c:v>
                </c:pt>
                <c:pt idx="1">
                  <c:v>12.8</c:v>
                </c:pt>
                <c:pt idx="2">
                  <c:v>11.8</c:v>
                </c:pt>
                <c:pt idx="3">
                  <c:v>10.8</c:v>
                </c:pt>
                <c:pt idx="4">
                  <c:v>9.8000000000000007</c:v>
                </c:pt>
                <c:pt idx="5">
                  <c:v>8.8000000000000007</c:v>
                </c:pt>
                <c:pt idx="6">
                  <c:v>7.8000000000000007</c:v>
                </c:pt>
                <c:pt idx="7">
                  <c:v>6.8000000000000007</c:v>
                </c:pt>
              </c:numCache>
            </c:numRef>
          </c:xVal>
          <c:yVal>
            <c:numRef>
              <c:f>Results!$E$10:$E$17</c:f>
              <c:numCache>
                <c:formatCode>0.00</c:formatCode>
                <c:ptCount val="8"/>
                <c:pt idx="0">
                  <c:v>133094.88433086805</c:v>
                </c:pt>
                <c:pt idx="1">
                  <c:v>116379.84957281225</c:v>
                </c:pt>
                <c:pt idx="2">
                  <c:v>99107.09819612524</c:v>
                </c:pt>
                <c:pt idx="3">
                  <c:v>83346.866266857862</c:v>
                </c:pt>
                <c:pt idx="4">
                  <c:v>69104.376290855973</c:v>
                </c:pt>
                <c:pt idx="5">
                  <c:v>56560.550946603624</c:v>
                </c:pt>
                <c:pt idx="6">
                  <c:v>45737.303232610037</c:v>
                </c:pt>
                <c:pt idx="7">
                  <c:v>36456.199645932407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9C-4668-A175-D782445A4F2B}"/>
            </c:ext>
          </c:extLst>
        </c:ser>
        <c:ser>
          <c:idx val="0"/>
          <c:order val="2"/>
          <c:tx>
            <c:v>-10%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Results!$B$10:$B$17</c:f>
              <c:numCache>
                <c:formatCode>General</c:formatCode>
                <c:ptCount val="8"/>
                <c:pt idx="0">
                  <c:v>13.8</c:v>
                </c:pt>
                <c:pt idx="1">
                  <c:v>12.8</c:v>
                </c:pt>
                <c:pt idx="2">
                  <c:v>11.8</c:v>
                </c:pt>
                <c:pt idx="3">
                  <c:v>10.8</c:v>
                </c:pt>
                <c:pt idx="4">
                  <c:v>9.8000000000000007</c:v>
                </c:pt>
                <c:pt idx="5">
                  <c:v>8.8000000000000007</c:v>
                </c:pt>
                <c:pt idx="6">
                  <c:v>7.8000000000000007</c:v>
                </c:pt>
                <c:pt idx="7">
                  <c:v>6.8000000000000007</c:v>
                </c:pt>
              </c:numCache>
            </c:numRef>
          </c:xVal>
          <c:yVal>
            <c:numRef>
              <c:f>Results!$C$10:$C$17</c:f>
              <c:numCache>
                <c:formatCode>0.00</c:formatCode>
                <c:ptCount val="8"/>
                <c:pt idx="0">
                  <c:v>108895.8144525284</c:v>
                </c:pt>
                <c:pt idx="1">
                  <c:v>95219.876923210017</c:v>
                </c:pt>
                <c:pt idx="2">
                  <c:v>81087.625796829743</c:v>
                </c:pt>
                <c:pt idx="3">
                  <c:v>68192.890581974614</c:v>
                </c:pt>
                <c:pt idx="4">
                  <c:v>56539.944237973061</c:v>
                </c:pt>
                <c:pt idx="5">
                  <c:v>46276.814410857507</c:v>
                </c:pt>
                <c:pt idx="6">
                  <c:v>37421.429917590031</c:v>
                </c:pt>
                <c:pt idx="7">
                  <c:v>29827.799710308329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9C-4668-A175-D782445A4F2B}"/>
            </c:ext>
          </c:extLst>
        </c:ser>
        <c:ser>
          <c:idx val="2"/>
          <c:order val="3"/>
          <c:tx>
            <c:strRef>
              <c:f>Calculation!$K$104</c:f>
              <c:strCache>
                <c:ptCount val="1"/>
                <c:pt idx="0">
                  <c:v>FOC AE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Calculation!$B$106:$B$113</c:f>
              <c:numCache>
                <c:formatCode>General</c:formatCode>
                <c:ptCount val="8"/>
                <c:pt idx="0">
                  <c:v>13.8</c:v>
                </c:pt>
                <c:pt idx="1">
                  <c:v>12.8</c:v>
                </c:pt>
                <c:pt idx="2">
                  <c:v>11.8</c:v>
                </c:pt>
                <c:pt idx="3">
                  <c:v>10.8</c:v>
                </c:pt>
                <c:pt idx="4">
                  <c:v>9.8000000000000007</c:v>
                </c:pt>
                <c:pt idx="5">
                  <c:v>8.8000000000000007</c:v>
                </c:pt>
                <c:pt idx="6">
                  <c:v>7.8000000000000007</c:v>
                </c:pt>
                <c:pt idx="7">
                  <c:v>6.8000000000000007</c:v>
                </c:pt>
              </c:numCache>
            </c:numRef>
          </c:xVal>
          <c:yVal>
            <c:numRef>
              <c:f>Calculation!$K$106:$K$113</c:f>
              <c:numCache>
                <c:formatCode>0.00</c:formatCode>
                <c:ptCount val="8"/>
                <c:pt idx="0">
                  <c:v>21894.82608695652</c:v>
                </c:pt>
                <c:pt idx="1">
                  <c:v>22379.2265625</c:v>
                </c:pt>
                <c:pt idx="2">
                  <c:v>22945.728813559319</c:v>
                </c:pt>
                <c:pt idx="3">
                  <c:v>23617.138888888887</c:v>
                </c:pt>
                <c:pt idx="4">
                  <c:v>24425.571428571428</c:v>
                </c:pt>
                <c:pt idx="5">
                  <c:v>25417.738636363632</c:v>
                </c:pt>
                <c:pt idx="6">
                  <c:v>26664.307692307688</c:v>
                </c:pt>
                <c:pt idx="7">
                  <c:v>28277.51470588235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9C-4668-A175-D782445A4F2B}"/>
            </c:ext>
          </c:extLst>
        </c:ser>
        <c:ser>
          <c:idx val="5"/>
          <c:order val="4"/>
          <c:tx>
            <c:v>3%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Results!$B$10:$B$17</c:f>
              <c:numCache>
                <c:formatCode>General</c:formatCode>
                <c:ptCount val="8"/>
                <c:pt idx="0">
                  <c:v>13.8</c:v>
                </c:pt>
                <c:pt idx="1">
                  <c:v>12.8</c:v>
                </c:pt>
                <c:pt idx="2">
                  <c:v>11.8</c:v>
                </c:pt>
                <c:pt idx="3">
                  <c:v>10.8</c:v>
                </c:pt>
                <c:pt idx="4">
                  <c:v>9.8000000000000007</c:v>
                </c:pt>
                <c:pt idx="5">
                  <c:v>8.8000000000000007</c:v>
                </c:pt>
                <c:pt idx="6">
                  <c:v>7.8000000000000007</c:v>
                </c:pt>
                <c:pt idx="7">
                  <c:v>6.8000000000000007</c:v>
                </c:pt>
              </c:numCache>
            </c:numRef>
          </c:xVal>
          <c:yVal>
            <c:numRef>
              <c:f>Results!$I$10:$I$17</c:f>
              <c:numCache>
                <c:formatCode>0.00</c:formatCode>
                <c:ptCount val="8"/>
                <c:pt idx="0">
                  <c:v>22343.170086956521</c:v>
                </c:pt>
                <c:pt idx="1">
                  <c:v>22827.570562500001</c:v>
                </c:pt>
                <c:pt idx="2">
                  <c:v>23394.072813559324</c:v>
                </c:pt>
                <c:pt idx="3">
                  <c:v>24065.482888888888</c:v>
                </c:pt>
                <c:pt idx="4">
                  <c:v>24873.915428571428</c:v>
                </c:pt>
                <c:pt idx="5">
                  <c:v>25866.082636363637</c:v>
                </c:pt>
                <c:pt idx="6">
                  <c:v>27112.651692307692</c:v>
                </c:pt>
                <c:pt idx="7">
                  <c:v>28725.858705882354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9C-4668-A175-D782445A4F2B}"/>
            </c:ext>
          </c:extLst>
        </c:ser>
        <c:ser>
          <c:idx val="4"/>
          <c:order val="5"/>
          <c:tx>
            <c:v>-3%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Results!$B$10:$B$17</c:f>
              <c:numCache>
                <c:formatCode>General</c:formatCode>
                <c:ptCount val="8"/>
                <c:pt idx="0">
                  <c:v>13.8</c:v>
                </c:pt>
                <c:pt idx="1">
                  <c:v>12.8</c:v>
                </c:pt>
                <c:pt idx="2">
                  <c:v>11.8</c:v>
                </c:pt>
                <c:pt idx="3">
                  <c:v>10.8</c:v>
                </c:pt>
                <c:pt idx="4">
                  <c:v>9.8000000000000007</c:v>
                </c:pt>
                <c:pt idx="5">
                  <c:v>8.8000000000000007</c:v>
                </c:pt>
                <c:pt idx="6">
                  <c:v>7.8000000000000007</c:v>
                </c:pt>
                <c:pt idx="7">
                  <c:v>6.8000000000000007</c:v>
                </c:pt>
              </c:numCache>
            </c:numRef>
          </c:xVal>
          <c:yVal>
            <c:numRef>
              <c:f>Results!$G$10:$G$17</c:f>
              <c:numCache>
                <c:formatCode>0.00</c:formatCode>
                <c:ptCount val="8"/>
                <c:pt idx="0">
                  <c:v>21446.482086956519</c:v>
                </c:pt>
                <c:pt idx="1">
                  <c:v>21930.882562499999</c:v>
                </c:pt>
                <c:pt idx="2">
                  <c:v>22497.384813559322</c:v>
                </c:pt>
                <c:pt idx="3">
                  <c:v>23168.794888888886</c:v>
                </c:pt>
                <c:pt idx="4">
                  <c:v>23977.227428571427</c:v>
                </c:pt>
                <c:pt idx="5">
                  <c:v>24969.394636363635</c:v>
                </c:pt>
                <c:pt idx="6">
                  <c:v>26215.963692307691</c:v>
                </c:pt>
                <c:pt idx="7">
                  <c:v>27829.170705882352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9C-4668-A175-D782445A4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536720"/>
        <c:axId val="890535280"/>
      </c:scatterChart>
      <c:valAx>
        <c:axId val="890536720"/>
        <c:scaling>
          <c:orientation val="minMax"/>
          <c:max val="15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Service Speed (Knot)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35280"/>
        <c:crosses val="autoZero"/>
        <c:crossBetween val="midCat"/>
      </c:valAx>
      <c:valAx>
        <c:axId val="89053528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FOC</a:t>
                </a:r>
                <a:r>
                  <a:rPr lang="en-ID" baseline="0"/>
                  <a:t> (litre)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3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Attained CII per Years</a:t>
            </a:r>
            <a:r>
              <a:rPr lang="en-ID" baseline="0"/>
              <a:t> per Vs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2"/>
          <c:order val="8"/>
          <c:tx>
            <c:strRef>
              <c:f>Calculation!$F$135</c:f>
              <c:strCache>
                <c:ptCount val="1"/>
                <c:pt idx="0">
                  <c:v>Inferior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val>
            <c:numRef>
              <c:f>Calculation!$E$136:$E$142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AB-4654-A25E-1A6D23FBF646}"/>
            </c:ext>
          </c:extLst>
        </c:ser>
        <c:ser>
          <c:idx val="8"/>
          <c:order val="9"/>
          <c:tx>
            <c:strRef>
              <c:f>Calculation!$F$135</c:f>
              <c:strCache>
                <c:ptCount val="1"/>
                <c:pt idx="0">
                  <c:v>Inferior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Calculation!$B$136:$B$142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Calculation!$F$136:$F$142</c:f>
              <c:numCache>
                <c:formatCode>0.00</c:formatCode>
                <c:ptCount val="7"/>
                <c:pt idx="0">
                  <c:v>20.170734005595104</c:v>
                </c:pt>
                <c:pt idx="1">
                  <c:v>19.736954779668324</c:v>
                </c:pt>
                <c:pt idx="2">
                  <c:v>19.30317555374155</c:v>
                </c:pt>
                <c:pt idx="3">
                  <c:v>18.652506714851384</c:v>
                </c:pt>
                <c:pt idx="4">
                  <c:v>18.001837875961218</c:v>
                </c:pt>
                <c:pt idx="5">
                  <c:v>17.351169037071056</c:v>
                </c:pt>
                <c:pt idx="6">
                  <c:v>16.70050019818089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AB-4654-A25E-1A6D23FBF646}"/>
            </c:ext>
          </c:extLst>
        </c:ser>
        <c:ser>
          <c:idx val="9"/>
          <c:order val="10"/>
          <c:tx>
            <c:strRef>
              <c:f>Calculation!$G$135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Calculation!$B$136:$B$142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Calculation!$G$136:$G$142</c:f>
              <c:numCache>
                <c:formatCode>0.00</c:formatCode>
                <c:ptCount val="7"/>
                <c:pt idx="0">
                  <c:v>17.967208441958665</c:v>
                </c:pt>
                <c:pt idx="1">
                  <c:v>17.580816862561704</c:v>
                </c:pt>
                <c:pt idx="2">
                  <c:v>17.194425283164744</c:v>
                </c:pt>
                <c:pt idx="3">
                  <c:v>16.614837914069302</c:v>
                </c:pt>
                <c:pt idx="4">
                  <c:v>16.035250544973859</c:v>
                </c:pt>
                <c:pt idx="5">
                  <c:v>15.455663175878422</c:v>
                </c:pt>
                <c:pt idx="6">
                  <c:v>14.87607580678298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AB-4654-A25E-1A6D23FBF646}"/>
            </c:ext>
          </c:extLst>
        </c:ser>
        <c:ser>
          <c:idx val="10"/>
          <c:order val="11"/>
          <c:tx>
            <c:strRef>
              <c:f>Calculation!$H$135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Calculation!$B$136:$B$142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Calculation!$H$136:$H$142</c:f>
              <c:numCache>
                <c:formatCode>0.00</c:formatCode>
                <c:ptCount val="7"/>
                <c:pt idx="0">
                  <c:v>15.933184844755797</c:v>
                </c:pt>
                <c:pt idx="1">
                  <c:v>15.590535708309433</c:v>
                </c:pt>
                <c:pt idx="2">
                  <c:v>15.247886571863074</c:v>
                </c:pt>
                <c:pt idx="3">
                  <c:v>14.733912867193531</c:v>
                </c:pt>
                <c:pt idx="4">
                  <c:v>14.219939162523987</c:v>
                </c:pt>
                <c:pt idx="5">
                  <c:v>13.705965457854449</c:v>
                </c:pt>
                <c:pt idx="6">
                  <c:v>13.191991753184906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AAB-4654-A25E-1A6D23FBF646}"/>
            </c:ext>
          </c:extLst>
        </c:ser>
        <c:ser>
          <c:idx val="11"/>
          <c:order val="12"/>
          <c:tx>
            <c:strRef>
              <c:f>Calculation!$I$135</c:f>
              <c:strCache>
                <c:ptCount val="1"/>
                <c:pt idx="0">
                  <c:v>Superior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Calculation!$B$136:$B$142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Calculation!$I$136:$I$142</c:f>
              <c:numCache>
                <c:formatCode>0.00</c:formatCode>
                <c:ptCount val="7"/>
                <c:pt idx="0">
                  <c:v>14.0686632139865</c:v>
                </c:pt>
                <c:pt idx="1">
                  <c:v>13.766111316911521</c:v>
                </c:pt>
                <c:pt idx="2">
                  <c:v>13.463559419836544</c:v>
                </c:pt>
                <c:pt idx="3">
                  <c:v>13.009731574224075</c:v>
                </c:pt>
                <c:pt idx="4">
                  <c:v>12.555903728611607</c:v>
                </c:pt>
                <c:pt idx="5">
                  <c:v>12.102075882999141</c:v>
                </c:pt>
                <c:pt idx="6">
                  <c:v>11.648248037386672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AAB-4654-A25E-1A6D23FBF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222576"/>
        <c:axId val="1209236016"/>
      </c:areaChart>
      <c:lineChart>
        <c:grouping val="standard"/>
        <c:varyColors val="0"/>
        <c:ser>
          <c:idx val="1"/>
          <c:order val="0"/>
          <c:tx>
            <c:strRef>
              <c:f>Calculation!$J$135</c:f>
              <c:strCache>
                <c:ptCount val="1"/>
                <c:pt idx="0">
                  <c:v>13.8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Calculation!$B$136:$B$142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Calculation!$J$136:$J$142</c:f>
              <c:numCache>
                <c:formatCode>0.000</c:formatCode>
                <c:ptCount val="7"/>
                <c:pt idx="0">
                  <c:v>34.982764991870127</c:v>
                </c:pt>
                <c:pt idx="1">
                  <c:v>34.982764991870127</c:v>
                </c:pt>
                <c:pt idx="2">
                  <c:v>34.982764991870127</c:v>
                </c:pt>
                <c:pt idx="3">
                  <c:v>34.982764991870127</c:v>
                </c:pt>
                <c:pt idx="4">
                  <c:v>34.982764991870127</c:v>
                </c:pt>
                <c:pt idx="5">
                  <c:v>34.982764991870127</c:v>
                </c:pt>
                <c:pt idx="6">
                  <c:v>34.982764991870127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AB-4654-A25E-1A6D23FBF646}"/>
            </c:ext>
          </c:extLst>
        </c:ser>
        <c:ser>
          <c:idx val="0"/>
          <c:order val="1"/>
          <c:tx>
            <c:strRef>
              <c:f>Calculation!$K$135</c:f>
              <c:strCache>
                <c:ptCount val="1"/>
                <c:pt idx="0">
                  <c:v>12.8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Calculation!$B$136:$B$142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Calculation!$K$136:$K$142</c:f>
              <c:numCache>
                <c:formatCode>0.000</c:formatCode>
                <c:ptCount val="7"/>
                <c:pt idx="0">
                  <c:v>31.330023762667231</c:v>
                </c:pt>
                <c:pt idx="1">
                  <c:v>31.330023762667231</c:v>
                </c:pt>
                <c:pt idx="2">
                  <c:v>31.330023762667231</c:v>
                </c:pt>
                <c:pt idx="3">
                  <c:v>31.330023762667231</c:v>
                </c:pt>
                <c:pt idx="4">
                  <c:v>31.330023762667231</c:v>
                </c:pt>
                <c:pt idx="5">
                  <c:v>31.330023762667231</c:v>
                </c:pt>
                <c:pt idx="6">
                  <c:v>31.330023762667231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AB-4654-A25E-1A6D23FBF646}"/>
            </c:ext>
          </c:extLst>
        </c:ser>
        <c:ser>
          <c:idx val="2"/>
          <c:order val="2"/>
          <c:tx>
            <c:strRef>
              <c:f>Calculation!$L$135</c:f>
              <c:strCache>
                <c:ptCount val="1"/>
                <c:pt idx="0">
                  <c:v>11.8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Calculation!$B$136:$B$142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Calculation!$L$136:$L$142</c:f>
              <c:numCache>
                <c:formatCode>0.000</c:formatCode>
                <c:ptCount val="7"/>
                <c:pt idx="0">
                  <c:v>27.570505448315259</c:v>
                </c:pt>
                <c:pt idx="1">
                  <c:v>27.570505448315259</c:v>
                </c:pt>
                <c:pt idx="2">
                  <c:v>27.570505448315259</c:v>
                </c:pt>
                <c:pt idx="3">
                  <c:v>27.570505448315259</c:v>
                </c:pt>
                <c:pt idx="4">
                  <c:v>27.570505448315259</c:v>
                </c:pt>
                <c:pt idx="5">
                  <c:v>27.570505448315259</c:v>
                </c:pt>
                <c:pt idx="6">
                  <c:v>27.570505448315259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B-4654-A25E-1A6D23FBF646}"/>
            </c:ext>
          </c:extLst>
        </c:ser>
        <c:ser>
          <c:idx val="3"/>
          <c:order val="3"/>
          <c:tx>
            <c:strRef>
              <c:f>Calculation!$M$135</c:f>
              <c:strCache>
                <c:ptCount val="1"/>
                <c:pt idx="0">
                  <c:v>10.8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Calculation!$B$136:$B$142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Calculation!$M$136:$M$142</c:f>
              <c:numCache>
                <c:formatCode>0.000</c:formatCode>
                <c:ptCount val="7"/>
                <c:pt idx="0">
                  <c:v>24.175581839186627</c:v>
                </c:pt>
                <c:pt idx="1">
                  <c:v>24.175581839186627</c:v>
                </c:pt>
                <c:pt idx="2">
                  <c:v>24.175581839186627</c:v>
                </c:pt>
                <c:pt idx="3">
                  <c:v>24.175581839186627</c:v>
                </c:pt>
                <c:pt idx="4">
                  <c:v>24.175581839186627</c:v>
                </c:pt>
                <c:pt idx="5">
                  <c:v>24.175581839186627</c:v>
                </c:pt>
                <c:pt idx="6">
                  <c:v>24.175581839186627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AB-4654-A25E-1A6D23FBF646}"/>
            </c:ext>
          </c:extLst>
        </c:ser>
        <c:ser>
          <c:idx val="4"/>
          <c:order val="4"/>
          <c:tx>
            <c:strRef>
              <c:f>Calculation!$N$135</c:f>
              <c:strCache>
                <c:ptCount val="1"/>
                <c:pt idx="0">
                  <c:v>9.8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Calculation!$B$136:$B$142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Calculation!$N$136:$N$142</c:f>
              <c:numCache>
                <c:formatCode>0.000</c:formatCode>
                <c:ptCount val="7"/>
                <c:pt idx="0">
                  <c:v>21.153783518296912</c:v>
                </c:pt>
                <c:pt idx="1">
                  <c:v>21.153783518296912</c:v>
                </c:pt>
                <c:pt idx="2">
                  <c:v>21.153783518296912</c:v>
                </c:pt>
                <c:pt idx="3">
                  <c:v>21.153783518296912</c:v>
                </c:pt>
                <c:pt idx="4">
                  <c:v>21.153783518296912</c:v>
                </c:pt>
                <c:pt idx="5">
                  <c:v>21.153783518296912</c:v>
                </c:pt>
                <c:pt idx="6">
                  <c:v>21.153783518296912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AB-4654-A25E-1A6D23FBF646}"/>
            </c:ext>
          </c:extLst>
        </c:ser>
        <c:ser>
          <c:idx val="5"/>
          <c:order val="5"/>
          <c:tx>
            <c:strRef>
              <c:f>Calculation!$O$135</c:f>
              <c:strCache>
                <c:ptCount val="1"/>
                <c:pt idx="0">
                  <c:v>8.8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Calculation!$B$136:$B$142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Calculation!$O$136:$O$142</c:f>
              <c:numCache>
                <c:formatCode>0.000</c:formatCode>
                <c:ptCount val="7"/>
                <c:pt idx="0">
                  <c:v>18.556545977593498</c:v>
                </c:pt>
                <c:pt idx="1">
                  <c:v>18.556545977593498</c:v>
                </c:pt>
                <c:pt idx="2">
                  <c:v>18.556545977593498</c:v>
                </c:pt>
                <c:pt idx="3">
                  <c:v>18.556545977593498</c:v>
                </c:pt>
                <c:pt idx="4">
                  <c:v>18.556545977593498</c:v>
                </c:pt>
                <c:pt idx="5">
                  <c:v>18.556545977593498</c:v>
                </c:pt>
                <c:pt idx="6">
                  <c:v>18.556545977593498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AB-4654-A25E-1A6D23FBF646}"/>
            </c:ext>
          </c:extLst>
        </c:ser>
        <c:ser>
          <c:idx val="6"/>
          <c:order val="6"/>
          <c:tx>
            <c:strRef>
              <c:f>Calculation!$P$135</c:f>
              <c:strCache>
                <c:ptCount val="1"/>
                <c:pt idx="0">
                  <c:v>7.8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Calculation!$B$136:$B$142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Calculation!$P$136:$P$142</c:f>
              <c:numCache>
                <c:formatCode>0.000</c:formatCode>
                <c:ptCount val="7"/>
                <c:pt idx="0">
                  <c:v>16.404986953850958</c:v>
                </c:pt>
                <c:pt idx="1">
                  <c:v>16.404986953850958</c:v>
                </c:pt>
                <c:pt idx="2">
                  <c:v>16.404986953850958</c:v>
                </c:pt>
                <c:pt idx="3">
                  <c:v>16.404986953850958</c:v>
                </c:pt>
                <c:pt idx="4">
                  <c:v>16.404986953850958</c:v>
                </c:pt>
                <c:pt idx="5">
                  <c:v>16.404986953850958</c:v>
                </c:pt>
                <c:pt idx="6">
                  <c:v>16.404986953850958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AB-4654-A25E-1A6D23FBF646}"/>
            </c:ext>
          </c:extLst>
        </c:ser>
        <c:ser>
          <c:idx val="7"/>
          <c:order val="7"/>
          <c:tx>
            <c:strRef>
              <c:f>Calculation!$Q$135</c:f>
              <c:strCache>
                <c:ptCount val="1"/>
                <c:pt idx="0">
                  <c:v>6.8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Calculation!$B$136:$B$142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Calculation!$Q$136:$Q$142</c:f>
              <c:numCache>
                <c:formatCode>0.000</c:formatCode>
                <c:ptCount val="7"/>
                <c:pt idx="0">
                  <c:v>14.684632550484423</c:v>
                </c:pt>
                <c:pt idx="1">
                  <c:v>14.684632550484423</c:v>
                </c:pt>
                <c:pt idx="2">
                  <c:v>14.684632550484423</c:v>
                </c:pt>
                <c:pt idx="3">
                  <c:v>14.684632550484423</c:v>
                </c:pt>
                <c:pt idx="4">
                  <c:v>14.684632550484423</c:v>
                </c:pt>
                <c:pt idx="5">
                  <c:v>14.684632550484423</c:v>
                </c:pt>
                <c:pt idx="6">
                  <c:v>14.684632550484423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AB-4654-A25E-1A6D23FBF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222576"/>
        <c:axId val="1209236016"/>
      </c:lineChart>
      <c:catAx>
        <c:axId val="120922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36016"/>
        <c:crosses val="autoZero"/>
        <c:auto val="1"/>
        <c:lblAlgn val="ctr"/>
        <c:lblOffset val="100"/>
        <c:tickMarkSkip val="1"/>
        <c:noMultiLvlLbl val="0"/>
      </c:catAx>
      <c:valAx>
        <c:axId val="1209236016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Attained</a:t>
                </a:r>
                <a:r>
                  <a:rPr lang="en-ID" baseline="0"/>
                  <a:t> CII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2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Power Req Vs Service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Sheet1!$A$107:$A$116</c:f>
              <c:numCache>
                <c:formatCode>General</c:formatCode>
                <c:ptCount val="10"/>
                <c:pt idx="0">
                  <c:v>13.8</c:v>
                </c:pt>
                <c:pt idx="1">
                  <c:v>12.8</c:v>
                </c:pt>
                <c:pt idx="2">
                  <c:v>11.8</c:v>
                </c:pt>
                <c:pt idx="3">
                  <c:v>10.8</c:v>
                </c:pt>
                <c:pt idx="4">
                  <c:v>9.8000000000000007</c:v>
                </c:pt>
                <c:pt idx="5">
                  <c:v>8.8000000000000007</c:v>
                </c:pt>
                <c:pt idx="6">
                  <c:v>7.8000000000000007</c:v>
                </c:pt>
                <c:pt idx="7">
                  <c:v>6.8000000000000007</c:v>
                </c:pt>
                <c:pt idx="8">
                  <c:v>5.8000000000000007</c:v>
                </c:pt>
                <c:pt idx="9">
                  <c:v>4.8000000000000007</c:v>
                </c:pt>
              </c:numCache>
            </c:numRef>
          </c:xVal>
          <c:yVal>
            <c:numRef>
              <c:f>Sheet1!$X$107:$X$116</c:f>
              <c:numCache>
                <c:formatCode>General</c:formatCode>
                <c:ptCount val="10"/>
                <c:pt idx="0">
                  <c:v>2743.1302441806001</c:v>
                </c:pt>
                <c:pt idx="1">
                  <c:v>2197.6739375624629</c:v>
                </c:pt>
                <c:pt idx="2">
                  <c:v>1669.8921772267906</c:v>
                </c:pt>
                <c:pt idx="3">
                  <c:v>1229.5763587850106</c:v>
                </c:pt>
                <c:pt idx="4">
                  <c:v>883.98580722927647</c:v>
                </c:pt>
                <c:pt idx="5">
                  <c:v>624.36450363427684</c:v>
                </c:pt>
                <c:pt idx="6">
                  <c:v>433.55611503946693</c:v>
                </c:pt>
                <c:pt idx="7">
                  <c:v>294.23184323539584</c:v>
                </c:pt>
                <c:pt idx="8">
                  <c:v>192.3174407037055</c:v>
                </c:pt>
                <c:pt idx="9">
                  <c:v>117.87445773530192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1-4D22-901F-FC9E236AF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20143"/>
        <c:axId val="1219119663"/>
      </c:scatterChart>
      <c:valAx>
        <c:axId val="121912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Speed (Knot)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19663"/>
        <c:crosses val="autoZero"/>
        <c:crossBetween val="midCat"/>
      </c:valAx>
      <c:valAx>
        <c:axId val="121911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Power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20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Attained CII vs Service</a:t>
            </a:r>
            <a:r>
              <a:rPr lang="en-ID" baseline="0"/>
              <a:t> Speed vs Years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Sheet1!$I$163</c:f>
              <c:strCache>
                <c:ptCount val="1"/>
                <c:pt idx="0">
                  <c:v>inferior</c:v>
                </c:pt>
              </c:strCache>
            </c:strRef>
          </c:tx>
          <c:spPr>
            <a:solidFill>
              <a:srgbClr val="C00000"/>
            </a:solidFill>
            <a:ln w="25400">
              <a:noFill/>
            </a:ln>
            <a:effectLst/>
          </c:spPr>
          <c:cat>
            <c:numRef>
              <c:f>Sheet1!$A$168:$A$174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Sheet1!$I$168:$I$174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A-443E-A44B-EDB456ABCBC3}"/>
            </c:ext>
          </c:extLst>
        </c:ser>
        <c:ser>
          <c:idx val="1"/>
          <c:order val="1"/>
          <c:tx>
            <c:strRef>
              <c:f>Sheet1!$J$163</c:f>
              <c:strCache>
                <c:ptCount val="1"/>
                <c:pt idx="0">
                  <c:v>inferior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Sheet1!$A$168:$A$174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Sheet1!$J$168:$J$174</c:f>
              <c:numCache>
                <c:formatCode>0.00</c:formatCode>
                <c:ptCount val="7"/>
                <c:pt idx="0">
                  <c:v>20.150371959815381</c:v>
                </c:pt>
                <c:pt idx="1">
                  <c:v>19.717030627346233</c:v>
                </c:pt>
                <c:pt idx="2">
                  <c:v>19.283689294877085</c:v>
                </c:pt>
                <c:pt idx="3">
                  <c:v>18.633677296173364</c:v>
                </c:pt>
                <c:pt idx="4">
                  <c:v>17.983665297469642</c:v>
                </c:pt>
                <c:pt idx="5">
                  <c:v>17.33365329876592</c:v>
                </c:pt>
                <c:pt idx="6">
                  <c:v>16.683641300062199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A-443E-A44B-EDB456ABCBC3}"/>
            </c:ext>
          </c:extLst>
        </c:ser>
        <c:ser>
          <c:idx val="2"/>
          <c:order val="2"/>
          <c:tx>
            <c:strRef>
              <c:f>Sheet1!$K$163</c:f>
              <c:strCache>
                <c:ptCount val="1"/>
                <c:pt idx="0">
                  <c:v>upper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Sheet1!$A$168:$A$174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Sheet1!$K$168:$K$174</c:f>
              <c:numCache>
                <c:formatCode>0.00</c:formatCode>
                <c:ptCount val="7"/>
                <c:pt idx="0">
                  <c:v>17.949070821348155</c:v>
                </c:pt>
                <c:pt idx="1">
                  <c:v>17.563069298308413</c:v>
                </c:pt>
                <c:pt idx="2">
                  <c:v>17.177067775268664</c:v>
                </c:pt>
                <c:pt idx="3">
                  <c:v>16.598065490709047</c:v>
                </c:pt>
                <c:pt idx="4">
                  <c:v>16.019063206149429</c:v>
                </c:pt>
                <c:pt idx="5">
                  <c:v>15.440060921589811</c:v>
                </c:pt>
                <c:pt idx="6">
                  <c:v>14.861058637030196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A-443E-A44B-EDB456ABCBC3}"/>
            </c:ext>
          </c:extLst>
        </c:ser>
        <c:ser>
          <c:idx val="3"/>
          <c:order val="3"/>
          <c:tx>
            <c:strRef>
              <c:f>Sheet1!$L$163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Sheet1!$A$168:$A$174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Sheet1!$L$168:$L$174</c:f>
              <c:numCache>
                <c:formatCode>0.00</c:formatCode>
                <c:ptCount val="7"/>
                <c:pt idx="0">
                  <c:v>15.917100539686098</c:v>
                </c:pt>
                <c:pt idx="1">
                  <c:v>15.574797302273495</c:v>
                </c:pt>
                <c:pt idx="2">
                  <c:v>15.232494064860891</c:v>
                </c:pt>
                <c:pt idx="3">
                  <c:v>14.719039208741984</c:v>
                </c:pt>
                <c:pt idx="4">
                  <c:v>14.205584352623077</c:v>
                </c:pt>
                <c:pt idx="5">
                  <c:v>13.692129496504172</c:v>
                </c:pt>
                <c:pt idx="6">
                  <c:v>13.178674640385266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CA-443E-A44B-EDB456ABCBC3}"/>
            </c:ext>
          </c:extLst>
        </c:ser>
        <c:ser>
          <c:idx val="4"/>
          <c:order val="4"/>
          <c:tx>
            <c:strRef>
              <c:f>Sheet1!$M$163</c:f>
              <c:strCache>
                <c:ptCount val="1"/>
                <c:pt idx="0">
                  <c:v>Superior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Sheet1!$A$168:$A$174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Sheet1!$M$168:$M$174</c:f>
              <c:numCache>
                <c:formatCode>0.00</c:formatCode>
                <c:ptCount val="7"/>
                <c:pt idx="0">
                  <c:v>14.054461114829214</c:v>
                </c:pt>
                <c:pt idx="1">
                  <c:v>13.752214639241492</c:v>
                </c:pt>
                <c:pt idx="2">
                  <c:v>13.449968163653764</c:v>
                </c:pt>
                <c:pt idx="3">
                  <c:v>12.996598450272177</c:v>
                </c:pt>
                <c:pt idx="4">
                  <c:v>12.54322873689059</c:v>
                </c:pt>
                <c:pt idx="5">
                  <c:v>12.089859023509003</c:v>
                </c:pt>
                <c:pt idx="6">
                  <c:v>11.636489310127416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CA-443E-A44B-EDB456ABC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071"/>
        <c:axId val="338903471"/>
      </c:areaChart>
      <c:lineChart>
        <c:grouping val="standard"/>
        <c:varyColors val="0"/>
        <c:ser>
          <c:idx val="5"/>
          <c:order val="5"/>
          <c:tx>
            <c:strRef>
              <c:f>Sheet1!$N$163</c:f>
              <c:strCache>
                <c:ptCount val="1"/>
                <c:pt idx="0">
                  <c:v>13.8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Sheet1!$A$164:$A$174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Sheet1!$N$168:$N$174</c:f>
              <c:numCache>
                <c:formatCode>0.000</c:formatCode>
                <c:ptCount val="7"/>
                <c:pt idx="0">
                  <c:v>33.247500343478023</c:v>
                </c:pt>
                <c:pt idx="1">
                  <c:v>33.247500343478023</c:v>
                </c:pt>
                <c:pt idx="2">
                  <c:v>33.247500343478023</c:v>
                </c:pt>
                <c:pt idx="3">
                  <c:v>33.247500343478023</c:v>
                </c:pt>
                <c:pt idx="4">
                  <c:v>33.247500343478023</c:v>
                </c:pt>
                <c:pt idx="5">
                  <c:v>33.247500343478023</c:v>
                </c:pt>
                <c:pt idx="6">
                  <c:v>33.247500343478023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CA-443E-A44B-EDB456ABCBC3}"/>
            </c:ext>
          </c:extLst>
        </c:ser>
        <c:ser>
          <c:idx val="6"/>
          <c:order val="6"/>
          <c:tx>
            <c:strRef>
              <c:f>Sheet1!$O$163</c:f>
              <c:strCache>
                <c:ptCount val="1"/>
                <c:pt idx="0">
                  <c:v>12.8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Sheet1!$O$168:$O$174</c:f>
              <c:numCache>
                <c:formatCode>0.00</c:formatCode>
                <c:ptCount val="7"/>
                <c:pt idx="0">
                  <c:v>29.317717787996397</c:v>
                </c:pt>
                <c:pt idx="1">
                  <c:v>29.317717787996397</c:v>
                </c:pt>
                <c:pt idx="2">
                  <c:v>29.317717787996397</c:v>
                </c:pt>
                <c:pt idx="3">
                  <c:v>29.317717787996397</c:v>
                </c:pt>
                <c:pt idx="4">
                  <c:v>29.317717787996397</c:v>
                </c:pt>
                <c:pt idx="5">
                  <c:v>29.317717787996397</c:v>
                </c:pt>
                <c:pt idx="6">
                  <c:v>29.317717787996397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6CA-443E-A44B-EDB456ABCBC3}"/>
            </c:ext>
          </c:extLst>
        </c:ser>
        <c:ser>
          <c:idx val="7"/>
          <c:order val="7"/>
          <c:tx>
            <c:strRef>
              <c:f>Sheet1!$P$163</c:f>
              <c:strCache>
                <c:ptCount val="1"/>
                <c:pt idx="0">
                  <c:v>11.8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Sheet1!$P$168:$P$174</c:f>
              <c:numCache>
                <c:formatCode>0.00</c:formatCode>
                <c:ptCount val="7"/>
                <c:pt idx="0">
                  <c:v>25.453661795636023</c:v>
                </c:pt>
                <c:pt idx="1">
                  <c:v>25.453661795636023</c:v>
                </c:pt>
                <c:pt idx="2">
                  <c:v>25.453661795636023</c:v>
                </c:pt>
                <c:pt idx="3">
                  <c:v>25.453661795636023</c:v>
                </c:pt>
                <c:pt idx="4">
                  <c:v>25.453661795636023</c:v>
                </c:pt>
                <c:pt idx="5">
                  <c:v>25.453661795636023</c:v>
                </c:pt>
                <c:pt idx="6">
                  <c:v>25.453661795636023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6CA-443E-A44B-EDB456ABCBC3}"/>
            </c:ext>
          </c:extLst>
        </c:ser>
        <c:ser>
          <c:idx val="8"/>
          <c:order val="8"/>
          <c:tx>
            <c:strRef>
              <c:f>Sheet1!$Q$163</c:f>
              <c:strCache>
                <c:ptCount val="1"/>
                <c:pt idx="0">
                  <c:v>10.8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Sheet1!$Q$168:$Q$174</c:f>
              <c:numCache>
                <c:formatCode>0.00</c:formatCode>
                <c:ptCount val="7"/>
                <c:pt idx="0">
                  <c:v>22.006965134131175</c:v>
                </c:pt>
                <c:pt idx="1">
                  <c:v>22.006965134131175</c:v>
                </c:pt>
                <c:pt idx="2">
                  <c:v>22.006965134131175</c:v>
                </c:pt>
                <c:pt idx="3">
                  <c:v>22.006965134131175</c:v>
                </c:pt>
                <c:pt idx="4">
                  <c:v>22.006965134131175</c:v>
                </c:pt>
                <c:pt idx="5">
                  <c:v>22.006965134131175</c:v>
                </c:pt>
                <c:pt idx="6">
                  <c:v>22.006965134131175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6CA-443E-A44B-EDB456ABCBC3}"/>
            </c:ext>
          </c:extLst>
        </c:ser>
        <c:ser>
          <c:idx val="9"/>
          <c:order val="9"/>
          <c:tx>
            <c:strRef>
              <c:f>Sheet1!$R$163</c:f>
              <c:strCache>
                <c:ptCount val="1"/>
                <c:pt idx="0">
                  <c:v>9.8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Sheet1!$R$168:$R$174</c:f>
              <c:numCache>
                <c:formatCode>0.00</c:formatCode>
                <c:ptCount val="7"/>
                <c:pt idx="0">
                  <c:v>18.950172229962924</c:v>
                </c:pt>
                <c:pt idx="1">
                  <c:v>18.950172229962924</c:v>
                </c:pt>
                <c:pt idx="2">
                  <c:v>18.950172229962924</c:v>
                </c:pt>
                <c:pt idx="3">
                  <c:v>18.950172229962924</c:v>
                </c:pt>
                <c:pt idx="4">
                  <c:v>18.950172229962924</c:v>
                </c:pt>
                <c:pt idx="5">
                  <c:v>18.950172229962924</c:v>
                </c:pt>
                <c:pt idx="6">
                  <c:v>18.950172229962924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6CA-443E-A44B-EDB456ABCBC3}"/>
            </c:ext>
          </c:extLst>
        </c:ser>
        <c:ser>
          <c:idx val="10"/>
          <c:order val="10"/>
          <c:tx>
            <c:strRef>
              <c:f>Sheet1!$S$163</c:f>
              <c:strCache>
                <c:ptCount val="1"/>
                <c:pt idx="0">
                  <c:v>8.8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Sheet1!$S$168:$S$174</c:f>
              <c:numCache>
                <c:formatCode>0.00</c:formatCode>
                <c:ptCount val="7"/>
                <c:pt idx="0">
                  <c:v>16.322777748833136</c:v>
                </c:pt>
                <c:pt idx="1">
                  <c:v>16.322777748833136</c:v>
                </c:pt>
                <c:pt idx="2">
                  <c:v>16.322777748833136</c:v>
                </c:pt>
                <c:pt idx="3">
                  <c:v>16.322777748833136</c:v>
                </c:pt>
                <c:pt idx="4">
                  <c:v>16.322777748833136</c:v>
                </c:pt>
                <c:pt idx="5">
                  <c:v>16.322777748833136</c:v>
                </c:pt>
                <c:pt idx="6">
                  <c:v>16.322777748833136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6CA-443E-A44B-EDB456ABCBC3}"/>
            </c:ext>
          </c:extLst>
        </c:ser>
        <c:ser>
          <c:idx val="11"/>
          <c:order val="11"/>
          <c:tx>
            <c:strRef>
              <c:f>Sheet1!$T$163</c:f>
              <c:strCache>
                <c:ptCount val="1"/>
                <c:pt idx="0">
                  <c:v>7.8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Sheet1!$T$168:$T$174</c:f>
              <c:numCache>
                <c:formatCode>0.00</c:formatCode>
                <c:ptCount val="7"/>
                <c:pt idx="0">
                  <c:v>14.134008082017296</c:v>
                </c:pt>
                <c:pt idx="1">
                  <c:v>14.134008082017296</c:v>
                </c:pt>
                <c:pt idx="2">
                  <c:v>14.134008082017296</c:v>
                </c:pt>
                <c:pt idx="3">
                  <c:v>14.134008082017296</c:v>
                </c:pt>
                <c:pt idx="4">
                  <c:v>14.134008082017296</c:v>
                </c:pt>
                <c:pt idx="5">
                  <c:v>14.134008082017296</c:v>
                </c:pt>
                <c:pt idx="6">
                  <c:v>14.134008082017296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6CA-443E-A44B-EDB456ABCBC3}"/>
            </c:ext>
          </c:extLst>
        </c:ser>
        <c:ser>
          <c:idx val="12"/>
          <c:order val="12"/>
          <c:tx>
            <c:strRef>
              <c:f>Sheet1!$U$163</c:f>
              <c:strCache>
                <c:ptCount val="1"/>
                <c:pt idx="0">
                  <c:v>6.8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Sheet1!$U$168:$U$174</c:f>
              <c:numCache>
                <c:formatCode>0.00</c:formatCode>
                <c:ptCount val="7"/>
                <c:pt idx="0">
                  <c:v>12.35222648443243</c:v>
                </c:pt>
                <c:pt idx="1">
                  <c:v>12.35222648443243</c:v>
                </c:pt>
                <c:pt idx="2">
                  <c:v>12.35222648443243</c:v>
                </c:pt>
                <c:pt idx="3">
                  <c:v>12.35222648443243</c:v>
                </c:pt>
                <c:pt idx="4">
                  <c:v>12.35222648443243</c:v>
                </c:pt>
                <c:pt idx="5">
                  <c:v>12.35222648443243</c:v>
                </c:pt>
                <c:pt idx="6">
                  <c:v>12.35222648443243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6CA-443E-A44B-EDB456ABC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25071"/>
        <c:axId val="338903471"/>
        <c:extLst>
          <c:ext xmlns:c15="http://schemas.microsoft.com/office/drawing/2012/chart" uri="{02D57815-91ED-43cb-92C2-25804820EDAC}">
            <c15:filteredLineSeries>
              <c15:ser>
                <c:idx val="13"/>
                <c:order val="13"/>
                <c:tx>
                  <c:strRef>
                    <c:extLst>
                      <c:ext uri="{02D57815-91ED-43cb-92C2-25804820EDAC}">
                        <c15:formulaRef>
                          <c15:sqref>Sheet1!$V$163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Sheet1!$V$168:$V$174</c15:sqref>
                        </c15:formulaRef>
                      </c:ext>
                    </c:extLst>
                    <c:numCache>
                      <c:formatCode>0.00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A6CA-443E-A44B-EDB456ABCBC3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Sheet1!$W$163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Sheet1!$W$168:$W$174</c15:sqref>
                        </c15:formulaRef>
                      </c:ext>
                    </c:extLst>
                    <c:numCache>
                      <c:formatCode>0.00</c:formatCode>
                      <c:ptCount val="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A6CA-443E-A44B-EDB456ABCBC3}"/>
                  </c:ext>
                </c:extLst>
              </c15:ser>
            </c15:filteredLineSeries>
          </c:ext>
        </c:extLst>
      </c:lineChart>
      <c:catAx>
        <c:axId val="95025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03471"/>
        <c:crosses val="autoZero"/>
        <c:auto val="1"/>
        <c:lblAlgn val="ctr"/>
        <c:lblOffset val="100"/>
        <c:noMultiLvlLbl val="0"/>
      </c:catAx>
      <c:valAx>
        <c:axId val="338903471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FOC est vs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Sheet1!$AU$105</c:f>
              <c:strCache>
                <c:ptCount val="1"/>
                <c:pt idx="0">
                  <c:v>MFO</c:v>
                </c:pt>
              </c:strCache>
            </c:strRef>
          </c:tx>
          <c:spPr>
            <a:ln w="19050" cap="rnd">
              <a:solidFill>
                <a:schemeClr val="accent2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Sheet1!$A$107:$A$116</c:f>
              <c:numCache>
                <c:formatCode>General</c:formatCode>
                <c:ptCount val="10"/>
                <c:pt idx="0">
                  <c:v>13.8</c:v>
                </c:pt>
                <c:pt idx="1">
                  <c:v>12.8</c:v>
                </c:pt>
                <c:pt idx="2">
                  <c:v>11.8</c:v>
                </c:pt>
                <c:pt idx="3">
                  <c:v>10.8</c:v>
                </c:pt>
                <c:pt idx="4">
                  <c:v>9.8000000000000007</c:v>
                </c:pt>
                <c:pt idx="5">
                  <c:v>8.8000000000000007</c:v>
                </c:pt>
                <c:pt idx="6">
                  <c:v>7.8000000000000007</c:v>
                </c:pt>
                <c:pt idx="7">
                  <c:v>6.8000000000000007</c:v>
                </c:pt>
                <c:pt idx="8">
                  <c:v>5.8000000000000007</c:v>
                </c:pt>
                <c:pt idx="9">
                  <c:v>4.8000000000000007</c:v>
                </c:pt>
              </c:numCache>
            </c:numRef>
          </c:xVal>
          <c:yVal>
            <c:numRef>
              <c:f>Sheet1!$AU$107:$AU$116</c:f>
              <c:numCache>
                <c:formatCode>0.00</c:formatCode>
                <c:ptCount val="10"/>
                <c:pt idx="0">
                  <c:v>105506.85590648574</c:v>
                </c:pt>
                <c:pt idx="1">
                  <c:v>91246.625624221924</c:v>
                </c:pt>
                <c:pt idx="2">
                  <c:v>77180.924686204686</c:v>
                </c:pt>
                <c:pt idx="3">
                  <c:v>64553.4937217962</c:v>
                </c:pt>
                <c:pt idx="4">
                  <c:v>53250.696329252634</c:v>
                </c:pt>
                <c:pt idx="5">
                  <c:v>43390.702328657331</c:v>
                </c:pt>
                <c:pt idx="6">
                  <c:v>34971.985594148689</c:v>
                </c:pt>
                <c:pt idx="7">
                  <c:v>27826.927311121308</c:v>
                </c:pt>
                <c:pt idx="8">
                  <c:v>21681.466533753541</c:v>
                </c:pt>
                <c:pt idx="9">
                  <c:v>16258.212885038887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4F-4C83-A149-00087818DF4C}"/>
            </c:ext>
          </c:extLst>
        </c:ser>
        <c:ser>
          <c:idx val="1"/>
          <c:order val="1"/>
          <c:tx>
            <c:strRef>
              <c:f>Sheet1!$AS$105</c:f>
              <c:strCache>
                <c:ptCount val="1"/>
                <c:pt idx="0">
                  <c:v>HSD</c:v>
                </c:pt>
              </c:strCache>
            </c:strRef>
          </c:tx>
          <c:spPr>
            <a:ln w="19050" cap="rnd">
              <a:solidFill>
                <a:schemeClr val="accent2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Sheet1!$A$107:$A$116</c:f>
              <c:numCache>
                <c:formatCode>General</c:formatCode>
                <c:ptCount val="10"/>
                <c:pt idx="0">
                  <c:v>13.8</c:v>
                </c:pt>
                <c:pt idx="1">
                  <c:v>12.8</c:v>
                </c:pt>
                <c:pt idx="2">
                  <c:v>11.8</c:v>
                </c:pt>
                <c:pt idx="3">
                  <c:v>10.8</c:v>
                </c:pt>
                <c:pt idx="4">
                  <c:v>9.8000000000000007</c:v>
                </c:pt>
                <c:pt idx="5">
                  <c:v>8.8000000000000007</c:v>
                </c:pt>
                <c:pt idx="6">
                  <c:v>7.8000000000000007</c:v>
                </c:pt>
                <c:pt idx="7">
                  <c:v>6.8000000000000007</c:v>
                </c:pt>
                <c:pt idx="8">
                  <c:v>5.8000000000000007</c:v>
                </c:pt>
                <c:pt idx="9">
                  <c:v>4.8000000000000007</c:v>
                </c:pt>
              </c:numCache>
            </c:numRef>
          </c:xVal>
          <c:yVal>
            <c:numRef>
              <c:f>Sheet1!$AS$107:$AS$116</c:f>
              <c:numCache>
                <c:formatCode>0.00</c:formatCode>
                <c:ptCount val="10"/>
                <c:pt idx="0">
                  <c:v>14213.793695050237</c:v>
                </c:pt>
                <c:pt idx="1">
                  <c:v>14469.205028221511</c:v>
                </c:pt>
                <c:pt idx="2">
                  <c:v>14767.906417862492</c:v>
                </c:pt>
                <c:pt idx="3">
                  <c:v>15121.922879659211</c:v>
                </c:pt>
                <c:pt idx="4">
                  <c:v>15548.187598965464</c:v>
                </c:pt>
                <c:pt idx="5">
                  <c:v>16071.330663568593</c:v>
                </c:pt>
                <c:pt idx="6">
                  <c:v>16728.612975505857</c:v>
                </c:pt>
                <c:pt idx="7">
                  <c:v>17579.213614483491</c:v>
                </c:pt>
                <c:pt idx="8">
                  <c:v>18723.124818625831</c:v>
                </c:pt>
                <c:pt idx="9">
                  <c:v>20343.665691160808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4F-4C83-A149-00087818DF4C}"/>
            </c:ext>
          </c:extLst>
        </c:ser>
        <c:ser>
          <c:idx val="2"/>
          <c:order val="2"/>
          <c:tx>
            <c:strRef>
              <c:f>Sheet1!$BF$106</c:f>
              <c:strCache>
                <c:ptCount val="1"/>
                <c:pt idx="0">
                  <c:v>+10%</c:v>
                </c:pt>
              </c:strCache>
            </c:strRef>
          </c:tx>
          <c:spPr>
            <a:ln w="19050" cap="rnd">
              <a:solidFill>
                <a:schemeClr val="accent2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Sheet1!$A$107:$A$116</c:f>
              <c:numCache>
                <c:formatCode>General</c:formatCode>
                <c:ptCount val="10"/>
                <c:pt idx="0">
                  <c:v>13.8</c:v>
                </c:pt>
                <c:pt idx="1">
                  <c:v>12.8</c:v>
                </c:pt>
                <c:pt idx="2">
                  <c:v>11.8</c:v>
                </c:pt>
                <c:pt idx="3">
                  <c:v>10.8</c:v>
                </c:pt>
                <c:pt idx="4">
                  <c:v>9.8000000000000007</c:v>
                </c:pt>
                <c:pt idx="5">
                  <c:v>8.8000000000000007</c:v>
                </c:pt>
                <c:pt idx="6">
                  <c:v>7.8000000000000007</c:v>
                </c:pt>
                <c:pt idx="7">
                  <c:v>6.8000000000000007</c:v>
                </c:pt>
                <c:pt idx="8">
                  <c:v>5.8000000000000007</c:v>
                </c:pt>
                <c:pt idx="9">
                  <c:v>4.8000000000000007</c:v>
                </c:pt>
              </c:numCache>
            </c:numRef>
          </c:xVal>
          <c:yVal>
            <c:numRef>
              <c:f>Sheet1!$BF$107:$BF$116</c:f>
              <c:numCache>
                <c:formatCode>General</c:formatCode>
                <c:ptCount val="10"/>
                <c:pt idx="0">
                  <c:v>15635.173064555262</c:v>
                </c:pt>
                <c:pt idx="1">
                  <c:v>15916.125531043665</c:v>
                </c:pt>
                <c:pt idx="2">
                  <c:v>16244.697059648743</c:v>
                </c:pt>
                <c:pt idx="3">
                  <c:v>16634.115167625132</c:v>
                </c:pt>
                <c:pt idx="4">
                  <c:v>17103.006358862011</c:v>
                </c:pt>
                <c:pt idx="5">
                  <c:v>17678.463729925454</c:v>
                </c:pt>
                <c:pt idx="6">
                  <c:v>18401.474273056443</c:v>
                </c:pt>
                <c:pt idx="7">
                  <c:v>19337.134975931844</c:v>
                </c:pt>
                <c:pt idx="8">
                  <c:v>20595.437300488415</c:v>
                </c:pt>
                <c:pt idx="9">
                  <c:v>22378.03226027689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CC-4833-81C9-349D201775E9}"/>
            </c:ext>
          </c:extLst>
        </c:ser>
        <c:ser>
          <c:idx val="3"/>
          <c:order val="3"/>
          <c:tx>
            <c:strRef>
              <c:f>Sheet1!$BE$106</c:f>
              <c:strCache>
                <c:ptCount val="1"/>
                <c:pt idx="0">
                  <c:v>-10%</c:v>
                </c:pt>
              </c:strCache>
            </c:strRef>
          </c:tx>
          <c:spPr>
            <a:ln w="19050" cap="rnd">
              <a:solidFill>
                <a:schemeClr val="accent2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Sheet1!$A$107:$A$116</c:f>
              <c:numCache>
                <c:formatCode>General</c:formatCode>
                <c:ptCount val="10"/>
                <c:pt idx="0">
                  <c:v>13.8</c:v>
                </c:pt>
                <c:pt idx="1">
                  <c:v>12.8</c:v>
                </c:pt>
                <c:pt idx="2">
                  <c:v>11.8</c:v>
                </c:pt>
                <c:pt idx="3">
                  <c:v>10.8</c:v>
                </c:pt>
                <c:pt idx="4">
                  <c:v>9.8000000000000007</c:v>
                </c:pt>
                <c:pt idx="5">
                  <c:v>8.8000000000000007</c:v>
                </c:pt>
                <c:pt idx="6">
                  <c:v>7.8000000000000007</c:v>
                </c:pt>
                <c:pt idx="7">
                  <c:v>6.8000000000000007</c:v>
                </c:pt>
                <c:pt idx="8">
                  <c:v>5.8000000000000007</c:v>
                </c:pt>
                <c:pt idx="9">
                  <c:v>4.8000000000000007</c:v>
                </c:pt>
              </c:numCache>
            </c:numRef>
          </c:xVal>
          <c:yVal>
            <c:numRef>
              <c:f>Sheet1!$BE$107:$BE$116</c:f>
              <c:numCache>
                <c:formatCode>General</c:formatCode>
                <c:ptCount val="10"/>
                <c:pt idx="0">
                  <c:v>12792.414325545215</c:v>
                </c:pt>
                <c:pt idx="1">
                  <c:v>13022.28452539936</c:v>
                </c:pt>
                <c:pt idx="2">
                  <c:v>13291.115776076243</c:v>
                </c:pt>
                <c:pt idx="3">
                  <c:v>13609.730591693289</c:v>
                </c:pt>
                <c:pt idx="4">
                  <c:v>13993.368839068917</c:v>
                </c:pt>
                <c:pt idx="5">
                  <c:v>14464.197597211734</c:v>
                </c:pt>
                <c:pt idx="6">
                  <c:v>15055.751677955272</c:v>
                </c:pt>
                <c:pt idx="7">
                  <c:v>15821.292253035142</c:v>
                </c:pt>
                <c:pt idx="8">
                  <c:v>16850.812336763247</c:v>
                </c:pt>
                <c:pt idx="9">
                  <c:v>18309.299122044729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CC-4833-81C9-349D201775E9}"/>
            </c:ext>
          </c:extLst>
        </c:ser>
        <c:ser>
          <c:idx val="4"/>
          <c:order val="4"/>
          <c:tx>
            <c:strRef>
              <c:f>Sheet1!$BG$106</c:f>
              <c:strCache>
                <c:ptCount val="1"/>
                <c:pt idx="0">
                  <c:v>-3%</c:v>
                </c:pt>
              </c:strCache>
            </c:strRef>
          </c:tx>
          <c:spPr>
            <a:ln w="19050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Sheet1!$A$107:$A$116</c:f>
              <c:numCache>
                <c:formatCode>General</c:formatCode>
                <c:ptCount val="10"/>
                <c:pt idx="0">
                  <c:v>13.8</c:v>
                </c:pt>
                <c:pt idx="1">
                  <c:v>12.8</c:v>
                </c:pt>
                <c:pt idx="2">
                  <c:v>11.8</c:v>
                </c:pt>
                <c:pt idx="3">
                  <c:v>10.8</c:v>
                </c:pt>
                <c:pt idx="4">
                  <c:v>9.8000000000000007</c:v>
                </c:pt>
                <c:pt idx="5">
                  <c:v>8.8000000000000007</c:v>
                </c:pt>
                <c:pt idx="6">
                  <c:v>7.8000000000000007</c:v>
                </c:pt>
                <c:pt idx="7">
                  <c:v>6.8000000000000007</c:v>
                </c:pt>
                <c:pt idx="8">
                  <c:v>5.8000000000000007</c:v>
                </c:pt>
                <c:pt idx="9">
                  <c:v>4.8000000000000007</c:v>
                </c:pt>
              </c:numCache>
            </c:numRef>
          </c:xVal>
          <c:yVal>
            <c:numRef>
              <c:f>Sheet1!$BG$107:$BG$116</c:f>
              <c:numCache>
                <c:formatCode>General</c:formatCode>
                <c:ptCount val="10"/>
                <c:pt idx="0">
                  <c:v>102341.65022929116</c:v>
                </c:pt>
                <c:pt idx="1">
                  <c:v>88509.226855495261</c:v>
                </c:pt>
                <c:pt idx="2">
                  <c:v>74865.49694561855</c:v>
                </c:pt>
                <c:pt idx="3">
                  <c:v>62616.888910142312</c:v>
                </c:pt>
                <c:pt idx="4">
                  <c:v>51653.175439375053</c:v>
                </c:pt>
                <c:pt idx="5">
                  <c:v>42088.981258797612</c:v>
                </c:pt>
                <c:pt idx="6">
                  <c:v>33922.826026324226</c:v>
                </c:pt>
                <c:pt idx="7">
                  <c:v>26992.119491787667</c:v>
                </c:pt>
                <c:pt idx="8">
                  <c:v>21031.022537740933</c:v>
                </c:pt>
                <c:pt idx="9">
                  <c:v>15770.46649848772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CC-4833-81C9-349D201775E9}"/>
            </c:ext>
          </c:extLst>
        </c:ser>
        <c:ser>
          <c:idx val="5"/>
          <c:order val="5"/>
          <c:tx>
            <c:strRef>
              <c:f>Sheet1!$BH$106</c:f>
              <c:strCache>
                <c:ptCount val="1"/>
                <c:pt idx="0">
                  <c:v>+3%</c:v>
                </c:pt>
              </c:strCache>
            </c:strRef>
          </c:tx>
          <c:spPr>
            <a:ln w="19050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Sheet1!$A$107:$A$116</c:f>
              <c:numCache>
                <c:formatCode>General</c:formatCode>
                <c:ptCount val="10"/>
                <c:pt idx="0">
                  <c:v>13.8</c:v>
                </c:pt>
                <c:pt idx="1">
                  <c:v>12.8</c:v>
                </c:pt>
                <c:pt idx="2">
                  <c:v>11.8</c:v>
                </c:pt>
                <c:pt idx="3">
                  <c:v>10.8</c:v>
                </c:pt>
                <c:pt idx="4">
                  <c:v>9.8000000000000007</c:v>
                </c:pt>
                <c:pt idx="5">
                  <c:v>8.8000000000000007</c:v>
                </c:pt>
                <c:pt idx="6">
                  <c:v>7.8000000000000007</c:v>
                </c:pt>
                <c:pt idx="7">
                  <c:v>6.8000000000000007</c:v>
                </c:pt>
                <c:pt idx="8">
                  <c:v>5.8000000000000007</c:v>
                </c:pt>
                <c:pt idx="9">
                  <c:v>4.8000000000000007</c:v>
                </c:pt>
              </c:numCache>
            </c:numRef>
          </c:xVal>
          <c:yVal>
            <c:numRef>
              <c:f>Sheet1!$BH$107:$BH$116</c:f>
              <c:numCache>
                <c:formatCode>General</c:formatCode>
                <c:ptCount val="10"/>
                <c:pt idx="0">
                  <c:v>108672.06158368032</c:v>
                </c:pt>
                <c:pt idx="1">
                  <c:v>93984.024392948588</c:v>
                </c:pt>
                <c:pt idx="2">
                  <c:v>79496.352426790821</c:v>
                </c:pt>
                <c:pt idx="3">
                  <c:v>66490.098533450087</c:v>
                </c:pt>
                <c:pt idx="4">
                  <c:v>54848.217219130216</c:v>
                </c:pt>
                <c:pt idx="5">
                  <c:v>44692.42339851705</c:v>
                </c:pt>
                <c:pt idx="6">
                  <c:v>36021.145161973152</c:v>
                </c:pt>
                <c:pt idx="7">
                  <c:v>28661.735130454948</c:v>
                </c:pt>
                <c:pt idx="8">
                  <c:v>22331.910529766148</c:v>
                </c:pt>
                <c:pt idx="9">
                  <c:v>16745.959271590054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CC-4833-81C9-349D2017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585280"/>
        <c:axId val="1375587200"/>
      </c:scatterChart>
      <c:valAx>
        <c:axId val="137558528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87200"/>
        <c:crosses val="autoZero"/>
        <c:crossBetween val="midCat"/>
      </c:valAx>
      <c:valAx>
        <c:axId val="13755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FOC (litre)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8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26" Type="http://schemas.openxmlformats.org/officeDocument/2006/relationships/image" Target="../media/image25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5" Type="http://schemas.openxmlformats.org/officeDocument/2006/relationships/image" Target="../media/image24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29" Type="http://schemas.openxmlformats.org/officeDocument/2006/relationships/image" Target="../media/image28.png"/><Relationship Id="rId1" Type="http://schemas.openxmlformats.org/officeDocument/2006/relationships/chart" Target="../charts/chart3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24" Type="http://schemas.openxmlformats.org/officeDocument/2006/relationships/image" Target="../media/image23.png"/><Relationship Id="rId32" Type="http://schemas.openxmlformats.org/officeDocument/2006/relationships/chart" Target="../charts/chart5.xml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23" Type="http://schemas.openxmlformats.org/officeDocument/2006/relationships/image" Target="../media/image22.png"/><Relationship Id="rId28" Type="http://schemas.openxmlformats.org/officeDocument/2006/relationships/image" Target="../media/image27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31" Type="http://schemas.openxmlformats.org/officeDocument/2006/relationships/chart" Target="../charts/chart4.xml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Relationship Id="rId22" Type="http://schemas.openxmlformats.org/officeDocument/2006/relationships/image" Target="../media/image21.png"/><Relationship Id="rId27" Type="http://schemas.openxmlformats.org/officeDocument/2006/relationships/image" Target="../media/image26.png"/><Relationship Id="rId30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18</xdr:row>
      <xdr:rowOff>8293</xdr:rowOff>
    </xdr:from>
    <xdr:to>
      <xdr:col>9</xdr:col>
      <xdr:colOff>0</xdr:colOff>
      <xdr:row>36</xdr:row>
      <xdr:rowOff>68581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416B53-EDC5-25AF-8BFA-F2302F793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602973</xdr:colOff>
      <xdr:row>17</xdr:row>
      <xdr:rowOff>178075</xdr:rowOff>
    </xdr:from>
    <xdr:to>
      <xdr:col>18</xdr:col>
      <xdr:colOff>13252</xdr:colOff>
      <xdr:row>36</xdr:row>
      <xdr:rowOff>92764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32A227-CED3-04F4-E6CB-5C0BE8323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587188</xdr:colOff>
      <xdr:row>116</xdr:row>
      <xdr:rowOff>143434</xdr:rowOff>
    </xdr:from>
    <xdr:to>
      <xdr:col>38</xdr:col>
      <xdr:colOff>112059</xdr:colOff>
      <xdr:row>132</xdr:row>
      <xdr:rowOff>17928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2A9D5-330D-2DA0-72FF-711B1D4AE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342287</xdr:colOff>
      <xdr:row>132</xdr:row>
      <xdr:rowOff>49712</xdr:rowOff>
    </xdr:from>
    <xdr:to>
      <xdr:col>38</xdr:col>
      <xdr:colOff>792970</xdr:colOff>
      <xdr:row>159</xdr:row>
      <xdr:rowOff>143409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4D4E50-4005-5A19-A81F-6CF19E648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85981" y="23716536"/>
          <a:ext cx="6232918" cy="4934638"/>
        </a:xfrm>
        <a:prstGeom prst="rect">
          <a:avLst/>
        </a:prstGeom>
      </xdr:spPr>
    </xdr:pic>
    <xdr:clientData/>
  </xdr:twoCellAnchor>
  <xdr:twoCellAnchor>
    <xdr:from>
      <xdr:col>31</xdr:col>
      <xdr:colOff>21021</xdr:colOff>
      <xdr:row>143</xdr:row>
      <xdr:rowOff>78828</xdr:rowOff>
    </xdr:from>
    <xdr:to>
      <xdr:col>31</xdr:col>
      <xdr:colOff>21021</xdr:colOff>
      <xdr:row>145</xdr:row>
      <xdr:rowOff>63062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D23A675-EDD6-6BE6-49CD-574D940A3017}"/>
            </a:ext>
          </a:extLst>
        </xdr:cNvPr>
        <xdr:cNvCxnSpPr/>
      </xdr:nvCxnSpPr>
      <xdr:spPr>
        <a:xfrm flipV="1">
          <a:off x="21493655" y="26380966"/>
          <a:ext cx="0" cy="3520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584871</xdr:colOff>
      <xdr:row>141</xdr:row>
      <xdr:rowOff>107576</xdr:rowOff>
    </xdr:from>
    <xdr:to>
      <xdr:col>34</xdr:col>
      <xdr:colOff>528918</xdr:colOff>
      <xdr:row>141</xdr:row>
      <xdr:rowOff>107576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8D10F4E-BAF2-581B-B172-994DDD8F2B2A}"/>
            </a:ext>
          </a:extLst>
        </xdr:cNvPr>
        <xdr:cNvCxnSpPr/>
      </xdr:nvCxnSpPr>
      <xdr:spPr>
        <a:xfrm>
          <a:off x="21463671" y="25388047"/>
          <a:ext cx="2552776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528609</xdr:colOff>
      <xdr:row>141</xdr:row>
      <xdr:rowOff>139725</xdr:rowOff>
    </xdr:from>
    <xdr:to>
      <xdr:col>34</xdr:col>
      <xdr:colOff>528609</xdr:colOff>
      <xdr:row>156</xdr:row>
      <xdr:rowOff>71718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E38CE5A-4714-9261-A8D3-694479EE5334}"/>
            </a:ext>
          </a:extLst>
        </xdr:cNvPr>
        <xdr:cNvCxnSpPr/>
      </xdr:nvCxnSpPr>
      <xdr:spPr>
        <a:xfrm>
          <a:off x="24016138" y="25420196"/>
          <a:ext cx="0" cy="262140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80683</xdr:colOff>
      <xdr:row>31</xdr:row>
      <xdr:rowOff>35859</xdr:rowOff>
    </xdr:from>
    <xdr:to>
      <xdr:col>4</xdr:col>
      <xdr:colOff>191813</xdr:colOff>
      <xdr:row>33</xdr:row>
      <xdr:rowOff>107577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A4BE73B-F612-7EB1-357C-1513D14F7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28048" y="5593977"/>
          <a:ext cx="998636" cy="430306"/>
        </a:xfrm>
        <a:prstGeom prst="rect">
          <a:avLst/>
        </a:prstGeom>
      </xdr:spPr>
    </xdr:pic>
    <xdr:clientData/>
  </xdr:twoCellAnchor>
  <xdr:twoCellAnchor editAs="oneCell">
    <xdr:from>
      <xdr:col>4</xdr:col>
      <xdr:colOff>609599</xdr:colOff>
      <xdr:row>66</xdr:row>
      <xdr:rowOff>134470</xdr:rowOff>
    </xdr:from>
    <xdr:to>
      <xdr:col>9</xdr:col>
      <xdr:colOff>8965</xdr:colOff>
      <xdr:row>72</xdr:row>
      <xdr:rowOff>25689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E5B8AF8-2372-F8FC-90CA-C6211749E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944470" y="11967882"/>
          <a:ext cx="3532095" cy="966983"/>
        </a:xfrm>
        <a:prstGeom prst="rect">
          <a:avLst/>
        </a:prstGeom>
      </xdr:spPr>
    </xdr:pic>
    <xdr:clientData/>
  </xdr:twoCellAnchor>
  <xdr:twoCellAnchor editAs="oneCell">
    <xdr:from>
      <xdr:col>3</xdr:col>
      <xdr:colOff>53788</xdr:colOff>
      <xdr:row>36</xdr:row>
      <xdr:rowOff>0</xdr:rowOff>
    </xdr:from>
    <xdr:to>
      <xdr:col>4</xdr:col>
      <xdr:colOff>502023</xdr:colOff>
      <xdr:row>38</xdr:row>
      <xdr:rowOff>9677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D398737-32E6-D25A-DFFF-59DF4E867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01153" y="6454588"/>
          <a:ext cx="1335741" cy="368265"/>
        </a:xfrm>
        <a:prstGeom prst="rect">
          <a:avLst/>
        </a:prstGeom>
      </xdr:spPr>
    </xdr:pic>
    <xdr:clientData/>
  </xdr:twoCellAnchor>
  <xdr:twoCellAnchor editAs="oneCell">
    <xdr:from>
      <xdr:col>3</xdr:col>
      <xdr:colOff>62754</xdr:colOff>
      <xdr:row>44</xdr:row>
      <xdr:rowOff>80682</xdr:rowOff>
    </xdr:from>
    <xdr:to>
      <xdr:col>4</xdr:col>
      <xdr:colOff>587866</xdr:colOff>
      <xdr:row>46</xdr:row>
      <xdr:rowOff>17930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1325F30-844F-7DFE-3839-B25FC8FC0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10119" y="7969623"/>
          <a:ext cx="1412618" cy="295836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50</xdr:row>
      <xdr:rowOff>17929</xdr:rowOff>
    </xdr:from>
    <xdr:to>
      <xdr:col>4</xdr:col>
      <xdr:colOff>403411</xdr:colOff>
      <xdr:row>52</xdr:row>
      <xdr:rowOff>31686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27EC760-692B-C05A-BA51-95F57F65F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99765" y="8982635"/>
          <a:ext cx="1138517" cy="372345"/>
        </a:xfrm>
        <a:prstGeom prst="rect">
          <a:avLst/>
        </a:prstGeom>
      </xdr:spPr>
    </xdr:pic>
    <xdr:clientData/>
  </xdr:twoCellAnchor>
  <xdr:twoCellAnchor editAs="oneCell">
    <xdr:from>
      <xdr:col>8</xdr:col>
      <xdr:colOff>65891</xdr:colOff>
      <xdr:row>28</xdr:row>
      <xdr:rowOff>46169</xdr:rowOff>
    </xdr:from>
    <xdr:to>
      <xdr:col>9</xdr:col>
      <xdr:colOff>228152</xdr:colOff>
      <xdr:row>30</xdr:row>
      <xdr:rowOff>90993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3BA222F-B40F-40DD-D9C9-D10387A908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7074" t="13208" r="15372" b="1886"/>
        <a:stretch/>
      </xdr:blipFill>
      <xdr:spPr>
        <a:xfrm>
          <a:off x="6870551" y="5166809"/>
          <a:ext cx="817581" cy="410584"/>
        </a:xfrm>
        <a:prstGeom prst="rect">
          <a:avLst/>
        </a:prstGeom>
      </xdr:spPr>
    </xdr:pic>
    <xdr:clientData/>
  </xdr:twoCellAnchor>
  <xdr:twoCellAnchor editAs="oneCell">
    <xdr:from>
      <xdr:col>8</xdr:col>
      <xdr:colOff>21962</xdr:colOff>
      <xdr:row>36</xdr:row>
      <xdr:rowOff>76647</xdr:rowOff>
    </xdr:from>
    <xdr:to>
      <xdr:col>10</xdr:col>
      <xdr:colOff>25043</xdr:colOff>
      <xdr:row>38</xdr:row>
      <xdr:rowOff>67683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8951C3C-3694-8DD6-CA3B-A706170EC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826622" y="6660327"/>
          <a:ext cx="1969041" cy="356796"/>
        </a:xfrm>
        <a:prstGeom prst="rect">
          <a:avLst/>
        </a:prstGeom>
      </xdr:spPr>
    </xdr:pic>
    <xdr:clientData/>
  </xdr:twoCellAnchor>
  <xdr:twoCellAnchor editAs="oneCell">
    <xdr:from>
      <xdr:col>13</xdr:col>
      <xdr:colOff>93618</xdr:colOff>
      <xdr:row>52</xdr:row>
      <xdr:rowOff>121920</xdr:rowOff>
    </xdr:from>
    <xdr:to>
      <xdr:col>14</xdr:col>
      <xdr:colOff>1261417</xdr:colOff>
      <xdr:row>55</xdr:row>
      <xdr:rowOff>121920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82ABF08-68A0-8F82-6B15-7CF60B7F9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74878" y="9631680"/>
          <a:ext cx="1777399" cy="54864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152401</xdr:colOff>
      <xdr:row>47</xdr:row>
      <xdr:rowOff>137161</xdr:rowOff>
    </xdr:from>
    <xdr:to>
      <xdr:col>14</xdr:col>
      <xdr:colOff>1188721</xdr:colOff>
      <xdr:row>49</xdr:row>
      <xdr:rowOff>45721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C10A24A-2BFD-C40D-473A-5C12F74720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33661" y="8732521"/>
          <a:ext cx="1645920" cy="274320"/>
        </a:xfrm>
        <a:prstGeom prst="rect">
          <a:avLst/>
        </a:prstGeom>
      </xdr:spPr>
    </xdr:pic>
    <xdr:clientData/>
  </xdr:twoCellAnchor>
  <xdr:twoCellAnchor editAs="oneCell">
    <xdr:from>
      <xdr:col>18</xdr:col>
      <xdr:colOff>76200</xdr:colOff>
      <xdr:row>31</xdr:row>
      <xdr:rowOff>7620</xdr:rowOff>
    </xdr:from>
    <xdr:to>
      <xdr:col>19</xdr:col>
      <xdr:colOff>525780</xdr:colOff>
      <xdr:row>33</xdr:row>
      <xdr:rowOff>15240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820BACC-6928-00FB-5FE0-1DC8EF9C1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218920" y="5676900"/>
          <a:ext cx="1059180" cy="373380"/>
        </a:xfrm>
        <a:prstGeom prst="rect">
          <a:avLst/>
        </a:prstGeom>
      </xdr:spPr>
    </xdr:pic>
    <xdr:clientData/>
  </xdr:twoCellAnchor>
  <xdr:twoCellAnchor editAs="oneCell">
    <xdr:from>
      <xdr:col>18</xdr:col>
      <xdr:colOff>68579</xdr:colOff>
      <xdr:row>36</xdr:row>
      <xdr:rowOff>114300</xdr:rowOff>
    </xdr:from>
    <xdr:to>
      <xdr:col>20</xdr:col>
      <xdr:colOff>534388</xdr:colOff>
      <xdr:row>39</xdr:row>
      <xdr:rowOff>182879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1A9F693-E3AC-4BEC-FAAB-E1564A893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211299" y="6697980"/>
          <a:ext cx="1685009" cy="617219"/>
        </a:xfrm>
        <a:prstGeom prst="rect">
          <a:avLst/>
        </a:prstGeom>
      </xdr:spPr>
    </xdr:pic>
    <xdr:clientData/>
  </xdr:twoCellAnchor>
  <xdr:twoCellAnchor editAs="oneCell">
    <xdr:from>
      <xdr:col>18</xdr:col>
      <xdr:colOff>78692</xdr:colOff>
      <xdr:row>42</xdr:row>
      <xdr:rowOff>137160</xdr:rowOff>
    </xdr:from>
    <xdr:to>
      <xdr:col>20</xdr:col>
      <xdr:colOff>575170</xdr:colOff>
      <xdr:row>46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873E9A5-329D-37EF-FEE2-9B6A874A9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221412" y="7818120"/>
          <a:ext cx="1715678" cy="594360"/>
        </a:xfrm>
        <a:prstGeom prst="rect">
          <a:avLst/>
        </a:prstGeom>
      </xdr:spPr>
    </xdr:pic>
    <xdr:clientData/>
  </xdr:twoCellAnchor>
  <xdr:twoCellAnchor editAs="oneCell">
    <xdr:from>
      <xdr:col>18</xdr:col>
      <xdr:colOff>144781</xdr:colOff>
      <xdr:row>50</xdr:row>
      <xdr:rowOff>30481</xdr:rowOff>
    </xdr:from>
    <xdr:to>
      <xdr:col>20</xdr:col>
      <xdr:colOff>487681</xdr:colOff>
      <xdr:row>53</xdr:row>
      <xdr:rowOff>24237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AF35BCB-56B6-B9CA-65DF-CEA1362DB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287501" y="9174481"/>
          <a:ext cx="1562100" cy="54239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106681</xdr:colOff>
      <xdr:row>57</xdr:row>
      <xdr:rowOff>60961</xdr:rowOff>
    </xdr:from>
    <xdr:to>
      <xdr:col>20</xdr:col>
      <xdr:colOff>518160</xdr:colOff>
      <xdr:row>60</xdr:row>
      <xdr:rowOff>42715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40479D8-F5C4-55F6-6E8F-2B9151A53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249401" y="10485121"/>
          <a:ext cx="1630679" cy="530394"/>
        </a:xfrm>
        <a:prstGeom prst="rect">
          <a:avLst/>
        </a:prstGeom>
      </xdr:spPr>
    </xdr:pic>
    <xdr:clientData/>
  </xdr:twoCellAnchor>
  <xdr:twoCellAnchor editAs="oneCell">
    <xdr:from>
      <xdr:col>18</xdr:col>
      <xdr:colOff>144780</xdr:colOff>
      <xdr:row>64</xdr:row>
      <xdr:rowOff>68580</xdr:rowOff>
    </xdr:from>
    <xdr:to>
      <xdr:col>20</xdr:col>
      <xdr:colOff>390143</xdr:colOff>
      <xdr:row>66</xdr:row>
      <xdr:rowOff>175260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48E1296-34B4-B979-5457-A0A574C0D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287500" y="11772900"/>
          <a:ext cx="1464563" cy="472440"/>
        </a:xfrm>
        <a:prstGeom prst="rect">
          <a:avLst/>
        </a:prstGeom>
      </xdr:spPr>
    </xdr:pic>
    <xdr:clientData/>
  </xdr:twoCellAnchor>
  <xdr:twoCellAnchor editAs="oneCell">
    <xdr:from>
      <xdr:col>18</xdr:col>
      <xdr:colOff>128023</xdr:colOff>
      <xdr:row>71</xdr:row>
      <xdr:rowOff>167641</xdr:rowOff>
    </xdr:from>
    <xdr:to>
      <xdr:col>21</xdr:col>
      <xdr:colOff>304800</xdr:colOff>
      <xdr:row>75</xdr:row>
      <xdr:rowOff>171895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E6B3071-8395-BE81-F4B5-3759D581A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4270743" y="13152121"/>
          <a:ext cx="2005577" cy="735774"/>
        </a:xfrm>
        <a:prstGeom prst="rect">
          <a:avLst/>
        </a:prstGeom>
      </xdr:spPr>
    </xdr:pic>
    <xdr:clientData/>
  </xdr:twoCellAnchor>
  <xdr:twoCellAnchor editAs="oneCell">
    <xdr:from>
      <xdr:col>11</xdr:col>
      <xdr:colOff>34713</xdr:colOff>
      <xdr:row>62</xdr:row>
      <xdr:rowOff>22860</xdr:rowOff>
    </xdr:from>
    <xdr:to>
      <xdr:col>14</xdr:col>
      <xdr:colOff>1078034</xdr:colOff>
      <xdr:row>65</xdr:row>
      <xdr:rowOff>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C1F17EB3-0B9F-B23F-9107-15CB2B285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407313" y="11571393"/>
          <a:ext cx="2939854" cy="535940"/>
        </a:xfrm>
        <a:prstGeom prst="rect">
          <a:avLst/>
        </a:prstGeom>
      </xdr:spPr>
    </xdr:pic>
    <xdr:clientData/>
  </xdr:twoCellAnchor>
  <xdr:twoCellAnchor editAs="oneCell">
    <xdr:from>
      <xdr:col>12</xdr:col>
      <xdr:colOff>14630</xdr:colOff>
      <xdr:row>31</xdr:row>
      <xdr:rowOff>127000</xdr:rowOff>
    </xdr:from>
    <xdr:to>
      <xdr:col>14</xdr:col>
      <xdr:colOff>1005473</xdr:colOff>
      <xdr:row>35</xdr:row>
      <xdr:rowOff>180339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700AD5A-0950-D55C-1999-0AFFFFB01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996830" y="5901267"/>
          <a:ext cx="2277776" cy="798405"/>
        </a:xfrm>
        <a:prstGeom prst="rect">
          <a:avLst/>
        </a:prstGeom>
      </xdr:spPr>
    </xdr:pic>
    <xdr:clientData/>
  </xdr:twoCellAnchor>
  <xdr:twoCellAnchor editAs="oneCell">
    <xdr:from>
      <xdr:col>13</xdr:col>
      <xdr:colOff>167641</xdr:colOff>
      <xdr:row>73</xdr:row>
      <xdr:rowOff>38100</xdr:rowOff>
    </xdr:from>
    <xdr:to>
      <xdr:col>14</xdr:col>
      <xdr:colOff>826403</xdr:colOff>
      <xdr:row>75</xdr:row>
      <xdr:rowOff>129540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EA675AA-1A4B-9FE6-5369-328611C4A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248901" y="13388340"/>
          <a:ext cx="1268362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297181</xdr:colOff>
      <xdr:row>81</xdr:row>
      <xdr:rowOff>99060</xdr:rowOff>
    </xdr:from>
    <xdr:to>
      <xdr:col>4</xdr:col>
      <xdr:colOff>601981</xdr:colOff>
      <xdr:row>83</xdr:row>
      <xdr:rowOff>42367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9AE3A8D-F13E-840D-08DD-E7192DE22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743201" y="14912340"/>
          <a:ext cx="1188720" cy="309067"/>
        </a:xfrm>
        <a:prstGeom prst="rect">
          <a:avLst/>
        </a:prstGeom>
      </xdr:spPr>
    </xdr:pic>
    <xdr:clientData/>
  </xdr:twoCellAnchor>
  <xdr:twoCellAnchor editAs="oneCell">
    <xdr:from>
      <xdr:col>8</xdr:col>
      <xdr:colOff>464820</xdr:colOff>
      <xdr:row>81</xdr:row>
      <xdr:rowOff>91440</xdr:rowOff>
    </xdr:from>
    <xdr:to>
      <xdr:col>9</xdr:col>
      <xdr:colOff>1034239</xdr:colOff>
      <xdr:row>82</xdr:row>
      <xdr:rowOff>167639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F00AC80-9E17-AEA0-6735-9CD3B13AD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269480" y="14904720"/>
          <a:ext cx="1224739" cy="259079"/>
        </a:xfrm>
        <a:prstGeom prst="rect">
          <a:avLst/>
        </a:prstGeom>
      </xdr:spPr>
    </xdr:pic>
    <xdr:clientData/>
  </xdr:twoCellAnchor>
  <xdr:twoCellAnchor editAs="oneCell">
    <xdr:from>
      <xdr:col>13</xdr:col>
      <xdr:colOff>259080</xdr:colOff>
      <xdr:row>81</xdr:row>
      <xdr:rowOff>45721</xdr:rowOff>
    </xdr:from>
    <xdr:to>
      <xdr:col>14</xdr:col>
      <xdr:colOff>878205</xdr:colOff>
      <xdr:row>83</xdr:row>
      <xdr:rowOff>7621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9BDE3AD-6F67-4EC2-9C92-05A15E29F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0927080" y="14859001"/>
          <a:ext cx="1228725" cy="327660"/>
        </a:xfrm>
        <a:prstGeom prst="rect">
          <a:avLst/>
        </a:prstGeom>
      </xdr:spPr>
    </xdr:pic>
    <xdr:clientData/>
  </xdr:twoCellAnchor>
  <xdr:twoCellAnchor editAs="oneCell">
    <xdr:from>
      <xdr:col>19</xdr:col>
      <xdr:colOff>22861</xdr:colOff>
      <xdr:row>81</xdr:row>
      <xdr:rowOff>30480</xdr:rowOff>
    </xdr:from>
    <xdr:to>
      <xdr:col>21</xdr:col>
      <xdr:colOff>236221</xdr:colOff>
      <xdr:row>82</xdr:row>
      <xdr:rowOff>151719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FDA5015-2BEB-34B7-605A-3F243C9DB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5361921" y="14843760"/>
          <a:ext cx="1432560" cy="304119"/>
        </a:xfrm>
        <a:prstGeom prst="rect">
          <a:avLst/>
        </a:prstGeom>
      </xdr:spPr>
    </xdr:pic>
    <xdr:clientData/>
  </xdr:twoCellAnchor>
  <xdr:twoCellAnchor editAs="oneCell">
    <xdr:from>
      <xdr:col>3</xdr:col>
      <xdr:colOff>137161</xdr:colOff>
      <xdr:row>87</xdr:row>
      <xdr:rowOff>68580</xdr:rowOff>
    </xdr:from>
    <xdr:to>
      <xdr:col>4</xdr:col>
      <xdr:colOff>228601</xdr:colOff>
      <xdr:row>89</xdr:row>
      <xdr:rowOff>82126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7B28E12-1795-420E-E4EB-4DDEE9ECB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583181" y="15979140"/>
          <a:ext cx="975360" cy="379306"/>
        </a:xfrm>
        <a:prstGeom prst="rect">
          <a:avLst/>
        </a:prstGeom>
      </xdr:spPr>
    </xdr:pic>
    <xdr:clientData/>
  </xdr:twoCellAnchor>
  <xdr:twoCellAnchor editAs="oneCell">
    <xdr:from>
      <xdr:col>8</xdr:col>
      <xdr:colOff>205740</xdr:colOff>
      <xdr:row>87</xdr:row>
      <xdr:rowOff>121920</xdr:rowOff>
    </xdr:from>
    <xdr:to>
      <xdr:col>9</xdr:col>
      <xdr:colOff>388620</xdr:colOff>
      <xdr:row>90</xdr:row>
      <xdr:rowOff>19295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D269774-95CA-AEFF-CC9C-955709AB8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010400" y="16032480"/>
          <a:ext cx="838200" cy="446015"/>
        </a:xfrm>
        <a:prstGeom prst="rect">
          <a:avLst/>
        </a:prstGeom>
      </xdr:spPr>
    </xdr:pic>
    <xdr:clientData/>
  </xdr:twoCellAnchor>
  <xdr:twoCellAnchor editAs="oneCell">
    <xdr:from>
      <xdr:col>10</xdr:col>
      <xdr:colOff>373380</xdr:colOff>
      <xdr:row>90</xdr:row>
      <xdr:rowOff>45720</xdr:rowOff>
    </xdr:from>
    <xdr:to>
      <xdr:col>13</xdr:col>
      <xdr:colOff>459675</xdr:colOff>
      <xdr:row>91</xdr:row>
      <xdr:rowOff>76200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674B917-103E-731A-5DBF-233A0DE6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9144000" y="16504920"/>
          <a:ext cx="1983675" cy="213360"/>
        </a:xfrm>
        <a:prstGeom prst="rect">
          <a:avLst/>
        </a:prstGeom>
      </xdr:spPr>
    </xdr:pic>
    <xdr:clientData/>
  </xdr:twoCellAnchor>
  <xdr:twoCellAnchor editAs="oneCell">
    <xdr:from>
      <xdr:col>15</xdr:col>
      <xdr:colOff>502920</xdr:colOff>
      <xdr:row>91</xdr:row>
      <xdr:rowOff>53340</xdr:rowOff>
    </xdr:from>
    <xdr:to>
      <xdr:col>17</xdr:col>
      <xdr:colOff>586740</xdr:colOff>
      <xdr:row>92</xdr:row>
      <xdr:rowOff>138827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CDA66F96-ECA6-3D41-62EC-E79C4F503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213080" y="16695420"/>
          <a:ext cx="1493520" cy="268367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94</xdr:row>
      <xdr:rowOff>175261</xdr:rowOff>
    </xdr:from>
    <xdr:to>
      <xdr:col>4</xdr:col>
      <xdr:colOff>373381</xdr:colOff>
      <xdr:row>95</xdr:row>
      <xdr:rowOff>178119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A96D2629-1A20-3306-146C-8636FD0B0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560321" y="17365981"/>
          <a:ext cx="1143000" cy="185738"/>
        </a:xfrm>
        <a:prstGeom prst="rect">
          <a:avLst/>
        </a:prstGeom>
      </xdr:spPr>
    </xdr:pic>
    <xdr:clientData/>
  </xdr:twoCellAnchor>
  <xdr:twoCellAnchor>
    <xdr:from>
      <xdr:col>10</xdr:col>
      <xdr:colOff>495300</xdr:colOff>
      <xdr:row>175</xdr:row>
      <xdr:rowOff>38100</xdr:rowOff>
    </xdr:from>
    <xdr:to>
      <xdr:col>20</xdr:col>
      <xdr:colOff>83820</xdr:colOff>
      <xdr:row>195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FA680E-A9EB-B9D3-4428-0855F5D9F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41</xdr:col>
      <xdr:colOff>143931</xdr:colOff>
      <xdr:row>117</xdr:row>
      <xdr:rowOff>127001</xdr:rowOff>
    </xdr:from>
    <xdr:to>
      <xdr:col>52</xdr:col>
      <xdr:colOff>253999</xdr:colOff>
      <xdr:row>140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69BE1C-DEBE-A478-43E0-D120FC846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BE04-38BB-464F-9F77-59DAEA82572B}">
  <dimension ref="B1:H28"/>
  <sheetViews>
    <sheetView zoomScale="130" zoomScaleNormal="130" workbookViewId="0">
      <selection activeCell="D33" sqref="D33"/>
    </sheetView>
  </sheetViews>
  <sheetFormatPr defaultRowHeight="14.4" x14ac:dyDescent="0.3"/>
  <cols>
    <col min="1" max="1" width="3.6640625" customWidth="1"/>
  </cols>
  <sheetData>
    <row r="1" spans="2:8" ht="15" thickBot="1" x14ac:dyDescent="0.35"/>
    <row r="2" spans="2:8" x14ac:dyDescent="0.3">
      <c r="B2" s="160" t="s">
        <v>484</v>
      </c>
      <c r="C2" s="161"/>
      <c r="D2" s="161"/>
      <c r="E2" s="161"/>
      <c r="F2" s="161"/>
      <c r="G2" s="161"/>
      <c r="H2" s="162"/>
    </row>
    <row r="3" spans="2:8" x14ac:dyDescent="0.3">
      <c r="B3" s="153" t="s">
        <v>485</v>
      </c>
      <c r="C3" s="154"/>
      <c r="D3" s="154"/>
      <c r="E3" s="154"/>
      <c r="F3" s="168" t="s">
        <v>526</v>
      </c>
      <c r="G3" s="168"/>
      <c r="H3" s="169"/>
    </row>
    <row r="4" spans="2:8" x14ac:dyDescent="0.3">
      <c r="B4" s="153" t="s">
        <v>486</v>
      </c>
      <c r="C4" s="154"/>
      <c r="D4" s="154"/>
      <c r="E4" s="154"/>
      <c r="F4" s="168" t="s">
        <v>435</v>
      </c>
      <c r="G4" s="168"/>
      <c r="H4" s="169"/>
    </row>
    <row r="5" spans="2:8" x14ac:dyDescent="0.3">
      <c r="B5" s="153" t="s">
        <v>510</v>
      </c>
      <c r="C5" s="154"/>
      <c r="D5" s="154"/>
      <c r="E5" s="154"/>
      <c r="F5" s="168" t="s">
        <v>293</v>
      </c>
      <c r="G5" s="168"/>
      <c r="H5" s="169"/>
    </row>
    <row r="6" spans="2:8" x14ac:dyDescent="0.3">
      <c r="B6" s="153" t="s">
        <v>487</v>
      </c>
      <c r="C6" s="154"/>
      <c r="D6" s="154"/>
      <c r="E6" s="154"/>
      <c r="F6" s="156">
        <v>117</v>
      </c>
      <c r="G6" s="156"/>
      <c r="H6" s="128" t="s">
        <v>27</v>
      </c>
    </row>
    <row r="7" spans="2:8" x14ac:dyDescent="0.3">
      <c r="B7" s="153" t="s">
        <v>488</v>
      </c>
      <c r="C7" s="154"/>
      <c r="D7" s="154"/>
      <c r="E7" s="154"/>
      <c r="F7" s="156">
        <v>110</v>
      </c>
      <c r="G7" s="156"/>
      <c r="H7" s="128" t="s">
        <v>27</v>
      </c>
    </row>
    <row r="8" spans="2:8" x14ac:dyDescent="0.3">
      <c r="B8" s="153" t="s">
        <v>489</v>
      </c>
      <c r="C8" s="154"/>
      <c r="D8" s="154"/>
      <c r="E8" s="154"/>
      <c r="F8" s="156">
        <v>114</v>
      </c>
      <c r="G8" s="156"/>
      <c r="H8" s="128" t="s">
        <v>27</v>
      </c>
    </row>
    <row r="9" spans="2:8" x14ac:dyDescent="0.3">
      <c r="B9" s="153" t="s">
        <v>490</v>
      </c>
      <c r="C9" s="154"/>
      <c r="D9" s="154"/>
      <c r="E9" s="154"/>
      <c r="F9" s="155">
        <v>19.7</v>
      </c>
      <c r="G9" s="155"/>
      <c r="H9" s="129" t="s">
        <v>27</v>
      </c>
    </row>
    <row r="10" spans="2:8" x14ac:dyDescent="0.3">
      <c r="B10" s="153" t="s">
        <v>491</v>
      </c>
      <c r="C10" s="154"/>
      <c r="D10" s="154"/>
      <c r="E10" s="154"/>
      <c r="F10" s="156">
        <v>6.45</v>
      </c>
      <c r="G10" s="156"/>
      <c r="H10" s="128" t="s">
        <v>27</v>
      </c>
    </row>
    <row r="11" spans="2:8" x14ac:dyDescent="0.3">
      <c r="B11" s="153" t="s">
        <v>492</v>
      </c>
      <c r="C11" s="154"/>
      <c r="D11" s="154"/>
      <c r="E11" s="154"/>
      <c r="F11" s="155">
        <v>7644.7</v>
      </c>
      <c r="G11" s="155"/>
      <c r="H11" s="129" t="s">
        <v>28</v>
      </c>
    </row>
    <row r="12" spans="2:8" x14ac:dyDescent="0.3">
      <c r="B12" s="153" t="s">
        <v>493</v>
      </c>
      <c r="C12" s="154"/>
      <c r="D12" s="154"/>
      <c r="E12" s="154"/>
      <c r="F12" s="156">
        <v>13.8</v>
      </c>
      <c r="G12" s="156"/>
      <c r="H12" s="128" t="s">
        <v>26</v>
      </c>
    </row>
    <row r="13" spans="2:8" x14ac:dyDescent="0.3">
      <c r="B13" s="153" t="s">
        <v>494</v>
      </c>
      <c r="C13" s="154"/>
      <c r="D13" s="154"/>
      <c r="E13" s="154"/>
      <c r="F13" s="155">
        <v>3.7</v>
      </c>
      <c r="G13" s="155"/>
      <c r="H13" s="129" t="s">
        <v>27</v>
      </c>
    </row>
    <row r="14" spans="2:8" x14ac:dyDescent="0.3">
      <c r="B14" s="153" t="s">
        <v>495</v>
      </c>
      <c r="C14" s="154"/>
      <c r="D14" s="154"/>
      <c r="E14" s="154"/>
      <c r="F14" s="156">
        <v>1</v>
      </c>
      <c r="G14" s="156"/>
      <c r="H14" s="128"/>
    </row>
    <row r="15" spans="2:8" x14ac:dyDescent="0.3">
      <c r="B15" s="153" t="s">
        <v>496</v>
      </c>
      <c r="C15" s="154"/>
      <c r="D15" s="154"/>
      <c r="E15" s="154"/>
      <c r="F15" s="155">
        <v>0</v>
      </c>
      <c r="G15" s="155"/>
      <c r="H15" s="129"/>
    </row>
    <row r="16" spans="2:8" x14ac:dyDescent="0.3">
      <c r="B16" s="153" t="s">
        <v>497</v>
      </c>
      <c r="C16" s="154"/>
      <c r="D16" s="154"/>
      <c r="E16" s="154"/>
      <c r="F16" s="156">
        <v>5</v>
      </c>
      <c r="G16" s="156"/>
      <c r="H16" s="128" t="s">
        <v>27</v>
      </c>
    </row>
    <row r="17" spans="2:8" x14ac:dyDescent="0.3">
      <c r="B17" s="153" t="s">
        <v>498</v>
      </c>
      <c r="C17" s="154"/>
      <c r="D17" s="154"/>
      <c r="E17" s="154"/>
      <c r="F17" s="155">
        <v>4</v>
      </c>
      <c r="G17" s="155"/>
      <c r="H17" s="129" t="s">
        <v>27</v>
      </c>
    </row>
    <row r="18" spans="2:8" ht="15" thickBot="1" x14ac:dyDescent="0.35">
      <c r="B18" s="157" t="s">
        <v>499</v>
      </c>
      <c r="C18" s="158"/>
      <c r="D18" s="158"/>
      <c r="E18" s="158"/>
      <c r="F18" s="159"/>
      <c r="G18" s="159"/>
      <c r="H18" s="130"/>
    </row>
    <row r="19" spans="2:8" ht="15" thickBot="1" x14ac:dyDescent="0.35"/>
    <row r="20" spans="2:8" x14ac:dyDescent="0.3">
      <c r="B20" s="163" t="s">
        <v>500</v>
      </c>
      <c r="C20" s="164"/>
      <c r="D20" s="164"/>
      <c r="E20" s="164"/>
      <c r="F20" s="164"/>
      <c r="G20" s="164"/>
      <c r="H20" s="165"/>
    </row>
    <row r="21" spans="2:8" x14ac:dyDescent="0.3">
      <c r="B21" s="166" t="s">
        <v>501</v>
      </c>
      <c r="C21" s="167"/>
      <c r="D21" s="167"/>
      <c r="E21" s="167"/>
      <c r="F21" s="155">
        <v>3200</v>
      </c>
      <c r="G21" s="155"/>
      <c r="H21" s="131" t="s">
        <v>164</v>
      </c>
    </row>
    <row r="22" spans="2:8" x14ac:dyDescent="0.3">
      <c r="B22" s="153" t="s">
        <v>509</v>
      </c>
      <c r="C22" s="154"/>
      <c r="D22" s="154"/>
      <c r="E22" s="154"/>
      <c r="F22" s="156">
        <v>1</v>
      </c>
      <c r="G22" s="156"/>
      <c r="H22" s="132"/>
    </row>
    <row r="23" spans="2:8" x14ac:dyDescent="0.3">
      <c r="B23" s="153" t="s">
        <v>502</v>
      </c>
      <c r="C23" s="154"/>
      <c r="D23" s="154"/>
      <c r="E23" s="154"/>
      <c r="F23" s="155">
        <v>182</v>
      </c>
      <c r="G23" s="155"/>
      <c r="H23" s="131" t="s">
        <v>507</v>
      </c>
    </row>
    <row r="24" spans="2:8" x14ac:dyDescent="0.3">
      <c r="B24" s="153" t="s">
        <v>564</v>
      </c>
      <c r="C24" s="154"/>
      <c r="D24" s="154"/>
      <c r="E24" s="154"/>
      <c r="F24" s="156" t="s">
        <v>387</v>
      </c>
      <c r="G24" s="156"/>
      <c r="H24" s="132"/>
    </row>
    <row r="25" spans="2:8" x14ac:dyDescent="0.3">
      <c r="B25" s="153" t="s">
        <v>503</v>
      </c>
      <c r="C25" s="154"/>
      <c r="D25" s="154"/>
      <c r="E25" s="154"/>
      <c r="F25" s="155">
        <v>169</v>
      </c>
      <c r="G25" s="155"/>
      <c r="H25" s="131" t="s">
        <v>211</v>
      </c>
    </row>
    <row r="26" spans="2:8" x14ac:dyDescent="0.3">
      <c r="B26" s="153" t="s">
        <v>504</v>
      </c>
      <c r="C26" s="154"/>
      <c r="D26" s="154"/>
      <c r="E26" s="154"/>
      <c r="F26" s="156">
        <v>180</v>
      </c>
      <c r="G26" s="156"/>
      <c r="H26" s="132" t="s">
        <v>164</v>
      </c>
    </row>
    <row r="27" spans="2:8" x14ac:dyDescent="0.3">
      <c r="B27" s="153" t="s">
        <v>505</v>
      </c>
      <c r="C27" s="154"/>
      <c r="D27" s="154"/>
      <c r="E27" s="154"/>
      <c r="F27" s="155">
        <v>2</v>
      </c>
      <c r="G27" s="155"/>
      <c r="H27" s="131"/>
    </row>
    <row r="28" spans="2:8" ht="15" thickBot="1" x14ac:dyDescent="0.35">
      <c r="B28" s="157" t="s">
        <v>506</v>
      </c>
      <c r="C28" s="158"/>
      <c r="D28" s="158"/>
      <c r="E28" s="158"/>
      <c r="F28" s="159">
        <v>75</v>
      </c>
      <c r="G28" s="159"/>
      <c r="H28" s="133" t="s">
        <v>508</v>
      </c>
    </row>
  </sheetData>
  <mergeCells count="50">
    <mergeCell ref="B5:E5"/>
    <mergeCell ref="F5:H5"/>
    <mergeCell ref="B24:E24"/>
    <mergeCell ref="F24:G24"/>
    <mergeCell ref="B25:E25"/>
    <mergeCell ref="F21:G21"/>
    <mergeCell ref="F23:G23"/>
    <mergeCell ref="F25:G25"/>
    <mergeCell ref="B15:E15"/>
    <mergeCell ref="F17:G17"/>
    <mergeCell ref="F28:G28"/>
    <mergeCell ref="B22:E22"/>
    <mergeCell ref="F22:G22"/>
    <mergeCell ref="B26:E26"/>
    <mergeCell ref="B27:E27"/>
    <mergeCell ref="B28:E28"/>
    <mergeCell ref="F26:G26"/>
    <mergeCell ref="F27:G27"/>
    <mergeCell ref="B2:H2"/>
    <mergeCell ref="B7:E7"/>
    <mergeCell ref="B8:E8"/>
    <mergeCell ref="B9:E9"/>
    <mergeCell ref="B20:H20"/>
    <mergeCell ref="F4:H4"/>
    <mergeCell ref="F3:H3"/>
    <mergeCell ref="F6:G6"/>
    <mergeCell ref="F7:G7"/>
    <mergeCell ref="F8:G8"/>
    <mergeCell ref="F9:G9"/>
    <mergeCell ref="F10:G10"/>
    <mergeCell ref="B10:E10"/>
    <mergeCell ref="B3:E3"/>
    <mergeCell ref="B4:E4"/>
    <mergeCell ref="B6:E6"/>
    <mergeCell ref="B23:E23"/>
    <mergeCell ref="F11:G11"/>
    <mergeCell ref="F12:G12"/>
    <mergeCell ref="F13:G13"/>
    <mergeCell ref="F14:G14"/>
    <mergeCell ref="F15:G15"/>
    <mergeCell ref="F16:G16"/>
    <mergeCell ref="B16:E16"/>
    <mergeCell ref="B17:E17"/>
    <mergeCell ref="B18:E18"/>
    <mergeCell ref="B11:E11"/>
    <mergeCell ref="B12:E12"/>
    <mergeCell ref="B13:E13"/>
    <mergeCell ref="F18:G18"/>
    <mergeCell ref="B21:E21"/>
    <mergeCell ref="B14:E1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5B7725-D259-4AA8-92E7-4CD9D6758C18}">
          <x14:formula1>
            <xm:f>'data, etc'!$B$4:$B$15</xm:f>
          </x14:formula1>
          <xm:sqref>F4</xm:sqref>
        </x14:dataValidation>
        <x14:dataValidation type="list" allowBlank="1" showInputMessage="1" showErrorMessage="1" xr:uid="{D88CB841-D2BD-49A2-AB2D-A96C426F289D}">
          <x14:formula1>
            <xm:f>'Route Distance'!$C$147:$C$159</xm:f>
          </x14:formula1>
          <xm:sqref>F5:H5</xm:sqref>
        </x14:dataValidation>
        <x14:dataValidation type="list" allowBlank="1" showInputMessage="1" showErrorMessage="1" xr:uid="{CC8BADD1-F756-44A6-BC43-CCE1145222CC}">
          <x14:formula1>
            <xm:f>'data, etc'!$O$19:$O$20</xm:f>
          </x14:formula1>
          <xm:sqref>F24:G24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CC30-6240-4AA9-A04A-AF42BCF796D2}">
  <dimension ref="B2:W154"/>
  <sheetViews>
    <sheetView tabSelected="1" topLeftCell="A31" zoomScale="115" zoomScaleNormal="115" workbookViewId="0">
      <selection activeCell="K49" sqref="K49"/>
    </sheetView>
  </sheetViews>
  <sheetFormatPr defaultRowHeight="14.4" x14ac:dyDescent="0.3"/>
  <cols>
    <col min="1" max="1" width="2.77734375" customWidth="1"/>
    <col min="3" max="3" width="11" bestFit="1" customWidth="1"/>
    <col min="4" max="4" width="12.77734375" customWidth="1"/>
    <col min="6" max="6" width="8.88671875" customWidth="1"/>
    <col min="7" max="7" width="12" bestFit="1" customWidth="1"/>
    <col min="8" max="8" width="13.77734375" customWidth="1"/>
    <col min="9" max="9" width="10.44140625" customWidth="1"/>
    <col min="10" max="10" width="9.6640625" customWidth="1"/>
    <col min="11" max="11" width="10.77734375" customWidth="1"/>
    <col min="12" max="16" width="10.5546875" bestFit="1" customWidth="1"/>
    <col min="17" max="17" width="19.44140625" bestFit="1" customWidth="1"/>
    <col min="18" max="18" width="10.5546875" bestFit="1" customWidth="1"/>
    <col min="19" max="19" width="12" bestFit="1" customWidth="1"/>
    <col min="22" max="22" width="14.21875" customWidth="1"/>
  </cols>
  <sheetData>
    <row r="2" spans="2:22" x14ac:dyDescent="0.3">
      <c r="B2" s="195" t="s">
        <v>512</v>
      </c>
      <c r="C2" s="195"/>
      <c r="D2" s="195"/>
      <c r="F2" s="195" t="s">
        <v>544</v>
      </c>
      <c r="G2" s="195"/>
      <c r="H2" s="195"/>
      <c r="I2" s="195"/>
      <c r="J2" s="195"/>
      <c r="K2" s="195"/>
      <c r="L2" s="195"/>
      <c r="M2" s="195"/>
    </row>
    <row r="3" spans="2:22" x14ac:dyDescent="0.3">
      <c r="B3" t="s">
        <v>12</v>
      </c>
      <c r="C3">
        <f>'External Input'!F12*0.5144</f>
        <v>7.0987200000000001</v>
      </c>
      <c r="D3" t="s">
        <v>25</v>
      </c>
      <c r="F3" t="s">
        <v>179</v>
      </c>
      <c r="H3">
        <f>VLOOKUP('External Input'!F5,'Route Distance'!C147:N159,11,FALSE)</f>
        <v>1629.8</v>
      </c>
      <c r="I3" t="s">
        <v>542</v>
      </c>
      <c r="K3" t="s">
        <v>188</v>
      </c>
      <c r="M3">
        <f>VLOOKUP('External Input'!F5,'Route Distance'!C147:N159,8,FALSE)</f>
        <v>9.379999999999999</v>
      </c>
    </row>
    <row r="4" spans="2:22" x14ac:dyDescent="0.3">
      <c r="B4" t="s">
        <v>29</v>
      </c>
      <c r="C4">
        <f>'External Input'!F7*1.035</f>
        <v>113.85</v>
      </c>
      <c r="D4" t="s">
        <v>27</v>
      </c>
      <c r="F4" t="s">
        <v>180</v>
      </c>
      <c r="H4">
        <f>H3/'External Input'!F12</f>
        <v>118.10144927536231</v>
      </c>
      <c r="I4" t="s">
        <v>543</v>
      </c>
      <c r="K4" t="s">
        <v>189</v>
      </c>
      <c r="M4">
        <f>VLOOKUP('External Input'!F5,'Route Distance'!C147:N159,9,FALSE)</f>
        <v>2.3400000000000003</v>
      </c>
    </row>
    <row r="5" spans="2:22" x14ac:dyDescent="0.3">
      <c r="F5" t="s">
        <v>185</v>
      </c>
      <c r="H5">
        <f>IFERROR(VLOOKUP(I5,'Route Distance'!$C$188:$H$200,HLOOKUP(100%,'Route Distance'!$C$188:$H$190,2,FALSE),FALSE),0)</f>
        <v>30.9</v>
      </c>
      <c r="I5" t="str">
        <f>VLOOKUP('External Input'!F5,'Route Distance'!C146:F159,2,FALSE)</f>
        <v>Surabaya</v>
      </c>
      <c r="K5" t="s">
        <v>190</v>
      </c>
      <c r="M5">
        <f>VLOOKUP('External Input'!F5,'Route Distance'!C147:N159,10,FALSE)</f>
        <v>2.56</v>
      </c>
    </row>
    <row r="6" spans="2:22" x14ac:dyDescent="0.3">
      <c r="F6" t="s">
        <v>186</v>
      </c>
      <c r="H6">
        <f>IFERROR(VLOOKUP(I6,'Route Distance'!$C$188:$H$200,HLOOKUP(100%,'Route Distance'!$C$188:$H$190,2,FALSE),FALSE),0)</f>
        <v>51.8</v>
      </c>
      <c r="I6" t="str">
        <f>VLOOKUP('External Input'!F5,'Route Distance'!C146:F159,3,FALSE)</f>
        <v>Wini</v>
      </c>
      <c r="K6" t="s">
        <v>342</v>
      </c>
      <c r="M6">
        <f>SUM(H4:H7,M3:M5)</f>
        <v>256.92144927536231</v>
      </c>
    </row>
    <row r="7" spans="2:22" x14ac:dyDescent="0.3">
      <c r="F7" t="s">
        <v>187</v>
      </c>
      <c r="H7">
        <f>IFERROR(VLOOKUP(I7,'Route Distance'!$C$188:$H$200,HLOOKUP(100%,'Route Distance'!$C$188:$H$190,2,FALSE),FALSE),0)</f>
        <v>41.84</v>
      </c>
      <c r="I7" t="str">
        <f>VLOOKUP('External Input'!F5,'Route Distance'!C146:F159,4,FALSE)</f>
        <v>Dili</v>
      </c>
      <c r="K7" t="s">
        <v>184</v>
      </c>
      <c r="M7">
        <f>ROUNDUP((335*24/M6),0)</f>
        <v>32</v>
      </c>
    </row>
    <row r="9" spans="2:22" x14ac:dyDescent="0.3">
      <c r="B9" s="195" t="s">
        <v>525</v>
      </c>
      <c r="C9" s="195"/>
      <c r="D9" s="195"/>
      <c r="E9" s="195"/>
      <c r="F9" s="195"/>
      <c r="G9" s="195"/>
      <c r="H9" s="195"/>
      <c r="I9" s="195"/>
      <c r="J9" s="195"/>
      <c r="K9" s="195"/>
      <c r="L9" s="195"/>
      <c r="N9" s="194" t="s">
        <v>523</v>
      </c>
      <c r="O9" s="194"/>
      <c r="P9" s="194"/>
      <c r="Q9" s="194"/>
      <c r="R9" s="194"/>
    </row>
    <row r="11" spans="2:22" x14ac:dyDescent="0.3">
      <c r="B11" s="196" t="s">
        <v>511</v>
      </c>
      <c r="C11" s="196"/>
      <c r="D11" s="196"/>
      <c r="E11" s="196"/>
      <c r="F11" s="196"/>
      <c r="H11" s="196" t="s">
        <v>521</v>
      </c>
      <c r="I11" s="196"/>
      <c r="J11" s="196"/>
      <c r="K11" s="196"/>
      <c r="L11" s="196"/>
      <c r="N11" s="197" t="s">
        <v>515</v>
      </c>
      <c r="O11" s="197"/>
      <c r="P11" s="197"/>
      <c r="Q11" s="197"/>
      <c r="R11" s="197"/>
    </row>
    <row r="12" spans="2:22" x14ac:dyDescent="0.3">
      <c r="N12" s="193" t="s">
        <v>24</v>
      </c>
      <c r="O12" s="193"/>
      <c r="P12" s="193"/>
      <c r="Q12" s="146">
        <f>(C14*C15)/C16</f>
        <v>862408920.85409701</v>
      </c>
      <c r="R12" s="146"/>
      <c r="S12">
        <v>862408920.85409701</v>
      </c>
      <c r="T12" t="str">
        <f>IF(Q12=S12, "same","not same")</f>
        <v>same</v>
      </c>
      <c r="V12">
        <f>Q12-S12</f>
        <v>0</v>
      </c>
    </row>
    <row r="13" spans="2:22" x14ac:dyDescent="0.3">
      <c r="B13" s="192" t="s">
        <v>24</v>
      </c>
      <c r="C13" s="192"/>
      <c r="E13" s="192" t="s">
        <v>44</v>
      </c>
      <c r="F13" s="192"/>
      <c r="H13" s="192" t="s">
        <v>522</v>
      </c>
      <c r="I13" s="192"/>
      <c r="K13" s="192" t="s">
        <v>140</v>
      </c>
      <c r="L13" s="192"/>
      <c r="N13" s="193" t="s">
        <v>36</v>
      </c>
      <c r="O13" s="193"/>
      <c r="P13" s="193"/>
      <c r="Q13" s="146">
        <f>0.075/((LOG10(C19)-2)^2)</f>
        <v>1.5591180731027155E-3</v>
      </c>
      <c r="R13" s="146"/>
      <c r="S13">
        <v>1.55911807310271E-3</v>
      </c>
      <c r="T13" t="str">
        <f>IF(Q13=S13, "same","not same")</f>
        <v>not same</v>
      </c>
      <c r="V13" s="147">
        <f>Q13-S13</f>
        <v>5.4210108624275222E-18</v>
      </c>
    </row>
    <row r="14" spans="2:22" x14ac:dyDescent="0.3">
      <c r="B14" t="s">
        <v>12</v>
      </c>
      <c r="C14">
        <f>C3</f>
        <v>7.0987200000000001</v>
      </c>
      <c r="E14" t="s">
        <v>45</v>
      </c>
      <c r="F14">
        <f>'External Input'!F8</f>
        <v>114</v>
      </c>
      <c r="H14" t="s">
        <v>40</v>
      </c>
      <c r="I14">
        <f>Q14</f>
        <v>0.21241198876256409</v>
      </c>
      <c r="K14" t="s">
        <v>111</v>
      </c>
      <c r="L14">
        <f>IF(F32=2,'data, etc'!E50,'data, etc'!C50)</f>
        <v>-6.0258000000000003</v>
      </c>
      <c r="N14" s="193" t="s">
        <v>38</v>
      </c>
      <c r="O14" s="193"/>
      <c r="P14" s="193"/>
      <c r="Q14" s="146">
        <f>C22/(SQRT(C23*C24))</f>
        <v>0.21241198876256409</v>
      </c>
      <c r="R14" s="146"/>
      <c r="S14">
        <v>0.21241198876256401</v>
      </c>
      <c r="T14" t="str">
        <f t="shared" ref="T14:T18" si="0">IF(Q14=S14, "same","not same")</f>
        <v>same</v>
      </c>
      <c r="V14">
        <f t="shared" ref="V14:V17" si="1">Q14-S14</f>
        <v>0</v>
      </c>
    </row>
    <row r="15" spans="2:22" x14ac:dyDescent="0.3">
      <c r="B15" t="s">
        <v>32</v>
      </c>
      <c r="C15">
        <f>C4</f>
        <v>113.85</v>
      </c>
      <c r="E15" t="s">
        <v>29</v>
      </c>
      <c r="F15">
        <f>C4</f>
        <v>113.85</v>
      </c>
      <c r="H15" t="s">
        <v>42</v>
      </c>
      <c r="I15">
        <f>F17</f>
        <v>0.75178196771616379</v>
      </c>
      <c r="K15" t="s">
        <v>45</v>
      </c>
      <c r="L15">
        <f>F14</f>
        <v>114</v>
      </c>
      <c r="N15" s="193" t="s">
        <v>41</v>
      </c>
      <c r="O15" s="193"/>
      <c r="P15" s="193"/>
      <c r="Q15" s="146">
        <f>0.7+((1/8)*ATAN((23-(100*C27))/4))</f>
        <v>0.75178196771616379</v>
      </c>
      <c r="R15" s="146"/>
      <c r="S15" s="147">
        <v>0.75178196771616301</v>
      </c>
      <c r="T15" t="str">
        <f t="shared" si="0"/>
        <v>not same</v>
      </c>
      <c r="V15">
        <f t="shared" si="1"/>
        <v>0</v>
      </c>
    </row>
    <row r="16" spans="2:22" x14ac:dyDescent="0.3">
      <c r="B16" t="s">
        <v>33</v>
      </c>
      <c r="C16">
        <v>9.3712999999999997E-7</v>
      </c>
      <c r="E16" t="s">
        <v>4</v>
      </c>
      <c r="F16">
        <f>'External Input'!F7</f>
        <v>110</v>
      </c>
      <c r="H16" t="s">
        <v>93</v>
      </c>
      <c r="I16">
        <f>IF($F$32=2,'data, etc'!E35,'data, etc'!C35)</f>
        <v>-0.57423999999999997</v>
      </c>
      <c r="K16" t="s">
        <v>46</v>
      </c>
      <c r="L16">
        <f>F15</f>
        <v>113.85</v>
      </c>
      <c r="N16" s="193" t="s">
        <v>44</v>
      </c>
      <c r="O16" s="193"/>
      <c r="P16" s="193"/>
      <c r="Q16" s="146">
        <f>F23+(F24*(F14/F15))+(F25*(F15/F16))+F26*F17+(F27*(F16/F18))+(F28*(F18/F19))+(F29*(F16/F19))+(F30*((F20-F21)/F16))+(F31*(F22/F19))+F32*F35+F33*F36+F34*F37</f>
        <v>0.81998987397689915</v>
      </c>
      <c r="R16" s="146"/>
      <c r="S16">
        <v>0.81998987397689904</v>
      </c>
      <c r="T16" t="str">
        <f t="shared" si="0"/>
        <v>same</v>
      </c>
      <c r="V16">
        <f t="shared" si="1"/>
        <v>0</v>
      </c>
    </row>
    <row r="17" spans="2:22" x14ac:dyDescent="0.3">
      <c r="E17" t="s">
        <v>42</v>
      </c>
      <c r="F17">
        <f>IF('External Input'!F18="",Calculation!Q15,'External Input'!F18)</f>
        <v>0.75178196771616379</v>
      </c>
      <c r="H17" t="s">
        <v>94</v>
      </c>
      <c r="I17">
        <f>IF($F$32=2,'data, etc'!E36,'data, etc'!C36)</f>
        <v>13.3893</v>
      </c>
      <c r="N17" s="193" t="s">
        <v>514</v>
      </c>
      <c r="O17" s="193"/>
      <c r="P17" s="193"/>
      <c r="Q17" s="146">
        <f>C33*C30*(C31+(2*C32))</f>
        <v>2940.4836880811608</v>
      </c>
      <c r="R17" s="146"/>
      <c r="S17">
        <v>2940.4836880811599</v>
      </c>
      <c r="T17" t="str">
        <f t="shared" si="0"/>
        <v>same</v>
      </c>
      <c r="V17">
        <f t="shared" si="1"/>
        <v>0</v>
      </c>
    </row>
    <row r="18" spans="2:22" x14ac:dyDescent="0.3">
      <c r="B18" s="192" t="s">
        <v>36</v>
      </c>
      <c r="C18" s="192"/>
      <c r="E18" t="s">
        <v>5</v>
      </c>
      <c r="F18">
        <f>'External Input'!F9</f>
        <v>19.7</v>
      </c>
      <c r="H18" t="s">
        <v>95</v>
      </c>
      <c r="I18">
        <f>IF($F$32=2,'data, etc'!E37,'data, etc'!C37)</f>
        <v>90.596000000000004</v>
      </c>
      <c r="K18" s="192" t="s">
        <v>142</v>
      </c>
      <c r="L18" s="192"/>
      <c r="N18" s="193" t="s">
        <v>81</v>
      </c>
      <c r="O18" s="193"/>
      <c r="P18" s="193"/>
      <c r="Q18" s="146">
        <f>C36*(C37/2)*(C39^2)*C38/1000</f>
        <v>118.40001101199545</v>
      </c>
      <c r="R18" s="146" t="s">
        <v>85</v>
      </c>
      <c r="S18">
        <v>118.40001101199501</v>
      </c>
      <c r="T18" t="str">
        <f t="shared" si="0"/>
        <v>same</v>
      </c>
      <c r="V18" s="147">
        <f>Q18-S18</f>
        <v>4.4053649617126212E-13</v>
      </c>
    </row>
    <row r="19" spans="2:22" x14ac:dyDescent="0.3">
      <c r="B19" t="s">
        <v>35</v>
      </c>
      <c r="C19">
        <f>Q12</f>
        <v>862408920.85409701</v>
      </c>
      <c r="E19" t="s">
        <v>7</v>
      </c>
      <c r="F19">
        <f>'External Input'!F10</f>
        <v>6.45</v>
      </c>
      <c r="H19" t="s">
        <v>96</v>
      </c>
      <c r="I19">
        <f>IF($F$32=2,'data, etc'!E38,'data, etc'!C38)</f>
        <v>4.6614000000000004</v>
      </c>
      <c r="K19" t="s">
        <v>112</v>
      </c>
      <c r="L19">
        <f>IF(F32=2,'data, etc'!E51,'data, etc'!C51)</f>
        <v>-3.5632000000000001</v>
      </c>
      <c r="N19" s="146"/>
      <c r="O19" s="146"/>
      <c r="P19" s="146"/>
      <c r="Q19" s="146"/>
      <c r="R19" s="146"/>
    </row>
    <row r="20" spans="2:22" x14ac:dyDescent="0.3">
      <c r="E20" t="s">
        <v>47</v>
      </c>
      <c r="F20">
        <f>'External Input'!F16</f>
        <v>5</v>
      </c>
      <c r="H20" t="s">
        <v>97</v>
      </c>
      <c r="I20">
        <f>IF($F$32=2,'data, etc'!E39,'data, etc'!C39)</f>
        <v>-39.720999999999997</v>
      </c>
      <c r="K20" t="s">
        <v>46</v>
      </c>
      <c r="L20">
        <f>F15</f>
        <v>113.85</v>
      </c>
      <c r="N20" s="202" t="s">
        <v>516</v>
      </c>
      <c r="O20" s="202"/>
      <c r="P20" s="202"/>
      <c r="Q20" s="202"/>
      <c r="R20" s="202"/>
    </row>
    <row r="21" spans="2:22" x14ac:dyDescent="0.3">
      <c r="B21" s="192" t="s">
        <v>38</v>
      </c>
      <c r="C21" s="192"/>
      <c r="E21" t="s">
        <v>48</v>
      </c>
      <c r="F21">
        <f>'External Input'!F17</f>
        <v>4</v>
      </c>
      <c r="H21" t="s">
        <v>98</v>
      </c>
      <c r="I21">
        <f>IF($F$32=2,'data, etc'!E40,'data, etc'!C40)</f>
        <v>-351.483</v>
      </c>
      <c r="K21" t="s">
        <v>4</v>
      </c>
      <c r="L21">
        <f>F16</f>
        <v>110</v>
      </c>
      <c r="N21" s="193" t="s">
        <v>87</v>
      </c>
      <c r="O21" s="193"/>
      <c r="P21" s="193"/>
      <c r="Q21" s="146">
        <f>I16+I17*I14+I18*(I14^2)+(I19+I20*I14+I21*(I14^2))*I15+(I22+I23*I14+I24*(I14^2))*(I15^2)</f>
        <v>1.1819985011037915</v>
      </c>
      <c r="R21" s="146"/>
      <c r="S21">
        <v>1.1819985011037899</v>
      </c>
      <c r="T21" t="str">
        <f>IF(Q21=S21, "same","not same")</f>
        <v>same</v>
      </c>
      <c r="V21">
        <f t="shared" ref="V21:V26" si="2">Q21-S21</f>
        <v>0</v>
      </c>
    </row>
    <row r="22" spans="2:22" x14ac:dyDescent="0.3">
      <c r="B22" t="s">
        <v>12</v>
      </c>
      <c r="C22">
        <f>C3</f>
        <v>7.0987200000000001</v>
      </c>
      <c r="E22" t="s">
        <v>6</v>
      </c>
      <c r="F22">
        <f>'External Input'!F13</f>
        <v>3.7</v>
      </c>
      <c r="H22" t="s">
        <v>99</v>
      </c>
      <c r="I22">
        <f>IF($F$32=2,'data, etc'!E41,'data, etc'!C41)</f>
        <v>-1.14215</v>
      </c>
      <c r="N22" s="193" t="s">
        <v>103</v>
      </c>
      <c r="O22" s="193"/>
      <c r="P22" s="193"/>
      <c r="Q22" s="146">
        <f>I27+I28*I30+I29*(I30^2)</f>
        <v>0.21170427875519487</v>
      </c>
      <c r="R22" s="146"/>
      <c r="S22">
        <v>0.21170427875519399</v>
      </c>
      <c r="T22" t="str">
        <f t="shared" ref="T22:T32" si="3">IF(Q22=S22, "same","not same")</f>
        <v>not same</v>
      </c>
      <c r="V22" s="147">
        <f t="shared" si="2"/>
        <v>8.8817841970012523E-16</v>
      </c>
    </row>
    <row r="23" spans="2:22" x14ac:dyDescent="0.3">
      <c r="B23" t="s">
        <v>39</v>
      </c>
      <c r="C23">
        <v>9.81</v>
      </c>
      <c r="E23" t="s">
        <v>49</v>
      </c>
      <c r="F23">
        <f>IF($F$32=2,'data, etc'!E19,'data, etc'!C19)</f>
        <v>-0.68369999999999997</v>
      </c>
      <c r="H23" t="s">
        <v>100</v>
      </c>
      <c r="I23">
        <f>IF($F$32=2,'data, etc'!E42,'data, etc'!C42)</f>
        <v>-12.329599999999999</v>
      </c>
      <c r="K23" s="192" t="s">
        <v>145</v>
      </c>
      <c r="L23" s="192"/>
      <c r="N23" s="193" t="s">
        <v>131</v>
      </c>
      <c r="O23" s="193"/>
      <c r="P23" s="193"/>
      <c r="Q23" s="146">
        <f>IF(I34&lt;I33,1,((I34/I33)^I35))</f>
        <v>1.0033541116463447</v>
      </c>
      <c r="R23" s="146"/>
      <c r="S23">
        <v>1.00335411164634</v>
      </c>
      <c r="T23" t="str">
        <f t="shared" si="3"/>
        <v>same</v>
      </c>
      <c r="V23" s="147">
        <f t="shared" si="2"/>
        <v>4.6629367034256575E-15</v>
      </c>
    </row>
    <row r="24" spans="2:22" x14ac:dyDescent="0.3">
      <c r="B24" t="s">
        <v>143</v>
      </c>
      <c r="C24">
        <f>C4</f>
        <v>113.85</v>
      </c>
      <c r="E24" t="s">
        <v>50</v>
      </c>
      <c r="F24">
        <f>IF($F$32=2,'data, etc'!E20,'data, etc'!C20)</f>
        <v>0.27710000000000001</v>
      </c>
      <c r="H24" t="s">
        <v>101</v>
      </c>
      <c r="I24">
        <f>IF($F$32=2,'data, etc'!E43,'data, etc'!C43)</f>
        <v>459.25400000000002</v>
      </c>
      <c r="K24" t="s">
        <v>113</v>
      </c>
      <c r="L24">
        <f>IF(F32=2,'data, etc'!E52,'data, etc'!C52)</f>
        <v>9.4405000000000001</v>
      </c>
      <c r="N24" s="193" t="s">
        <v>517</v>
      </c>
      <c r="O24" s="193"/>
      <c r="P24" s="193"/>
      <c r="Q24" s="146">
        <f>I38*I40^I39</f>
        <v>1.0219946887395193</v>
      </c>
      <c r="R24" s="146"/>
      <c r="S24">
        <v>1.0219946887395099</v>
      </c>
      <c r="T24" t="str">
        <f t="shared" si="3"/>
        <v>not same</v>
      </c>
      <c r="V24" s="147">
        <f t="shared" si="2"/>
        <v>9.3258734068513149E-15</v>
      </c>
    </row>
    <row r="25" spans="2:22" x14ac:dyDescent="0.3">
      <c r="E25" t="s">
        <v>51</v>
      </c>
      <c r="F25">
        <f>IF($F$32=2,'data, etc'!E21,'data, etc'!C21)</f>
        <v>0.6542</v>
      </c>
      <c r="K25" t="s">
        <v>47</v>
      </c>
      <c r="L25">
        <f>F20</f>
        <v>5</v>
      </c>
      <c r="N25" s="193" t="s">
        <v>518</v>
      </c>
      <c r="O25" s="193"/>
      <c r="P25" s="193"/>
      <c r="Q25" s="146">
        <f>IF((I44/I45)&lt;1.99,1.99^I43,(I44/I45)^I43)</f>
        <v>1.458798748958537</v>
      </c>
      <c r="R25" s="146"/>
      <c r="S25">
        <v>1.4587987489585299</v>
      </c>
      <c r="T25" t="str">
        <f t="shared" si="3"/>
        <v>not same</v>
      </c>
      <c r="V25" s="147">
        <f t="shared" si="2"/>
        <v>7.1054273576010019E-15</v>
      </c>
    </row>
    <row r="26" spans="2:22" x14ac:dyDescent="0.3">
      <c r="B26" s="192" t="s">
        <v>513</v>
      </c>
      <c r="C26" s="192"/>
      <c r="E26" t="s">
        <v>52</v>
      </c>
      <c r="F26">
        <f>IF($F$32=2,'data, etc'!E22,'data, etc'!C22)</f>
        <v>0.64219999999999999</v>
      </c>
      <c r="H26" s="192" t="s">
        <v>103</v>
      </c>
      <c r="I26" s="192"/>
      <c r="K26" t="s">
        <v>48</v>
      </c>
      <c r="L26">
        <f>F21</f>
        <v>4</v>
      </c>
      <c r="N26" s="193" t="s">
        <v>519</v>
      </c>
      <c r="O26" s="193"/>
      <c r="P26" s="193"/>
      <c r="Q26" s="146">
        <f>IF((I49/I50)&gt;7.11,7.11^I48,(I49/I50)^I48)</f>
        <v>0.2489059424816254</v>
      </c>
      <c r="R26" s="146"/>
      <c r="S26">
        <v>0.24890594248162501</v>
      </c>
      <c r="T26" t="str">
        <f t="shared" si="3"/>
        <v>same</v>
      </c>
      <c r="V26" s="147">
        <f t="shared" si="2"/>
        <v>3.8857805861880479E-16</v>
      </c>
    </row>
    <row r="27" spans="2:22" x14ac:dyDescent="0.3">
      <c r="B27" t="s">
        <v>40</v>
      </c>
      <c r="C27">
        <f>Q14</f>
        <v>0.21241198876256409</v>
      </c>
      <c r="E27" t="s">
        <v>53</v>
      </c>
      <c r="F27">
        <f>IF($F$32=2,'data, etc'!E23,'data, etc'!C23)</f>
        <v>7.4999999999999997E-3</v>
      </c>
      <c r="H27" t="s">
        <v>104</v>
      </c>
      <c r="I27">
        <f>IF($F$32=2,'data, etc'!E59,'data, etc'!C59)</f>
        <v>0.85399999999999998</v>
      </c>
      <c r="K27" t="s">
        <v>4</v>
      </c>
      <c r="L27">
        <f>F16</f>
        <v>110</v>
      </c>
      <c r="N27" s="193" t="s">
        <v>140</v>
      </c>
      <c r="O27" s="193"/>
      <c r="P27" s="193"/>
      <c r="Q27" s="146">
        <f>IF((L15/L16)&gt;1.05,1.05^L14,(L15/L16)^L14)</f>
        <v>0.99209748532332132</v>
      </c>
      <c r="R27" s="146"/>
      <c r="S27">
        <v>0.99209748532332098</v>
      </c>
      <c r="T27" t="str">
        <f t="shared" si="3"/>
        <v>same</v>
      </c>
      <c r="V27">
        <f t="shared" ref="V27" si="4">Q27-S27</f>
        <v>0</v>
      </c>
    </row>
    <row r="28" spans="2:22" x14ac:dyDescent="0.3">
      <c r="E28" t="s">
        <v>54</v>
      </c>
      <c r="F28">
        <f>IF($F$32=2,'data, etc'!E24,'data, etc'!C24)</f>
        <v>2.75E-2</v>
      </c>
      <c r="H28" t="s">
        <v>105</v>
      </c>
      <c r="I28">
        <f>IF($F$32=2,'data, etc'!E60,'data, etc'!C60)</f>
        <v>-1.228</v>
      </c>
      <c r="N28" s="193" t="s">
        <v>142</v>
      </c>
      <c r="O28" s="193"/>
      <c r="P28" s="193"/>
      <c r="Q28" s="146">
        <f>IF((L20/L21)&gt;1.06,1.06^L19,(L20/L21)^L19)</f>
        <v>0.88463587114114295</v>
      </c>
      <c r="R28" s="146"/>
      <c r="S28">
        <v>0.88463587114114195</v>
      </c>
      <c r="T28" t="str">
        <f t="shared" si="3"/>
        <v>not same</v>
      </c>
      <c r="V28" s="147">
        <f>Q28-S28</f>
        <v>9.9920072216264089E-16</v>
      </c>
    </row>
    <row r="29" spans="2:22" x14ac:dyDescent="0.3">
      <c r="B29" s="192" t="s">
        <v>514</v>
      </c>
      <c r="C29" s="192"/>
      <c r="E29" t="s">
        <v>55</v>
      </c>
      <c r="F29">
        <f>IF($F$32=2,'data, etc'!E25,'data, etc'!C25)</f>
        <v>-4.4999999999999997E-3</v>
      </c>
      <c r="H29" t="s">
        <v>106</v>
      </c>
      <c r="I29">
        <f>IF($F$32=2,'data, etc'!E61,'data, etc'!C61)</f>
        <v>0.497</v>
      </c>
      <c r="K29" s="192" t="s">
        <v>147</v>
      </c>
      <c r="L29" s="192"/>
      <c r="N29" s="193" t="s">
        <v>145</v>
      </c>
      <c r="O29" s="193"/>
      <c r="P29" s="193"/>
      <c r="Q29" s="146">
        <f>(1+((L25-L26)/L27))^L24</f>
        <v>1.0891907313921749</v>
      </c>
      <c r="R29" s="146"/>
      <c r="S29">
        <v>1.08919073139217</v>
      </c>
      <c r="T29" t="str">
        <f t="shared" si="3"/>
        <v>same</v>
      </c>
      <c r="V29" s="147">
        <f>Q29-S29</f>
        <v>4.8849813083506888E-15</v>
      </c>
    </row>
    <row r="30" spans="2:22" x14ac:dyDescent="0.3">
      <c r="B30" t="s">
        <v>4</v>
      </c>
      <c r="C30">
        <f>'External Input'!F7</f>
        <v>110</v>
      </c>
      <c r="E30" t="s">
        <v>56</v>
      </c>
      <c r="F30">
        <f>IF($F$32=2,'data, etc'!E26,'data, etc'!C26)</f>
        <v>-0.4798</v>
      </c>
      <c r="H30" t="s">
        <v>42</v>
      </c>
      <c r="I30">
        <f>I15</f>
        <v>0.75178196771616379</v>
      </c>
      <c r="K30" t="s">
        <v>114</v>
      </c>
      <c r="L30">
        <f>IF(F32=2,'data, etc'!E53,'data, etc'!C53)</f>
        <v>1.46E-2</v>
      </c>
      <c r="N30" s="199" t="s">
        <v>147</v>
      </c>
      <c r="O30" s="199"/>
      <c r="P30" s="199"/>
      <c r="Q30" s="148">
        <f>IF((L31/L32)&lt;0.43,0.43^L30,(IF(0.84&lt;=(L31/L32)&gt;=0.43,(L31/L32)^L30,0.84^L30)))</f>
        <v>0.99561351449958857</v>
      </c>
      <c r="R30" s="146"/>
      <c r="S30">
        <v>0.99561351449958801</v>
      </c>
      <c r="T30" t="str">
        <f t="shared" si="3"/>
        <v>not same</v>
      </c>
      <c r="V30" s="147">
        <f>Q30-S30</f>
        <v>0</v>
      </c>
    </row>
    <row r="31" spans="2:22" x14ac:dyDescent="0.3">
      <c r="B31" t="s">
        <v>5</v>
      </c>
      <c r="C31">
        <f>'External Input'!F9</f>
        <v>19.7</v>
      </c>
      <c r="E31" t="s">
        <v>57</v>
      </c>
      <c r="F31">
        <f>IF($F$32=2,'data, etc'!E27,'data, etc'!C27)</f>
        <v>3.7600000000000001E-2</v>
      </c>
      <c r="K31" t="s">
        <v>6</v>
      </c>
      <c r="L31">
        <f>F22</f>
        <v>3.7</v>
      </c>
      <c r="N31" s="193" t="s">
        <v>149</v>
      </c>
      <c r="O31" s="193"/>
      <c r="P31" s="193"/>
      <c r="Q31" s="146">
        <f>Q21*Q23*Q24*Q25*Q26*Q27*Q28*Q29*Q30*(L35^L39)*(L36^L40)*(L37^L41)*(IF(L38=0,1,(L38^L42)))</f>
        <v>0.41885534450893896</v>
      </c>
      <c r="R31" s="146"/>
      <c r="S31">
        <v>0.41885534450893902</v>
      </c>
      <c r="T31" t="str">
        <f t="shared" si="3"/>
        <v>same</v>
      </c>
      <c r="V31" s="147">
        <f>Q31-S31</f>
        <v>0</v>
      </c>
    </row>
    <row r="32" spans="2:22" x14ac:dyDescent="0.3">
      <c r="B32" t="s">
        <v>7</v>
      </c>
      <c r="C32">
        <f>'External Input'!F10</f>
        <v>6.45</v>
      </c>
      <c r="E32" t="s">
        <v>58</v>
      </c>
      <c r="F32">
        <f>'External Input'!F14</f>
        <v>1</v>
      </c>
      <c r="H32" s="192" t="s">
        <v>131</v>
      </c>
      <c r="I32" s="192"/>
      <c r="K32" t="s">
        <v>47</v>
      </c>
      <c r="L32">
        <f>F20</f>
        <v>5</v>
      </c>
      <c r="N32" s="193" t="s">
        <v>86</v>
      </c>
      <c r="O32" s="193"/>
      <c r="P32" s="193"/>
      <c r="Q32" s="146">
        <f>L45*1025/2*L47^2*((L48*L49)/10)/1000</f>
        <v>137.44975323364611</v>
      </c>
      <c r="R32" s="146"/>
      <c r="S32">
        <v>137.44975323364599</v>
      </c>
      <c r="T32" t="str">
        <f t="shared" si="3"/>
        <v>same</v>
      </c>
      <c r="V32" s="147">
        <f>Q32-S32</f>
        <v>0</v>
      </c>
    </row>
    <row r="33" spans="2:22" x14ac:dyDescent="0.3">
      <c r="B33" t="s">
        <v>76</v>
      </c>
      <c r="C33">
        <f>Q16</f>
        <v>0.81998987397689915</v>
      </c>
      <c r="E33" t="s">
        <v>59</v>
      </c>
      <c r="F33">
        <f>F32</f>
        <v>1</v>
      </c>
      <c r="H33" t="s">
        <v>132</v>
      </c>
      <c r="I33">
        <f>Q22</f>
        <v>0.21170427875519487</v>
      </c>
      <c r="Q33">
        <f>L31/L32</f>
        <v>0.74</v>
      </c>
      <c r="R33" t="s">
        <v>85</v>
      </c>
    </row>
    <row r="34" spans="2:22" x14ac:dyDescent="0.3">
      <c r="E34" t="s">
        <v>60</v>
      </c>
      <c r="F34">
        <f>F32</f>
        <v>1</v>
      </c>
      <c r="H34" t="s">
        <v>40</v>
      </c>
      <c r="I34">
        <f>Q14</f>
        <v>0.21241198876256409</v>
      </c>
      <c r="K34" s="192" t="s">
        <v>149</v>
      </c>
      <c r="L34" s="192"/>
      <c r="N34" s="197" t="s">
        <v>520</v>
      </c>
      <c r="O34" s="197"/>
      <c r="P34" s="197"/>
      <c r="Q34" s="197"/>
      <c r="R34" s="197"/>
    </row>
    <row r="35" spans="2:22" x14ac:dyDescent="0.3">
      <c r="B35" s="192" t="s">
        <v>81</v>
      </c>
      <c r="C35" s="192"/>
      <c r="E35" t="s">
        <v>61</v>
      </c>
      <c r="F35">
        <f>IF(F32=2,'data, etc'!E28,0)</f>
        <v>0</v>
      </c>
      <c r="H35" t="s">
        <v>119</v>
      </c>
      <c r="I35">
        <f>I34/I33</f>
        <v>1.0033429178263684</v>
      </c>
      <c r="K35" t="s">
        <v>58</v>
      </c>
      <c r="L35">
        <f>F32</f>
        <v>1</v>
      </c>
      <c r="N35" s="200" t="s">
        <v>81</v>
      </c>
      <c r="O35" s="200"/>
      <c r="P35" s="200"/>
      <c r="Q35" s="146">
        <f>Q18</f>
        <v>118.40001101199545</v>
      </c>
      <c r="S35">
        <v>118.40001101199501</v>
      </c>
      <c r="T35" t="str">
        <f t="shared" ref="T35:T37" si="5">IF(Q35=S35, "same","not same")</f>
        <v>same</v>
      </c>
      <c r="V35" s="147">
        <f>Q35-S35</f>
        <v>4.4053649617126212E-13</v>
      </c>
    </row>
    <row r="36" spans="2:22" x14ac:dyDescent="0.3">
      <c r="B36" t="s">
        <v>37</v>
      </c>
      <c r="C36">
        <f>Q13</f>
        <v>1.5591180731027155E-3</v>
      </c>
      <c r="E36" t="s">
        <v>62</v>
      </c>
      <c r="F36">
        <f>IF(F33=2,'data, etc'!E29,0)</f>
        <v>0</v>
      </c>
      <c r="K36" t="s">
        <v>59</v>
      </c>
      <c r="L36">
        <f t="shared" ref="L36:L37" si="6">F33</f>
        <v>1</v>
      </c>
      <c r="N36" s="200" t="s">
        <v>86</v>
      </c>
      <c r="O36" s="200"/>
      <c r="P36" s="200"/>
      <c r="Q36">
        <f>Q32</f>
        <v>137.44975323364611</v>
      </c>
      <c r="S36">
        <v>137.44975323364599</v>
      </c>
      <c r="T36" t="str">
        <f t="shared" si="5"/>
        <v>same</v>
      </c>
      <c r="V36" s="147">
        <f t="shared" ref="V36:V37" si="7">Q36-S36</f>
        <v>0</v>
      </c>
    </row>
    <row r="37" spans="2:22" x14ac:dyDescent="0.3">
      <c r="B37" t="s">
        <v>82</v>
      </c>
      <c r="C37">
        <v>1025</v>
      </c>
      <c r="E37" t="s">
        <v>63</v>
      </c>
      <c r="F37">
        <f>IF(F34=2,'data, etc'!E30,0)</f>
        <v>0</v>
      </c>
      <c r="H37" t="s">
        <v>134</v>
      </c>
      <c r="K37" t="s">
        <v>60</v>
      </c>
      <c r="L37">
        <f t="shared" si="6"/>
        <v>1</v>
      </c>
      <c r="N37" s="201" t="s">
        <v>155</v>
      </c>
      <c r="O37" s="201"/>
      <c r="P37" s="201"/>
      <c r="Q37" s="87">
        <f>Q35+Q36</f>
        <v>255.84976424564155</v>
      </c>
      <c r="R37" s="87" t="s">
        <v>85</v>
      </c>
      <c r="S37">
        <v>255.84976424564101</v>
      </c>
      <c r="T37" t="str">
        <f t="shared" si="5"/>
        <v>not same</v>
      </c>
      <c r="V37" s="147">
        <f t="shared" si="7"/>
        <v>5.4001247917767614E-13</v>
      </c>
    </row>
    <row r="38" spans="2:22" x14ac:dyDescent="0.3">
      <c r="B38" t="s">
        <v>79</v>
      </c>
      <c r="C38">
        <f>Q17</f>
        <v>2940.4836880811608</v>
      </c>
      <c r="H38" t="s">
        <v>122</v>
      </c>
      <c r="I38">
        <f>IF(F32=2,'data, etc'!E62,'data, etc'!C62)</f>
        <v>2.1701000000000001</v>
      </c>
      <c r="K38" t="s">
        <v>151</v>
      </c>
      <c r="L38">
        <f>'External Input'!F15</f>
        <v>0</v>
      </c>
    </row>
    <row r="39" spans="2:22" x14ac:dyDescent="0.3">
      <c r="B39" t="s">
        <v>12</v>
      </c>
      <c r="C39">
        <f>C3</f>
        <v>7.0987200000000001</v>
      </c>
      <c r="H39" t="s">
        <v>123</v>
      </c>
      <c r="I39">
        <f>IF(F32=2,'data, etc'!E63,'data, etc'!C63)</f>
        <v>-0.16020000000000001</v>
      </c>
      <c r="K39" t="s">
        <v>115</v>
      </c>
      <c r="L39">
        <f>IF($F$32=2,'data, etc'!E54,'data, etc'!C54)</f>
        <v>0</v>
      </c>
    </row>
    <row r="40" spans="2:22" x14ac:dyDescent="0.3">
      <c r="H40" t="s">
        <v>4</v>
      </c>
      <c r="I40">
        <f>F16</f>
        <v>110</v>
      </c>
      <c r="K40" t="s">
        <v>116</v>
      </c>
      <c r="L40">
        <f>IF($F$32=2,'data, etc'!E55,'data, etc'!C55)</f>
        <v>0</v>
      </c>
    </row>
    <row r="41" spans="2:22" x14ac:dyDescent="0.3">
      <c r="K41" t="s">
        <v>117</v>
      </c>
      <c r="L41">
        <f>IF($F$32=2,'data, etc'!E56,'data, etc'!C56)</f>
        <v>0</v>
      </c>
    </row>
    <row r="42" spans="2:22" x14ac:dyDescent="0.3">
      <c r="H42" s="192" t="s">
        <v>518</v>
      </c>
      <c r="I42" s="192"/>
      <c r="K42" t="s">
        <v>118</v>
      </c>
      <c r="L42">
        <f>IF($F$32=2,'data, etc'!E57,'data, etc'!C57)</f>
        <v>0</v>
      </c>
      <c r="Q42">
        <f>(L31/L32)^L30</f>
        <v>0.99561351449958857</v>
      </c>
    </row>
    <row r="43" spans="2:22" x14ac:dyDescent="0.3">
      <c r="H43" t="s">
        <v>109</v>
      </c>
      <c r="I43">
        <f>IF(F32=2,'data, etc'!E48,'data, etc'!C48)</f>
        <v>0.3382</v>
      </c>
      <c r="Q43" s="145">
        <f>0.84^L30</f>
        <v>0.99745767773674721</v>
      </c>
    </row>
    <row r="44" spans="2:22" x14ac:dyDescent="0.3">
      <c r="H44" t="s">
        <v>5</v>
      </c>
      <c r="I44">
        <f>F18</f>
        <v>19.7</v>
      </c>
      <c r="K44" s="192" t="s">
        <v>86</v>
      </c>
      <c r="L44" s="192"/>
    </row>
    <row r="45" spans="2:22" x14ac:dyDescent="0.3">
      <c r="H45" t="s">
        <v>7</v>
      </c>
      <c r="I45">
        <f>F19</f>
        <v>6.45</v>
      </c>
      <c r="K45" t="s">
        <v>152</v>
      </c>
      <c r="L45">
        <f>Q31</f>
        <v>0.41885534450893896</v>
      </c>
    </row>
    <row r="46" spans="2:22" x14ac:dyDescent="0.3">
      <c r="K46" t="s">
        <v>82</v>
      </c>
      <c r="L46">
        <v>1025</v>
      </c>
    </row>
    <row r="47" spans="2:22" x14ac:dyDescent="0.3">
      <c r="H47" s="192" t="s">
        <v>138</v>
      </c>
      <c r="I47" s="192"/>
      <c r="K47" t="s">
        <v>33</v>
      </c>
      <c r="L47">
        <f>C39</f>
        <v>7.0987200000000001</v>
      </c>
    </row>
    <row r="48" spans="2:22" x14ac:dyDescent="0.3">
      <c r="H48" t="s">
        <v>110</v>
      </c>
      <c r="I48">
        <f>IF(F32=2,'data, etc'!E49,'data, etc'!C49)</f>
        <v>-0.80859999999999999</v>
      </c>
      <c r="K48" t="s">
        <v>5</v>
      </c>
      <c r="L48">
        <f>I44</f>
        <v>19.7</v>
      </c>
    </row>
    <row r="49" spans="2:23" x14ac:dyDescent="0.3">
      <c r="H49" t="s">
        <v>4</v>
      </c>
      <c r="I49">
        <f>F16</f>
        <v>110</v>
      </c>
      <c r="K49" t="s">
        <v>7</v>
      </c>
      <c r="L49">
        <f>I45</f>
        <v>6.45</v>
      </c>
    </row>
    <row r="50" spans="2:23" x14ac:dyDescent="0.3">
      <c r="H50" t="s">
        <v>5</v>
      </c>
      <c r="I50">
        <f>F18</f>
        <v>19.7</v>
      </c>
    </row>
    <row r="52" spans="2:23" x14ac:dyDescent="0.3">
      <c r="B52" s="195" t="s">
        <v>524</v>
      </c>
      <c r="C52" s="195"/>
      <c r="D52" s="195"/>
      <c r="E52" s="195"/>
      <c r="F52" s="195"/>
      <c r="G52" s="195"/>
      <c r="H52" s="195"/>
      <c r="I52" s="195"/>
      <c r="J52" s="195"/>
      <c r="K52" s="195"/>
      <c r="L52" s="195"/>
      <c r="N52" s="194" t="s">
        <v>546</v>
      </c>
      <c r="O52" s="194"/>
      <c r="P52" s="194"/>
      <c r="Q52" s="194"/>
      <c r="R52" s="194"/>
      <c r="S52" s="194"/>
    </row>
    <row r="54" spans="2:23" x14ac:dyDescent="0.3">
      <c r="B54" s="196" t="s">
        <v>528</v>
      </c>
      <c r="C54" s="196"/>
      <c r="D54" s="196"/>
      <c r="F54" s="196" t="s">
        <v>533</v>
      </c>
      <c r="G54" s="196"/>
      <c r="H54" s="196"/>
      <c r="J54" s="196" t="s">
        <v>173</v>
      </c>
      <c r="K54" s="196"/>
      <c r="L54" s="196"/>
      <c r="N54" t="s">
        <v>528</v>
      </c>
      <c r="Q54">
        <f>D55*D56</f>
        <v>1816.2058384458207</v>
      </c>
      <c r="R54" t="s">
        <v>164</v>
      </c>
      <c r="S54">
        <v>1816.2058384458201</v>
      </c>
      <c r="T54" t="str">
        <f t="shared" ref="T54:T67" si="8">IF(Q54=S54, "same","not same")</f>
        <v>same</v>
      </c>
    </row>
    <row r="55" spans="2:23" x14ac:dyDescent="0.3">
      <c r="B55" t="s">
        <v>156</v>
      </c>
      <c r="D55">
        <f>Q37</f>
        <v>255.84976424564155</v>
      </c>
      <c r="F55" t="s">
        <v>163</v>
      </c>
      <c r="H55">
        <f>Q56</f>
        <v>2740.4032639054985</v>
      </c>
      <c r="J55" t="s">
        <v>537</v>
      </c>
      <c r="L55">
        <f>'External Input'!F23</f>
        <v>182</v>
      </c>
      <c r="N55" t="s">
        <v>529</v>
      </c>
      <c r="Q55">
        <f>0.84-((D60*SQRT(D59))/10000)</f>
        <v>0.66275130465924437</v>
      </c>
      <c r="S55">
        <v>0.66275130465924403</v>
      </c>
      <c r="T55" t="str">
        <f t="shared" si="8"/>
        <v>same</v>
      </c>
    </row>
    <row r="56" spans="2:23" x14ac:dyDescent="0.3">
      <c r="B56" t="s">
        <v>12</v>
      </c>
      <c r="D56">
        <f>C39</f>
        <v>7.0987200000000001</v>
      </c>
      <c r="F56" t="s">
        <v>534</v>
      </c>
      <c r="H56">
        <f>'External Input'!F21</f>
        <v>3200</v>
      </c>
      <c r="J56" t="s">
        <v>172</v>
      </c>
      <c r="L56">
        <f>Q59</f>
        <v>1.0056608746700768</v>
      </c>
      <c r="N56" t="s">
        <v>162</v>
      </c>
      <c r="Q56">
        <f>Q54/Q55</f>
        <v>2740.4032639054985</v>
      </c>
      <c r="R56" t="s">
        <v>164</v>
      </c>
      <c r="S56">
        <v>2740.4032639054899</v>
      </c>
      <c r="T56" t="str">
        <f t="shared" si="8"/>
        <v>not same</v>
      </c>
      <c r="V56" s="147">
        <f t="shared" ref="V56" si="9">Q56-S56</f>
        <v>8.6401996668428183E-12</v>
      </c>
    </row>
    <row r="57" spans="2:23" x14ac:dyDescent="0.3">
      <c r="N57" t="s">
        <v>535</v>
      </c>
      <c r="Q57">
        <f>ROUNDDOWN((H55/H56+1),0)</f>
        <v>1</v>
      </c>
      <c r="T57" t="str">
        <f t="shared" si="8"/>
        <v>not same</v>
      </c>
    </row>
    <row r="58" spans="2:23" x14ac:dyDescent="0.3">
      <c r="B58" s="196" t="s">
        <v>529</v>
      </c>
      <c r="C58" s="196"/>
      <c r="D58" s="196"/>
      <c r="F58" s="196" t="s">
        <v>169</v>
      </c>
      <c r="G58" s="196"/>
      <c r="H58" s="196"/>
      <c r="J58" s="196" t="s">
        <v>176</v>
      </c>
      <c r="K58" s="196"/>
      <c r="L58" s="196"/>
      <c r="N58" t="s">
        <v>169</v>
      </c>
      <c r="Q58">
        <f>H59/H60</f>
        <v>0.85637601997046831</v>
      </c>
      <c r="S58">
        <v>0.85637601997046797</v>
      </c>
      <c r="T58" t="str">
        <f t="shared" si="8"/>
        <v>same</v>
      </c>
    </row>
    <row r="59" spans="2:23" x14ac:dyDescent="0.3">
      <c r="B59" t="s">
        <v>4</v>
      </c>
      <c r="D59">
        <f>I49</f>
        <v>110</v>
      </c>
      <c r="F59" t="s">
        <v>163</v>
      </c>
      <c r="H59">
        <f>Q56</f>
        <v>2740.4032639054985</v>
      </c>
      <c r="J59" t="s">
        <v>538</v>
      </c>
      <c r="L59" s="81">
        <v>0.85</v>
      </c>
      <c r="N59" t="s">
        <v>172</v>
      </c>
      <c r="Q59">
        <f>0.455*(H64^2)-0.71*H64+1.28</f>
        <v>1.0056608746700768</v>
      </c>
      <c r="S59">
        <v>1.0056608746700699</v>
      </c>
      <c r="T59" t="str">
        <f t="shared" si="8"/>
        <v>not same</v>
      </c>
      <c r="V59" s="147">
        <f t="shared" ref="V59:V67" si="10">Q59-S59</f>
        <v>6.8833827526759706E-15</v>
      </c>
    </row>
    <row r="60" spans="2:23" x14ac:dyDescent="0.3">
      <c r="B60" t="s">
        <v>530</v>
      </c>
      <c r="D60">
        <f>'External Input'!F25</f>
        <v>169</v>
      </c>
      <c r="F60" t="s">
        <v>536</v>
      </c>
      <c r="H60">
        <f>H56</f>
        <v>3200</v>
      </c>
      <c r="J60" t="s">
        <v>177</v>
      </c>
      <c r="L60">
        <f>L59*H60</f>
        <v>2720</v>
      </c>
      <c r="N60" t="s">
        <v>173</v>
      </c>
      <c r="Q60">
        <f>L55*L56</f>
        <v>183.03027918995397</v>
      </c>
      <c r="S60">
        <v>183.03027918995301</v>
      </c>
      <c r="T60" t="str">
        <f t="shared" si="8"/>
        <v>not same</v>
      </c>
      <c r="V60" s="147">
        <f t="shared" si="10"/>
        <v>9.6633812063373625E-13</v>
      </c>
    </row>
    <row r="61" spans="2:23" x14ac:dyDescent="0.3">
      <c r="F61" t="s">
        <v>167</v>
      </c>
      <c r="H61">
        <f>Q57</f>
        <v>1</v>
      </c>
      <c r="N61" s="198" t="s">
        <v>540</v>
      </c>
      <c r="O61" s="198"/>
      <c r="P61" s="198"/>
      <c r="Q61" s="87">
        <f>L60*Q60</f>
        <v>497842.35939667479</v>
      </c>
      <c r="R61" s="87" t="s">
        <v>347</v>
      </c>
      <c r="S61" s="87">
        <v>439272.670055889</v>
      </c>
      <c r="T61" t="str">
        <f t="shared" si="8"/>
        <v>not same</v>
      </c>
      <c r="V61" s="147">
        <f t="shared" si="10"/>
        <v>58569.689340785786</v>
      </c>
    </row>
    <row r="62" spans="2:23" x14ac:dyDescent="0.3">
      <c r="B62" s="196" t="s">
        <v>162</v>
      </c>
      <c r="C62" s="196"/>
      <c r="D62" s="196"/>
      <c r="J62" s="196" t="s">
        <v>541</v>
      </c>
      <c r="K62" s="196"/>
      <c r="L62" s="196"/>
      <c r="N62" s="198"/>
      <c r="O62" s="198"/>
      <c r="P62" s="198"/>
      <c r="Q62" s="87">
        <f>Q61/1000</f>
        <v>497.84235939667479</v>
      </c>
      <c r="R62" s="87" t="s">
        <v>348</v>
      </c>
      <c r="S62" s="87">
        <v>497.842359396674</v>
      </c>
      <c r="T62" t="str">
        <f t="shared" si="8"/>
        <v>not same</v>
      </c>
      <c r="V62" s="147">
        <f t="shared" si="10"/>
        <v>7.9580786405131221E-13</v>
      </c>
    </row>
    <row r="63" spans="2:23" x14ac:dyDescent="0.3">
      <c r="B63" t="s">
        <v>531</v>
      </c>
      <c r="D63">
        <f>Q54</f>
        <v>1816.2058384458207</v>
      </c>
      <c r="F63" s="196" t="s">
        <v>172</v>
      </c>
      <c r="G63" s="196"/>
      <c r="H63" s="196"/>
      <c r="J63" t="s">
        <v>171</v>
      </c>
      <c r="K63" s="81">
        <v>0.7</v>
      </c>
      <c r="L63" t="s">
        <v>346</v>
      </c>
      <c r="N63" s="198"/>
      <c r="O63" s="198"/>
      <c r="P63" s="198"/>
      <c r="Q63" s="87">
        <f>Q62/1000</f>
        <v>0.49784235939667482</v>
      </c>
      <c r="R63" s="87" t="s">
        <v>349</v>
      </c>
      <c r="S63" s="87">
        <v>0.49784235939667398</v>
      </c>
      <c r="T63" t="str">
        <f t="shared" si="8"/>
        <v>not same</v>
      </c>
      <c r="V63" s="147">
        <f t="shared" si="10"/>
        <v>8.3266726846886741E-16</v>
      </c>
    </row>
    <row r="64" spans="2:23" x14ac:dyDescent="0.3">
      <c r="B64" t="s">
        <v>532</v>
      </c>
      <c r="D64">
        <f>Q55</f>
        <v>0.66275130465924437</v>
      </c>
      <c r="F64" t="s">
        <v>169</v>
      </c>
      <c r="H64">
        <f>Q58</f>
        <v>0.85637601997046831</v>
      </c>
      <c r="N64" s="198"/>
      <c r="O64" s="198"/>
      <c r="P64" s="198"/>
      <c r="Q64" s="87">
        <f>Q63/0.89</f>
        <v>0.55937343752435376</v>
      </c>
      <c r="R64" s="87" t="s">
        <v>350</v>
      </c>
      <c r="S64" s="87">
        <v>0.55937343752435298</v>
      </c>
      <c r="T64" t="str">
        <f>IF(Q64=W64, "same","not same")</f>
        <v>not same</v>
      </c>
      <c r="V64" s="147">
        <f t="shared" si="10"/>
        <v>0</v>
      </c>
      <c r="W64" s="87" t="s">
        <v>352</v>
      </c>
    </row>
    <row r="65" spans="2:23" x14ac:dyDescent="0.3">
      <c r="J65" s="196" t="s">
        <v>545</v>
      </c>
      <c r="K65" s="196"/>
      <c r="L65" s="196"/>
      <c r="N65" s="198"/>
      <c r="O65" s="198"/>
      <c r="P65" s="198"/>
      <c r="Q65" s="87">
        <f>Q63/0.991</f>
        <v>0.50236363208544377</v>
      </c>
      <c r="R65" s="87" t="s">
        <v>539</v>
      </c>
      <c r="S65" s="87">
        <v>0.50236363208544299</v>
      </c>
      <c r="T65" t="str">
        <f>IF(Q65=W65, "same","not same")</f>
        <v>not same</v>
      </c>
      <c r="V65" s="147">
        <f t="shared" si="10"/>
        <v>0</v>
      </c>
      <c r="W65" s="87" t="s">
        <v>387</v>
      </c>
    </row>
    <row r="66" spans="2:23" x14ac:dyDescent="0.3">
      <c r="J66" t="s">
        <v>171</v>
      </c>
      <c r="K66" s="81">
        <f>IF('External Input'!F4="General cargo ship",160%,
IF('External Input'!F4="Bulk carrier",160%,
IF('External Input'!F4="Tanker",160%,70%)))</f>
        <v>1.6</v>
      </c>
      <c r="L66" t="s">
        <v>346</v>
      </c>
      <c r="N66" s="87" t="s">
        <v>541</v>
      </c>
      <c r="O66" s="87"/>
      <c r="P66" s="87"/>
      <c r="Q66" s="87">
        <f>'External Input'!F28*K63*SUM(H4,M3,M4,M5)</f>
        <v>6950.0260869565218</v>
      </c>
      <c r="R66" s="87" t="s">
        <v>508</v>
      </c>
      <c r="S66" s="87">
        <v>6951</v>
      </c>
      <c r="T66" t="str">
        <f t="shared" si="8"/>
        <v>not same</v>
      </c>
      <c r="V66" s="147">
        <f t="shared" si="10"/>
        <v>-0.97391304347820551</v>
      </c>
    </row>
    <row r="67" spans="2:23" x14ac:dyDescent="0.3">
      <c r="N67" s="87" t="s">
        <v>545</v>
      </c>
      <c r="O67" s="87"/>
      <c r="P67" s="87"/>
      <c r="Q67" s="87">
        <f>'External Input'!F28*K66*SUM(H5:H7)</f>
        <v>14944.8</v>
      </c>
      <c r="R67" s="87" t="s">
        <v>508</v>
      </c>
      <c r="S67" s="87">
        <v>14939.9999999999</v>
      </c>
      <c r="T67" t="str">
        <f t="shared" si="8"/>
        <v>not same</v>
      </c>
      <c r="V67" s="147">
        <f t="shared" si="10"/>
        <v>4.8000000000993168</v>
      </c>
    </row>
    <row r="68" spans="2:23" ht="43.8" thickBot="1" x14ac:dyDescent="0.35">
      <c r="D68" s="149" t="s">
        <v>594</v>
      </c>
      <c r="E68" s="149" t="s">
        <v>595</v>
      </c>
      <c r="F68" s="149" t="s">
        <v>596</v>
      </c>
      <c r="G68" s="149" t="s">
        <v>597</v>
      </c>
      <c r="H68" s="149" t="s">
        <v>598</v>
      </c>
      <c r="I68" s="149" t="s">
        <v>599</v>
      </c>
      <c r="J68" s="149" t="s">
        <v>600</v>
      </c>
    </row>
    <row r="69" spans="2:23" x14ac:dyDescent="0.3">
      <c r="B69" s="203" t="s">
        <v>556</v>
      </c>
      <c r="C69" s="204"/>
      <c r="D69" s="204"/>
      <c r="E69" s="204"/>
      <c r="F69" s="204"/>
      <c r="G69" s="204"/>
      <c r="H69" s="204"/>
      <c r="I69" s="204"/>
      <c r="J69" s="205"/>
    </row>
    <row r="70" spans="2:23" x14ac:dyDescent="0.3">
      <c r="B70" s="97" t="s">
        <v>551</v>
      </c>
      <c r="C70" s="88" t="s">
        <v>548</v>
      </c>
      <c r="D70" s="88" t="s">
        <v>35</v>
      </c>
      <c r="E70" s="88" t="s">
        <v>37</v>
      </c>
      <c r="F70" s="88" t="s">
        <v>40</v>
      </c>
      <c r="G70" s="88" t="s">
        <v>42</v>
      </c>
      <c r="H70" s="88" t="s">
        <v>549</v>
      </c>
      <c r="I70" s="88" t="s">
        <v>79</v>
      </c>
      <c r="J70" s="91" t="s">
        <v>550</v>
      </c>
    </row>
    <row r="71" spans="2:23" x14ac:dyDescent="0.3">
      <c r="B71" s="113">
        <f>'External Input'!F12</f>
        <v>13.8</v>
      </c>
      <c r="C71" s="85">
        <f>B71*0.5144</f>
        <v>7.0987200000000001</v>
      </c>
      <c r="D71" s="85">
        <f>(C71*$C$15)/$C$16</f>
        <v>862408920.85409701</v>
      </c>
      <c r="E71" s="85">
        <f>0.075/((LOG10(D71)-2)^2)</f>
        <v>1.5591180731027155E-3</v>
      </c>
      <c r="F71" s="85">
        <f>C71/(SQRT($C$23*$C$24))</f>
        <v>0.21241198876256409</v>
      </c>
      <c r="G71" s="85">
        <f>0.7+((1/8)*ATAN((23-(100*F71))/4))</f>
        <v>0.75178196771616379</v>
      </c>
      <c r="H71" s="85">
        <f>$F$23+($F$24*($F$14/$F$15))+($F$25*($F$15/$F$16))+$F$26*G71+($F$27*($F$16/$F$18))+($F$28*($F$18/$F$19))+($F$29*($F$16/$F$19))+($F$30*(($F$20-$F$21)/$F$16))+($F$31*($F$22/$F$19))+$F$32*$F$35+$F$33*$F$36+$F$34*$F$37</f>
        <v>0.81998987397689915</v>
      </c>
      <c r="I71" s="106">
        <f>H71*$C$30*($C$31+(2*$C$32))</f>
        <v>2940.4836880811608</v>
      </c>
      <c r="J71" s="116">
        <f>E71*($C$37/2)*(C71^2)*I71/1000</f>
        <v>118.40001101199545</v>
      </c>
    </row>
    <row r="72" spans="2:23" x14ac:dyDescent="0.3">
      <c r="B72" s="113">
        <f>B71-1</f>
        <v>12.8</v>
      </c>
      <c r="C72" s="85">
        <f>B72*0.5144</f>
        <v>6.58432</v>
      </c>
      <c r="D72" s="85">
        <f t="shared" ref="D72:D78" si="11">(C72*$C$15)/$C$16</f>
        <v>799915520.79220593</v>
      </c>
      <c r="E72" s="85">
        <f t="shared" ref="E72:E78" si="12">0.075/((LOG10(D72)-2)^2)</f>
        <v>1.5739102535135643E-3</v>
      </c>
      <c r="F72" s="85">
        <f t="shared" ref="F72:F78" si="13">C72/(SQRT($C$23*$C$24))</f>
        <v>0.19701981566382756</v>
      </c>
      <c r="G72" s="85">
        <f t="shared" ref="G72:G78" si="14">0.7+((1/8)*ATAN((23-(100*F72))/4))</f>
        <v>0.78618815084413329</v>
      </c>
      <c r="H72" s="85">
        <f t="shared" ref="H72:H78" si="15">$F$23+($F$24*($F$14/$F$15))+($F$25*($F$15/$F$16))+$F$26*G72+($F$27*($F$16/$F$18))+($F$28*($F$18/$F$19))+($F$29*($F$16/$F$19))+($F$30*(($F$20-$F$21)/$F$16))+($F$31*($F$22/$F$19))+$F$32*$F$35+$F$33*$F$36+$F$34*$F$37</f>
        <v>0.84208552478168119</v>
      </c>
      <c r="I72" s="106">
        <f t="shared" ref="I72:I78" si="16">H72*$C$30*($C$31+(2*$C$32))</f>
        <v>3019.7186918671091</v>
      </c>
      <c r="J72" s="116">
        <f t="shared" ref="J72:J78" si="17">E72*($C$37/2)*(C72^2)*I72/1000</f>
        <v>105.59957753994316</v>
      </c>
    </row>
    <row r="73" spans="2:23" x14ac:dyDescent="0.3">
      <c r="B73" s="113">
        <f>B72-1</f>
        <v>11.8</v>
      </c>
      <c r="C73" s="85">
        <f t="shared" ref="C73:C78" si="18">B73*0.5144</f>
        <v>6.0699199999999998</v>
      </c>
      <c r="D73" s="85">
        <f t="shared" si="11"/>
        <v>737422120.73031485</v>
      </c>
      <c r="E73" s="85">
        <f t="shared" si="12"/>
        <v>1.5901444873182384E-3</v>
      </c>
      <c r="F73" s="85">
        <f t="shared" si="13"/>
        <v>0.18162764256509101</v>
      </c>
      <c r="G73" s="85">
        <f t="shared" si="14"/>
        <v>0.80998197290773166</v>
      </c>
      <c r="H73" s="85">
        <f t="shared" si="15"/>
        <v>0.85736591731092426</v>
      </c>
      <c r="I73" s="106">
        <f t="shared" si="16"/>
        <v>3074.5141794769743</v>
      </c>
      <c r="J73" s="116">
        <f t="shared" si="17"/>
        <v>92.315131456826037</v>
      </c>
    </row>
    <row r="74" spans="2:23" x14ac:dyDescent="0.3">
      <c r="B74" s="113">
        <f t="shared" ref="B74:B78" si="19">B73-1</f>
        <v>10.8</v>
      </c>
      <c r="C74" s="85">
        <f t="shared" si="18"/>
        <v>5.5555200000000005</v>
      </c>
      <c r="D74" s="85">
        <f t="shared" si="11"/>
        <v>674928720.66842377</v>
      </c>
      <c r="E74" s="85">
        <f t="shared" si="12"/>
        <v>1.6081043797730901E-3</v>
      </c>
      <c r="F74" s="85">
        <f t="shared" si="13"/>
        <v>0.16623546946635451</v>
      </c>
      <c r="G74" s="85">
        <f t="shared" si="14"/>
        <v>0.82631738109262642</v>
      </c>
      <c r="H74" s="85">
        <f t="shared" si="15"/>
        <v>0.86785651644726358</v>
      </c>
      <c r="I74" s="106">
        <f t="shared" si="16"/>
        <v>3112.133467979887</v>
      </c>
      <c r="J74" s="116">
        <f t="shared" si="17"/>
        <v>79.161816145018065</v>
      </c>
    </row>
    <row r="75" spans="2:23" x14ac:dyDescent="0.3">
      <c r="B75" s="113">
        <f t="shared" si="19"/>
        <v>9.8000000000000007</v>
      </c>
      <c r="C75" s="85">
        <f t="shared" si="18"/>
        <v>5.0411200000000003</v>
      </c>
      <c r="D75" s="85">
        <f t="shared" si="11"/>
        <v>612435320.60653269</v>
      </c>
      <c r="E75" s="85">
        <f t="shared" si="12"/>
        <v>1.6281629092290699E-3</v>
      </c>
      <c r="F75" s="85">
        <f t="shared" si="13"/>
        <v>0.15084329636761798</v>
      </c>
      <c r="G75" s="85">
        <f t="shared" si="14"/>
        <v>0.83786205021795612</v>
      </c>
      <c r="H75" s="85">
        <f t="shared" si="15"/>
        <v>0.87527050295955022</v>
      </c>
      <c r="I75" s="106">
        <f t="shared" si="16"/>
        <v>3138.7200236129474</v>
      </c>
      <c r="J75" s="116">
        <f t="shared" si="17"/>
        <v>66.557710737663186</v>
      </c>
    </row>
    <row r="76" spans="2:23" x14ac:dyDescent="0.3">
      <c r="B76" s="113">
        <f t="shared" si="19"/>
        <v>8.8000000000000007</v>
      </c>
      <c r="C76" s="85">
        <f t="shared" si="18"/>
        <v>4.5267200000000001</v>
      </c>
      <c r="D76" s="85">
        <f t="shared" si="11"/>
        <v>549941920.54464161</v>
      </c>
      <c r="E76" s="85">
        <f t="shared" si="12"/>
        <v>1.6508234965809116E-3</v>
      </c>
      <c r="F76" s="85">
        <f t="shared" si="13"/>
        <v>0.13545112326888145</v>
      </c>
      <c r="G76" s="85">
        <f t="shared" si="14"/>
        <v>0.8463210822762357</v>
      </c>
      <c r="H76" s="85">
        <f t="shared" si="15"/>
        <v>0.8807028933473775</v>
      </c>
      <c r="I76" s="106">
        <f t="shared" si="16"/>
        <v>3158.2005755436958</v>
      </c>
      <c r="J76" s="116">
        <f t="shared" si="17"/>
        <v>54.752188604855824</v>
      </c>
    </row>
    <row r="77" spans="2:23" x14ac:dyDescent="0.3">
      <c r="B77" s="113">
        <f t="shared" si="19"/>
        <v>7.8000000000000007</v>
      </c>
      <c r="C77" s="85">
        <f t="shared" si="18"/>
        <v>4.0123199999999999</v>
      </c>
      <c r="D77" s="85">
        <f t="shared" si="11"/>
        <v>487448520.48275048</v>
      </c>
      <c r="E77" s="85">
        <f t="shared" si="12"/>
        <v>1.6767873432279006E-3</v>
      </c>
      <c r="F77" s="85">
        <f t="shared" si="13"/>
        <v>0.12005895017014491</v>
      </c>
      <c r="G77" s="85">
        <f t="shared" si="14"/>
        <v>0.85273164055275363</v>
      </c>
      <c r="H77" s="85">
        <f t="shared" si="15"/>
        <v>0.88481975387255729</v>
      </c>
      <c r="I77" s="106">
        <f t="shared" si="16"/>
        <v>3172.9636373869907</v>
      </c>
      <c r="J77" s="116">
        <f t="shared" si="17"/>
        <v>43.896316360406203</v>
      </c>
    </row>
    <row r="78" spans="2:23" ht="15" thickBot="1" x14ac:dyDescent="0.35">
      <c r="B78" s="114">
        <f t="shared" si="19"/>
        <v>6.8000000000000007</v>
      </c>
      <c r="C78" s="115">
        <f t="shared" si="18"/>
        <v>3.4979200000000001</v>
      </c>
      <c r="D78" s="115">
        <f t="shared" si="11"/>
        <v>424955120.4208594</v>
      </c>
      <c r="E78" s="115">
        <f t="shared" si="12"/>
        <v>1.7070699080107858E-3</v>
      </c>
      <c r="F78" s="115">
        <f t="shared" si="13"/>
        <v>0.1046667770714084</v>
      </c>
      <c r="G78" s="115">
        <f t="shared" si="14"/>
        <v>0.8577331659655516</v>
      </c>
      <c r="H78" s="115">
        <f t="shared" si="15"/>
        <v>0.88803173349265618</v>
      </c>
      <c r="I78" s="110">
        <f t="shared" si="16"/>
        <v>3184.4817963046653</v>
      </c>
      <c r="J78" s="117">
        <f t="shared" si="17"/>
        <v>34.088170414829818</v>
      </c>
    </row>
    <row r="79" spans="2:23" x14ac:dyDescent="0.3">
      <c r="B79" s="55"/>
      <c r="C79" s="55"/>
      <c r="D79" s="55"/>
      <c r="E79" s="55"/>
      <c r="F79" s="55"/>
      <c r="G79" s="55"/>
      <c r="H79" s="55"/>
      <c r="I79" s="150"/>
      <c r="J79" s="150"/>
    </row>
    <row r="80" spans="2:23" ht="15" thickBot="1" x14ac:dyDescent="0.35"/>
    <row r="81" spans="2:11" x14ac:dyDescent="0.3">
      <c r="B81" s="203" t="s">
        <v>557</v>
      </c>
      <c r="C81" s="204"/>
      <c r="D81" s="204"/>
      <c r="E81" s="204"/>
      <c r="F81" s="204"/>
      <c r="G81" s="204"/>
      <c r="H81" s="204"/>
      <c r="I81" s="204"/>
      <c r="J81" s="205"/>
    </row>
    <row r="82" spans="2:11" x14ac:dyDescent="0.3">
      <c r="B82" s="97" t="s">
        <v>551</v>
      </c>
      <c r="C82" s="88" t="s">
        <v>548</v>
      </c>
      <c r="D82" s="88" t="s">
        <v>102</v>
      </c>
      <c r="E82" s="88" t="s">
        <v>552</v>
      </c>
      <c r="F82" s="88" t="s">
        <v>553</v>
      </c>
      <c r="G82" s="88" t="s">
        <v>152</v>
      </c>
      <c r="H82" s="88" t="s">
        <v>554</v>
      </c>
      <c r="I82" s="88"/>
      <c r="J82" s="91" t="s">
        <v>555</v>
      </c>
    </row>
    <row r="83" spans="2:11" x14ac:dyDescent="0.3">
      <c r="B83" s="113">
        <f>B71</f>
        <v>13.8</v>
      </c>
      <c r="C83" s="85">
        <f>C71</f>
        <v>7.0987200000000001</v>
      </c>
      <c r="D83" s="85">
        <f>$I$16+$I$17*F71+$I$18*(F71^2)+($I$19+$I$20*F71+$I$21*(F71^2))*G71+($I$22+$I$23*F71+$I$24*(F71^2))*(G71^2)</f>
        <v>1.1819985011037915</v>
      </c>
      <c r="E83" s="85">
        <f t="shared" ref="E83:E90" si="20">$I$27+$I$28*G71+$I$29*(G71^2)</f>
        <v>0.21170427875519487</v>
      </c>
      <c r="F83" s="85">
        <f t="shared" ref="F83:F90" si="21">IF(F71&lt;E83,1,((F71/E83)^$I$35))</f>
        <v>1.0033541116463447</v>
      </c>
      <c r="G83" s="85">
        <f t="shared" ref="G83:G90" si="22">D83*F83*$Q$24*$Q$25*$Q$26*$Q$27*$Q$28*$Q$29*$Q$30*($L$35^$L$39)*($L$36^$L$40)*($L$37^$L$41)*(IF($L$38=0,1,($L$38^$L$42)))</f>
        <v>0.41885534450893896</v>
      </c>
      <c r="H83" s="85">
        <f>G83*1025/2*C83^2*(($L$48*$L$49)/10)/1000</f>
        <v>137.44975323364611</v>
      </c>
      <c r="I83" s="85"/>
      <c r="J83" s="116">
        <f t="shared" ref="J83:J90" si="23">H83+J71</f>
        <v>255.84976424564155</v>
      </c>
    </row>
    <row r="84" spans="2:11" x14ac:dyDescent="0.3">
      <c r="B84" s="113">
        <f>B72</f>
        <v>12.8</v>
      </c>
      <c r="C84" s="85">
        <f t="shared" ref="C84" si="24">C72</f>
        <v>6.58432</v>
      </c>
      <c r="D84" s="85">
        <f t="shared" ref="D84:D90" si="25">$I$16+$I$17*F72+$I$18*(F72^2)+($I$19+$I$20*F72+$I$21*(F72^2))*G72+($I$22+$I$23*F72+$I$24*(F72^2))*(G72^2)</f>
        <v>1.1773910924721243</v>
      </c>
      <c r="E84" s="85">
        <f t="shared" si="20"/>
        <v>0.19575257960168008</v>
      </c>
      <c r="F84" s="85">
        <f t="shared" si="21"/>
        <v>1.0064953731857806</v>
      </c>
      <c r="G84" s="85">
        <f t="shared" si="22"/>
        <v>0.41852887825832963</v>
      </c>
      <c r="H84" s="85">
        <f t="shared" ref="H84:H90" si="26">G84*1025/2*C84^2*(($L$48*$L$49)/10)/1000</f>
        <v>118.15907952144467</v>
      </c>
      <c r="I84" s="85"/>
      <c r="J84" s="116">
        <f t="shared" si="23"/>
        <v>223.75865706138782</v>
      </c>
    </row>
    <row r="85" spans="2:11" x14ac:dyDescent="0.3">
      <c r="B85" s="113">
        <f t="shared" ref="B85:C85" si="27">B73</f>
        <v>11.8</v>
      </c>
      <c r="C85" s="85">
        <f t="shared" si="27"/>
        <v>6.0699199999999998</v>
      </c>
      <c r="D85" s="85">
        <f t="shared" si="25"/>
        <v>1.1077017075910289</v>
      </c>
      <c r="E85" s="85">
        <f t="shared" si="20"/>
        <v>0.18540932309774971</v>
      </c>
      <c r="F85" s="85">
        <f t="shared" si="21"/>
        <v>1</v>
      </c>
      <c r="G85" s="85">
        <f t="shared" si="22"/>
        <v>0.39121520521430964</v>
      </c>
      <c r="H85" s="85">
        <f t="shared" si="26"/>
        <v>93.864521589653464</v>
      </c>
      <c r="I85" s="85"/>
      <c r="J85" s="116">
        <f t="shared" si="23"/>
        <v>186.1796530464795</v>
      </c>
    </row>
    <row r="86" spans="2:11" x14ac:dyDescent="0.3">
      <c r="B86" s="113">
        <f t="shared" ref="B86:C86" si="28">B74</f>
        <v>10.8</v>
      </c>
      <c r="C86" s="85">
        <f t="shared" si="28"/>
        <v>5.5555200000000005</v>
      </c>
      <c r="D86" s="85">
        <f t="shared" si="25"/>
        <v>1.0108574767111964</v>
      </c>
      <c r="E86" s="85">
        <f t="shared" si="20"/>
        <v>0.17863406192325582</v>
      </c>
      <c r="F86" s="85">
        <f t="shared" si="21"/>
        <v>1</v>
      </c>
      <c r="G86" s="85">
        <f t="shared" si="22"/>
        <v>0.35701201188361581</v>
      </c>
      <c r="H86" s="85">
        <f t="shared" si="26"/>
        <v>71.754983645048569</v>
      </c>
      <c r="I86" s="85"/>
      <c r="J86" s="116">
        <f t="shared" si="23"/>
        <v>150.91679979006665</v>
      </c>
    </row>
    <row r="87" spans="2:11" x14ac:dyDescent="0.3">
      <c r="B87" s="113">
        <f t="shared" ref="B87:C87" si="29">B75</f>
        <v>9.8000000000000007</v>
      </c>
      <c r="C87" s="85">
        <f t="shared" si="29"/>
        <v>5.0411200000000003</v>
      </c>
      <c r="D87" s="85">
        <f t="shared" si="25"/>
        <v>0.91985212239476777</v>
      </c>
      <c r="E87" s="85">
        <f t="shared" si="20"/>
        <v>0.17400577148448204</v>
      </c>
      <c r="F87" s="85">
        <f t="shared" si="21"/>
        <v>1</v>
      </c>
      <c r="G87" s="85">
        <f t="shared" si="22"/>
        <v>0.32487097777622109</v>
      </c>
      <c r="H87" s="85">
        <f t="shared" si="26"/>
        <v>53.7631612710748</v>
      </c>
      <c r="I87" s="85"/>
      <c r="J87" s="116">
        <f t="shared" si="23"/>
        <v>120.32087200873798</v>
      </c>
    </row>
    <row r="88" spans="2:11" x14ac:dyDescent="0.3">
      <c r="B88" s="113">
        <f t="shared" ref="B88:C88" si="30">B76</f>
        <v>8.8000000000000007</v>
      </c>
      <c r="C88" s="85">
        <f t="shared" si="30"/>
        <v>4.5267200000000001</v>
      </c>
      <c r="D88" s="85">
        <f t="shared" si="25"/>
        <v>0.85638742102243226</v>
      </c>
      <c r="E88" s="85">
        <f t="shared" si="20"/>
        <v>0.17069861999447644</v>
      </c>
      <c r="F88" s="85">
        <f t="shared" si="21"/>
        <v>1</v>
      </c>
      <c r="G88" s="85">
        <f t="shared" si="22"/>
        <v>0.3024566797742449</v>
      </c>
      <c r="H88" s="85">
        <f t="shared" si="26"/>
        <v>40.359916125113713</v>
      </c>
      <c r="I88" s="85"/>
      <c r="J88" s="116">
        <f t="shared" si="23"/>
        <v>95.112104729969531</v>
      </c>
    </row>
    <row r="89" spans="2:11" x14ac:dyDescent="0.3">
      <c r="B89" s="113">
        <f t="shared" ref="B89:C89" si="31">B77</f>
        <v>7.8000000000000007</v>
      </c>
      <c r="C89" s="85">
        <f t="shared" si="31"/>
        <v>4.0123199999999999</v>
      </c>
      <c r="D89" s="85">
        <f t="shared" si="25"/>
        <v>0.83393666348326123</v>
      </c>
      <c r="E89" s="85">
        <f t="shared" si="20"/>
        <v>0.16823971704871449</v>
      </c>
      <c r="F89" s="85">
        <f t="shared" si="21"/>
        <v>1</v>
      </c>
      <c r="G89" s="85">
        <f t="shared" si="22"/>
        <v>0.29452757967652599</v>
      </c>
      <c r="H89" s="85">
        <f t="shared" si="26"/>
        <v>30.877128435140389</v>
      </c>
      <c r="I89" s="85"/>
      <c r="J89" s="116">
        <f t="shared" si="23"/>
        <v>74.773444795546595</v>
      </c>
    </row>
    <row r="90" spans="2:11" ht="15" thickBot="1" x14ac:dyDescent="0.35">
      <c r="B90" s="114">
        <f t="shared" ref="B90:C90" si="32">B78</f>
        <v>6.8000000000000007</v>
      </c>
      <c r="C90" s="115">
        <f t="shared" si="32"/>
        <v>3.4979200000000001</v>
      </c>
      <c r="D90" s="115">
        <f t="shared" si="25"/>
        <v>0.86092742817477053</v>
      </c>
      <c r="E90" s="115">
        <f t="shared" si="20"/>
        <v>0.16634964564095511</v>
      </c>
      <c r="F90" s="115">
        <f t="shared" si="21"/>
        <v>1</v>
      </c>
      <c r="G90" s="115">
        <f t="shared" si="22"/>
        <v>0.30406010768051689</v>
      </c>
      <c r="H90" s="115">
        <f t="shared" si="26"/>
        <v>24.226964377589553</v>
      </c>
      <c r="I90" s="115"/>
      <c r="J90" s="117">
        <f t="shared" si="23"/>
        <v>58.315134792419371</v>
      </c>
    </row>
    <row r="91" spans="2:11" ht="15" thickBot="1" x14ac:dyDescent="0.35"/>
    <row r="92" spans="2:11" x14ac:dyDescent="0.3">
      <c r="B92" s="203" t="s">
        <v>547</v>
      </c>
      <c r="C92" s="204"/>
      <c r="D92" s="204"/>
      <c r="E92" s="204"/>
      <c r="F92" s="204"/>
      <c r="G92" s="204"/>
      <c r="H92" s="204"/>
      <c r="I92" s="204"/>
      <c r="J92" s="205"/>
      <c r="K92" s="86"/>
    </row>
    <row r="93" spans="2:11" x14ac:dyDescent="0.3">
      <c r="B93" s="97" t="s">
        <v>551</v>
      </c>
      <c r="C93" s="88" t="s">
        <v>558</v>
      </c>
      <c r="D93" s="88" t="s">
        <v>358</v>
      </c>
      <c r="E93" s="88" t="s">
        <v>163</v>
      </c>
      <c r="F93" s="88" t="s">
        <v>559</v>
      </c>
      <c r="G93" s="88" t="s">
        <v>171</v>
      </c>
      <c r="H93" s="88" t="s">
        <v>560</v>
      </c>
      <c r="I93" s="88" t="s">
        <v>173</v>
      </c>
      <c r="J93" s="91" t="s">
        <v>561</v>
      </c>
    </row>
    <row r="94" spans="2:11" x14ac:dyDescent="0.3">
      <c r="B94" s="113">
        <f>B83</f>
        <v>13.8</v>
      </c>
      <c r="C94" s="85">
        <f t="shared" ref="C94:C101" si="33">C83*J83</f>
        <v>1816.2058384458207</v>
      </c>
      <c r="D94" s="85">
        <f>$Q$55</f>
        <v>0.66275130465924437</v>
      </c>
      <c r="E94" s="85">
        <f>C94/D94</f>
        <v>2740.4032639054985</v>
      </c>
      <c r="F94" s="85">
        <f>ROUNDDOWN((E94/$H$56+1),0)</f>
        <v>1</v>
      </c>
      <c r="G94" s="85">
        <f>E94/(F94*$H$60)</f>
        <v>0.85637601997046831</v>
      </c>
      <c r="H94" s="85">
        <f t="shared" ref="H94:H101" si="34">0.455*(G94^2)-0.71*G94+1.28</f>
        <v>1.0056608746700768</v>
      </c>
      <c r="I94" s="107">
        <f>H94*$L$55</f>
        <v>183.03027918995397</v>
      </c>
      <c r="J94" s="116">
        <f t="shared" ref="J94:J101" si="35">I94*E94/1000</f>
        <v>501.5767744856845</v>
      </c>
    </row>
    <row r="95" spans="2:11" x14ac:dyDescent="0.3">
      <c r="B95" s="113">
        <f t="shared" ref="B95:B101" si="36">B84</f>
        <v>12.8</v>
      </c>
      <c r="C95" s="85">
        <f t="shared" si="33"/>
        <v>1473.2986008624371</v>
      </c>
      <c r="D95" s="85">
        <f t="shared" ref="D95:D101" si="37">$Q$55</f>
        <v>0.66275130465924437</v>
      </c>
      <c r="E95" s="85">
        <f t="shared" ref="E95:E101" si="38">C95/D95</f>
        <v>2223.0036976237084</v>
      </c>
      <c r="F95" s="85">
        <f t="shared" ref="F95:F101" si="39">ROUNDDOWN((E95/$H$56+1),0)</f>
        <v>1</v>
      </c>
      <c r="G95" s="85">
        <f t="shared" ref="G95:G101" si="40">E95/(F95*$H$60)</f>
        <v>0.69468865550740888</v>
      </c>
      <c r="H95" s="85">
        <f t="shared" si="34"/>
        <v>1.0063505638710044</v>
      </c>
      <c r="I95" s="107">
        <f t="shared" ref="I95:I101" si="41">H95*$L$55</f>
        <v>183.15580262452281</v>
      </c>
      <c r="J95" s="116">
        <f t="shared" si="35"/>
        <v>407.15602647555227</v>
      </c>
    </row>
    <row r="96" spans="2:11" x14ac:dyDescent="0.3">
      <c r="B96" s="113">
        <f t="shared" si="36"/>
        <v>11.8</v>
      </c>
      <c r="C96" s="85">
        <f t="shared" si="33"/>
        <v>1130.0955996198868</v>
      </c>
      <c r="D96" s="85">
        <f t="shared" si="37"/>
        <v>0.66275130465924437</v>
      </c>
      <c r="E96" s="85">
        <f t="shared" si="38"/>
        <v>1705.1578649112264</v>
      </c>
      <c r="F96" s="85">
        <f t="shared" si="39"/>
        <v>1</v>
      </c>
      <c r="G96" s="85">
        <f t="shared" si="40"/>
        <v>0.53286183278475829</v>
      </c>
      <c r="H96" s="85">
        <f t="shared" si="34"/>
        <v>1.0308615871644446</v>
      </c>
      <c r="I96" s="107">
        <f t="shared" si="41"/>
        <v>187.61680886392892</v>
      </c>
      <c r="J96" s="116">
        <f t="shared" si="35"/>
        <v>319.91627722387472</v>
      </c>
    </row>
    <row r="97" spans="2:15" x14ac:dyDescent="0.3">
      <c r="B97" s="113">
        <f t="shared" si="36"/>
        <v>10.8</v>
      </c>
      <c r="C97" s="85">
        <f t="shared" si="33"/>
        <v>838.4212995697111</v>
      </c>
      <c r="D97" s="85">
        <f t="shared" si="37"/>
        <v>0.66275130465924437</v>
      </c>
      <c r="E97" s="85">
        <f t="shared" si="38"/>
        <v>1265.0617111961599</v>
      </c>
      <c r="F97" s="85">
        <f t="shared" si="39"/>
        <v>1</v>
      </c>
      <c r="G97" s="85">
        <f t="shared" si="40"/>
        <v>0.39533178474879999</v>
      </c>
      <c r="H97" s="85">
        <f t="shared" si="34"/>
        <v>1.0704251179432176</v>
      </c>
      <c r="I97" s="107">
        <f t="shared" si="41"/>
        <v>194.81737146566562</v>
      </c>
      <c r="J97" s="116">
        <f t="shared" si="35"/>
        <v>246.45599731709288</v>
      </c>
    </row>
    <row r="98" spans="2:15" x14ac:dyDescent="0.3">
      <c r="B98" s="113">
        <f t="shared" si="36"/>
        <v>9.8000000000000007</v>
      </c>
      <c r="C98" s="85">
        <f t="shared" si="33"/>
        <v>606.5519543006892</v>
      </c>
      <c r="D98" s="85">
        <f t="shared" si="37"/>
        <v>0.66275130465924437</v>
      </c>
      <c r="E98" s="85">
        <f t="shared" si="38"/>
        <v>915.2029577860277</v>
      </c>
      <c r="F98" s="85">
        <f t="shared" si="39"/>
        <v>1</v>
      </c>
      <c r="G98" s="85">
        <f t="shared" si="40"/>
        <v>0.28600092430813367</v>
      </c>
      <c r="H98" s="85">
        <f t="shared" si="34"/>
        <v>1.1141567643020487</v>
      </c>
      <c r="I98" s="107">
        <f t="shared" si="41"/>
        <v>202.77653110297285</v>
      </c>
      <c r="J98" s="116">
        <f t="shared" si="35"/>
        <v>185.58168103503118</v>
      </c>
    </row>
    <row r="99" spans="2:15" x14ac:dyDescent="0.3">
      <c r="B99" s="113">
        <f t="shared" si="36"/>
        <v>8.8000000000000007</v>
      </c>
      <c r="C99" s="85">
        <f t="shared" si="33"/>
        <v>430.54586672324768</v>
      </c>
      <c r="D99" s="85">
        <f t="shared" si="37"/>
        <v>0.66275130465924437</v>
      </c>
      <c r="E99" s="85">
        <f t="shared" si="38"/>
        <v>649.63412926756018</v>
      </c>
      <c r="F99" s="85">
        <f t="shared" si="39"/>
        <v>1</v>
      </c>
      <c r="G99" s="85">
        <f t="shared" si="40"/>
        <v>0.20301066539611257</v>
      </c>
      <c r="H99" s="85">
        <f t="shared" si="34"/>
        <v>1.1546144928391406</v>
      </c>
      <c r="I99" s="107">
        <f t="shared" si="41"/>
        <v>210.13983769672359</v>
      </c>
      <c r="J99" s="116">
        <f t="shared" si="35"/>
        <v>136.51401048653744</v>
      </c>
    </row>
    <row r="100" spans="2:15" x14ac:dyDescent="0.3">
      <c r="B100" s="113">
        <f t="shared" si="36"/>
        <v>7.8000000000000007</v>
      </c>
      <c r="C100" s="85">
        <f t="shared" si="33"/>
        <v>300.01498802206748</v>
      </c>
      <c r="D100" s="85">
        <f t="shared" si="37"/>
        <v>0.66275130465924437</v>
      </c>
      <c r="E100" s="85">
        <f t="shared" si="38"/>
        <v>452.68109758957189</v>
      </c>
      <c r="F100" s="85">
        <f t="shared" si="39"/>
        <v>1</v>
      </c>
      <c r="G100" s="85">
        <f t="shared" si="40"/>
        <v>0.14146284299674122</v>
      </c>
      <c r="H100" s="85">
        <f t="shared" si="34"/>
        <v>1.1886667213289817</v>
      </c>
      <c r="I100" s="107">
        <f t="shared" si="41"/>
        <v>216.33734328187467</v>
      </c>
      <c r="J100" s="116">
        <f t="shared" si="35"/>
        <v>97.931826006451018</v>
      </c>
    </row>
    <row r="101" spans="2:15" ht="15" thickBot="1" x14ac:dyDescent="0.35">
      <c r="B101" s="114">
        <f t="shared" si="36"/>
        <v>6.8000000000000007</v>
      </c>
      <c r="C101" s="115">
        <f t="shared" si="33"/>
        <v>203.98167629309958</v>
      </c>
      <c r="D101" s="115">
        <f t="shared" si="37"/>
        <v>0.66275130465924437</v>
      </c>
      <c r="E101" s="115">
        <f t="shared" si="38"/>
        <v>307.78012032428575</v>
      </c>
      <c r="F101" s="115">
        <f t="shared" si="39"/>
        <v>1</v>
      </c>
      <c r="G101" s="115">
        <f t="shared" si="40"/>
        <v>9.6181287601339302E-2</v>
      </c>
      <c r="H101" s="115">
        <f t="shared" si="34"/>
        <v>1.2159204180415655</v>
      </c>
      <c r="I101" s="111">
        <f t="shared" si="41"/>
        <v>221.29751608356491</v>
      </c>
      <c r="J101" s="117">
        <f t="shared" si="35"/>
        <v>68.110976127665168</v>
      </c>
    </row>
    <row r="102" spans="2:15" ht="15" thickBot="1" x14ac:dyDescent="0.35"/>
    <row r="103" spans="2:15" x14ac:dyDescent="0.3">
      <c r="B103" s="207" t="s">
        <v>583</v>
      </c>
      <c r="C103" s="208"/>
      <c r="D103" s="208"/>
      <c r="E103" s="208"/>
      <c r="F103" s="208"/>
      <c r="G103" s="208"/>
      <c r="H103" s="208"/>
      <c r="I103" s="208"/>
      <c r="J103" s="208"/>
      <c r="K103" s="208"/>
      <c r="L103" s="208"/>
      <c r="M103" s="208"/>
      <c r="N103" s="208"/>
      <c r="O103" s="209"/>
    </row>
    <row r="104" spans="2:15" x14ac:dyDescent="0.3">
      <c r="B104" s="206" t="s">
        <v>551</v>
      </c>
      <c r="C104" s="185" t="s">
        <v>562</v>
      </c>
      <c r="D104" s="185"/>
      <c r="E104" s="185" t="s">
        <v>563</v>
      </c>
      <c r="F104" s="185"/>
      <c r="G104" s="88" t="s">
        <v>565</v>
      </c>
      <c r="H104" s="185" t="s">
        <v>566</v>
      </c>
      <c r="I104" s="185"/>
      <c r="J104" s="176" t="s">
        <v>590</v>
      </c>
      <c r="K104" s="177" t="s">
        <v>591</v>
      </c>
      <c r="L104" s="185" t="s">
        <v>567</v>
      </c>
      <c r="M104" s="185"/>
      <c r="N104" s="185" t="s">
        <v>568</v>
      </c>
      <c r="O104" s="186"/>
    </row>
    <row r="105" spans="2:15" x14ac:dyDescent="0.3">
      <c r="B105" s="206"/>
      <c r="C105" s="89" t="s">
        <v>352</v>
      </c>
      <c r="D105" s="89" t="s">
        <v>387</v>
      </c>
      <c r="E105" s="89" t="s">
        <v>352</v>
      </c>
      <c r="F105" s="89" t="s">
        <v>387</v>
      </c>
      <c r="G105" s="89" t="s">
        <v>352</v>
      </c>
      <c r="H105" s="89" t="s">
        <v>352</v>
      </c>
      <c r="I105" s="89" t="s">
        <v>387</v>
      </c>
      <c r="J105" s="176"/>
      <c r="K105" s="178"/>
      <c r="L105" s="90">
        <v>-0.03</v>
      </c>
      <c r="M105" s="134" t="s">
        <v>527</v>
      </c>
      <c r="N105" s="90">
        <v>-0.1</v>
      </c>
      <c r="O105" s="135" t="s">
        <v>479</v>
      </c>
    </row>
    <row r="106" spans="2:15" x14ac:dyDescent="0.3">
      <c r="B106" s="113">
        <f t="shared" ref="B106:B113" si="42">B94</f>
        <v>13.8</v>
      </c>
      <c r="C106" s="106">
        <f>(J94/890)*'data, etc'!O5*1000*2</f>
        <v>133116.72806656384</v>
      </c>
      <c r="D106" s="106">
        <f>(J94/991)*'data, etc'!O5*1000*2</f>
        <v>119549.83650781214</v>
      </c>
      <c r="E106" s="106">
        <f>(J94/890)*SUM($M$3:$M$5)*1000*20%</f>
        <v>1609.5542336304661</v>
      </c>
      <c r="F106" s="106">
        <f>(J94/991)*SUM($M$3:$M$5)*1000*20%</f>
        <v>1445.5128838860899</v>
      </c>
      <c r="G106" s="106">
        <f>'External Input'!$F$28*$K$63*SUM('data, etc'!O5,$M$3,$M$4,$M$5)</f>
        <v>6950.0260869565218</v>
      </c>
      <c r="H106" s="106">
        <f>G106+$Q$67+(IF('External Input'!$F$24="MDO",Calculation!C106+Calculation!E106,0))</f>
        <v>21894.82608695652</v>
      </c>
      <c r="I106" s="106">
        <f>IF('External Input'!$F$24="MDO",0,Calculation!D106+Calculation!F106)</f>
        <v>120995.34939169823</v>
      </c>
      <c r="J106" s="85">
        <f>IF('External Input'!$F$24="MDO",C106+E106,Calculation!D106+Calculation!F106)</f>
        <v>120995.34939169823</v>
      </c>
      <c r="K106" s="106">
        <f>G106+$Q$67</f>
        <v>21894.82608695652</v>
      </c>
      <c r="L106" s="106">
        <f>G106+$Q$67*97%</f>
        <v>21446.482086956519</v>
      </c>
      <c r="M106" s="106">
        <f t="shared" ref="M106:M113" si="43">G106+$Q$67*103%</f>
        <v>22343.170086956521</v>
      </c>
      <c r="N106" s="106">
        <f>(IF('External Input'!$F$24="MDO",C106+E106,D106+F106))*90%</f>
        <v>108895.8144525284</v>
      </c>
      <c r="O106" s="116">
        <f>(IF('External Input'!$F$24="MDO",C106+E106,D106+F106))*110%</f>
        <v>133094.88433086805</v>
      </c>
    </row>
    <row r="107" spans="2:15" x14ac:dyDescent="0.3">
      <c r="B107" s="113">
        <f t="shared" si="42"/>
        <v>12.8</v>
      </c>
      <c r="C107" s="106">
        <f>(J95/890)*'data, etc'!O6*1000*2</f>
        <v>116499.80546872455</v>
      </c>
      <c r="D107" s="106">
        <f>(J95/991)*'data, etc'!O6*1000*2</f>
        <v>104626.4650526386</v>
      </c>
      <c r="E107" s="106">
        <f t="shared" ref="E107:E113" si="44">(J95/890)*SUM($M$3:$M$5)*1000*20%</f>
        <v>1306.559114173233</v>
      </c>
      <c r="F107" s="106">
        <f t="shared" ref="F107:F113" si="45">(J95/991)*SUM($M$3:$M$5)*1000*20%</f>
        <v>1173.3981953725299</v>
      </c>
      <c r="G107" s="106">
        <f>'External Input'!$F$28*$K$63*SUM('data, etc'!O6,$M$3,$M$4,$M$5)</f>
        <v>7434.4265624999998</v>
      </c>
      <c r="H107" s="106">
        <f>G107+$Q$67+(IF('External Input'!$F$24="MDO",Calculation!C107+Calculation!E107,0))</f>
        <v>22379.2265625</v>
      </c>
      <c r="I107" s="106">
        <f>IF('External Input'!$F$24="MDO",0,Calculation!D107+Calculation!F107)</f>
        <v>105799.86324801113</v>
      </c>
      <c r="J107" s="85">
        <f>IF('External Input'!$F$24="MDO",C107+E107,Calculation!D107+Calculation!F107)</f>
        <v>105799.86324801113</v>
      </c>
      <c r="K107" s="106">
        <f t="shared" ref="K107:K113" si="46">G107+$Q$67</f>
        <v>22379.2265625</v>
      </c>
      <c r="L107" s="106">
        <f t="shared" ref="L107:L113" si="47">G107+$Q$67*97%</f>
        <v>21930.882562499999</v>
      </c>
      <c r="M107" s="106">
        <f t="shared" si="43"/>
        <v>22827.570562500001</v>
      </c>
      <c r="N107" s="106">
        <f>(IF('External Input'!$F$24="MDO",C107+E107,D107+F107))*90%</f>
        <v>95219.876923210017</v>
      </c>
      <c r="O107" s="116">
        <f>(IF('External Input'!$F$24="MDO",C107+E107,D107+F107))*110%</f>
        <v>116379.84957281225</v>
      </c>
    </row>
    <row r="108" spans="2:15" x14ac:dyDescent="0.3">
      <c r="B108" s="113">
        <f t="shared" si="42"/>
        <v>11.8</v>
      </c>
      <c r="C108" s="106">
        <f>(J96/890)*'data, etc'!O7*1000*2</f>
        <v>99295.286349166054</v>
      </c>
      <c r="D108" s="106">
        <f>(J96/991)*'data, etc'!O7*1000*2</f>
        <v>89175.383300461952</v>
      </c>
      <c r="E108" s="106">
        <f t="shared" si="44"/>
        <v>1026.6077390465014</v>
      </c>
      <c r="F108" s="106">
        <f t="shared" si="45"/>
        <v>921.978696015526</v>
      </c>
      <c r="G108" s="106">
        <f>'External Input'!$F$28*$K$63*SUM('data, etc'!O7,$M$3,$M$4,$M$5)</f>
        <v>8000.9288135593215</v>
      </c>
      <c r="H108" s="106">
        <f>G108+$Q$67+(IF('External Input'!$F$24="MDO",Calculation!C108+Calculation!E108,0))</f>
        <v>22945.728813559319</v>
      </c>
      <c r="I108" s="106">
        <f>IF('External Input'!$F$24="MDO",0,Calculation!D108+Calculation!F108)</f>
        <v>90097.361996477484</v>
      </c>
      <c r="J108" s="85">
        <f>IF('External Input'!$F$24="MDO",C108+E108,Calculation!D108+Calculation!F108)</f>
        <v>90097.361996477484</v>
      </c>
      <c r="K108" s="106">
        <f t="shared" si="46"/>
        <v>22945.728813559319</v>
      </c>
      <c r="L108" s="106">
        <f t="shared" si="47"/>
        <v>22497.384813559322</v>
      </c>
      <c r="M108" s="106">
        <f t="shared" si="43"/>
        <v>23394.072813559324</v>
      </c>
      <c r="N108" s="106">
        <f>(IF('External Input'!$F$24="MDO",C108+E108,D108+F108))*90%</f>
        <v>81087.625796829743</v>
      </c>
      <c r="O108" s="116">
        <f>(IF('External Input'!$F$24="MDO",C108+E108,D108+F108))*110%</f>
        <v>99107.09819612524</v>
      </c>
    </row>
    <row r="109" spans="2:15" x14ac:dyDescent="0.3">
      <c r="B109" s="113">
        <f t="shared" si="42"/>
        <v>10.8</v>
      </c>
      <c r="C109" s="106">
        <f>(J97/890)*'data, etc'!O8*1000*2</f>
        <v>83577.608078942561</v>
      </c>
      <c r="D109" s="106">
        <f>(J97/991)*'data, etc'!O8*1000*2</f>
        <v>75059.607659191592</v>
      </c>
      <c r="E109" s="106">
        <f t="shared" si="44"/>
        <v>790.87452622204182</v>
      </c>
      <c r="F109" s="106">
        <f t="shared" si="45"/>
        <v>710.27076522463904</v>
      </c>
      <c r="G109" s="106">
        <f>'External Input'!$F$28*$K$63*SUM('data, etc'!O8,$M$3,$M$4,$M$5)</f>
        <v>8672.3388888888876</v>
      </c>
      <c r="H109" s="106">
        <f>G109+$Q$67+(IF('External Input'!$F$24="MDO",Calculation!C109+Calculation!E109,0))</f>
        <v>23617.138888888887</v>
      </c>
      <c r="I109" s="106">
        <f>IF('External Input'!$F$24="MDO",0,Calculation!D109+Calculation!F109)</f>
        <v>75769.878424416238</v>
      </c>
      <c r="J109" s="85">
        <f>IF('External Input'!$F$24="MDO",C109+E109,Calculation!D109+Calculation!F109)</f>
        <v>75769.878424416238</v>
      </c>
      <c r="K109" s="106">
        <f t="shared" si="46"/>
        <v>23617.138888888887</v>
      </c>
      <c r="L109" s="106">
        <f t="shared" si="47"/>
        <v>23168.794888888886</v>
      </c>
      <c r="M109" s="106">
        <f t="shared" si="43"/>
        <v>24065.482888888888</v>
      </c>
      <c r="N109" s="106">
        <f>(IF('External Input'!$F$24="MDO",C109+E109,D109+F109))*90%</f>
        <v>68192.890581974614</v>
      </c>
      <c r="O109" s="116">
        <f>(IF('External Input'!$F$24="MDO",C109+E109,D109+F109))*110%</f>
        <v>83346.866266857862</v>
      </c>
    </row>
    <row r="110" spans="2:15" x14ac:dyDescent="0.3">
      <c r="B110" s="113">
        <f t="shared" si="42"/>
        <v>9.8000000000000007</v>
      </c>
      <c r="C110" s="106">
        <f>(J98/890)*'data, etc'!O9*1000*2</f>
        <v>69355.887124717672</v>
      </c>
      <c r="D110" s="106">
        <f>(J98/991)*'data, etc'!O9*1000*2</f>
        <v>62287.325470230804</v>
      </c>
      <c r="E110" s="106">
        <f t="shared" si="44"/>
        <v>595.52952925398768</v>
      </c>
      <c r="F110" s="106">
        <f t="shared" si="45"/>
        <v>534.83479418370234</v>
      </c>
      <c r="G110" s="106">
        <f>'External Input'!$F$28*$K$63*SUM('data, etc'!O9,$M$3,$M$4,$M$5)</f>
        <v>9480.7714285714283</v>
      </c>
      <c r="H110" s="106">
        <f>G110+$Q$67+(IF('External Input'!$F$24="MDO",Calculation!C110+Calculation!E110,0))</f>
        <v>24425.571428571428</v>
      </c>
      <c r="I110" s="106">
        <f>IF('External Input'!$F$24="MDO",0,Calculation!D110+Calculation!F110)</f>
        <v>62822.16026441451</v>
      </c>
      <c r="J110" s="85">
        <f>IF('External Input'!$F$24="MDO",C110+E110,Calculation!D110+Calculation!F110)</f>
        <v>62822.16026441451</v>
      </c>
      <c r="K110" s="106">
        <f t="shared" si="46"/>
        <v>24425.571428571428</v>
      </c>
      <c r="L110" s="106">
        <f t="shared" si="47"/>
        <v>23977.227428571427</v>
      </c>
      <c r="M110" s="106">
        <f t="shared" si="43"/>
        <v>24873.915428571428</v>
      </c>
      <c r="N110" s="106">
        <f>(IF('External Input'!$F$24="MDO",C110+E110,D110+F110))*90%</f>
        <v>56539.944237973061</v>
      </c>
      <c r="O110" s="116">
        <f>(IF('External Input'!$F$24="MDO",C110+E110,D110+F110))*110%</f>
        <v>69104.376290855973</v>
      </c>
    </row>
    <row r="111" spans="2:15" x14ac:dyDescent="0.3">
      <c r="B111" s="113">
        <f t="shared" si="42"/>
        <v>8.8000000000000007</v>
      </c>
      <c r="C111" s="106">
        <f>(J99/890)*'data, etc'!O10*1000*2</f>
        <v>56815.764629969031</v>
      </c>
      <c r="D111" s="106">
        <f>(J99/991)*'data, etc'!O10*1000*2</f>
        <v>51025.257841243627</v>
      </c>
      <c r="E111" s="106">
        <f t="shared" si="44"/>
        <v>438.07192578601234</v>
      </c>
      <c r="F111" s="106">
        <f t="shared" si="45"/>
        <v>393.42483748693337</v>
      </c>
      <c r="G111" s="106">
        <f>'External Input'!$F$28*$K$63*SUM('data, etc'!O10,$M$3,$M$4,$M$5)</f>
        <v>10472.938636363635</v>
      </c>
      <c r="H111" s="106">
        <f>G111+$Q$67+(IF('External Input'!$F$24="MDO",Calculation!C111+Calculation!E111,0))</f>
        <v>25417.738636363632</v>
      </c>
      <c r="I111" s="106">
        <f>IF('External Input'!$F$24="MDO",0,Calculation!D111+Calculation!F111)</f>
        <v>51418.682678730562</v>
      </c>
      <c r="J111" s="85">
        <f>IF('External Input'!$F$24="MDO",C111+E111,Calculation!D111+Calculation!F111)</f>
        <v>51418.682678730562</v>
      </c>
      <c r="K111" s="106">
        <f t="shared" si="46"/>
        <v>25417.738636363632</v>
      </c>
      <c r="L111" s="106">
        <f t="shared" si="47"/>
        <v>24969.394636363635</v>
      </c>
      <c r="M111" s="106">
        <f t="shared" si="43"/>
        <v>25866.082636363637</v>
      </c>
      <c r="N111" s="106">
        <f>(IF('External Input'!$F$24="MDO",C111+E111,D111+F111))*90%</f>
        <v>46276.814410857507</v>
      </c>
      <c r="O111" s="116">
        <f>(IF('External Input'!$F$24="MDO",C111+E111,D111+F111))*110%</f>
        <v>56560.550946603624</v>
      </c>
    </row>
    <row r="112" spans="2:15" x14ac:dyDescent="0.3">
      <c r="B112" s="113">
        <f t="shared" si="42"/>
        <v>7.8000000000000007</v>
      </c>
      <c r="C112" s="106">
        <f>(J100/890)*'data, etc'!O11*1000*2</f>
        <v>45983.661776235618</v>
      </c>
      <c r="D112" s="106">
        <f>(J100/991)*'data, etc'!O11*1000*2</f>
        <v>41297.133179464887</v>
      </c>
      <c r="E112" s="106">
        <f t="shared" si="44"/>
        <v>314.26212929710573</v>
      </c>
      <c r="F112" s="106">
        <f t="shared" si="45"/>
        <v>282.23339563514031</v>
      </c>
      <c r="G112" s="106">
        <f>'External Input'!$F$28*$K$63*SUM('data, etc'!O11,$M$3,$M$4,$M$5)</f>
        <v>11719.50769230769</v>
      </c>
      <c r="H112" s="106">
        <f>G112+$Q$67+(IF('External Input'!$F$24="MDO",Calculation!C112+Calculation!E112,0))</f>
        <v>26664.307692307688</v>
      </c>
      <c r="I112" s="106">
        <f>IF('External Input'!$F$24="MDO",0,Calculation!D112+Calculation!F112)</f>
        <v>41579.36657510003</v>
      </c>
      <c r="J112" s="85">
        <f>IF('External Input'!$F$24="MDO",C112+E112,Calculation!D112+Calculation!F112)</f>
        <v>41579.36657510003</v>
      </c>
      <c r="K112" s="106">
        <f t="shared" si="46"/>
        <v>26664.307692307688</v>
      </c>
      <c r="L112" s="106">
        <f t="shared" si="47"/>
        <v>26215.963692307691</v>
      </c>
      <c r="M112" s="106">
        <f t="shared" si="43"/>
        <v>27112.651692307692</v>
      </c>
      <c r="N112" s="106">
        <f>(IF('External Input'!$F$24="MDO",C112+E112,D112+F112))*90%</f>
        <v>37421.429917590031</v>
      </c>
      <c r="O112" s="116">
        <f>(IF('External Input'!$F$24="MDO",C112+E112,D112+F112))*110%</f>
        <v>45737.303232610037</v>
      </c>
    </row>
    <row r="113" spans="2:15" ht="15" thickBot="1" x14ac:dyDescent="0.35">
      <c r="B113" s="114">
        <f t="shared" si="42"/>
        <v>6.8000000000000007</v>
      </c>
      <c r="C113" s="110">
        <f>(J101/890)*'data, etc'!O12*1000*2</f>
        <v>36684.490711456929</v>
      </c>
      <c r="D113" s="110">
        <f>(J101/991)*'data, etc'!O12*1000*2</f>
        <v>32945.708106152037</v>
      </c>
      <c r="E113" s="110">
        <f t="shared" si="44"/>
        <v>218.56735710181093</v>
      </c>
      <c r="F113" s="110">
        <f t="shared" si="45"/>
        <v>196.29157196832665</v>
      </c>
      <c r="G113" s="110">
        <f>'External Input'!$F$28*$K$63*SUM('data, etc'!O12,$M$3,$M$4,$M$5)</f>
        <v>13332.714705882352</v>
      </c>
      <c r="H113" s="110">
        <f>G113+$Q$67+(IF('External Input'!$F$24="MDO",Calculation!C113+Calculation!E113,0))</f>
        <v>28277.51470588235</v>
      </c>
      <c r="I113" s="110">
        <f>IF('External Input'!$F$24="MDO",0,Calculation!D113+Calculation!F113)</f>
        <v>33141.999678120366</v>
      </c>
      <c r="J113" s="115">
        <f>IF('External Input'!$F$24="MDO",C113+E113,Calculation!D113+Calculation!F113)</f>
        <v>33141.999678120366</v>
      </c>
      <c r="K113" s="110">
        <f t="shared" si="46"/>
        <v>28277.51470588235</v>
      </c>
      <c r="L113" s="110">
        <f t="shared" si="47"/>
        <v>27829.170705882352</v>
      </c>
      <c r="M113" s="110">
        <f t="shared" si="43"/>
        <v>28725.858705882354</v>
      </c>
      <c r="N113" s="110">
        <f>(IF('External Input'!$F$24="MDO",C113+E113,D113+F113))*90%</f>
        <v>29827.799710308329</v>
      </c>
      <c r="O113" s="117">
        <f>(IF('External Input'!$F$24="MDO",C113+E113,D113+F113))*110%</f>
        <v>36456.199645932407</v>
      </c>
    </row>
    <row r="114" spans="2:15" ht="15" thickBot="1" x14ac:dyDescent="0.35"/>
    <row r="115" spans="2:15" x14ac:dyDescent="0.3">
      <c r="B115" s="187" t="s">
        <v>569</v>
      </c>
      <c r="C115" s="188"/>
      <c r="D115" s="188"/>
      <c r="E115" s="188"/>
      <c r="F115" s="188"/>
      <c r="G115" s="188"/>
      <c r="H115" s="188"/>
      <c r="I115" s="188"/>
      <c r="J115" s="188"/>
      <c r="K115" s="188"/>
      <c r="L115" s="188"/>
      <c r="M115" s="188"/>
      <c r="N115" s="188"/>
      <c r="O115" s="189"/>
    </row>
    <row r="116" spans="2:15" x14ac:dyDescent="0.3">
      <c r="B116" s="210" t="s">
        <v>570</v>
      </c>
      <c r="C116" s="183"/>
      <c r="D116" s="183"/>
      <c r="E116" s="183"/>
      <c r="F116" s="183"/>
      <c r="G116" s="183"/>
      <c r="H116" s="183"/>
      <c r="I116" s="191" t="s">
        <v>576</v>
      </c>
      <c r="J116" s="191"/>
      <c r="K116" s="191" t="s">
        <v>579</v>
      </c>
      <c r="L116" s="191"/>
      <c r="M116" s="190" t="s">
        <v>405</v>
      </c>
      <c r="N116" s="183" t="s">
        <v>410</v>
      </c>
      <c r="O116" s="184"/>
    </row>
    <row r="117" spans="2:15" x14ac:dyDescent="0.3">
      <c r="B117" s="206" t="s">
        <v>551</v>
      </c>
      <c r="C117" s="185" t="s">
        <v>571</v>
      </c>
      <c r="D117" s="185"/>
      <c r="E117" s="185" t="s">
        <v>574</v>
      </c>
      <c r="F117" s="185"/>
      <c r="G117" s="185" t="s">
        <v>575</v>
      </c>
      <c r="H117" s="185"/>
      <c r="I117" s="191"/>
      <c r="J117" s="191"/>
      <c r="K117" s="191"/>
      <c r="L117" s="191"/>
      <c r="M117" s="190"/>
      <c r="N117" s="88" t="s">
        <v>412</v>
      </c>
      <c r="O117" s="91" t="s">
        <v>413</v>
      </c>
    </row>
    <row r="118" spans="2:15" x14ac:dyDescent="0.3">
      <c r="B118" s="206"/>
      <c r="C118" s="89" t="s">
        <v>572</v>
      </c>
      <c r="D118" s="89" t="s">
        <v>573</v>
      </c>
      <c r="E118" s="89" t="s">
        <v>572</v>
      </c>
      <c r="F118" s="89" t="s">
        <v>573</v>
      </c>
      <c r="G118" s="89" t="s">
        <v>572</v>
      </c>
      <c r="H118" s="89" t="s">
        <v>573</v>
      </c>
      <c r="I118" s="88" t="s">
        <v>577</v>
      </c>
      <c r="J118" s="88" t="s">
        <v>578</v>
      </c>
      <c r="K118" s="88" t="s">
        <v>407</v>
      </c>
      <c r="L118" s="88" t="s">
        <v>179</v>
      </c>
      <c r="M118" s="190"/>
      <c r="N118" s="89">
        <f>IF(AND('External Input'!F4="Bulk Carrier",'External Input'!F11&gt;=279000),'data, etc'!M33,
IF(AND('External Input'!F4="Bulk Carrier",'External Input'!F11&lt;279000),'data, etc'!M34,
IF(AND('External Input'!F4="Gas Carrier",'External Input'!F11&gt;=65000),'data, etc'!M35,
IF(AND('External Input'!F4="Gas Carrier",'External Input'!F11&lt;65000),'data, etc'!M36,
IF('External Input'!F4="Tanker",'data, etc'!M37,
IF('External Input'!F4="Container Ship",'data, etc'!M38,
IF(AND('External Input'!F4="General Cargo Ship",'External Input'!F11&gt;=20000),'data, etc'!M39,
IF(AND('External Input'!F4="General Cargo Ship",'External Input'!F11&lt;20000),'data, etc'!M40,
IF('External Input'!F4="Refrigerated Cargo Carrier",'data, etc'!M41,
IF('External Input'!F4="Combination Carrier",'data, etc'!M42,
IF(AND('External Input'!F4="LNG Carrier",'External Input'!F11&gt;=100000),'data, etc'!M43,
IF(AND('External Input'!F4="LNG Carrier",'External Input'!F11&gt;=65000,'External Input'!F11&lt;100000),'data, etc'!M44,
IF(AND('External Input'!F4="LNG Carrier",'External Input'!F11&lt;65000),'data, etc'!M45,
IF(AND('External Input'!F4="Ro-ro cargo ship (vehicle carrier)",'External Input'!F11&gt;=57700),'data, etc'!M46,
IF(AND('External Input'!F4="Ro-ro cargo ship (vehicle carrier)",'External Input'!F11&gt;=30000,'External Input'!F11&lt;57700),'data, etc'!M47,
IF('External Input'!F4="Ro-ro cargo ship",'data, etc'!M48,'data, etc'!M52))))))))))))))))</f>
        <v>588</v>
      </c>
      <c r="O118" s="98">
        <f>IF(AND('External Input'!F4="Bulk Carrier",'External Input'!F11&gt;=279000),'data, etc'!N33,
IF(AND('External Input'!F4="Bulk Carrier",'External Input'!F11&lt;279000),'data, etc'!N34,
IF(AND('External Input'!F4="Gas Carrier",'External Input'!F11&gt;=65000),'data, etc'!N35,
IF(AND('External Input'!F4="Gas Carrier",'External Input'!F11&lt;65000),'data, etc'!N36,
IF('External Input'!F4="Tanker",'data, etc'!N37,
IF('External Input'!F4="Container Ship",'data, etc'!N38,
IF(AND('External Input'!F4="General Cargo Ship",'External Input'!F11&gt;=20000),'data, etc'!N39,
IF(AND('External Input'!F4="General Cargo Ship",'External Input'!F11&lt;20000),'data, etc'!N40,
IF('External Input'!F4="Refrigerated Cargo Carrier",'data, etc'!N41,
IF('External Input'!F4="Combination Carrier",'data, etc'!N42,
IF(AND('External Input'!F4="LNG Carrier",'External Input'!F11&gt;=100000),'data, etc'!N43,
IF(AND('External Input'!F4="LNG Carrier",'External Input'!F11&gt;=65000,'External Input'!F11&lt;100000),'data, etc'!N44,
IF(AND('External Input'!F4="LNG Carrier",'External Input'!F11&lt;65000),'data, etc'!N45,
IF(AND('External Input'!F4="Ro-ro cargo ship (vehicle carrier)",'External Input'!F11&gt;=57700),'data, etc'!N46,
IF(AND('External Input'!F4="Ro-ro cargo ship (vehicle carrier)",'External Input'!F11&gt;=30000,'External Input'!F11&lt;57700),'data, etc'!N47,
IF('External Input'!F4="Ro-ro cargo ship",'data, etc'!N48,'data, etc'!N52))))))))))))))))</f>
        <v>0.38850000000000001</v>
      </c>
    </row>
    <row r="119" spans="2:15" x14ac:dyDescent="0.3">
      <c r="B119" s="113">
        <f t="shared" ref="B119:B126" si="48">B106</f>
        <v>13.8</v>
      </c>
      <c r="C119" s="106">
        <f>(G106+$Q$67)*'data, etc'!Q5</f>
        <v>700634.43478260865</v>
      </c>
      <c r="D119" s="106">
        <f>C119/1000*890/1000</f>
        <v>623.56464695652164</v>
      </c>
      <c r="E119" s="85">
        <f>(D106+F106)*'data, etc'!Q5</f>
        <v>3871851.1805343432</v>
      </c>
      <c r="F119" s="106">
        <f>E119/1000*991/1000</f>
        <v>3837.0045199095343</v>
      </c>
      <c r="G119" s="106">
        <f>(C106+E106)*'data, etc'!Q5</f>
        <v>4311241.0336062182</v>
      </c>
      <c r="H119" s="106">
        <f>G119/1000*890/1000</f>
        <v>3837.0045199095348</v>
      </c>
      <c r="I119" s="106">
        <f>D119*'data, etc'!$L$19</f>
        <v>1999.1482581426083</v>
      </c>
      <c r="J119" s="106">
        <f>IF('External Input'!$F$24="HFO",Calculation!F119*'data, etc'!$L$21,Calculation!H119*'data, etc'!$L$19)</f>
        <v>11948.432074998289</v>
      </c>
      <c r="K119" s="106">
        <f>I119+J119</f>
        <v>13947.580333140897</v>
      </c>
      <c r="L119" s="85">
        <f>'data, etc'!R5</f>
        <v>52153.599999999999</v>
      </c>
      <c r="M119" s="106">
        <f>(K119*10^6)/(L119*'External Input'!$F$11)</f>
        <v>34.982764991870127</v>
      </c>
      <c r="N119" s="179">
        <f>N118*('External Input'!F11^(-O118))</f>
        <v>18.226017896083043</v>
      </c>
      <c r="O119" s="180"/>
    </row>
    <row r="120" spans="2:15" x14ac:dyDescent="0.3">
      <c r="B120" s="113">
        <f t="shared" si="48"/>
        <v>12.8</v>
      </c>
      <c r="C120" s="106">
        <f>(G107+$Q$67)*'data, etc'!Q6</f>
        <v>693756.0234375</v>
      </c>
      <c r="D120" s="106">
        <f>C120/1000*890/1000</f>
        <v>617.44286085937495</v>
      </c>
      <c r="E120" s="85">
        <f>(D107+F107)*'data, etc'!Q6</f>
        <v>3279795.7606883449</v>
      </c>
      <c r="F120" s="106">
        <f t="shared" ref="F120:F126" si="49">E120/1000*991/1000</f>
        <v>3250.2775988421499</v>
      </c>
      <c r="G120" s="106">
        <f>(C107+E107)*'data, etc'!Q6</f>
        <v>3651997.3020698312</v>
      </c>
      <c r="H120" s="106">
        <f t="shared" ref="H120:H126" si="50">G120/1000*890/1000</f>
        <v>3250.2775988421495</v>
      </c>
      <c r="I120" s="106">
        <f>D120*'data, etc'!$L$19</f>
        <v>1979.5218119151561</v>
      </c>
      <c r="J120" s="106">
        <f>IF('External Input'!$F$24="HFO",Calculation!F120*'data, etc'!$L$21,Calculation!H120*'data, etc'!$L$19)</f>
        <v>10121.364442794455</v>
      </c>
      <c r="K120" s="106">
        <f t="shared" ref="K120:K126" si="51">I120+J120</f>
        <v>12100.886254709611</v>
      </c>
      <c r="L120" s="85">
        <f>'data, etc'!R6</f>
        <v>50523.799999999996</v>
      </c>
      <c r="M120" s="106">
        <f>(K120*10^6)/(L120*'External Input'!$F$11)</f>
        <v>31.330023762667231</v>
      </c>
      <c r="N120" s="179"/>
      <c r="O120" s="180"/>
    </row>
    <row r="121" spans="2:15" x14ac:dyDescent="0.3">
      <c r="B121" s="113">
        <f t="shared" si="48"/>
        <v>11.8</v>
      </c>
      <c r="C121" s="106">
        <f>(G108+$Q$67)*'data, etc'!Q7</f>
        <v>688371.86440677952</v>
      </c>
      <c r="D121" s="106">
        <f t="shared" ref="D121:D126" si="52">C121/1000*890/1000</f>
        <v>612.65095932203383</v>
      </c>
      <c r="E121" s="85">
        <f>(D108+F108)*'data, etc'!Q7</f>
        <v>2702920.8598943246</v>
      </c>
      <c r="F121" s="106">
        <f t="shared" si="49"/>
        <v>2678.5945721552757</v>
      </c>
      <c r="G121" s="106">
        <f>(C108+E108)*'data, etc'!Q7</f>
        <v>3009656.8226463767</v>
      </c>
      <c r="H121" s="106">
        <f t="shared" si="50"/>
        <v>2678.5945721552753</v>
      </c>
      <c r="I121" s="106">
        <f>D121*'data, etc'!$L$19</f>
        <v>1964.1589755864404</v>
      </c>
      <c r="J121" s="106">
        <f>IF('External Input'!$F$24="HFO",Calculation!F121*'data, etc'!$L$21,Calculation!H121*'data, etc'!$L$19)</f>
        <v>8341.143497691528</v>
      </c>
      <c r="K121" s="106">
        <f t="shared" si="51"/>
        <v>10305.302473277969</v>
      </c>
      <c r="L121" s="85">
        <f>'data, etc'!R7</f>
        <v>48894</v>
      </c>
      <c r="M121" s="106">
        <f>(K121*10^6)/(L121*'External Input'!$F$11)</f>
        <v>27.570505448315259</v>
      </c>
      <c r="N121" s="179"/>
      <c r="O121" s="180"/>
    </row>
    <row r="122" spans="2:15" x14ac:dyDescent="0.3">
      <c r="B122" s="113">
        <f t="shared" si="48"/>
        <v>10.8</v>
      </c>
      <c r="C122" s="106">
        <f>(G109+$Q$67)*'data, etc'!Q8</f>
        <v>661279.88888888888</v>
      </c>
      <c r="D122" s="106">
        <f t="shared" si="52"/>
        <v>588.53910111111111</v>
      </c>
      <c r="E122" s="85">
        <f>(D109+F109)*'data, etc'!Q8</f>
        <v>2121556.5958836544</v>
      </c>
      <c r="F122" s="106">
        <f t="shared" si="49"/>
        <v>2102.4625865207017</v>
      </c>
      <c r="G122" s="106">
        <f>(C109+E109)*'data, etc'!Q8</f>
        <v>2362317.5129446089</v>
      </c>
      <c r="H122" s="106">
        <f t="shared" si="50"/>
        <v>2102.4625865207022</v>
      </c>
      <c r="I122" s="106">
        <f>D122*'data, etc'!$L$19</f>
        <v>1886.8563581622223</v>
      </c>
      <c r="J122" s="106">
        <f>IF('External Input'!$F$24="HFO",Calculation!F122*'data, etc'!$L$21,Calculation!H122*'data, etc'!$L$19)</f>
        <v>6547.0684944254654</v>
      </c>
      <c r="K122" s="106">
        <f t="shared" si="51"/>
        <v>8433.9248525876883</v>
      </c>
      <c r="L122" s="85">
        <f>'data, etc'!R8</f>
        <v>45634.400000000001</v>
      </c>
      <c r="M122" s="106">
        <f>(K122*10^6)/(L122*'External Input'!$F$11)</f>
        <v>24.175581839186627</v>
      </c>
      <c r="N122" s="179"/>
      <c r="O122" s="180"/>
    </row>
    <row r="123" spans="2:15" x14ac:dyDescent="0.3">
      <c r="B123" s="113">
        <f t="shared" si="48"/>
        <v>9.8000000000000007</v>
      </c>
      <c r="C123" s="106">
        <f>(G110+$Q$67)*'data, etc'!Q9</f>
        <v>659490.42857142852</v>
      </c>
      <c r="D123" s="106">
        <f t="shared" si="52"/>
        <v>586.94648142857136</v>
      </c>
      <c r="E123" s="85">
        <f>(D110+F110)*'data, etc'!Q9</f>
        <v>1696198.3271391918</v>
      </c>
      <c r="F123" s="106">
        <f t="shared" si="49"/>
        <v>1680.9325421949393</v>
      </c>
      <c r="G123" s="106">
        <f>(C110+E110)*'data, etc'!Q9</f>
        <v>1888688.2496572346</v>
      </c>
      <c r="H123" s="106">
        <f t="shared" si="50"/>
        <v>1680.9325421949388</v>
      </c>
      <c r="I123" s="106">
        <f>D123*'data, etc'!$L$19</f>
        <v>1881.7504194599996</v>
      </c>
      <c r="J123" s="106">
        <f>IF('External Input'!$F$24="HFO",Calculation!F123*'data, etc'!$L$21,Calculation!H123*'data, etc'!$L$19)</f>
        <v>5234.423936395041</v>
      </c>
      <c r="K123" s="106">
        <f t="shared" si="51"/>
        <v>7116.1743558550406</v>
      </c>
      <c r="L123" s="85">
        <f>'data, etc'!R9</f>
        <v>44004.6</v>
      </c>
      <c r="M123" s="106">
        <f>(K123*10^6)/(L123*'External Input'!$F$11)</f>
        <v>21.153783518296912</v>
      </c>
      <c r="N123" s="179"/>
      <c r="O123" s="180"/>
    </row>
    <row r="124" spans="2:15" x14ac:dyDescent="0.3">
      <c r="B124" s="113">
        <f t="shared" si="48"/>
        <v>8.8000000000000007</v>
      </c>
      <c r="C124" s="106">
        <f>(G111+$Q$67)*'data, etc'!Q10</f>
        <v>635443.46590909082</v>
      </c>
      <c r="D124" s="106">
        <f t="shared" si="52"/>
        <v>565.54468465909088</v>
      </c>
      <c r="E124" s="85">
        <f>(D111+F111)*'data, etc'!Q10</f>
        <v>1285467.0669682641</v>
      </c>
      <c r="F124" s="106">
        <f t="shared" si="49"/>
        <v>1273.8978633655499</v>
      </c>
      <c r="G124" s="106">
        <f>(C111+E111)*'data, etc'!Q10</f>
        <v>1431345.9138938761</v>
      </c>
      <c r="H124" s="106">
        <f t="shared" si="50"/>
        <v>1273.8978633655495</v>
      </c>
      <c r="I124" s="106">
        <f>D124*'data, etc'!$L$19</f>
        <v>1813.1362590170454</v>
      </c>
      <c r="J124" s="106">
        <f>IF('External Input'!$F$24="HFO",Calculation!F124*'data, etc'!$L$21,Calculation!H124*'data, etc'!$L$19)</f>
        <v>3966.9179465203224</v>
      </c>
      <c r="K124" s="106">
        <f t="shared" si="51"/>
        <v>5780.054205537368</v>
      </c>
      <c r="L124" s="85">
        <f>'data, etc'!R10</f>
        <v>40745</v>
      </c>
      <c r="M124" s="106">
        <f>(K124*10^6)/(L124*'External Input'!$F$11)</f>
        <v>18.556545977593498</v>
      </c>
      <c r="N124" s="179"/>
      <c r="O124" s="180"/>
    </row>
    <row r="125" spans="2:15" x14ac:dyDescent="0.3">
      <c r="B125" s="113">
        <f t="shared" si="48"/>
        <v>7.8000000000000007</v>
      </c>
      <c r="C125" s="106">
        <f>(G112+$Q$67)*'data, etc'!Q11</f>
        <v>639943.38461538451</v>
      </c>
      <c r="D125" s="106">
        <f t="shared" si="52"/>
        <v>569.5496123076922</v>
      </c>
      <c r="E125" s="85">
        <f>(D112+F112)*'data, etc'!Q11</f>
        <v>997904.79780240078</v>
      </c>
      <c r="F125" s="106">
        <f t="shared" si="49"/>
        <v>988.92365462217924</v>
      </c>
      <c r="G125" s="106">
        <f>(C112+E112)*'data, etc'!Q11</f>
        <v>1111150.1737327855</v>
      </c>
      <c r="H125" s="106">
        <f t="shared" si="50"/>
        <v>988.92365462217913</v>
      </c>
      <c r="I125" s="106">
        <f>D125*'data, etc'!$L$19</f>
        <v>1825.9760570584613</v>
      </c>
      <c r="J125" s="106">
        <f>IF('External Input'!$F$24="HFO",Calculation!F125*'data, etc'!$L$21,Calculation!H125*'data, etc'!$L$19)</f>
        <v>3079.508260493466</v>
      </c>
      <c r="K125" s="106">
        <f t="shared" si="51"/>
        <v>4905.4843175519272</v>
      </c>
      <c r="L125" s="85">
        <f>'data, etc'!R11</f>
        <v>39115.199999999997</v>
      </c>
      <c r="M125" s="106">
        <f>(K125*10^6)/(L125*'External Input'!$F$11)</f>
        <v>16.404986953850958</v>
      </c>
      <c r="N125" s="179"/>
      <c r="O125" s="180"/>
    </row>
    <row r="126" spans="2:15" ht="15" thickBot="1" x14ac:dyDescent="0.35">
      <c r="B126" s="114">
        <f t="shared" si="48"/>
        <v>6.8000000000000007</v>
      </c>
      <c r="C126" s="110">
        <f>(G113+$Q$67)*'data, etc'!Q12</f>
        <v>622105.32352941169</v>
      </c>
      <c r="D126" s="110">
        <f t="shared" si="52"/>
        <v>553.67373794117634</v>
      </c>
      <c r="E126" s="115">
        <f>(D113+F113)*'data, etc'!Q12</f>
        <v>729123.99291864806</v>
      </c>
      <c r="F126" s="110">
        <f t="shared" si="49"/>
        <v>722.56187698238023</v>
      </c>
      <c r="G126" s="110">
        <f>(C113+E113)*'data, etc'!Q12</f>
        <v>811867.27750829235</v>
      </c>
      <c r="H126" s="110">
        <f t="shared" si="50"/>
        <v>722.56187698238023</v>
      </c>
      <c r="I126" s="110">
        <f>D126*'data, etc'!$L$19</f>
        <v>1775.0780038394114</v>
      </c>
      <c r="J126" s="110">
        <f>IF('External Input'!$F$24="HFO",Calculation!F126*'data, etc'!$L$21,Calculation!H126*'data, etc'!$L$19)</f>
        <v>2250.057684923132</v>
      </c>
      <c r="K126" s="110">
        <f t="shared" si="51"/>
        <v>4025.1356887625434</v>
      </c>
      <c r="L126" s="115">
        <f>'data, etc'!R12</f>
        <v>35855.599999999999</v>
      </c>
      <c r="M126" s="110">
        <f>(K126*10^6)/(L126*'External Input'!$F$11)</f>
        <v>14.684632550484423</v>
      </c>
      <c r="N126" s="181"/>
      <c r="O126" s="182"/>
    </row>
    <row r="127" spans="2:15" ht="15" thickBot="1" x14ac:dyDescent="0.35"/>
    <row r="128" spans="2:15" x14ac:dyDescent="0.3">
      <c r="F128" s="170" t="s">
        <v>581</v>
      </c>
      <c r="G128" s="171"/>
      <c r="H128" s="171"/>
      <c r="I128" s="172"/>
    </row>
    <row r="129" spans="2:17" x14ac:dyDescent="0.3">
      <c r="F129" s="153" t="s">
        <v>451</v>
      </c>
      <c r="G129" s="154"/>
      <c r="H129" s="67" t="s">
        <v>455</v>
      </c>
      <c r="I129" s="93">
        <f>IF('External Input'!F4="Bulk Carrier",'data, etc'!L56,
IF(AND('External Input'!F4="Gas Carrier",'External Input'!F11&gt;=65000),'data, etc'!L57,
IF(AND('External Input'!F4="Gas Carrier",'External Input'!F11&lt;65000),'data, etc'!L58,
IF('External Input'!F4="Tanker",'data, etc'!L59,
IF('External Input'!F4="Container Ship",'data, etc'!L60,
IF('External Input'!F4="General Cargo Ship",'data, etc'!L61,
IF('External Input'!F4="Refrigerated Cargo Carrier",'data, etc'!L62,
IF('External Input'!F4="Combination Carrier",'data, etc'!L63,
IF(AND('External Input'!F4="LNG Carrier",'External Input'!F11&gt;=100000),'data, etc'!L64,
IF(AND('External Input'!F4="LNG Carrier",'External Input'!F11&lt;100000),'data, etc'!L65,
IF('External Input'!F4="Ro-ro cargo ship (vehicle carrier)",'data, etc'!L66,
IF('External Input'!F4="Ro-ro cargo ship",'data, etc'!L67,
IF('External Input'!F4="Ro-ro passenger ship",'data, etc'!L68,'data, etc'!L69)))))))))))))</f>
        <v>0.83</v>
      </c>
    </row>
    <row r="130" spans="2:17" ht="15" thickBot="1" x14ac:dyDescent="0.35">
      <c r="F130" s="153" t="s">
        <v>452</v>
      </c>
      <c r="G130" s="154"/>
      <c r="H130" s="67" t="s">
        <v>456</v>
      </c>
      <c r="I130" s="93">
        <f>IF('External Input'!F4="Bulk Carrier",'data, etc'!M56,
IF(AND('External Input'!F4="Gas Carrier",'External Input'!F11&gt;=65000),'data, etc'!M57,
IF(AND('External Input'!F4="Gas Carrier",'External Input'!F11&lt;65000),'data, etc'!M58,
IF('External Input'!F4="Tanker",'data, etc'!M59,
IF('External Input'!F4="Container Ship",'data, etc'!M60,
IF('External Input'!F4="General Cargo Ship",'data, etc'!M61,
IF('External Input'!F4="Refrigerated Cargo Carrier",'data, etc'!M62,
IF('External Input'!F4="Combination Carrier",'data, etc'!M63,
IF(AND('External Input'!F4="LNG Carrier",'External Input'!F11&gt;=100000),'data, etc'!M64,
IF(AND('External Input'!F4="LNG Carrier",'External Input'!F11&lt;100000),'data, etc'!M65,
IF('External Input'!F4="Ro-ro cargo ship (vehicle carrier)",'data, etc'!M66,
IF('External Input'!F4="Ro-ro cargo ship",'data, etc'!M67,
IF('External Input'!F4="Ro-ro passenger ship",'data, etc'!M68,'data, etc'!M69)))))))))))))</f>
        <v>0.94</v>
      </c>
    </row>
    <row r="131" spans="2:17" x14ac:dyDescent="0.3">
      <c r="B131" s="170" t="s">
        <v>580</v>
      </c>
      <c r="C131" s="171"/>
      <c r="D131" s="172"/>
      <c r="F131" s="153" t="s">
        <v>453</v>
      </c>
      <c r="G131" s="154"/>
      <c r="H131" s="67" t="s">
        <v>457</v>
      </c>
      <c r="I131" s="93">
        <f>IF('External Input'!F4="Bulk Carrier",'data, etc'!N56,
IF(AND('External Input'!F4="Gas Carrier",'External Input'!F11&gt;=65000),'data, etc'!N57,
IF(AND('External Input'!F4="Gas Carrier",C13&lt;65000),'data, etc'!N58,
IF('External Input'!F4="Tanker",'data, etc'!N59,
IF('External Input'!F4="Container Ship",'data, etc'!N60,
IF('External Input'!F4="General Cargo Ship",'data, etc'!N61,
IF('External Input'!F4="Refrigerated Cargo Carrier",'data, etc'!N62,
IF('External Input'!F4="Combination Carrier",'data, etc'!N63,
IF(AND('External Input'!F4="LNG Carrier",'External Input'!F11&gt;=100000),'data, etc'!N64,
IF(AND('External Input'!F4="LNG Carrier",'External Input'!F11&lt;100000),'data, etc'!N65,
IF('External Input'!F4="Ro-ro cargo ship (vehicle carrier)",'data, etc'!N66,
IF('External Input'!F4="Ro-ro cargo ship",'data, etc'!N67,
IF('External Input'!F4="Ro-ro passenger ship",'data, etc'!N68,'data, etc'!N69)))))))))))))</f>
        <v>1.06</v>
      </c>
    </row>
    <row r="132" spans="2:17" ht="15" thickBot="1" x14ac:dyDescent="0.35">
      <c r="B132" s="92">
        <v>2020</v>
      </c>
      <c r="C132" s="100">
        <v>0.01</v>
      </c>
      <c r="D132" s="101">
        <f>(1-C132)*$N$119</f>
        <v>18.043757717122212</v>
      </c>
      <c r="F132" s="157" t="s">
        <v>454</v>
      </c>
      <c r="G132" s="158"/>
      <c r="H132" s="95" t="s">
        <v>458</v>
      </c>
      <c r="I132" s="96">
        <f>IF('External Input'!F4="Bulk Carrier",'data, etc'!O56,
IF(AND('External Input'!F4="Gas Carrier",'External Input'!F11&gt;=65000),'data, etc'!O57,
IF(AND('External Input'!F4="Gas Carrier",'External Input'!F11&lt;65000),'data, etc'!O58,
IF('External Input'!F4="Tanker",'data, etc'!O59,
IF('External Input'!F4="Container Ship",'data, etc'!O60,
IF('External Input'!F4="General Cargo Ship",'data, etc'!O61,
IF('External Input'!F4="Refrigerated Cargo Carrier",'data, etc'!O62,
IF('External Input'!F4="Combination Carrier",'data, etc'!O63,
IF(AND('External Input'!F4="LNG Carrier",'External Input'!F11&gt;=100000),'data, etc'!O64,
IF(AND('External Input'!F4="LNG Carrier",'External Input'!F11&lt;100000),'data, etc'!O65,
IF('External Input'!F4="Ro-ro cargo ship (vehicle carrier)",'data, etc'!O66,
IF('External Input'!F4="Ro-ro cargo ship",'data, etc'!O67,
IF('External Input'!F4="Ro-ro passenger ship",'data, etc'!O68,'data, etc'!O69)))))))))))))</f>
        <v>1.19</v>
      </c>
    </row>
    <row r="133" spans="2:17" ht="15" thickBot="1" x14ac:dyDescent="0.35">
      <c r="B133" s="92">
        <v>2021</v>
      </c>
      <c r="C133" s="100">
        <v>0.02</v>
      </c>
      <c r="D133" s="101">
        <f t="shared" ref="D133:D142" si="53">(1-C133)*$N$119</f>
        <v>17.86149753816138</v>
      </c>
    </row>
    <row r="134" spans="2:17" x14ac:dyDescent="0.3">
      <c r="B134" s="92">
        <v>2022</v>
      </c>
      <c r="C134" s="100">
        <v>0.03</v>
      </c>
      <c r="D134" s="101">
        <f t="shared" si="53"/>
        <v>17.679237359200553</v>
      </c>
      <c r="F134" s="170" t="s">
        <v>582</v>
      </c>
      <c r="G134" s="171"/>
      <c r="H134" s="171"/>
      <c r="I134" s="171"/>
      <c r="J134" s="171"/>
      <c r="K134" s="171"/>
      <c r="L134" s="171"/>
      <c r="M134" s="171"/>
      <c r="N134" s="171"/>
      <c r="O134" s="171"/>
      <c r="P134" s="171"/>
      <c r="Q134" s="172"/>
    </row>
    <row r="135" spans="2:17" x14ac:dyDescent="0.3">
      <c r="B135" s="92">
        <v>2023</v>
      </c>
      <c r="C135" s="100">
        <v>0.05</v>
      </c>
      <c r="D135" s="101">
        <f t="shared" si="53"/>
        <v>17.31471700127889</v>
      </c>
      <c r="F135" s="118" t="s">
        <v>454</v>
      </c>
      <c r="G135" s="119" t="s">
        <v>453</v>
      </c>
      <c r="H135" s="119" t="s">
        <v>452</v>
      </c>
      <c r="I135" s="119" t="s">
        <v>460</v>
      </c>
      <c r="J135" s="119">
        <f>B119</f>
        <v>13.8</v>
      </c>
      <c r="K135" s="119">
        <f>B120</f>
        <v>12.8</v>
      </c>
      <c r="L135" s="119">
        <f>B121</f>
        <v>11.8</v>
      </c>
      <c r="M135" s="119">
        <f>B122</f>
        <v>10.8</v>
      </c>
      <c r="N135" s="119">
        <f>B123</f>
        <v>9.8000000000000007</v>
      </c>
      <c r="O135" s="119">
        <f>B124</f>
        <v>8.8000000000000007</v>
      </c>
      <c r="P135" s="119">
        <f>B125</f>
        <v>7.8000000000000007</v>
      </c>
      <c r="Q135" s="120">
        <f>B126</f>
        <v>6.8000000000000007</v>
      </c>
    </row>
    <row r="136" spans="2:17" x14ac:dyDescent="0.3">
      <c r="B136" s="92">
        <v>2024</v>
      </c>
      <c r="C136" s="100">
        <v>7.0000000000000007E-2</v>
      </c>
      <c r="D136" s="101">
        <f>(1-C136)*$N$119</f>
        <v>16.950196643357231</v>
      </c>
      <c r="E136" s="104">
        <f t="shared" ref="E136:E142" si="54">IF(J136&gt;35,40,IF(J136&gt;30,35,IF(J136&gt;25,30,25)))</f>
        <v>35</v>
      </c>
      <c r="F136" s="105">
        <f>$I$132*D136</f>
        <v>20.170734005595104</v>
      </c>
      <c r="G136" s="106">
        <f>$I$131*D136</f>
        <v>17.967208441958665</v>
      </c>
      <c r="H136" s="106">
        <f>$I$130*D136</f>
        <v>15.933184844755797</v>
      </c>
      <c r="I136" s="106">
        <f>$I$129*D136</f>
        <v>14.0686632139865</v>
      </c>
      <c r="J136" s="107">
        <f>M119</f>
        <v>34.982764991870127</v>
      </c>
      <c r="K136" s="107">
        <f>M120</f>
        <v>31.330023762667231</v>
      </c>
      <c r="L136" s="107">
        <f>M121</f>
        <v>27.570505448315259</v>
      </c>
      <c r="M136" s="107">
        <f>M122</f>
        <v>24.175581839186627</v>
      </c>
      <c r="N136" s="107">
        <f>M123</f>
        <v>21.153783518296912</v>
      </c>
      <c r="O136" s="107">
        <f>M124</f>
        <v>18.556545977593498</v>
      </c>
      <c r="P136" s="107">
        <f>M125</f>
        <v>16.404986953850958</v>
      </c>
      <c r="Q136" s="108">
        <f>M126</f>
        <v>14.684632550484423</v>
      </c>
    </row>
    <row r="137" spans="2:17" x14ac:dyDescent="0.3">
      <c r="B137" s="92">
        <v>2025</v>
      </c>
      <c r="C137" s="100">
        <v>0.09</v>
      </c>
      <c r="D137" s="101">
        <f t="shared" si="53"/>
        <v>16.585676285435568</v>
      </c>
      <c r="E137" s="104">
        <f t="shared" si="54"/>
        <v>35</v>
      </c>
      <c r="F137" s="105">
        <f t="shared" ref="F137:F142" si="55">$I$132*D137</f>
        <v>19.736954779668324</v>
      </c>
      <c r="G137" s="106">
        <f t="shared" ref="G137:G142" si="56">$I$131*D137</f>
        <v>17.580816862561704</v>
      </c>
      <c r="H137" s="106">
        <f t="shared" ref="H137:H142" si="57">$I$130*D137</f>
        <v>15.590535708309433</v>
      </c>
      <c r="I137" s="106">
        <f t="shared" ref="I137:I142" si="58">$I$129*D137</f>
        <v>13.766111316911521</v>
      </c>
      <c r="J137" s="107">
        <f t="shared" ref="J137:Q137" si="59">J136</f>
        <v>34.982764991870127</v>
      </c>
      <c r="K137" s="107">
        <f t="shared" si="59"/>
        <v>31.330023762667231</v>
      </c>
      <c r="L137" s="107">
        <f t="shared" si="59"/>
        <v>27.570505448315259</v>
      </c>
      <c r="M137" s="107">
        <f t="shared" si="59"/>
        <v>24.175581839186627</v>
      </c>
      <c r="N137" s="107">
        <f t="shared" si="59"/>
        <v>21.153783518296912</v>
      </c>
      <c r="O137" s="107">
        <f t="shared" si="59"/>
        <v>18.556545977593498</v>
      </c>
      <c r="P137" s="107">
        <f t="shared" si="59"/>
        <v>16.404986953850958</v>
      </c>
      <c r="Q137" s="108">
        <f t="shared" si="59"/>
        <v>14.684632550484423</v>
      </c>
    </row>
    <row r="138" spans="2:17" x14ac:dyDescent="0.3">
      <c r="B138" s="92">
        <v>2026</v>
      </c>
      <c r="C138" s="100">
        <v>0.11</v>
      </c>
      <c r="D138" s="101">
        <f t="shared" si="53"/>
        <v>16.221155927513909</v>
      </c>
      <c r="E138" s="104">
        <f t="shared" si="54"/>
        <v>35</v>
      </c>
      <c r="F138" s="105">
        <f t="shared" si="55"/>
        <v>19.30317555374155</v>
      </c>
      <c r="G138" s="106">
        <f t="shared" si="56"/>
        <v>17.194425283164744</v>
      </c>
      <c r="H138" s="106">
        <f t="shared" si="57"/>
        <v>15.247886571863074</v>
      </c>
      <c r="I138" s="106">
        <f t="shared" si="58"/>
        <v>13.463559419836544</v>
      </c>
      <c r="J138" s="107">
        <f t="shared" ref="J138:J142" si="60">J137</f>
        <v>34.982764991870127</v>
      </c>
      <c r="K138" s="107">
        <f t="shared" ref="K138:K142" si="61">K137</f>
        <v>31.330023762667231</v>
      </c>
      <c r="L138" s="107">
        <f t="shared" ref="L138:L142" si="62">L137</f>
        <v>27.570505448315259</v>
      </c>
      <c r="M138" s="107">
        <f t="shared" ref="M138:M142" si="63">M137</f>
        <v>24.175581839186627</v>
      </c>
      <c r="N138" s="107">
        <f t="shared" ref="N138:N142" si="64">N137</f>
        <v>21.153783518296912</v>
      </c>
      <c r="O138" s="107">
        <f t="shared" ref="O138:O142" si="65">O137</f>
        <v>18.556545977593498</v>
      </c>
      <c r="P138" s="107">
        <f t="shared" ref="P138:P142" si="66">P137</f>
        <v>16.404986953850958</v>
      </c>
      <c r="Q138" s="108">
        <f t="shared" ref="Q138:Q142" si="67">Q137</f>
        <v>14.684632550484423</v>
      </c>
    </row>
    <row r="139" spans="2:17" x14ac:dyDescent="0.3">
      <c r="B139" s="92">
        <v>2027</v>
      </c>
      <c r="C139" s="100">
        <v>0.14000000000000001</v>
      </c>
      <c r="D139" s="101">
        <f t="shared" si="53"/>
        <v>15.674375390631416</v>
      </c>
      <c r="E139" s="104">
        <f t="shared" si="54"/>
        <v>35</v>
      </c>
      <c r="F139" s="105">
        <f t="shared" si="55"/>
        <v>18.652506714851384</v>
      </c>
      <c r="G139" s="106">
        <f t="shared" si="56"/>
        <v>16.614837914069302</v>
      </c>
      <c r="H139" s="106">
        <f t="shared" si="57"/>
        <v>14.733912867193531</v>
      </c>
      <c r="I139" s="106">
        <f t="shared" si="58"/>
        <v>13.009731574224075</v>
      </c>
      <c r="J139" s="107">
        <f t="shared" si="60"/>
        <v>34.982764991870127</v>
      </c>
      <c r="K139" s="107">
        <f t="shared" si="61"/>
        <v>31.330023762667231</v>
      </c>
      <c r="L139" s="107">
        <f t="shared" si="62"/>
        <v>27.570505448315259</v>
      </c>
      <c r="M139" s="107">
        <f t="shared" si="63"/>
        <v>24.175581839186627</v>
      </c>
      <c r="N139" s="107">
        <f t="shared" si="64"/>
        <v>21.153783518296912</v>
      </c>
      <c r="O139" s="107">
        <f t="shared" si="65"/>
        <v>18.556545977593498</v>
      </c>
      <c r="P139" s="107">
        <f t="shared" si="66"/>
        <v>16.404986953850958</v>
      </c>
      <c r="Q139" s="108">
        <f t="shared" si="67"/>
        <v>14.684632550484423</v>
      </c>
    </row>
    <row r="140" spans="2:17" x14ac:dyDescent="0.3">
      <c r="B140" s="92">
        <v>2028</v>
      </c>
      <c r="C140" s="100">
        <v>0.17</v>
      </c>
      <c r="D140" s="101">
        <f t="shared" si="53"/>
        <v>15.127594853748924</v>
      </c>
      <c r="E140" s="104">
        <f t="shared" si="54"/>
        <v>35</v>
      </c>
      <c r="F140" s="105">
        <f t="shared" si="55"/>
        <v>18.001837875961218</v>
      </c>
      <c r="G140" s="106">
        <f t="shared" si="56"/>
        <v>16.035250544973859</v>
      </c>
      <c r="H140" s="106">
        <f t="shared" si="57"/>
        <v>14.219939162523987</v>
      </c>
      <c r="I140" s="106">
        <f t="shared" si="58"/>
        <v>12.555903728611607</v>
      </c>
      <c r="J140" s="107">
        <f t="shared" si="60"/>
        <v>34.982764991870127</v>
      </c>
      <c r="K140" s="107">
        <f t="shared" si="61"/>
        <v>31.330023762667231</v>
      </c>
      <c r="L140" s="107">
        <f t="shared" si="62"/>
        <v>27.570505448315259</v>
      </c>
      <c r="M140" s="107">
        <f t="shared" si="63"/>
        <v>24.175581839186627</v>
      </c>
      <c r="N140" s="107">
        <f t="shared" si="64"/>
        <v>21.153783518296912</v>
      </c>
      <c r="O140" s="107">
        <f t="shared" si="65"/>
        <v>18.556545977593498</v>
      </c>
      <c r="P140" s="107">
        <f t="shared" si="66"/>
        <v>16.404986953850958</v>
      </c>
      <c r="Q140" s="108">
        <f t="shared" si="67"/>
        <v>14.684632550484423</v>
      </c>
    </row>
    <row r="141" spans="2:17" x14ac:dyDescent="0.3">
      <c r="B141" s="92">
        <v>2029</v>
      </c>
      <c r="C141" s="100">
        <v>0.2</v>
      </c>
      <c r="D141" s="101">
        <f t="shared" si="53"/>
        <v>14.580814316866435</v>
      </c>
      <c r="E141" s="104">
        <f t="shared" si="54"/>
        <v>35</v>
      </c>
      <c r="F141" s="105">
        <f t="shared" si="55"/>
        <v>17.351169037071056</v>
      </c>
      <c r="G141" s="106">
        <f t="shared" si="56"/>
        <v>15.455663175878422</v>
      </c>
      <c r="H141" s="106">
        <f t="shared" si="57"/>
        <v>13.705965457854449</v>
      </c>
      <c r="I141" s="106">
        <f t="shared" si="58"/>
        <v>12.102075882999141</v>
      </c>
      <c r="J141" s="107">
        <f t="shared" si="60"/>
        <v>34.982764991870127</v>
      </c>
      <c r="K141" s="107">
        <f t="shared" si="61"/>
        <v>31.330023762667231</v>
      </c>
      <c r="L141" s="107">
        <f t="shared" si="62"/>
        <v>27.570505448315259</v>
      </c>
      <c r="M141" s="107">
        <f t="shared" si="63"/>
        <v>24.175581839186627</v>
      </c>
      <c r="N141" s="107">
        <f t="shared" si="64"/>
        <v>21.153783518296912</v>
      </c>
      <c r="O141" s="107">
        <f t="shared" si="65"/>
        <v>18.556545977593498</v>
      </c>
      <c r="P141" s="107">
        <f t="shared" si="66"/>
        <v>16.404986953850958</v>
      </c>
      <c r="Q141" s="108">
        <f t="shared" si="67"/>
        <v>14.684632550484423</v>
      </c>
    </row>
    <row r="142" spans="2:17" ht="15" thickBot="1" x14ac:dyDescent="0.35">
      <c r="B142" s="94">
        <v>2030</v>
      </c>
      <c r="C142" s="102">
        <v>0.23</v>
      </c>
      <c r="D142" s="103">
        <f t="shared" si="53"/>
        <v>14.034033779983943</v>
      </c>
      <c r="E142" s="104">
        <f t="shared" si="54"/>
        <v>35</v>
      </c>
      <c r="F142" s="109">
        <f t="shared" si="55"/>
        <v>16.70050019818089</v>
      </c>
      <c r="G142" s="110">
        <f t="shared" si="56"/>
        <v>14.87607580678298</v>
      </c>
      <c r="H142" s="110">
        <f t="shared" si="57"/>
        <v>13.191991753184906</v>
      </c>
      <c r="I142" s="110">
        <f t="shared" si="58"/>
        <v>11.648248037386672</v>
      </c>
      <c r="J142" s="111">
        <f t="shared" si="60"/>
        <v>34.982764991870127</v>
      </c>
      <c r="K142" s="111">
        <f t="shared" si="61"/>
        <v>31.330023762667231</v>
      </c>
      <c r="L142" s="111">
        <f t="shared" si="62"/>
        <v>27.570505448315259</v>
      </c>
      <c r="M142" s="111">
        <f t="shared" si="63"/>
        <v>24.175581839186627</v>
      </c>
      <c r="N142" s="111">
        <f t="shared" si="64"/>
        <v>21.153783518296912</v>
      </c>
      <c r="O142" s="111">
        <f t="shared" si="65"/>
        <v>18.556545977593498</v>
      </c>
      <c r="P142" s="111">
        <f t="shared" si="66"/>
        <v>16.404986953850958</v>
      </c>
      <c r="Q142" s="112">
        <f t="shared" si="67"/>
        <v>14.684632550484423</v>
      </c>
    </row>
    <row r="143" spans="2:17" x14ac:dyDescent="0.3">
      <c r="F143" s="104"/>
    </row>
    <row r="144" spans="2:17" ht="15" thickBot="1" x14ac:dyDescent="0.35"/>
    <row r="145" spans="2:9" x14ac:dyDescent="0.3">
      <c r="B145" s="173" t="s">
        <v>584</v>
      </c>
      <c r="C145" s="174"/>
      <c r="D145" s="174"/>
      <c r="E145" s="174"/>
      <c r="F145" s="174"/>
      <c r="G145" s="174"/>
      <c r="H145" s="174"/>
      <c r="I145" s="175"/>
    </row>
    <row r="146" spans="2:9" x14ac:dyDescent="0.3">
      <c r="B146" s="125" t="s">
        <v>12</v>
      </c>
      <c r="C146" s="126">
        <v>2024</v>
      </c>
      <c r="D146" s="126">
        <v>2025</v>
      </c>
      <c r="E146" s="126">
        <v>2026</v>
      </c>
      <c r="F146" s="126">
        <v>2027</v>
      </c>
      <c r="G146" s="126">
        <v>2028</v>
      </c>
      <c r="H146" s="126">
        <v>2029</v>
      </c>
      <c r="I146" s="127">
        <v>2030</v>
      </c>
    </row>
    <row r="147" spans="2:9" x14ac:dyDescent="0.3">
      <c r="B147" s="121">
        <f>B119</f>
        <v>13.8</v>
      </c>
      <c r="C147" s="65" t="str">
        <f>IF(M119&lt;(VLOOKUP($C$146,$B$136:$I$142,8,FALSE)),"A",IF(AND((VLOOKUP($C$146,$B$136:$I$142,8,FALSE))&lt;=M119,M119&lt;(VLOOKUP($C$146,$B$136:$I$142,7,FALSE))),"B",IF(AND((VLOOKUP($C$146,$B$136:$I$142,7,FALSE))&lt;=M119,M119&lt;(VLOOKUP($C$146,$B$136:$I$142,6,FALSE))),"C",IF(AND((VLOOKUP($C$146,$B$136:$I$142,6,FALSE))&lt;=M119,M119&lt;(VLOOKUP($C$146,$B$136:$I$142,5,FALSE))),"D","E"))))</f>
        <v>E</v>
      </c>
      <c r="D147" s="65" t="str">
        <f>IF(M119&lt;(VLOOKUP($D$146,$B$136:$I$142,8,FALSE)),"A",IF(AND((VLOOKUP($D$146,$B$136:$I$142,8,FALSE))&lt;=M119,M119&lt;(VLOOKUP($D$146,$B$136:$I$142,7,FALSE))),"B",IF(AND((VLOOKUP($D$146,$B$136:$I$142,7,FALSE))&lt;=M119,M119&lt;(VLOOKUP($D$146,$B$136:$I$142,6,FALSE))),"C",IF(AND((VLOOKUP($D$146,$B$136:$I$142,6,FALSE))&lt;=M119,M119&lt;(VLOOKUP($D$146,$B$136:$I$142,5,FALSE))),"D","E"))))</f>
        <v>E</v>
      </c>
      <c r="E147" s="65" t="str">
        <f>IF(M119&lt;(VLOOKUP($E$146,$B$136:$I$142,8,FALSE)),"A",IF(AND((VLOOKUP($E$146,$B$136:$I$142,8,FALSE))&lt;=M119,M119&lt;(VLOOKUP($E$146,$B$136:$I$142,7,FALSE))),"B",IF(AND((VLOOKUP($E$146,$B$136:$I$142,7,FALSE))&lt;=M119,M119&lt;(VLOOKUP($E$146,$B$136:$I$142,6,FALSE))),"C",IF(AND((VLOOKUP($E$146,$B$136:$I$142,6,FALSE))&lt;=M119,M119&lt;(VLOOKUP($E$146,$B$136:$I$142,5,FALSE))),"D","E"))))</f>
        <v>E</v>
      </c>
      <c r="F147" s="65" t="str">
        <f>IF(M119&lt;(VLOOKUP($F$146,$B$136:$I$142,8,FALSE)),"A",IF(AND((VLOOKUP($F$146,$B$136:$I$142,8,FALSE))&lt;=M119,M119&lt;(VLOOKUP($F$146,$B$136:$I$142,7,FALSE))),"B",IF(AND((VLOOKUP($F$146,$B$136:$I$142,7,FALSE))&lt;=M119,M119&lt;(VLOOKUP($F$146,$B$136:$I$142,6,FALSE))),"C",IF(AND((VLOOKUP($F$146,$B$136:$I$142,6,FALSE))&lt;=M119,M119&lt;(VLOOKUP($F$146,$B$136:$I$142,5,FALSE))),"D","E"))))</f>
        <v>E</v>
      </c>
      <c r="G147" s="65" t="str">
        <f>IF(M119&lt;(VLOOKUP($G$146,$B$136:$I$142,8,FALSE)),"A",IF(AND((VLOOKUP($G$146,$B$136:$I$142,8,FALSE))&lt;=M119,M119&lt;(VLOOKUP($G$146,$B$136:$I$142,7,FALSE))),"B",IF(AND((VLOOKUP($G$146,$B$136:$I$142,7,FALSE))&lt;=M119,M119&lt;(VLOOKUP($G$146,$B$136:$I$142,6,FALSE))),"C",IF(AND((VLOOKUP($G$146,$B$136:$I$142,6,FALSE))&lt;=M119,M119&lt;(VLOOKUP($G$146,$B$136:$I$142,5,FALSE))),"D","E"))))</f>
        <v>E</v>
      </c>
      <c r="H147" s="65" t="str">
        <f>IF(M119&lt;(VLOOKUP($H$146,$B$136:$I$142,8,FALSE)),"A",IF(AND((VLOOKUP($H$146,$B$136:$I$142,8,FALSE))&lt;=M119,M119&lt;(VLOOKUP($H$146,$B$136:$I$142,7,FALSE))),"B",IF(AND((VLOOKUP($H$146,$B$136:$I$142,7,FALSE))&lt;=M119,M119&lt;(VLOOKUP($H$146,$B$136:$I$142,6,FALSE))),"C",IF(AND((VLOOKUP($H$146,$B$136:$I$142,6,FALSE))&lt;=M119,M119&lt;(VLOOKUP($H$146,$B$136:$I$142,5,FALSE))),"D","E"))))</f>
        <v>E</v>
      </c>
      <c r="I147" s="122" t="str">
        <f t="shared" ref="I147:I154" si="68">IF(M119&lt;(VLOOKUP($I$146,$B$136:$I$142,8,FALSE)),"A",IF(AND((VLOOKUP($I$146,$B$136:$I$142,8,FALSE))&lt;=M119,M119&lt;(VLOOKUP($I$146,$B$136:$I$142,7,FALSE))),"B",IF(AND((VLOOKUP($I$146,$B$136:$I$142,7,FALSE))&lt;=M119,M119&lt;(VLOOKUP($I$146,$B$136:$I$142,6,FALSE))),"C",IF(AND((VLOOKUP($I$146,$B$136:$I$142,6,FALSE))&lt;=M119,M119&lt;(VLOOKUP($I$146,$B$136:$I$142,5,FALSE))),"D","E"))))</f>
        <v>E</v>
      </c>
    </row>
    <row r="148" spans="2:9" x14ac:dyDescent="0.3">
      <c r="B148" s="121">
        <f t="shared" ref="B148:B153" si="69">B120</f>
        <v>12.8</v>
      </c>
      <c r="C148" s="65" t="str">
        <f t="shared" ref="C148:C154" si="70">IF(M120&lt;(VLOOKUP($C$146,$B$136:$I$142,8,FALSE)),"A",IF(AND((VLOOKUP($C$146,$B$136:$I$142,8,FALSE))&lt;=M120,M120&lt;(VLOOKUP($C$146,$B$136:$I$142,7,FALSE))),"B",IF(AND((VLOOKUP($C$146,$B$136:$I$142,7,FALSE))&lt;=M120,M120&lt;(VLOOKUP($C$146,$B$136:$I$142,6,FALSE))),"C",IF(AND((VLOOKUP($C$146,$B$136:$I$142,6,FALSE))&lt;=M120,M120&lt;(VLOOKUP($C$146,$B$136:$I$142,5,FALSE))),"D","E"))))</f>
        <v>E</v>
      </c>
      <c r="D148" s="65" t="str">
        <f t="shared" ref="D148:D153" si="71">IF(M120&lt;(VLOOKUP($D$146,$B$136:$I$142,8,FALSE)),"A",IF(AND((VLOOKUP($D$146,$B$136:$I$142,8,FALSE))&lt;=M120,M120&lt;(VLOOKUP($D$146,$B$136:$I$142,7,FALSE))),"B",IF(AND((VLOOKUP($D$146,$B$136:$I$142,7,FALSE))&lt;=M120,M120&lt;(VLOOKUP($D$146,$B$136:$I$142,6,FALSE))),"C",IF(AND((VLOOKUP($D$146,$B$136:$I$142,6,FALSE))&lt;=M120,M120&lt;(VLOOKUP($D$146,$B$136:$I$142,5,FALSE))),"D","E"))))</f>
        <v>E</v>
      </c>
      <c r="E148" s="65" t="str">
        <f t="shared" ref="E148:E154" si="72">IF(M120&lt;(VLOOKUP($E$146,$B$136:$I$142,8,FALSE)),"A",IF(AND((VLOOKUP($E$146,$B$136:$I$142,8,FALSE))&lt;=M120,M120&lt;(VLOOKUP($E$146,$B$136:$I$142,7,FALSE))),"B",IF(AND((VLOOKUP($E$146,$B$136:$I$142,7,FALSE))&lt;=M120,M120&lt;(VLOOKUP($E$146,$B$136:$I$142,6,FALSE))),"C",IF(AND((VLOOKUP($E$146,$B$136:$I$142,6,FALSE))&lt;=M120,M120&lt;(VLOOKUP($E$146,$B$136:$I$142,5,FALSE))),"D","E"))))</f>
        <v>E</v>
      </c>
      <c r="F148" s="65" t="str">
        <f t="shared" ref="F148:F154" si="73">IF(M120&lt;(VLOOKUP($F$146,$B$136:$I$142,8,FALSE)),"A",IF(AND((VLOOKUP($F$146,$B$136:$I$142,8,FALSE))&lt;=M120,M120&lt;(VLOOKUP($F$146,$B$136:$I$142,7,FALSE))),"B",IF(AND((VLOOKUP($F$146,$B$136:$I$142,7,FALSE))&lt;=M120,M120&lt;(VLOOKUP($F$146,$B$136:$I$142,6,FALSE))),"C",IF(AND((VLOOKUP($F$146,$B$136:$I$142,6,FALSE))&lt;=M120,M120&lt;(VLOOKUP($F$146,$B$136:$I$142,5,FALSE))),"D","E"))))</f>
        <v>E</v>
      </c>
      <c r="G148" s="65" t="str">
        <f t="shared" ref="G148:G154" si="74">IF(M120&lt;(VLOOKUP($G$146,$B$136:$I$142,8,FALSE)),"A",IF(AND((VLOOKUP($G$146,$B$136:$I$142,8,FALSE))&lt;=M120,M120&lt;(VLOOKUP($G$146,$B$136:$I$142,7,FALSE))),"B",IF(AND((VLOOKUP($G$146,$B$136:$I$142,7,FALSE))&lt;=M120,M120&lt;(VLOOKUP($G$146,$B$136:$I$142,6,FALSE))),"C",IF(AND((VLOOKUP($G$146,$B$136:$I$142,6,FALSE))&lt;=M120,M120&lt;(VLOOKUP($G$146,$B$136:$I$142,5,FALSE))),"D","E"))))</f>
        <v>E</v>
      </c>
      <c r="H148" s="65" t="str">
        <f t="shared" ref="H148:H154" si="75">IF(M120&lt;(VLOOKUP($H$146,$B$136:$I$142,8,FALSE)),"A",IF(AND((VLOOKUP($H$146,$B$136:$I$142,8,FALSE))&lt;=M120,M120&lt;(VLOOKUP($H$146,$B$136:$I$142,7,FALSE))),"B",IF(AND((VLOOKUP($H$146,$B$136:$I$142,7,FALSE))&lt;=M120,M120&lt;(VLOOKUP($H$146,$B$136:$I$142,6,FALSE))),"C",IF(AND((VLOOKUP($H$146,$B$136:$I$142,6,FALSE))&lt;=M120,M120&lt;(VLOOKUP($H$146,$B$136:$I$142,5,FALSE))),"D","E"))))</f>
        <v>E</v>
      </c>
      <c r="I148" s="122" t="str">
        <f t="shared" si="68"/>
        <v>E</v>
      </c>
    </row>
    <row r="149" spans="2:9" x14ac:dyDescent="0.3">
      <c r="B149" s="121">
        <f t="shared" si="69"/>
        <v>11.8</v>
      </c>
      <c r="C149" s="65" t="str">
        <f>IF(M121&lt;(VLOOKUP($C$146,$B$136:$I$142,8,FALSE)),"A",IF(AND((VLOOKUP($C$146,$B$136:$I$142,8,FALSE))&lt;=M121,M121&lt;(VLOOKUP($C$146,$B$136:$I$142,7,FALSE))),"B",IF(AND((VLOOKUP($C$146,$B$136:$I$142,7,FALSE))&lt;=M121,M121&lt;(VLOOKUP($C$146,$B$136:$I$142,6,FALSE))),"C",IF(AND((VLOOKUP($C$146,$B$136:$I$142,6,FALSE))&lt;=M121,M121&lt;(VLOOKUP($C$146,$B$136:$I$142,5,FALSE))),"D","E"))))</f>
        <v>E</v>
      </c>
      <c r="D149" s="65" t="str">
        <f t="shared" si="71"/>
        <v>E</v>
      </c>
      <c r="E149" s="65" t="str">
        <f t="shared" si="72"/>
        <v>E</v>
      </c>
      <c r="F149" s="65" t="str">
        <f t="shared" si="73"/>
        <v>E</v>
      </c>
      <c r="G149" s="65" t="str">
        <f t="shared" si="74"/>
        <v>E</v>
      </c>
      <c r="H149" s="65" t="str">
        <f t="shared" si="75"/>
        <v>E</v>
      </c>
      <c r="I149" s="122" t="str">
        <f t="shared" si="68"/>
        <v>E</v>
      </c>
    </row>
    <row r="150" spans="2:9" x14ac:dyDescent="0.3">
      <c r="B150" s="121">
        <f t="shared" si="69"/>
        <v>10.8</v>
      </c>
      <c r="C150" s="65" t="str">
        <f t="shared" si="70"/>
        <v>E</v>
      </c>
      <c r="D150" s="65" t="str">
        <f t="shared" si="71"/>
        <v>E</v>
      </c>
      <c r="E150" s="65" t="str">
        <f t="shared" si="72"/>
        <v>E</v>
      </c>
      <c r="F150" s="65" t="str">
        <f t="shared" si="73"/>
        <v>E</v>
      </c>
      <c r="G150" s="65" t="str">
        <f t="shared" si="74"/>
        <v>E</v>
      </c>
      <c r="H150" s="65" t="str">
        <f t="shared" si="75"/>
        <v>E</v>
      </c>
      <c r="I150" s="122" t="str">
        <f t="shared" si="68"/>
        <v>E</v>
      </c>
    </row>
    <row r="151" spans="2:9" x14ac:dyDescent="0.3">
      <c r="B151" s="121">
        <f t="shared" si="69"/>
        <v>9.8000000000000007</v>
      </c>
      <c r="C151" s="65" t="str">
        <f t="shared" si="70"/>
        <v>E</v>
      </c>
      <c r="D151" s="65" t="str">
        <f t="shared" si="71"/>
        <v>E</v>
      </c>
      <c r="E151" s="65" t="str">
        <f t="shared" si="72"/>
        <v>E</v>
      </c>
      <c r="F151" s="65" t="str">
        <f t="shared" si="73"/>
        <v>E</v>
      </c>
      <c r="G151" s="65" t="str">
        <f t="shared" si="74"/>
        <v>E</v>
      </c>
      <c r="H151" s="65" t="str">
        <f t="shared" si="75"/>
        <v>E</v>
      </c>
      <c r="I151" s="122" t="str">
        <f t="shared" si="68"/>
        <v>E</v>
      </c>
    </row>
    <row r="152" spans="2:9" x14ac:dyDescent="0.3">
      <c r="B152" s="121">
        <f t="shared" si="69"/>
        <v>8.8000000000000007</v>
      </c>
      <c r="C152" s="65" t="str">
        <f t="shared" si="70"/>
        <v>D</v>
      </c>
      <c r="D152" s="65" t="str">
        <f t="shared" si="71"/>
        <v>D</v>
      </c>
      <c r="E152" s="65" t="str">
        <f t="shared" si="72"/>
        <v>D</v>
      </c>
      <c r="F152" s="65" t="str">
        <f t="shared" si="73"/>
        <v>D</v>
      </c>
      <c r="G152" s="65" t="str">
        <f t="shared" si="74"/>
        <v>E</v>
      </c>
      <c r="H152" s="65" t="str">
        <f t="shared" si="75"/>
        <v>E</v>
      </c>
      <c r="I152" s="122" t="str">
        <f t="shared" si="68"/>
        <v>E</v>
      </c>
    </row>
    <row r="153" spans="2:9" x14ac:dyDescent="0.3">
      <c r="B153" s="121">
        <f t="shared" si="69"/>
        <v>7.8000000000000007</v>
      </c>
      <c r="C153" s="65" t="str">
        <f t="shared" si="70"/>
        <v>C</v>
      </c>
      <c r="D153" s="65" t="str">
        <f t="shared" si="71"/>
        <v>C</v>
      </c>
      <c r="E153" s="65" t="str">
        <f t="shared" si="72"/>
        <v>C</v>
      </c>
      <c r="F153" s="65" t="str">
        <f t="shared" si="73"/>
        <v>C</v>
      </c>
      <c r="G153" s="65" t="str">
        <f t="shared" si="74"/>
        <v>D</v>
      </c>
      <c r="H153" s="65" t="str">
        <f t="shared" si="75"/>
        <v>D</v>
      </c>
      <c r="I153" s="122" t="str">
        <f t="shared" si="68"/>
        <v>D</v>
      </c>
    </row>
    <row r="154" spans="2:9" ht="15" thickBot="1" x14ac:dyDescent="0.35">
      <c r="B154" s="123">
        <f>B126</f>
        <v>6.8000000000000007</v>
      </c>
      <c r="C154" s="99" t="str">
        <f t="shared" si="70"/>
        <v>B</v>
      </c>
      <c r="D154" s="99" t="str">
        <f>IF(M126&lt;(VLOOKUP($D$146,$B$136:$I$142,8,FALSE)),"A",IF(AND((VLOOKUP($D$146,$B$136:$I$142,8,FALSE))&lt;=M126,M126&lt;(VLOOKUP($D$146,$B$136:$I$142,7,FALSE))),"B",IF(AND((VLOOKUP($D$146,$B$136:$I$142,7,FALSE))&lt;=M126,M126&lt;(VLOOKUP($D$146,$B$136:$I$142,6,FALSE))),"C",IF(AND((VLOOKUP($D$146,$B$136:$I$142,6,FALSE))&lt;=M126,M126&lt;(VLOOKUP($D$146,$B$136:$I$142,5,FALSE))),"D","E"))))</f>
        <v>B</v>
      </c>
      <c r="E154" s="99" t="str">
        <f t="shared" si="72"/>
        <v>B</v>
      </c>
      <c r="F154" s="99" t="str">
        <f t="shared" si="73"/>
        <v>B</v>
      </c>
      <c r="G154" s="99" t="str">
        <f t="shared" si="74"/>
        <v>C</v>
      </c>
      <c r="H154" s="99" t="str">
        <f t="shared" si="75"/>
        <v>C</v>
      </c>
      <c r="I154" s="124" t="str">
        <f t="shared" si="68"/>
        <v>C</v>
      </c>
    </row>
  </sheetData>
  <mergeCells count="93">
    <mergeCell ref="B103:O103"/>
    <mergeCell ref="K116:L117"/>
    <mergeCell ref="G117:H117"/>
    <mergeCell ref="E117:F117"/>
    <mergeCell ref="C117:D117"/>
    <mergeCell ref="B117:B118"/>
    <mergeCell ref="B116:H116"/>
    <mergeCell ref="B104:B105"/>
    <mergeCell ref="L104:M104"/>
    <mergeCell ref="C104:D104"/>
    <mergeCell ref="E104:F104"/>
    <mergeCell ref="H104:I104"/>
    <mergeCell ref="B29:C29"/>
    <mergeCell ref="B35:C35"/>
    <mergeCell ref="B69:J69"/>
    <mergeCell ref="B81:J81"/>
    <mergeCell ref="B92:J92"/>
    <mergeCell ref="N28:P28"/>
    <mergeCell ref="N29:P29"/>
    <mergeCell ref="N25:P25"/>
    <mergeCell ref="N26:P26"/>
    <mergeCell ref="N27:P27"/>
    <mergeCell ref="J65:L65"/>
    <mergeCell ref="F54:H54"/>
    <mergeCell ref="B54:D54"/>
    <mergeCell ref="B58:D58"/>
    <mergeCell ref="B62:D62"/>
    <mergeCell ref="F63:H63"/>
    <mergeCell ref="F58:H58"/>
    <mergeCell ref="B2:D2"/>
    <mergeCell ref="B52:L52"/>
    <mergeCell ref="N61:P65"/>
    <mergeCell ref="F2:M2"/>
    <mergeCell ref="N52:S52"/>
    <mergeCell ref="J54:L54"/>
    <mergeCell ref="J58:L58"/>
    <mergeCell ref="J62:L62"/>
    <mergeCell ref="N30:P30"/>
    <mergeCell ref="N31:P31"/>
    <mergeCell ref="N32:P32"/>
    <mergeCell ref="N35:P35"/>
    <mergeCell ref="N36:P36"/>
    <mergeCell ref="N37:P37"/>
    <mergeCell ref="N23:P23"/>
    <mergeCell ref="N20:R20"/>
    <mergeCell ref="H26:I26"/>
    <mergeCell ref="H42:I42"/>
    <mergeCell ref="N9:R9"/>
    <mergeCell ref="B9:L9"/>
    <mergeCell ref="K18:L18"/>
    <mergeCell ref="K23:L23"/>
    <mergeCell ref="K29:L29"/>
    <mergeCell ref="H13:I13"/>
    <mergeCell ref="B11:F11"/>
    <mergeCell ref="N12:P12"/>
    <mergeCell ref="H11:L11"/>
    <mergeCell ref="N11:R11"/>
    <mergeCell ref="N21:P21"/>
    <mergeCell ref="N22:P22"/>
    <mergeCell ref="N34:R34"/>
    <mergeCell ref="N24:P24"/>
    <mergeCell ref="H47:I47"/>
    <mergeCell ref="K13:L13"/>
    <mergeCell ref="N17:P17"/>
    <mergeCell ref="N18:P18"/>
    <mergeCell ref="B13:C13"/>
    <mergeCell ref="E13:F13"/>
    <mergeCell ref="B18:C18"/>
    <mergeCell ref="B21:C21"/>
    <mergeCell ref="N13:P13"/>
    <mergeCell ref="N14:P14"/>
    <mergeCell ref="N15:P15"/>
    <mergeCell ref="N16:P16"/>
    <mergeCell ref="K34:L34"/>
    <mergeCell ref="K44:L44"/>
    <mergeCell ref="H32:I32"/>
    <mergeCell ref="B26:C26"/>
    <mergeCell ref="F134:Q134"/>
    <mergeCell ref="F128:I128"/>
    <mergeCell ref="B145:I145"/>
    <mergeCell ref="J104:J105"/>
    <mergeCell ref="K104:K105"/>
    <mergeCell ref="B131:D131"/>
    <mergeCell ref="F129:G129"/>
    <mergeCell ref="F130:G130"/>
    <mergeCell ref="F131:G131"/>
    <mergeCell ref="F132:G132"/>
    <mergeCell ref="N119:O126"/>
    <mergeCell ref="N116:O116"/>
    <mergeCell ref="N104:O104"/>
    <mergeCell ref="B115:O115"/>
    <mergeCell ref="M116:M118"/>
    <mergeCell ref="I116:J1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AC45B-C5DC-4E03-8047-DBF387BD8237}">
  <dimension ref="B3:R18"/>
  <sheetViews>
    <sheetView zoomScale="130" zoomScaleNormal="130" workbookViewId="0">
      <selection activeCell="E10" sqref="E10"/>
    </sheetView>
  </sheetViews>
  <sheetFormatPr defaultRowHeight="14.4" x14ac:dyDescent="0.3"/>
  <cols>
    <col min="1" max="1" width="2.77734375" customWidth="1"/>
    <col min="3" max="3" width="12.109375" customWidth="1"/>
    <col min="4" max="4" width="8.88671875" customWidth="1"/>
    <col min="5" max="5" width="13.77734375" customWidth="1"/>
    <col min="7" max="8" width="8.88671875" customWidth="1"/>
  </cols>
  <sheetData>
    <row r="3" spans="2:18" x14ac:dyDescent="0.3">
      <c r="B3" t="s">
        <v>585</v>
      </c>
      <c r="D3" s="200" t="str">
        <f>'External Input'!F3</f>
        <v>MV JALADHIMANTRI</v>
      </c>
      <c r="E3" s="200"/>
      <c r="F3" s="200"/>
    </row>
    <row r="4" spans="2:18" x14ac:dyDescent="0.3">
      <c r="B4" t="s">
        <v>586</v>
      </c>
      <c r="D4" s="200" t="str">
        <f>'External Input'!F4</f>
        <v>General cargo ship</v>
      </c>
      <c r="E4" s="200"/>
      <c r="F4" s="200"/>
    </row>
    <row r="5" spans="2:18" x14ac:dyDescent="0.3">
      <c r="B5" t="s">
        <v>191</v>
      </c>
      <c r="D5" s="200" t="str">
        <f>'External Input'!F5</f>
        <v>SUB-WIN-DIL-SUB</v>
      </c>
      <c r="E5" s="200"/>
      <c r="F5" s="200"/>
    </row>
    <row r="6" spans="2:18" x14ac:dyDescent="0.3">
      <c r="B6" t="s">
        <v>8</v>
      </c>
      <c r="D6" s="211">
        <f>'External Input'!F11</f>
        <v>7644.7</v>
      </c>
      <c r="E6" s="211"/>
      <c r="F6" s="211"/>
    </row>
    <row r="7" spans="2:18" ht="15" thickBot="1" x14ac:dyDescent="0.35"/>
    <row r="8" spans="2:18" x14ac:dyDescent="0.3">
      <c r="B8" s="203" t="s">
        <v>593</v>
      </c>
      <c r="C8" s="204"/>
      <c r="D8" s="204"/>
      <c r="E8" s="204"/>
      <c r="F8" s="204"/>
      <c r="G8" s="204"/>
      <c r="H8" s="204"/>
      <c r="I8" s="205"/>
      <c r="K8" s="170" t="s">
        <v>592</v>
      </c>
      <c r="L8" s="171"/>
      <c r="M8" s="171"/>
      <c r="N8" s="171"/>
      <c r="O8" s="171"/>
      <c r="P8" s="171"/>
      <c r="Q8" s="171"/>
      <c r="R8" s="172"/>
    </row>
    <row r="9" spans="2:18" x14ac:dyDescent="0.3">
      <c r="B9" s="144" t="s">
        <v>12</v>
      </c>
      <c r="C9" s="214" t="s">
        <v>587</v>
      </c>
      <c r="D9" s="214"/>
      <c r="E9" s="214"/>
      <c r="F9" s="89" t="s">
        <v>589</v>
      </c>
      <c r="G9" s="214" t="s">
        <v>588</v>
      </c>
      <c r="H9" s="214"/>
      <c r="I9" s="215"/>
      <c r="K9" s="125" t="str">
        <f>Calculation!B146</f>
        <v>Vs</v>
      </c>
      <c r="L9" s="126">
        <f>Calculation!C146</f>
        <v>2024</v>
      </c>
      <c r="M9" s="126">
        <f>Calculation!D146</f>
        <v>2025</v>
      </c>
      <c r="N9" s="126">
        <f>Calculation!E146</f>
        <v>2026</v>
      </c>
      <c r="O9" s="126">
        <f>Calculation!F146</f>
        <v>2027</v>
      </c>
      <c r="P9" s="126">
        <f>Calculation!G146</f>
        <v>2028</v>
      </c>
      <c r="Q9" s="126">
        <f>Calculation!H146</f>
        <v>2029</v>
      </c>
      <c r="R9" s="127">
        <f>Calculation!I146</f>
        <v>2030</v>
      </c>
    </row>
    <row r="10" spans="2:18" x14ac:dyDescent="0.3">
      <c r="B10" s="113">
        <f>Calculation!B106</f>
        <v>13.8</v>
      </c>
      <c r="C10" s="53">
        <f>Calculation!N106</f>
        <v>108895.8144525284</v>
      </c>
      <c r="D10" s="138" t="s">
        <v>73</v>
      </c>
      <c r="E10" s="53">
        <f>Calculation!O106</f>
        <v>133094.88433086805</v>
      </c>
      <c r="F10" s="212" t="str">
        <f>'External Input'!F24</f>
        <v>HFO</v>
      </c>
      <c r="G10" s="53">
        <f>Calculation!L106</f>
        <v>21446.482086956519</v>
      </c>
      <c r="H10" s="138" t="s">
        <v>73</v>
      </c>
      <c r="I10" s="139">
        <f>Calculation!M106</f>
        <v>22343.170086956521</v>
      </c>
      <c r="K10" s="121">
        <f>Calculation!B147</f>
        <v>13.8</v>
      </c>
      <c r="L10" s="65" t="str">
        <f>Calculation!C147</f>
        <v>E</v>
      </c>
      <c r="M10" s="65" t="str">
        <f>Calculation!D147</f>
        <v>E</v>
      </c>
      <c r="N10" s="65" t="str">
        <f>Calculation!E147</f>
        <v>E</v>
      </c>
      <c r="O10" s="65" t="str">
        <f>Calculation!F147</f>
        <v>E</v>
      </c>
      <c r="P10" s="65" t="str">
        <f>Calculation!G147</f>
        <v>E</v>
      </c>
      <c r="Q10" s="65" t="str">
        <f>Calculation!H147</f>
        <v>E</v>
      </c>
      <c r="R10" s="122" t="str">
        <f>Calculation!I147</f>
        <v>E</v>
      </c>
    </row>
    <row r="11" spans="2:18" x14ac:dyDescent="0.3">
      <c r="B11" s="113">
        <f>Calculation!B107</f>
        <v>12.8</v>
      </c>
      <c r="C11" s="137">
        <f>Calculation!N107</f>
        <v>95219.876923210017</v>
      </c>
      <c r="D11" s="136" t="s">
        <v>73</v>
      </c>
      <c r="E11" s="137">
        <f>Calculation!O107</f>
        <v>116379.84957281225</v>
      </c>
      <c r="F11" s="212"/>
      <c r="G11" s="137">
        <f>Calculation!L107</f>
        <v>21930.882562499999</v>
      </c>
      <c r="H11" s="136" t="s">
        <v>73</v>
      </c>
      <c r="I11" s="140">
        <f>Calculation!M107</f>
        <v>22827.570562500001</v>
      </c>
      <c r="K11" s="121">
        <f>Calculation!B148</f>
        <v>12.8</v>
      </c>
      <c r="L11" s="65" t="str">
        <f>Calculation!C148</f>
        <v>E</v>
      </c>
      <c r="M11" s="65" t="str">
        <f>Calculation!D148</f>
        <v>E</v>
      </c>
      <c r="N11" s="65" t="str">
        <f>Calculation!E148</f>
        <v>E</v>
      </c>
      <c r="O11" s="65" t="str">
        <f>Calculation!F148</f>
        <v>E</v>
      </c>
      <c r="P11" s="65" t="str">
        <f>Calculation!G148</f>
        <v>E</v>
      </c>
      <c r="Q11" s="65" t="str">
        <f>Calculation!H148</f>
        <v>E</v>
      </c>
      <c r="R11" s="122" t="str">
        <f>Calculation!I148</f>
        <v>E</v>
      </c>
    </row>
    <row r="12" spans="2:18" x14ac:dyDescent="0.3">
      <c r="B12" s="113">
        <f>Calculation!B108</f>
        <v>11.8</v>
      </c>
      <c r="C12" s="53">
        <f>Calculation!N108</f>
        <v>81087.625796829743</v>
      </c>
      <c r="D12" s="138" t="s">
        <v>73</v>
      </c>
      <c r="E12" s="53">
        <f>Calculation!O108</f>
        <v>99107.09819612524</v>
      </c>
      <c r="F12" s="212"/>
      <c r="G12" s="53">
        <f>Calculation!L108</f>
        <v>22497.384813559322</v>
      </c>
      <c r="H12" s="138" t="s">
        <v>73</v>
      </c>
      <c r="I12" s="139">
        <f>Calculation!M108</f>
        <v>23394.072813559324</v>
      </c>
      <c r="K12" s="121">
        <f>Calculation!B149</f>
        <v>11.8</v>
      </c>
      <c r="L12" s="65" t="str">
        <f>Calculation!C149</f>
        <v>E</v>
      </c>
      <c r="M12" s="65" t="str">
        <f>Calculation!D149</f>
        <v>E</v>
      </c>
      <c r="N12" s="65" t="str">
        <f>Calculation!E149</f>
        <v>E</v>
      </c>
      <c r="O12" s="65" t="str">
        <f>Calculation!F149</f>
        <v>E</v>
      </c>
      <c r="P12" s="65" t="str">
        <f>Calculation!G149</f>
        <v>E</v>
      </c>
      <c r="Q12" s="65" t="str">
        <f>Calculation!H149</f>
        <v>E</v>
      </c>
      <c r="R12" s="122" t="str">
        <f>Calculation!I149</f>
        <v>E</v>
      </c>
    </row>
    <row r="13" spans="2:18" x14ac:dyDescent="0.3">
      <c r="B13" s="113">
        <f>Calculation!B109</f>
        <v>10.8</v>
      </c>
      <c r="C13" s="137">
        <f>Calculation!N109</f>
        <v>68192.890581974614</v>
      </c>
      <c r="D13" s="136" t="s">
        <v>73</v>
      </c>
      <c r="E13" s="137">
        <f>Calculation!O109</f>
        <v>83346.866266857862</v>
      </c>
      <c r="F13" s="212"/>
      <c r="G13" s="137">
        <f>Calculation!L109</f>
        <v>23168.794888888886</v>
      </c>
      <c r="H13" s="136" t="s">
        <v>73</v>
      </c>
      <c r="I13" s="140">
        <f>Calculation!M109</f>
        <v>24065.482888888888</v>
      </c>
      <c r="K13" s="121">
        <f>Calculation!B150</f>
        <v>10.8</v>
      </c>
      <c r="L13" s="65" t="str">
        <f>Calculation!C150</f>
        <v>E</v>
      </c>
      <c r="M13" s="65" t="str">
        <f>Calculation!D150</f>
        <v>E</v>
      </c>
      <c r="N13" s="65" t="str">
        <f>Calculation!E150</f>
        <v>E</v>
      </c>
      <c r="O13" s="65" t="str">
        <f>Calculation!F150</f>
        <v>E</v>
      </c>
      <c r="P13" s="65" t="str">
        <f>Calculation!G150</f>
        <v>E</v>
      </c>
      <c r="Q13" s="65" t="str">
        <f>Calculation!H150</f>
        <v>E</v>
      </c>
      <c r="R13" s="122" t="str">
        <f>Calculation!I150</f>
        <v>E</v>
      </c>
    </row>
    <row r="14" spans="2:18" x14ac:dyDescent="0.3">
      <c r="B14" s="113">
        <f>Calculation!B110</f>
        <v>9.8000000000000007</v>
      </c>
      <c r="C14" s="53">
        <f>Calculation!N110</f>
        <v>56539.944237973061</v>
      </c>
      <c r="D14" s="138" t="s">
        <v>73</v>
      </c>
      <c r="E14" s="53">
        <f>Calculation!O110</f>
        <v>69104.376290855973</v>
      </c>
      <c r="F14" s="212"/>
      <c r="G14" s="53">
        <f>Calculation!L110</f>
        <v>23977.227428571427</v>
      </c>
      <c r="H14" s="138" t="s">
        <v>73</v>
      </c>
      <c r="I14" s="139">
        <f>Calculation!M110</f>
        <v>24873.915428571428</v>
      </c>
      <c r="K14" s="121">
        <f>Calculation!B151</f>
        <v>9.8000000000000007</v>
      </c>
      <c r="L14" s="65" t="str">
        <f>Calculation!C151</f>
        <v>E</v>
      </c>
      <c r="M14" s="65" t="str">
        <f>Calculation!D151</f>
        <v>E</v>
      </c>
      <c r="N14" s="65" t="str">
        <f>Calculation!E151</f>
        <v>E</v>
      </c>
      <c r="O14" s="65" t="str">
        <f>Calculation!F151</f>
        <v>E</v>
      </c>
      <c r="P14" s="65" t="str">
        <f>Calculation!G151</f>
        <v>E</v>
      </c>
      <c r="Q14" s="65" t="str">
        <f>Calculation!H151</f>
        <v>E</v>
      </c>
      <c r="R14" s="122" t="str">
        <f>Calculation!I151</f>
        <v>E</v>
      </c>
    </row>
    <row r="15" spans="2:18" x14ac:dyDescent="0.3">
      <c r="B15" s="113">
        <f>Calculation!B111</f>
        <v>8.8000000000000007</v>
      </c>
      <c r="C15" s="137">
        <f>Calculation!N111</f>
        <v>46276.814410857507</v>
      </c>
      <c r="D15" s="136" t="s">
        <v>73</v>
      </c>
      <c r="E15" s="137">
        <f>Calculation!O111</f>
        <v>56560.550946603624</v>
      </c>
      <c r="F15" s="212"/>
      <c r="G15" s="137">
        <f>Calculation!L111</f>
        <v>24969.394636363635</v>
      </c>
      <c r="H15" s="136" t="s">
        <v>73</v>
      </c>
      <c r="I15" s="140">
        <f>Calculation!M111</f>
        <v>25866.082636363637</v>
      </c>
      <c r="K15" s="121">
        <f>Calculation!B152</f>
        <v>8.8000000000000007</v>
      </c>
      <c r="L15" s="65" t="str">
        <f>Calculation!C152</f>
        <v>D</v>
      </c>
      <c r="M15" s="65" t="str">
        <f>Calculation!D152</f>
        <v>D</v>
      </c>
      <c r="N15" s="65" t="str">
        <f>Calculation!E152</f>
        <v>D</v>
      </c>
      <c r="O15" s="65" t="str">
        <f>Calculation!F152</f>
        <v>D</v>
      </c>
      <c r="P15" s="65" t="str">
        <f>Calculation!G152</f>
        <v>E</v>
      </c>
      <c r="Q15" s="65" t="str">
        <f>Calculation!H152</f>
        <v>E</v>
      </c>
      <c r="R15" s="122" t="str">
        <f>Calculation!I152</f>
        <v>E</v>
      </c>
    </row>
    <row r="16" spans="2:18" x14ac:dyDescent="0.3">
      <c r="B16" s="113">
        <f>Calculation!B112</f>
        <v>7.8000000000000007</v>
      </c>
      <c r="C16" s="53">
        <f>Calculation!N112</f>
        <v>37421.429917590031</v>
      </c>
      <c r="D16" s="138" t="s">
        <v>73</v>
      </c>
      <c r="E16" s="53">
        <f>Calculation!O112</f>
        <v>45737.303232610037</v>
      </c>
      <c r="F16" s="212"/>
      <c r="G16" s="53">
        <f>Calculation!L112</f>
        <v>26215.963692307691</v>
      </c>
      <c r="H16" s="138" t="s">
        <v>73</v>
      </c>
      <c r="I16" s="139">
        <f>Calculation!M112</f>
        <v>27112.651692307692</v>
      </c>
      <c r="K16" s="121">
        <f>Calculation!B153</f>
        <v>7.8000000000000007</v>
      </c>
      <c r="L16" s="65" t="str">
        <f>Calculation!C153</f>
        <v>C</v>
      </c>
      <c r="M16" s="65" t="str">
        <f>Calculation!D153</f>
        <v>C</v>
      </c>
      <c r="N16" s="65" t="str">
        <f>Calculation!E153</f>
        <v>C</v>
      </c>
      <c r="O16" s="65" t="str">
        <f>Calculation!F153</f>
        <v>C</v>
      </c>
      <c r="P16" s="65" t="str">
        <f>Calculation!G153</f>
        <v>D</v>
      </c>
      <c r="Q16" s="65" t="str">
        <f>Calculation!H153</f>
        <v>D</v>
      </c>
      <c r="R16" s="122" t="str">
        <f>Calculation!I153</f>
        <v>D</v>
      </c>
    </row>
    <row r="17" spans="2:18" ht="15" thickBot="1" x14ac:dyDescent="0.35">
      <c r="B17" s="114">
        <f>Calculation!B113</f>
        <v>6.8000000000000007</v>
      </c>
      <c r="C17" s="141">
        <f>Calculation!N113</f>
        <v>29827.799710308329</v>
      </c>
      <c r="D17" s="142" t="s">
        <v>73</v>
      </c>
      <c r="E17" s="141">
        <f>Calculation!O113</f>
        <v>36456.199645932407</v>
      </c>
      <c r="F17" s="213"/>
      <c r="G17" s="141">
        <f>Calculation!L113</f>
        <v>27829.170705882352</v>
      </c>
      <c r="H17" s="142" t="s">
        <v>73</v>
      </c>
      <c r="I17" s="143">
        <f>Calculation!M113</f>
        <v>28725.858705882354</v>
      </c>
      <c r="K17" s="123">
        <f>Calculation!B154</f>
        <v>6.8000000000000007</v>
      </c>
      <c r="L17" s="99" t="str">
        <f>Calculation!C154</f>
        <v>B</v>
      </c>
      <c r="M17" s="99" t="str">
        <f>Calculation!D154</f>
        <v>B</v>
      </c>
      <c r="N17" s="99" t="str">
        <f>Calculation!E154</f>
        <v>B</v>
      </c>
      <c r="O17" s="99" t="str">
        <f>Calculation!F154</f>
        <v>B</v>
      </c>
      <c r="P17" s="99" t="str">
        <f>Calculation!G154</f>
        <v>C</v>
      </c>
      <c r="Q17" s="99" t="str">
        <f>Calculation!H154</f>
        <v>C</v>
      </c>
      <c r="R17" s="124" t="str">
        <f>Calculation!I154</f>
        <v>C</v>
      </c>
    </row>
    <row r="18" spans="2:18" x14ac:dyDescent="0.3">
      <c r="F18" s="53"/>
    </row>
  </sheetData>
  <mergeCells count="9">
    <mergeCell ref="G9:I9"/>
    <mergeCell ref="B8:I8"/>
    <mergeCell ref="K8:R8"/>
    <mergeCell ref="D3:F3"/>
    <mergeCell ref="D4:F4"/>
    <mergeCell ref="D5:F5"/>
    <mergeCell ref="D6:F6"/>
    <mergeCell ref="F10:F17"/>
    <mergeCell ref="C9:E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F2D4-6EA6-4CEE-9EEC-44019C3F9005}">
  <dimension ref="A2:BH226"/>
  <sheetViews>
    <sheetView topLeftCell="H170" zoomScale="90" zoomScaleNormal="90" workbookViewId="0">
      <selection activeCell="U178" sqref="U178"/>
    </sheetView>
  </sheetViews>
  <sheetFormatPr defaultRowHeight="14.4" x14ac:dyDescent="0.3"/>
  <cols>
    <col min="2" max="2" width="13.88671875" customWidth="1"/>
    <col min="3" max="6" width="12.88671875" bestFit="1" customWidth="1"/>
    <col min="7" max="8" width="12.44140625" bestFit="1" customWidth="1"/>
    <col min="9" max="9" width="9.5546875" customWidth="1"/>
    <col min="10" max="10" width="19.109375" customWidth="1"/>
    <col min="13" max="13" width="9.88671875" customWidth="1"/>
    <col min="15" max="15" width="20.88671875" customWidth="1"/>
    <col min="16" max="16" width="11.6640625" customWidth="1"/>
    <col min="29" max="29" width="10.33203125" customWidth="1"/>
    <col min="30" max="30" width="10.77734375" customWidth="1"/>
    <col min="33" max="33" width="11.33203125" bestFit="1" customWidth="1"/>
    <col min="39" max="39" width="12" customWidth="1"/>
    <col min="40" max="40" width="9.77734375" customWidth="1"/>
    <col min="44" max="44" width="11" customWidth="1"/>
    <col min="45" max="45" width="9.77734375" bestFit="1" customWidth="1"/>
    <col min="47" max="47" width="10.77734375" bestFit="1" customWidth="1"/>
  </cols>
  <sheetData>
    <row r="2" spans="1:19" x14ac:dyDescent="0.3">
      <c r="A2" s="218" t="s">
        <v>0</v>
      </c>
      <c r="B2" s="225"/>
      <c r="C2" s="225"/>
      <c r="D2" s="225"/>
      <c r="E2" s="225"/>
      <c r="F2" s="225"/>
      <c r="G2" s="225"/>
      <c r="I2" s="218" t="s">
        <v>344</v>
      </c>
      <c r="J2" s="218"/>
      <c r="K2" s="218"/>
      <c r="L2" s="218"/>
      <c r="M2" s="218"/>
      <c r="O2" s="218" t="s">
        <v>345</v>
      </c>
      <c r="P2" s="218"/>
      <c r="Q2" s="218"/>
      <c r="R2" s="218"/>
    </row>
    <row r="4" spans="1:19" x14ac:dyDescent="0.3">
      <c r="A4" s="200" t="s">
        <v>1</v>
      </c>
      <c r="B4" s="200"/>
      <c r="C4" s="217" t="s">
        <v>77</v>
      </c>
      <c r="D4" s="217"/>
      <c r="E4" s="217"/>
      <c r="F4" s="217"/>
      <c r="G4" s="217"/>
      <c r="I4" t="s">
        <v>168</v>
      </c>
      <c r="K4" s="232">
        <v>3200</v>
      </c>
      <c r="L4" s="232"/>
      <c r="M4" t="s">
        <v>164</v>
      </c>
      <c r="O4" t="s">
        <v>191</v>
      </c>
      <c r="Q4" s="217" t="s">
        <v>339</v>
      </c>
      <c r="R4" s="217"/>
    </row>
    <row r="5" spans="1:19" x14ac:dyDescent="0.3">
      <c r="A5" s="200" t="s">
        <v>2</v>
      </c>
      <c r="B5" s="200"/>
      <c r="C5" s="217" t="s">
        <v>435</v>
      </c>
      <c r="D5" s="217"/>
      <c r="E5" s="217"/>
      <c r="F5" s="217"/>
      <c r="G5" s="217"/>
      <c r="I5" t="s">
        <v>173</v>
      </c>
      <c r="K5" s="232">
        <v>182</v>
      </c>
      <c r="L5" s="232"/>
      <c r="M5" t="s">
        <v>343</v>
      </c>
      <c r="O5" t="s">
        <v>193</v>
      </c>
      <c r="Q5" s="233">
        <v>1</v>
      </c>
      <c r="R5" s="233"/>
    </row>
    <row r="6" spans="1:19" x14ac:dyDescent="0.3">
      <c r="A6" s="200" t="s">
        <v>3</v>
      </c>
      <c r="B6" s="200"/>
      <c r="C6" s="217">
        <v>117</v>
      </c>
      <c r="D6" s="217"/>
      <c r="E6" s="217"/>
      <c r="F6" s="217"/>
      <c r="G6" t="s">
        <v>27</v>
      </c>
      <c r="I6" t="s">
        <v>178</v>
      </c>
      <c r="K6" s="232">
        <v>169</v>
      </c>
      <c r="L6" s="232"/>
      <c r="M6" t="s">
        <v>211</v>
      </c>
      <c r="O6" t="s">
        <v>179</v>
      </c>
      <c r="Q6" s="231">
        <f>VLOOKUP(Sheet1!Q4,'Route Distance'!C147:N159,11,FALSE)</f>
        <v>1436.84</v>
      </c>
      <c r="R6" s="231"/>
    </row>
    <row r="7" spans="1:19" x14ac:dyDescent="0.3">
      <c r="A7" s="200" t="s">
        <v>4</v>
      </c>
      <c r="B7" s="200"/>
      <c r="C7" s="217">
        <v>110</v>
      </c>
      <c r="D7" s="217"/>
      <c r="E7" s="217"/>
      <c r="F7" s="217"/>
      <c r="G7" t="s">
        <v>27</v>
      </c>
      <c r="I7" t="s">
        <v>177</v>
      </c>
      <c r="K7" s="227">
        <v>0.75</v>
      </c>
      <c r="L7" s="217"/>
      <c r="M7" t="s">
        <v>346</v>
      </c>
      <c r="O7" t="s">
        <v>180</v>
      </c>
      <c r="Q7" s="229">
        <f>Q6/C17</f>
        <v>104.11884057971014</v>
      </c>
      <c r="R7" s="229"/>
    </row>
    <row r="8" spans="1:19" x14ac:dyDescent="0.3">
      <c r="A8" s="200" t="s">
        <v>29</v>
      </c>
      <c r="B8" s="200"/>
      <c r="C8" s="216">
        <f>C7*1.035</f>
        <v>113.85</v>
      </c>
      <c r="D8" s="216"/>
      <c r="E8" s="216"/>
      <c r="F8" s="216"/>
      <c r="G8" t="s">
        <v>27</v>
      </c>
      <c r="I8" t="s">
        <v>473</v>
      </c>
      <c r="K8" s="237">
        <v>180</v>
      </c>
      <c r="L8" s="237"/>
      <c r="M8" t="s">
        <v>164</v>
      </c>
      <c r="O8" t="s">
        <v>185</v>
      </c>
      <c r="Q8" s="229">
        <f>IFERROR(VLOOKUP(S8,'Route Distance'!$C$188:$H$200,HLOOKUP($Q$5,'Route Distance'!$C$188:$H$190,2,FALSE),FALSE),0)</f>
        <v>30.9</v>
      </c>
      <c r="R8" s="229"/>
      <c r="S8" t="str">
        <f>VLOOKUP(Q4,'Route Distance'!C146:F159,2,FALSE)</f>
        <v>Surabaya</v>
      </c>
    </row>
    <row r="9" spans="1:19" x14ac:dyDescent="0.3">
      <c r="A9" s="211" t="s">
        <v>45</v>
      </c>
      <c r="B9" s="211"/>
      <c r="C9" s="217">
        <v>114</v>
      </c>
      <c r="D9" s="217"/>
      <c r="E9" s="217"/>
      <c r="F9" s="217"/>
      <c r="G9" t="s">
        <v>27</v>
      </c>
      <c r="I9" t="s">
        <v>474</v>
      </c>
      <c r="K9" s="237">
        <v>2</v>
      </c>
      <c r="L9" s="237"/>
      <c r="O9" t="s">
        <v>186</v>
      </c>
      <c r="Q9" s="229">
        <f>IFERROR(VLOOKUP(S9,'Route Distance'!$C$188:$H$200,HLOOKUP($Q$5,'Route Distance'!$C$188:$H$190,2,FALSE),FALSE),0)</f>
        <v>85</v>
      </c>
      <c r="R9" s="229"/>
      <c r="S9" t="str">
        <f>VLOOKUP(Q4,'Route Distance'!C146:F159,3,FALSE)</f>
        <v>Toli-toli</v>
      </c>
    </row>
    <row r="10" spans="1:19" x14ac:dyDescent="0.3">
      <c r="A10" s="200" t="s">
        <v>5</v>
      </c>
      <c r="B10" s="200"/>
      <c r="C10" s="217">
        <v>19.7</v>
      </c>
      <c r="D10" s="217"/>
      <c r="E10" s="217"/>
      <c r="F10" s="217"/>
      <c r="G10" t="s">
        <v>27</v>
      </c>
      <c r="O10" t="s">
        <v>187</v>
      </c>
      <c r="Q10" s="229">
        <f>IFERROR(VLOOKUP(S10,'Route Distance'!$C$188:$H$200,HLOOKUP($Q$5,'Route Distance'!$C$188:$H$190,2,FALSE),FALSE),0)</f>
        <v>0</v>
      </c>
      <c r="R10" s="229"/>
      <c r="S10" t="str">
        <f>VLOOKUP(Q4,'Route Distance'!C146:F159,4,FALSE)</f>
        <v>-</v>
      </c>
    </row>
    <row r="11" spans="1:19" x14ac:dyDescent="0.3">
      <c r="A11" s="200" t="s">
        <v>7</v>
      </c>
      <c r="B11" s="200"/>
      <c r="C11" s="217">
        <v>6.45</v>
      </c>
      <c r="D11" s="217"/>
      <c r="E11" s="217"/>
      <c r="F11" s="217"/>
      <c r="G11" t="s">
        <v>27</v>
      </c>
      <c r="O11" t="s">
        <v>188</v>
      </c>
      <c r="Q11" s="230">
        <f>VLOOKUP(Sheet1!Q4,'Route Distance'!C147:N159,8,FALSE)</f>
        <v>12.2</v>
      </c>
      <c r="R11" s="230"/>
    </row>
    <row r="12" spans="1:19" x14ac:dyDescent="0.3">
      <c r="A12" s="242" t="s">
        <v>78</v>
      </c>
      <c r="B12" s="242"/>
      <c r="C12" s="241">
        <v>8.5</v>
      </c>
      <c r="D12" s="241"/>
      <c r="E12" s="241"/>
      <c r="F12" s="241"/>
      <c r="G12" t="s">
        <v>27</v>
      </c>
      <c r="O12" t="s">
        <v>189</v>
      </c>
      <c r="Q12" s="229">
        <f>VLOOKUP(Sheet1!Q4,'Route Distance'!C147:N159,9,FALSE)</f>
        <v>4.1166666666666671</v>
      </c>
      <c r="R12" s="229"/>
    </row>
    <row r="13" spans="1:19" x14ac:dyDescent="0.3">
      <c r="A13" s="200" t="s">
        <v>8</v>
      </c>
      <c r="B13" s="200"/>
      <c r="C13" s="217">
        <v>7664.6</v>
      </c>
      <c r="D13" s="217"/>
      <c r="E13" s="217"/>
      <c r="F13" s="217"/>
      <c r="G13" t="s">
        <v>28</v>
      </c>
      <c r="O13" t="s">
        <v>190</v>
      </c>
      <c r="Q13" s="229">
        <f>VLOOKUP(Sheet1!Q4,'Route Distance'!C147:N159,10,FALSE)</f>
        <v>0</v>
      </c>
      <c r="R13" s="229"/>
    </row>
    <row r="14" spans="1:19" x14ac:dyDescent="0.3">
      <c r="A14" s="242" t="s">
        <v>9</v>
      </c>
      <c r="B14" s="242"/>
      <c r="C14" s="241">
        <v>5745</v>
      </c>
      <c r="D14" s="241"/>
      <c r="E14" s="241"/>
      <c r="F14" s="241"/>
      <c r="O14" t="s">
        <v>342</v>
      </c>
      <c r="Q14" s="230">
        <f>SUM(Q7:R13)</f>
        <v>236.33550724637681</v>
      </c>
      <c r="R14" s="230"/>
    </row>
    <row r="15" spans="1:19" x14ac:dyDescent="0.3">
      <c r="A15" s="242" t="s">
        <v>10</v>
      </c>
      <c r="B15" s="242"/>
      <c r="C15" s="241">
        <v>2952</v>
      </c>
      <c r="D15" s="241"/>
      <c r="E15" s="241"/>
      <c r="F15" s="241"/>
      <c r="O15" t="s">
        <v>181</v>
      </c>
      <c r="Q15" s="231">
        <v>365</v>
      </c>
      <c r="R15" s="231"/>
    </row>
    <row r="16" spans="1:19" x14ac:dyDescent="0.3">
      <c r="A16" s="242" t="s">
        <v>11</v>
      </c>
      <c r="B16" s="242"/>
      <c r="C16" s="241">
        <v>11129.6</v>
      </c>
      <c r="D16" s="241"/>
      <c r="E16" s="241"/>
      <c r="F16" s="241"/>
      <c r="G16" t="s">
        <v>28</v>
      </c>
      <c r="O16" t="s">
        <v>182</v>
      </c>
      <c r="Q16" s="231">
        <v>30</v>
      </c>
      <c r="R16" s="231"/>
    </row>
    <row r="17" spans="1:19" x14ac:dyDescent="0.3">
      <c r="A17" s="224" t="s">
        <v>12</v>
      </c>
      <c r="B17" s="224"/>
      <c r="C17" s="217">
        <v>13.8</v>
      </c>
      <c r="D17" s="217"/>
      <c r="E17" s="217"/>
      <c r="F17" s="217"/>
      <c r="G17" t="s">
        <v>26</v>
      </c>
      <c r="O17" t="s">
        <v>183</v>
      </c>
      <c r="Q17" s="231">
        <f>Q15-Q16</f>
        <v>335</v>
      </c>
      <c r="R17" s="231"/>
    </row>
    <row r="18" spans="1:19" x14ac:dyDescent="0.3">
      <c r="A18" s="224"/>
      <c r="B18" s="224"/>
      <c r="C18" s="216">
        <f>C17*0.5144</f>
        <v>7.0987200000000001</v>
      </c>
      <c r="D18" s="216"/>
      <c r="E18" s="216"/>
      <c r="F18" s="216"/>
      <c r="G18" t="s">
        <v>25</v>
      </c>
      <c r="O18" t="s">
        <v>184</v>
      </c>
      <c r="Q18" s="231">
        <f>ROUNDUP(((Q17*24)/Q14),0)</f>
        <v>35</v>
      </c>
      <c r="R18" s="231"/>
    </row>
    <row r="19" spans="1:19" x14ac:dyDescent="0.3">
      <c r="A19" s="200" t="s">
        <v>64</v>
      </c>
      <c r="B19" s="200"/>
      <c r="C19" s="217">
        <v>3.7</v>
      </c>
      <c r="D19" s="217"/>
      <c r="E19" s="217"/>
      <c r="F19" s="217"/>
    </row>
    <row r="20" spans="1:19" x14ac:dyDescent="0.3">
      <c r="A20" s="200" t="s">
        <v>65</v>
      </c>
      <c r="B20" s="200"/>
      <c r="C20" s="217">
        <v>1</v>
      </c>
      <c r="D20" s="217"/>
      <c r="E20" s="217"/>
      <c r="F20" s="217"/>
    </row>
    <row r="21" spans="1:19" x14ac:dyDescent="0.3">
      <c r="A21" s="200" t="s">
        <v>150</v>
      </c>
      <c r="B21" s="200"/>
      <c r="C21" s="217">
        <v>0</v>
      </c>
      <c r="D21" s="217"/>
      <c r="E21" s="217"/>
      <c r="F21" s="217"/>
    </row>
    <row r="22" spans="1:19" x14ac:dyDescent="0.3">
      <c r="A22" s="200" t="s">
        <v>47</v>
      </c>
      <c r="B22" s="200"/>
      <c r="C22" s="217">
        <v>5</v>
      </c>
      <c r="D22" s="217"/>
      <c r="E22" s="217"/>
      <c r="F22" s="217"/>
      <c r="G22" t="s">
        <v>27</v>
      </c>
    </row>
    <row r="23" spans="1:19" x14ac:dyDescent="0.3">
      <c r="A23" s="200" t="s">
        <v>48</v>
      </c>
      <c r="B23" s="200"/>
      <c r="C23" s="217">
        <v>4</v>
      </c>
      <c r="D23" s="217"/>
      <c r="E23" s="217"/>
      <c r="F23" s="217"/>
      <c r="G23" t="s">
        <v>27</v>
      </c>
    </row>
    <row r="24" spans="1:19" x14ac:dyDescent="0.3">
      <c r="A24" t="s">
        <v>41</v>
      </c>
      <c r="C24" s="217"/>
      <c r="D24" s="217"/>
      <c r="E24" s="217"/>
      <c r="F24" s="217"/>
    </row>
    <row r="26" spans="1:19" x14ac:dyDescent="0.3">
      <c r="A26" s="218" t="s">
        <v>80</v>
      </c>
      <c r="B26" s="218"/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3">
      <c r="A27" s="222" t="s">
        <v>81</v>
      </c>
      <c r="B27" s="222"/>
      <c r="C27" s="222"/>
      <c r="D27" s="222"/>
      <c r="E27" s="222"/>
      <c r="F27" s="222"/>
      <c r="G27" s="222"/>
      <c r="H27" s="222"/>
      <c r="I27" s="222"/>
      <c r="K27" s="222" t="s">
        <v>86</v>
      </c>
      <c r="L27" s="222"/>
      <c r="M27" s="222"/>
      <c r="N27" s="222"/>
      <c r="O27" s="222"/>
      <c r="P27" s="222"/>
      <c r="Q27" s="222"/>
      <c r="R27" s="222"/>
      <c r="S27" s="222"/>
    </row>
    <row r="28" spans="1:19" x14ac:dyDescent="0.3">
      <c r="A28" s="1" t="s">
        <v>24</v>
      </c>
      <c r="B28" s="1"/>
      <c r="C28" s="1">
        <v>1</v>
      </c>
      <c r="D28" s="1"/>
      <c r="F28" s="1" t="s">
        <v>38</v>
      </c>
      <c r="G28" s="1"/>
      <c r="H28" s="1">
        <v>3</v>
      </c>
      <c r="I28" s="1"/>
      <c r="K28" s="1" t="s">
        <v>87</v>
      </c>
      <c r="L28" s="1"/>
      <c r="M28" s="1"/>
      <c r="N28" s="1">
        <v>8</v>
      </c>
      <c r="P28" s="1" t="s">
        <v>134</v>
      </c>
      <c r="Q28" s="1"/>
      <c r="R28" s="1">
        <v>11</v>
      </c>
      <c r="S28" s="1"/>
    </row>
    <row r="29" spans="1:19" x14ac:dyDescent="0.3">
      <c r="A29" t="s">
        <v>31</v>
      </c>
      <c r="C29">
        <f>C18</f>
        <v>7.0987200000000001</v>
      </c>
      <c r="F29" t="s">
        <v>12</v>
      </c>
      <c r="H29">
        <f>C18</f>
        <v>7.0987200000000001</v>
      </c>
      <c r="K29" t="s">
        <v>40</v>
      </c>
      <c r="M29">
        <f>H33</f>
        <v>0.21241198876256409</v>
      </c>
      <c r="P29" t="s">
        <v>122</v>
      </c>
      <c r="R29">
        <f>IF("C19"=2,'data, etc'!E62,'data, etc'!C62)</f>
        <v>2.1701000000000001</v>
      </c>
    </row>
    <row r="30" spans="1:19" x14ac:dyDescent="0.3">
      <c r="A30" t="s">
        <v>32</v>
      </c>
      <c r="C30">
        <f>C8</f>
        <v>113.85</v>
      </c>
      <c r="F30" t="s">
        <v>39</v>
      </c>
      <c r="H30">
        <v>9.81</v>
      </c>
      <c r="K30" t="s">
        <v>42</v>
      </c>
      <c r="M30">
        <f>H38</f>
        <v>0.75178196771616379</v>
      </c>
      <c r="P30" t="s">
        <v>123</v>
      </c>
      <c r="R30">
        <f>IF("C19"=2,'data, etc'!E63,'data, etc'!C63)</f>
        <v>-0.16020000000000001</v>
      </c>
    </row>
    <row r="31" spans="1:19" x14ac:dyDescent="0.3">
      <c r="A31" t="s">
        <v>33</v>
      </c>
      <c r="C31">
        <v>9.3712999999999997E-7</v>
      </c>
      <c r="D31" s="15" t="s">
        <v>34</v>
      </c>
      <c r="F31" t="s">
        <v>143</v>
      </c>
      <c r="H31">
        <f>C8</f>
        <v>113.85</v>
      </c>
      <c r="K31" t="s">
        <v>93</v>
      </c>
      <c r="M31">
        <f>IF(C20=2,'data, etc'!E35,'data, etc'!C35)</f>
        <v>-0.57423999999999997</v>
      </c>
      <c r="P31" t="s">
        <v>4</v>
      </c>
      <c r="R31">
        <f>C7</f>
        <v>110</v>
      </c>
    </row>
    <row r="32" spans="1:19" x14ac:dyDescent="0.3">
      <c r="K32" t="s">
        <v>94</v>
      </c>
      <c r="M32">
        <f>IF("C19"=2,'data, etc'!E36,'data, etc'!C36)</f>
        <v>13.3893</v>
      </c>
    </row>
    <row r="33" spans="1:19" x14ac:dyDescent="0.3">
      <c r="A33" s="2" t="s">
        <v>35</v>
      </c>
      <c r="B33" s="2"/>
      <c r="C33" s="2">
        <f>(C29*C30)/C31</f>
        <v>862408920.85409701</v>
      </c>
      <c r="F33" s="2" t="s">
        <v>40</v>
      </c>
      <c r="G33" s="2"/>
      <c r="H33" s="2">
        <f>H29/SQRT(H30*H31)</f>
        <v>0.21241198876256409</v>
      </c>
      <c r="K33" t="s">
        <v>95</v>
      </c>
      <c r="M33">
        <f>IF("C19"=2,'data, etc'!E37,'data, etc'!C37)</f>
        <v>90.596000000000004</v>
      </c>
      <c r="P33" s="2" t="s">
        <v>135</v>
      </c>
      <c r="Q33" s="2"/>
      <c r="R33" s="2">
        <f>R29*(R31^R30)</f>
        <v>1.0219946887395193</v>
      </c>
    </row>
    <row r="34" spans="1:19" x14ac:dyDescent="0.3">
      <c r="K34" t="s">
        <v>96</v>
      </c>
      <c r="M34">
        <f>IF("C19"=2,'data, etc'!E38,'data, etc'!C38)</f>
        <v>4.6614000000000004</v>
      </c>
    </row>
    <row r="35" spans="1:19" x14ac:dyDescent="0.3">
      <c r="A35" s="1" t="s">
        <v>36</v>
      </c>
      <c r="B35" s="1"/>
      <c r="C35" s="1">
        <v>2</v>
      </c>
      <c r="D35" s="1"/>
      <c r="F35" s="1" t="s">
        <v>41</v>
      </c>
      <c r="G35" s="1"/>
      <c r="H35" s="1">
        <v>4</v>
      </c>
      <c r="I35" s="1"/>
      <c r="K35" t="s">
        <v>97</v>
      </c>
      <c r="M35">
        <f>IF("C19"=2,'data, etc'!E39,'data, etc'!C39)</f>
        <v>-39.720999999999997</v>
      </c>
      <c r="P35" s="1" t="s">
        <v>136</v>
      </c>
      <c r="Q35" s="1"/>
      <c r="R35" s="1">
        <v>12</v>
      </c>
      <c r="S35" s="1"/>
    </row>
    <row r="36" spans="1:19" x14ac:dyDescent="0.3">
      <c r="A36" t="s">
        <v>35</v>
      </c>
      <c r="C36">
        <f>C33</f>
        <v>862408920.85409701</v>
      </c>
      <c r="F36" t="s">
        <v>40</v>
      </c>
      <c r="H36">
        <f>H33</f>
        <v>0.21241198876256409</v>
      </c>
      <c r="K36" t="s">
        <v>98</v>
      </c>
      <c r="M36">
        <f>IF("C19"=2,'data, etc'!E40,'data, etc'!C40)</f>
        <v>-351.483</v>
      </c>
      <c r="P36" t="s">
        <v>109</v>
      </c>
      <c r="R36">
        <f>IF(C20=2,'data, etc'!E48,'data, etc'!C48)</f>
        <v>0.3382</v>
      </c>
    </row>
    <row r="37" spans="1:19" x14ac:dyDescent="0.3">
      <c r="K37" t="s">
        <v>99</v>
      </c>
      <c r="M37">
        <f>IF("C19"=2,'data, etc'!E41,'data, etc'!C41)</f>
        <v>-1.14215</v>
      </c>
      <c r="P37" t="s">
        <v>5</v>
      </c>
      <c r="R37">
        <f>C10</f>
        <v>19.7</v>
      </c>
    </row>
    <row r="38" spans="1:19" x14ac:dyDescent="0.3">
      <c r="A38" s="2" t="s">
        <v>37</v>
      </c>
      <c r="B38" s="2"/>
      <c r="C38" s="2">
        <f>0.075/((LOG10(C36)-2)^2)</f>
        <v>1.5591180731027155E-3</v>
      </c>
      <c r="F38" s="2" t="s">
        <v>42</v>
      </c>
      <c r="G38" s="2"/>
      <c r="H38" s="2">
        <f>0.7+((1/8)*ATAN((23-(100*H36))/4))</f>
        <v>0.75178196771616379</v>
      </c>
      <c r="K38" t="s">
        <v>100</v>
      </c>
      <c r="M38">
        <f>IF("C19"=2,'data, etc'!E42,'data, etc'!C42)</f>
        <v>-12.329599999999999</v>
      </c>
      <c r="P38" t="s">
        <v>7</v>
      </c>
      <c r="R38">
        <f>C11</f>
        <v>6.45</v>
      </c>
    </row>
    <row r="39" spans="1:19" x14ac:dyDescent="0.3">
      <c r="K39" t="s">
        <v>101</v>
      </c>
      <c r="M39">
        <f>IF("C19"=2,'data, etc'!E43,'data, etc'!C43)</f>
        <v>459.25400000000002</v>
      </c>
    </row>
    <row r="40" spans="1:19" x14ac:dyDescent="0.3">
      <c r="A40" s="1" t="s">
        <v>43</v>
      </c>
      <c r="B40" s="1"/>
      <c r="C40" s="1">
        <v>6</v>
      </c>
      <c r="D40" s="1"/>
      <c r="F40" s="1" t="s">
        <v>44</v>
      </c>
      <c r="G40" s="1"/>
      <c r="H40" s="1">
        <v>5</v>
      </c>
      <c r="I40" s="1"/>
      <c r="P40" s="2" t="s">
        <v>137</v>
      </c>
      <c r="Q40" s="2"/>
      <c r="R40" s="2">
        <f>IF((R37/R38)&lt;1.99,(1.99^R36),((R37/R38)^R36))</f>
        <v>1.458798748958537</v>
      </c>
    </row>
    <row r="41" spans="1:19" x14ac:dyDescent="0.3">
      <c r="A41" t="s">
        <v>4</v>
      </c>
      <c r="C41">
        <f>C7</f>
        <v>110</v>
      </c>
      <c r="F41" t="s">
        <v>45</v>
      </c>
      <c r="H41">
        <f>C9</f>
        <v>114</v>
      </c>
      <c r="K41" s="2" t="s">
        <v>102</v>
      </c>
      <c r="L41" s="2"/>
      <c r="M41" s="2">
        <f>M31+(M32*M29)+(M33*(M29^2))+((M34+(M35*M29)+(M36*(M29^2)))*M30)+((M37+(M38*M29)+(M39*(M29^2)))*(M30^2))</f>
        <v>1.1819985011037915</v>
      </c>
    </row>
    <row r="42" spans="1:19" x14ac:dyDescent="0.3">
      <c r="A42" t="s">
        <v>5</v>
      </c>
      <c r="C42">
        <f>C10</f>
        <v>19.7</v>
      </c>
      <c r="F42" t="s">
        <v>29</v>
      </c>
      <c r="H42">
        <f>C8</f>
        <v>113.85</v>
      </c>
      <c r="P42" s="1" t="s">
        <v>138</v>
      </c>
      <c r="Q42" s="1"/>
      <c r="R42" s="1">
        <v>13</v>
      </c>
      <c r="S42" s="1"/>
    </row>
    <row r="43" spans="1:19" x14ac:dyDescent="0.3">
      <c r="A43" t="s">
        <v>7</v>
      </c>
      <c r="C43">
        <f>C11</f>
        <v>6.45</v>
      </c>
      <c r="F43" t="s">
        <v>4</v>
      </c>
      <c r="H43">
        <f>C7</f>
        <v>110</v>
      </c>
      <c r="K43" s="1" t="s">
        <v>103</v>
      </c>
      <c r="L43" s="1"/>
      <c r="M43" s="1"/>
      <c r="N43" s="1">
        <v>9</v>
      </c>
      <c r="P43" t="s">
        <v>110</v>
      </c>
      <c r="R43">
        <f>IF(C20=2,'data, etc'!E49,'data, etc'!C49)</f>
        <v>-0.80859999999999999</v>
      </c>
    </row>
    <row r="44" spans="1:19" x14ac:dyDescent="0.3">
      <c r="A44" t="s">
        <v>76</v>
      </c>
      <c r="C44">
        <f>H66</f>
        <v>0.81998987397689915</v>
      </c>
      <c r="F44" t="s">
        <v>42</v>
      </c>
      <c r="H44">
        <f>IF(C24="",H38,C24)</f>
        <v>0.75178196771616379</v>
      </c>
      <c r="K44" t="s">
        <v>104</v>
      </c>
      <c r="M44">
        <f>IF("C19"=2,'data, etc'!E59,'data, etc'!C59)</f>
        <v>0.85399999999999998</v>
      </c>
      <c r="P44" t="s">
        <v>4</v>
      </c>
      <c r="R44">
        <f>C7</f>
        <v>110</v>
      </c>
    </row>
    <row r="45" spans="1:19" x14ac:dyDescent="0.3">
      <c r="F45" t="s">
        <v>5</v>
      </c>
      <c r="H45">
        <f>C10</f>
        <v>19.7</v>
      </c>
      <c r="K45" t="s">
        <v>105</v>
      </c>
      <c r="M45">
        <f>IF("C19"=2,'data, etc'!E60,'data, etc'!C60)</f>
        <v>-1.228</v>
      </c>
      <c r="P45" t="s">
        <v>5</v>
      </c>
      <c r="R45">
        <f>C10</f>
        <v>19.7</v>
      </c>
    </row>
    <row r="46" spans="1:19" x14ac:dyDescent="0.3">
      <c r="A46" s="2" t="s">
        <v>79</v>
      </c>
      <c r="B46" s="2"/>
      <c r="C46" s="2">
        <f>C44*C41*(C42+(2*C43))</f>
        <v>2940.4836880811608</v>
      </c>
      <c r="F46" t="s">
        <v>7</v>
      </c>
      <c r="H46">
        <f>C11</f>
        <v>6.45</v>
      </c>
      <c r="K46" t="s">
        <v>106</v>
      </c>
      <c r="M46">
        <f>IF("C19"=2,'data, etc'!E61,'data, etc'!C61)</f>
        <v>0.497</v>
      </c>
    </row>
    <row r="47" spans="1:19" x14ac:dyDescent="0.3">
      <c r="F47" t="s">
        <v>47</v>
      </c>
      <c r="H47">
        <f>IF(C22="",C11,C22)</f>
        <v>5</v>
      </c>
      <c r="K47" t="s">
        <v>42</v>
      </c>
      <c r="M47">
        <f>H44</f>
        <v>0.75178196771616379</v>
      </c>
      <c r="P47" s="2" t="s">
        <v>139</v>
      </c>
      <c r="Q47" s="2"/>
      <c r="R47" s="2">
        <f>IF((R44/R45)&gt;7.11,7.11^R43,(R44/R45)^R43)</f>
        <v>0.2489059424816254</v>
      </c>
    </row>
    <row r="48" spans="1:19" x14ac:dyDescent="0.3">
      <c r="A48" s="9" t="s">
        <v>81</v>
      </c>
      <c r="B48" s="9"/>
      <c r="C48" s="9">
        <v>7</v>
      </c>
      <c r="D48" s="9"/>
      <c r="F48" t="s">
        <v>48</v>
      </c>
      <c r="H48">
        <f>IF(C23="",C11,C23)</f>
        <v>4</v>
      </c>
    </row>
    <row r="49" spans="1:20" x14ac:dyDescent="0.3">
      <c r="A49" t="s">
        <v>37</v>
      </c>
      <c r="C49">
        <f>C38</f>
        <v>1.5591180731027155E-3</v>
      </c>
      <c r="F49" t="s">
        <v>6</v>
      </c>
      <c r="H49">
        <f>C19</f>
        <v>3.7</v>
      </c>
      <c r="K49" s="2" t="s">
        <v>130</v>
      </c>
      <c r="L49" s="2"/>
      <c r="M49" s="2">
        <f>M44+(M45*M47)+(M46*(M47^2))</f>
        <v>0.21170427875519487</v>
      </c>
      <c r="P49" s="1" t="s">
        <v>140</v>
      </c>
      <c r="Q49" s="1"/>
      <c r="R49" s="1">
        <v>14</v>
      </c>
      <c r="S49" s="1"/>
    </row>
    <row r="50" spans="1:20" x14ac:dyDescent="0.3">
      <c r="A50" t="s">
        <v>82</v>
      </c>
      <c r="C50">
        <v>1025</v>
      </c>
      <c r="F50" t="s">
        <v>49</v>
      </c>
      <c r="H50">
        <f>IF($C$20=2,'data, etc'!E19,'data, etc'!C19)</f>
        <v>-0.68369999999999997</v>
      </c>
      <c r="P50" t="s">
        <v>111</v>
      </c>
      <c r="R50">
        <f>IF(C20=2,'data, etc'!E50,'data, etc'!C50)</f>
        <v>-6.0258000000000003</v>
      </c>
    </row>
    <row r="51" spans="1:20" x14ac:dyDescent="0.3">
      <c r="A51" t="s">
        <v>79</v>
      </c>
      <c r="C51">
        <f>C46</f>
        <v>2940.4836880811608</v>
      </c>
      <c r="F51" t="s">
        <v>50</v>
      </c>
      <c r="H51">
        <f>IF($C$20=2,'data, etc'!E20,'data, etc'!C20)</f>
        <v>0.27710000000000001</v>
      </c>
      <c r="K51" s="1" t="s">
        <v>131</v>
      </c>
      <c r="L51" s="1"/>
      <c r="M51" s="1"/>
      <c r="N51" s="1">
        <v>10</v>
      </c>
      <c r="P51" s="17" t="s">
        <v>45</v>
      </c>
      <c r="Q51" s="17"/>
      <c r="R51" s="17">
        <f>IF(C9="",C8,C9)</f>
        <v>114</v>
      </c>
      <c r="T51" t="s">
        <v>374</v>
      </c>
    </row>
    <row r="52" spans="1:20" x14ac:dyDescent="0.3">
      <c r="A52" t="s">
        <v>33</v>
      </c>
      <c r="C52">
        <f>C18</f>
        <v>7.0987200000000001</v>
      </c>
      <c r="F52" t="s">
        <v>51</v>
      </c>
      <c r="H52">
        <f>IF($C$20=2,'data, etc'!E21,'data, etc'!C21)</f>
        <v>0.6542</v>
      </c>
      <c r="K52" t="s">
        <v>132</v>
      </c>
      <c r="M52">
        <f>M49</f>
        <v>0.21170427875519487</v>
      </c>
      <c r="P52" t="s">
        <v>46</v>
      </c>
      <c r="R52">
        <f>C8</f>
        <v>113.85</v>
      </c>
    </row>
    <row r="53" spans="1:20" x14ac:dyDescent="0.3">
      <c r="F53" t="s">
        <v>52</v>
      </c>
      <c r="H53">
        <f>IF($C$20=2,'data, etc'!E22,'data, etc'!C22)</f>
        <v>0.64219999999999999</v>
      </c>
      <c r="K53" t="s">
        <v>40</v>
      </c>
      <c r="M53">
        <f>H33</f>
        <v>0.21241198876256409</v>
      </c>
    </row>
    <row r="54" spans="1:20" x14ac:dyDescent="0.3">
      <c r="A54" s="223" t="s">
        <v>83</v>
      </c>
      <c r="B54" s="223"/>
      <c r="C54" s="8">
        <f>C49*(C50/2)*C51*(C52^2)</f>
        <v>118400.01101199543</v>
      </c>
      <c r="D54" s="8" t="s">
        <v>84</v>
      </c>
      <c r="F54" t="s">
        <v>53</v>
      </c>
      <c r="H54">
        <f>IF($C$20=2,'data, etc'!E23,'data, etc'!C23)</f>
        <v>7.4999999999999997E-3</v>
      </c>
      <c r="K54" t="s">
        <v>119</v>
      </c>
      <c r="M54">
        <f>M53/M52</f>
        <v>1.0033429178263684</v>
      </c>
      <c r="P54" s="2" t="s">
        <v>141</v>
      </c>
      <c r="Q54" s="2"/>
      <c r="R54" s="2">
        <f>IF((R51/R52)&gt;1.05,1.05^R50,(R51/R52)^R50)</f>
        <v>0.99209748532332132</v>
      </c>
    </row>
    <row r="55" spans="1:20" x14ac:dyDescent="0.3">
      <c r="A55" s="223"/>
      <c r="B55" s="223"/>
      <c r="C55" s="8">
        <f>C54/1000</f>
        <v>118.40001101199543</v>
      </c>
      <c r="D55" s="8" t="s">
        <v>85</v>
      </c>
      <c r="F55" t="s">
        <v>54</v>
      </c>
      <c r="H55">
        <f>IF($C$20=2,'data, etc'!E24,'data, etc'!C24)</f>
        <v>2.75E-2</v>
      </c>
    </row>
    <row r="56" spans="1:20" x14ac:dyDescent="0.3">
      <c r="F56" t="s">
        <v>55</v>
      </c>
      <c r="H56">
        <f>IF($C$20=2,'data, etc'!E25,'data, etc'!C25)</f>
        <v>-4.4999999999999997E-3</v>
      </c>
      <c r="K56" s="2" t="s">
        <v>133</v>
      </c>
      <c r="L56" s="2"/>
      <c r="M56" s="2">
        <f>IF(M53&lt;M52,1,((M53/M52)^M54))</f>
        <v>1.0033541116463447</v>
      </c>
      <c r="P56" s="1" t="s">
        <v>142</v>
      </c>
      <c r="Q56" s="1"/>
      <c r="R56" s="1">
        <v>15</v>
      </c>
      <c r="S56" s="1"/>
    </row>
    <row r="57" spans="1:20" x14ac:dyDescent="0.3">
      <c r="F57" t="s">
        <v>56</v>
      </c>
      <c r="H57">
        <f>IF($C$20=2,'data, etc'!E26,'data, etc'!C26)</f>
        <v>-0.4798</v>
      </c>
      <c r="P57" t="s">
        <v>112</v>
      </c>
      <c r="R57">
        <f>IF(C20=2,'data, etc'!E51,'data, etc'!C51)</f>
        <v>-3.5632000000000001</v>
      </c>
    </row>
    <row r="58" spans="1:20" x14ac:dyDescent="0.3">
      <c r="F58" t="s">
        <v>57</v>
      </c>
      <c r="H58">
        <f>IF($C$20=2,'data, etc'!E27,'data, etc'!C27)</f>
        <v>3.7600000000000001E-2</v>
      </c>
      <c r="K58" s="1" t="s">
        <v>149</v>
      </c>
      <c r="L58" s="1"/>
      <c r="M58" s="1">
        <v>18</v>
      </c>
      <c r="N58" s="1"/>
      <c r="P58" t="s">
        <v>46</v>
      </c>
      <c r="R58">
        <f>C8</f>
        <v>113.85</v>
      </c>
    </row>
    <row r="59" spans="1:20" x14ac:dyDescent="0.3">
      <c r="F59" t="s">
        <v>58</v>
      </c>
      <c r="H59">
        <f>C20</f>
        <v>1</v>
      </c>
      <c r="K59" t="s">
        <v>58</v>
      </c>
      <c r="M59">
        <f>H59</f>
        <v>1</v>
      </c>
      <c r="P59" t="s">
        <v>4</v>
      </c>
      <c r="R59">
        <f>C7</f>
        <v>110</v>
      </c>
    </row>
    <row r="60" spans="1:20" x14ac:dyDescent="0.3">
      <c r="F60" t="s">
        <v>59</v>
      </c>
      <c r="H60">
        <f>H59</f>
        <v>1</v>
      </c>
      <c r="K60" t="s">
        <v>59</v>
      </c>
      <c r="M60">
        <f>H60</f>
        <v>1</v>
      </c>
    </row>
    <row r="61" spans="1:20" x14ac:dyDescent="0.3">
      <c r="F61" t="s">
        <v>60</v>
      </c>
      <c r="H61">
        <f>H59</f>
        <v>1</v>
      </c>
      <c r="K61" t="s">
        <v>60</v>
      </c>
      <c r="M61">
        <f>H61</f>
        <v>1</v>
      </c>
      <c r="P61" s="2" t="s">
        <v>144</v>
      </c>
      <c r="Q61" s="2"/>
      <c r="R61" s="2">
        <f>IF((R58/R59)&gt;1.06,1.06^R57,(R58/R59)^R57)</f>
        <v>0.88463587114114295</v>
      </c>
    </row>
    <row r="62" spans="1:20" x14ac:dyDescent="0.3">
      <c r="F62" t="s">
        <v>61</v>
      </c>
      <c r="H62">
        <f>IF(H59=2,'data, etc'!E28,0)</f>
        <v>0</v>
      </c>
      <c r="K62" t="s">
        <v>151</v>
      </c>
      <c r="M62">
        <f>C21</f>
        <v>0</v>
      </c>
    </row>
    <row r="63" spans="1:20" x14ac:dyDescent="0.3">
      <c r="F63" t="s">
        <v>62</v>
      </c>
      <c r="H63">
        <f>IF(H60=2,'data, etc'!E29,0)</f>
        <v>0</v>
      </c>
      <c r="K63" t="s">
        <v>115</v>
      </c>
      <c r="M63">
        <f>IF($C$20=2,'data, etc'!E54,'data, etc'!C54)</f>
        <v>0</v>
      </c>
      <c r="P63" s="1" t="s">
        <v>145</v>
      </c>
      <c r="Q63" s="1"/>
      <c r="R63" s="1">
        <v>16</v>
      </c>
      <c r="S63" s="1"/>
    </row>
    <row r="64" spans="1:20" x14ac:dyDescent="0.3">
      <c r="F64" t="s">
        <v>63</v>
      </c>
      <c r="H64">
        <f>IF(H61=2,'data, etc'!E30,0)</f>
        <v>0</v>
      </c>
      <c r="K64" t="s">
        <v>116</v>
      </c>
      <c r="M64">
        <f>IF($C$20=2,'data, etc'!E55,'data, etc'!C55)</f>
        <v>0</v>
      </c>
      <c r="P64" t="s">
        <v>113</v>
      </c>
      <c r="R64">
        <f>IF(C20=2,'data, etc'!E52,'data, etc'!C52)</f>
        <v>9.4405000000000001</v>
      </c>
    </row>
    <row r="65" spans="1:19" x14ac:dyDescent="0.3">
      <c r="K65" t="s">
        <v>117</v>
      </c>
      <c r="M65">
        <f>IF($C$20=2,'data, etc'!E56,'data, etc'!C56)</f>
        <v>0</v>
      </c>
      <c r="P65" t="s">
        <v>47</v>
      </c>
      <c r="R65">
        <f>H47</f>
        <v>5</v>
      </c>
    </row>
    <row r="66" spans="1:19" x14ac:dyDescent="0.3">
      <c r="F66" s="2" t="s">
        <v>76</v>
      </c>
      <c r="G66" s="2"/>
      <c r="H66" s="2">
        <f>H50+(H51*(H41/H42))+(H52*(H42/H43))+(H53*H44)+(H54*(H43/H45))+(H55*(H45/H46))+(H56*(H43/H46))+(H57*((H47-H48)/H43))+(H58*(H49/H46))+(H62*H59)+(H63*H60)+(H64*H61)</f>
        <v>0.81998987397689915</v>
      </c>
      <c r="K66" t="s">
        <v>118</v>
      </c>
      <c r="M66">
        <f>IF($C$20=2,'data, etc'!E57,'data, etc'!C57)</f>
        <v>0</v>
      </c>
      <c r="P66" t="s">
        <v>48</v>
      </c>
      <c r="R66">
        <f>H48</f>
        <v>4</v>
      </c>
    </row>
    <row r="67" spans="1:19" x14ac:dyDescent="0.3">
      <c r="P67" t="s">
        <v>4</v>
      </c>
      <c r="R67">
        <f>C7</f>
        <v>110</v>
      </c>
    </row>
    <row r="68" spans="1:19" x14ac:dyDescent="0.3">
      <c r="K68" s="2" t="s">
        <v>152</v>
      </c>
      <c r="L68" s="2"/>
      <c r="M68" s="2">
        <f>M41*M56*R40*R33*R47*R54*R61*R69*R76*(M59^M63)*(M60^M64)*(M61^M65)*(IF(C21=0,1,(M62^M66)))</f>
        <v>0.41963118535157667</v>
      </c>
    </row>
    <row r="69" spans="1:19" x14ac:dyDescent="0.3">
      <c r="P69" s="2" t="s">
        <v>146</v>
      </c>
      <c r="Q69" s="2"/>
      <c r="R69" s="2">
        <f>(1+((R65-R66)/R67))^R64</f>
        <v>1.0891907313921749</v>
      </c>
    </row>
    <row r="70" spans="1:19" x14ac:dyDescent="0.3">
      <c r="K70" s="9" t="s">
        <v>86</v>
      </c>
      <c r="L70" s="9"/>
      <c r="M70" s="9">
        <v>19</v>
      </c>
      <c r="N70" s="9"/>
    </row>
    <row r="71" spans="1:19" x14ac:dyDescent="0.3">
      <c r="K71" t="s">
        <v>152</v>
      </c>
      <c r="M71">
        <f>M68</f>
        <v>0.41963118535157667</v>
      </c>
      <c r="P71" s="1" t="s">
        <v>147</v>
      </c>
      <c r="Q71" s="1"/>
      <c r="R71" s="1">
        <v>17</v>
      </c>
      <c r="S71" s="1"/>
    </row>
    <row r="72" spans="1:19" x14ac:dyDescent="0.3">
      <c r="K72" t="s">
        <v>82</v>
      </c>
      <c r="M72">
        <v>1025</v>
      </c>
      <c r="P72" t="s">
        <v>114</v>
      </c>
      <c r="R72">
        <f>IF(C20=2,'data, etc'!E53,'data, etc'!C53)</f>
        <v>1.46E-2</v>
      </c>
    </row>
    <row r="73" spans="1:19" x14ac:dyDescent="0.3">
      <c r="K73" t="s">
        <v>33</v>
      </c>
      <c r="M73">
        <f>C18</f>
        <v>7.0987200000000001</v>
      </c>
      <c r="P73" t="s">
        <v>6</v>
      </c>
      <c r="R73">
        <f>C19</f>
        <v>3.7</v>
      </c>
    </row>
    <row r="74" spans="1:19" x14ac:dyDescent="0.3">
      <c r="K74" t="s">
        <v>5</v>
      </c>
      <c r="M74">
        <f>C10</f>
        <v>19.7</v>
      </c>
      <c r="P74" t="s">
        <v>47</v>
      </c>
      <c r="R74">
        <f>H47</f>
        <v>5</v>
      </c>
    </row>
    <row r="75" spans="1:19" x14ac:dyDescent="0.3">
      <c r="K75" t="s">
        <v>7</v>
      </c>
      <c r="M75">
        <f>C11</f>
        <v>6.45</v>
      </c>
    </row>
    <row r="76" spans="1:19" x14ac:dyDescent="0.3">
      <c r="P76" s="2" t="s">
        <v>148</v>
      </c>
      <c r="Q76" s="2"/>
      <c r="R76" s="2">
        <f>IF((R73/R74)&lt;0.43,0.43^R72,(IF(0.43&lt;=(R73/R74)&lt;=0.84,(R73/R74)^R72,0.84^R72)))</f>
        <v>0.99745767773674721</v>
      </c>
    </row>
    <row r="77" spans="1:19" x14ac:dyDescent="0.3">
      <c r="K77" s="223" t="s">
        <v>153</v>
      </c>
      <c r="L77" s="223"/>
      <c r="M77" s="8">
        <f>M71*(M72/2)*(M73^2)*((M74*M75)/10)</f>
        <v>137704.3497996614</v>
      </c>
      <c r="N77" s="8" t="s">
        <v>84</v>
      </c>
    </row>
    <row r="78" spans="1:19" x14ac:dyDescent="0.3">
      <c r="K78" s="223"/>
      <c r="L78" s="223"/>
      <c r="M78" s="8">
        <f>M77/1000</f>
        <v>137.7043497996614</v>
      </c>
      <c r="N78" s="8" t="s">
        <v>85</v>
      </c>
    </row>
    <row r="80" spans="1:19" x14ac:dyDescent="0.3">
      <c r="A80" s="218" t="s">
        <v>154</v>
      </c>
      <c r="B80" s="218"/>
      <c r="C80" s="218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</row>
    <row r="81" spans="1:26" x14ac:dyDescent="0.3">
      <c r="A81" s="18" t="s">
        <v>155</v>
      </c>
      <c r="B81" s="18"/>
      <c r="C81" s="18">
        <v>20</v>
      </c>
      <c r="D81" s="18"/>
      <c r="F81" s="18" t="s">
        <v>157</v>
      </c>
      <c r="G81" s="18"/>
      <c r="H81" s="18">
        <v>21</v>
      </c>
      <c r="I81" s="18"/>
      <c r="K81" s="18" t="s">
        <v>159</v>
      </c>
      <c r="L81" s="18"/>
      <c r="M81" s="18">
        <v>22</v>
      </c>
      <c r="N81" s="18"/>
      <c r="P81" s="18" t="s">
        <v>162</v>
      </c>
      <c r="Q81" s="18"/>
      <c r="R81" s="18">
        <v>23</v>
      </c>
      <c r="S81" s="18"/>
    </row>
    <row r="82" spans="1:26" x14ac:dyDescent="0.3">
      <c r="A82" t="s">
        <v>83</v>
      </c>
      <c r="C82">
        <f>C55</f>
        <v>118.40001101199543</v>
      </c>
      <c r="D82" t="s">
        <v>85</v>
      </c>
      <c r="F82" t="s">
        <v>156</v>
      </c>
      <c r="H82">
        <f>C85</f>
        <v>256.10436081165682</v>
      </c>
      <c r="I82" t="str">
        <f>D85</f>
        <v>kN</v>
      </c>
      <c r="K82" t="s">
        <v>160</v>
      </c>
      <c r="M82">
        <f>C7</f>
        <v>110</v>
      </c>
      <c r="P82" t="s">
        <v>158</v>
      </c>
      <c r="R82">
        <f>H85</f>
        <v>1818.0131481809244</v>
      </c>
      <c r="S82" t="s">
        <v>164</v>
      </c>
    </row>
    <row r="83" spans="1:26" x14ac:dyDescent="0.3">
      <c r="A83" t="s">
        <v>153</v>
      </c>
      <c r="C83">
        <f>M78</f>
        <v>137.7043497996614</v>
      </c>
      <c r="D83" t="s">
        <v>85</v>
      </c>
      <c r="F83" t="s">
        <v>12</v>
      </c>
      <c r="H83">
        <f>C18</f>
        <v>7.0987200000000001</v>
      </c>
      <c r="K83" t="s">
        <v>84</v>
      </c>
      <c r="M83" s="16">
        <f>IF(K6="",AC137,K6)</f>
        <v>169</v>
      </c>
      <c r="O83" s="77"/>
      <c r="P83" t="s">
        <v>161</v>
      </c>
      <c r="R83">
        <f>M85</f>
        <v>0.66275130465924437</v>
      </c>
    </row>
    <row r="85" spans="1:26" x14ac:dyDescent="0.3">
      <c r="A85" s="2" t="s">
        <v>156</v>
      </c>
      <c r="B85" s="2"/>
      <c r="C85" s="2">
        <f>C82+C83</f>
        <v>256.10436081165682</v>
      </c>
      <c r="D85" s="2" t="s">
        <v>85</v>
      </c>
      <c r="F85" s="2" t="s">
        <v>158</v>
      </c>
      <c r="G85" s="2"/>
      <c r="H85" s="2">
        <f>H82*H83</f>
        <v>1818.0131481809244</v>
      </c>
      <c r="I85" s="2" t="s">
        <v>164</v>
      </c>
      <c r="K85" s="2" t="s">
        <v>161</v>
      </c>
      <c r="L85" s="2"/>
      <c r="M85" s="2">
        <f>0.84-((M83*SQRT(M82))/10000)</f>
        <v>0.66275130465924437</v>
      </c>
      <c r="N85" s="2"/>
      <c r="P85" s="2" t="s">
        <v>163</v>
      </c>
      <c r="Q85" s="2"/>
      <c r="R85" s="2">
        <f>R82/R83</f>
        <v>2743.1302441806001</v>
      </c>
      <c r="S85" s="2" t="s">
        <v>164</v>
      </c>
    </row>
    <row r="87" spans="1:26" x14ac:dyDescent="0.3">
      <c r="A87" s="18" t="s">
        <v>165</v>
      </c>
      <c r="B87" s="18"/>
      <c r="C87" s="18">
        <v>24</v>
      </c>
      <c r="D87" s="18"/>
      <c r="F87" s="18" t="s">
        <v>169</v>
      </c>
      <c r="G87" s="18"/>
      <c r="H87" s="18">
        <v>25</v>
      </c>
      <c r="I87" s="18"/>
      <c r="K87" s="18" t="s">
        <v>172</v>
      </c>
      <c r="L87" s="18"/>
      <c r="M87" s="18">
        <v>26</v>
      </c>
      <c r="N87" s="18"/>
      <c r="P87" s="18" t="s">
        <v>173</v>
      </c>
      <c r="Q87" s="18"/>
      <c r="R87" s="18">
        <v>27</v>
      </c>
      <c r="S87" s="18"/>
    </row>
    <row r="88" spans="1:26" x14ac:dyDescent="0.3">
      <c r="A88" t="s">
        <v>163</v>
      </c>
      <c r="C88">
        <f>R85</f>
        <v>2743.1302441806001</v>
      </c>
      <c r="F88" t="s">
        <v>163</v>
      </c>
      <c r="H88">
        <f>R85</f>
        <v>2743.1302441806001</v>
      </c>
      <c r="K88" t="s">
        <v>171</v>
      </c>
      <c r="M88">
        <f>H92</f>
        <v>0.85722820130643751</v>
      </c>
      <c r="P88" t="s">
        <v>174</v>
      </c>
      <c r="R88">
        <f>M90</f>
        <v>1.0057202631197864</v>
      </c>
    </row>
    <row r="89" spans="1:26" x14ac:dyDescent="0.3">
      <c r="A89" t="s">
        <v>166</v>
      </c>
      <c r="C89">
        <f>K4</f>
        <v>3200</v>
      </c>
      <c r="F89" t="s">
        <v>166</v>
      </c>
      <c r="H89">
        <f>K4</f>
        <v>3200</v>
      </c>
      <c r="P89" t="s">
        <v>175</v>
      </c>
      <c r="R89">
        <f>K5</f>
        <v>182</v>
      </c>
      <c r="U89">
        <v>3.0000000000000001E-5</v>
      </c>
      <c r="V89">
        <v>3.2862</v>
      </c>
    </row>
    <row r="90" spans="1:26" x14ac:dyDescent="0.3">
      <c r="F90" t="s">
        <v>170</v>
      </c>
      <c r="H90">
        <f>C20</f>
        <v>1</v>
      </c>
      <c r="K90" s="2" t="s">
        <v>172</v>
      </c>
      <c r="L90" s="2"/>
      <c r="M90" s="2">
        <f>0.455*(M88^2)-0.71*M88+1.28</f>
        <v>1.0057202631197864</v>
      </c>
      <c r="N90" s="2"/>
    </row>
    <row r="91" spans="1:26" x14ac:dyDescent="0.3">
      <c r="A91" s="226" t="s">
        <v>167</v>
      </c>
      <c r="B91" s="2"/>
      <c r="C91" s="2">
        <f>(C88/C89)+1</f>
        <v>1.8572282013064374</v>
      </c>
      <c r="D91" s="2"/>
      <c r="P91" s="2" t="s">
        <v>173</v>
      </c>
      <c r="Q91" s="2"/>
      <c r="R91" s="2">
        <f>R89*R88</f>
        <v>183.04108788780113</v>
      </c>
      <c r="S91" s="2" t="s">
        <v>343</v>
      </c>
    </row>
    <row r="92" spans="1:26" x14ac:dyDescent="0.3">
      <c r="A92" s="226"/>
      <c r="B92" s="2"/>
      <c r="C92" s="48">
        <f>ROUNDDOWN(C91,0)</f>
        <v>1</v>
      </c>
      <c r="D92" s="48"/>
      <c r="F92" s="2" t="s">
        <v>171</v>
      </c>
      <c r="G92" s="2"/>
      <c r="H92" s="2">
        <f>H88/(H89*H90)</f>
        <v>0.85722820130643751</v>
      </c>
      <c r="I92" s="2"/>
      <c r="U92">
        <f>(H85/U89)^(1/V89)</f>
        <v>233.46914592108536</v>
      </c>
    </row>
    <row r="94" spans="1:26" x14ac:dyDescent="0.3">
      <c r="A94" s="9" t="s">
        <v>176</v>
      </c>
      <c r="B94" s="9"/>
      <c r="C94" s="9">
        <v>28</v>
      </c>
      <c r="D94" s="9"/>
      <c r="G94" s="18" t="s">
        <v>364</v>
      </c>
      <c r="H94" s="18"/>
      <c r="I94" s="18"/>
      <c r="L94" s="18" t="s">
        <v>477</v>
      </c>
      <c r="M94" s="18"/>
      <c r="N94" s="18"/>
    </row>
    <row r="95" spans="1:26" x14ac:dyDescent="0.3">
      <c r="A95" t="s">
        <v>177</v>
      </c>
      <c r="C95" s="49">
        <f>K7</f>
        <v>0.75</v>
      </c>
      <c r="G95" t="s">
        <v>473</v>
      </c>
      <c r="H95">
        <f>K8</f>
        <v>180</v>
      </c>
      <c r="L95" t="s">
        <v>473</v>
      </c>
      <c r="M95">
        <f>H95</f>
        <v>180</v>
      </c>
    </row>
    <row r="96" spans="1:26" x14ac:dyDescent="0.3">
      <c r="C96">
        <f>C95*K4</f>
        <v>2400</v>
      </c>
      <c r="G96" t="s">
        <v>475</v>
      </c>
      <c r="H96">
        <f>K9</f>
        <v>2</v>
      </c>
      <c r="L96" t="s">
        <v>475</v>
      </c>
      <c r="M96">
        <f>H96</f>
        <v>2</v>
      </c>
      <c r="Y96">
        <v>78</v>
      </c>
      <c r="Z96" t="s">
        <v>480</v>
      </c>
    </row>
    <row r="97" spans="1:60" x14ac:dyDescent="0.3">
      <c r="G97" t="s">
        <v>171</v>
      </c>
      <c r="H97" s="81">
        <v>0.8</v>
      </c>
      <c r="I97" t="s">
        <v>476</v>
      </c>
      <c r="L97" t="s">
        <v>171</v>
      </c>
      <c r="M97" s="81">
        <v>0.7</v>
      </c>
      <c r="Y97">
        <f>Y96*0.89</f>
        <v>69.42</v>
      </c>
      <c r="Z97" t="s">
        <v>481</v>
      </c>
    </row>
    <row r="98" spans="1:60" x14ac:dyDescent="0.3">
      <c r="A98" s="228" t="s">
        <v>176</v>
      </c>
      <c r="B98" s="8"/>
      <c r="C98" s="51">
        <f>R91*C96</f>
        <v>439298.61093072273</v>
      </c>
      <c r="D98" s="8" t="s">
        <v>347</v>
      </c>
      <c r="E98" s="8"/>
      <c r="G98" t="s">
        <v>173</v>
      </c>
      <c r="H98">
        <f>Y99</f>
        <v>221.7891373801917</v>
      </c>
      <c r="L98" t="s">
        <v>173</v>
      </c>
      <c r="M98">
        <f>H98</f>
        <v>221.7891373801917</v>
      </c>
      <c r="O98" t="s">
        <v>483</v>
      </c>
      <c r="Y98">
        <f>Y97*1000</f>
        <v>69420</v>
      </c>
      <c r="Z98" t="s">
        <v>482</v>
      </c>
    </row>
    <row r="99" spans="1:60" x14ac:dyDescent="0.3">
      <c r="A99" s="228"/>
      <c r="B99" s="8"/>
      <c r="C99" s="8">
        <f>C98/1000</f>
        <v>439.2986109307227</v>
      </c>
      <c r="D99" s="8" t="s">
        <v>348</v>
      </c>
      <c r="E99" s="8"/>
      <c r="G99" t="s">
        <v>163</v>
      </c>
      <c r="H99">
        <f>H95*H96</f>
        <v>360</v>
      </c>
      <c r="L99" t="s">
        <v>163</v>
      </c>
      <c r="M99">
        <f>M95*M96/2</f>
        <v>180</v>
      </c>
      <c r="Y99" s="77">
        <f>Y98/313</f>
        <v>221.7891373801917</v>
      </c>
      <c r="Z99" s="77" t="s">
        <v>343</v>
      </c>
    </row>
    <row r="100" spans="1:60" x14ac:dyDescent="0.3">
      <c r="A100" s="228"/>
      <c r="B100" s="8"/>
      <c r="C100" s="51">
        <f>C98/1000000</f>
        <v>0.43929861093072275</v>
      </c>
      <c r="D100" s="8" t="s">
        <v>349</v>
      </c>
      <c r="E100" s="8"/>
      <c r="G100" s="48" t="s">
        <v>176</v>
      </c>
      <c r="H100" s="48">
        <f>H99*H98*H97</f>
        <v>63875.271565495212</v>
      </c>
      <c r="I100" s="48" t="s">
        <v>347</v>
      </c>
      <c r="J100" s="48"/>
      <c r="L100" s="48" t="s">
        <v>176</v>
      </c>
      <c r="M100" s="48">
        <f>M99*M98*M97</f>
        <v>27945.431309904154</v>
      </c>
      <c r="N100" s="48" t="s">
        <v>347</v>
      </c>
      <c r="O100" s="48"/>
    </row>
    <row r="101" spans="1:60" x14ac:dyDescent="0.3">
      <c r="A101" s="228"/>
      <c r="B101" s="8"/>
      <c r="C101" s="51">
        <f>C100/0.991</f>
        <v>0.44328820477368591</v>
      </c>
      <c r="D101" s="8" t="s">
        <v>350</v>
      </c>
      <c r="E101" s="8" t="s">
        <v>351</v>
      </c>
      <c r="G101" s="48"/>
      <c r="H101" s="48">
        <f>H100/1000</f>
        <v>63.875271565495211</v>
      </c>
      <c r="I101" s="48" t="s">
        <v>348</v>
      </c>
      <c r="J101" s="48"/>
      <c r="L101" s="48"/>
      <c r="M101" s="48">
        <f>M100/1000</f>
        <v>27.945431309904155</v>
      </c>
      <c r="N101" s="48" t="s">
        <v>348</v>
      </c>
      <c r="O101" s="48"/>
    </row>
    <row r="102" spans="1:60" x14ac:dyDescent="0.3">
      <c r="A102" s="228"/>
      <c r="B102" s="8"/>
      <c r="C102" s="51">
        <f>C100/0.89</f>
        <v>0.49359394486598063</v>
      </c>
      <c r="D102" s="8" t="s">
        <v>350</v>
      </c>
      <c r="E102" s="8" t="s">
        <v>352</v>
      </c>
      <c r="G102" s="48"/>
      <c r="H102" s="48">
        <f>(H101/1000)/0.89</f>
        <v>7.1769968051118224E-2</v>
      </c>
      <c r="I102" s="48" t="s">
        <v>350</v>
      </c>
      <c r="J102" s="48" t="s">
        <v>352</v>
      </c>
      <c r="L102" s="48"/>
      <c r="M102" s="48">
        <f>M101/1000/0.89</f>
        <v>3.1399361022364215E-2</v>
      </c>
      <c r="N102" s="48" t="s">
        <v>350</v>
      </c>
      <c r="O102" s="48" t="s">
        <v>352</v>
      </c>
      <c r="AD102" s="17"/>
      <c r="AS102" s="84"/>
      <c r="AT102" s="84"/>
      <c r="AU102" s="84"/>
      <c r="AV102" s="84"/>
    </row>
    <row r="104" spans="1:60" x14ac:dyDescent="0.3">
      <c r="A104" s="238" t="s">
        <v>356</v>
      </c>
      <c r="B104" s="239"/>
      <c r="C104" s="239"/>
      <c r="D104" s="239"/>
      <c r="E104" s="239"/>
      <c r="F104" s="239"/>
      <c r="G104" s="239"/>
      <c r="H104" s="239"/>
      <c r="I104" s="239"/>
      <c r="J104" s="239"/>
      <c r="K104" s="239"/>
      <c r="L104" s="239"/>
      <c r="M104" s="239"/>
      <c r="N104" s="239"/>
      <c r="O104" s="239"/>
      <c r="P104" s="239"/>
      <c r="Q104" s="239"/>
      <c r="R104" s="239"/>
      <c r="S104" s="239"/>
      <c r="T104" s="239"/>
      <c r="U104" s="239"/>
      <c r="V104" s="239"/>
      <c r="W104" s="239"/>
      <c r="X104" s="239"/>
      <c r="Y104" s="239"/>
      <c r="Z104" s="239"/>
      <c r="AA104" s="239"/>
      <c r="AB104" s="239"/>
      <c r="AC104" s="239"/>
      <c r="AD104" s="239"/>
      <c r="AE104" s="239"/>
      <c r="AF104" s="240"/>
      <c r="AG104" s="212" t="s">
        <v>368</v>
      </c>
      <c r="AH104" s="212"/>
      <c r="AI104" s="212"/>
      <c r="AJ104" s="212"/>
      <c r="AK104" s="220" t="s">
        <v>371</v>
      </c>
      <c r="AL104" s="220"/>
      <c r="AM104" s="220" t="s">
        <v>375</v>
      </c>
      <c r="AN104" s="220"/>
      <c r="AO104" s="220"/>
      <c r="AP104" s="220"/>
      <c r="AQ104" s="220" t="s">
        <v>378</v>
      </c>
      <c r="AR104" s="220"/>
      <c r="AS104" s="220" t="s">
        <v>379</v>
      </c>
      <c r="AT104" s="220"/>
      <c r="AU104" s="220"/>
      <c r="AV104" s="220"/>
      <c r="AW104" s="234" t="s">
        <v>380</v>
      </c>
      <c r="AX104" s="234"/>
      <c r="AY104" s="234"/>
      <c r="AZ104" s="234"/>
      <c r="BA104" s="234"/>
      <c r="BB104" s="234"/>
      <c r="BE104" s="216" t="s">
        <v>478</v>
      </c>
      <c r="BF104" s="216"/>
      <c r="BG104" s="216"/>
      <c r="BH104" s="216"/>
    </row>
    <row r="105" spans="1:60" s="54" customFormat="1" x14ac:dyDescent="0.3">
      <c r="A105" s="219" t="s">
        <v>202</v>
      </c>
      <c r="B105" s="212" t="s">
        <v>35</v>
      </c>
      <c r="C105" s="212" t="s">
        <v>37</v>
      </c>
      <c r="D105" s="212" t="s">
        <v>40</v>
      </c>
      <c r="E105" s="212" t="s">
        <v>42</v>
      </c>
      <c r="F105" s="212" t="s">
        <v>76</v>
      </c>
      <c r="G105" s="212" t="s">
        <v>83</v>
      </c>
      <c r="H105" s="212" t="s">
        <v>102</v>
      </c>
      <c r="I105" s="212" t="s">
        <v>132</v>
      </c>
      <c r="J105" s="212" t="s">
        <v>119</v>
      </c>
      <c r="K105" s="212" t="s">
        <v>133</v>
      </c>
      <c r="L105" s="212" t="s">
        <v>135</v>
      </c>
      <c r="M105" s="212" t="s">
        <v>137</v>
      </c>
      <c r="N105" s="212" t="s">
        <v>139</v>
      </c>
      <c r="O105" s="212" t="s">
        <v>141</v>
      </c>
      <c r="P105" s="212" t="s">
        <v>144</v>
      </c>
      <c r="Q105" s="212" t="s">
        <v>146</v>
      </c>
      <c r="R105" s="212" t="s">
        <v>148</v>
      </c>
      <c r="S105" s="212" t="s">
        <v>152</v>
      </c>
      <c r="T105" s="212" t="s">
        <v>153</v>
      </c>
      <c r="U105" s="212" t="s">
        <v>156</v>
      </c>
      <c r="V105" s="212" t="s">
        <v>357</v>
      </c>
      <c r="W105" s="212" t="s">
        <v>358</v>
      </c>
      <c r="X105" s="236" t="s">
        <v>362</v>
      </c>
      <c r="Y105" s="212" t="s">
        <v>167</v>
      </c>
      <c r="Z105" s="212" t="s">
        <v>167</v>
      </c>
      <c r="AA105" s="212" t="s">
        <v>171</v>
      </c>
      <c r="AB105" s="212" t="s">
        <v>359</v>
      </c>
      <c r="AC105" s="236" t="s">
        <v>361</v>
      </c>
      <c r="AD105" s="236" t="s">
        <v>360</v>
      </c>
      <c r="AE105" s="235" t="s">
        <v>364</v>
      </c>
      <c r="AF105" s="235" t="s">
        <v>365</v>
      </c>
      <c r="AG105" s="212" t="s">
        <v>369</v>
      </c>
      <c r="AH105" s="212"/>
      <c r="AI105" s="212" t="s">
        <v>370</v>
      </c>
      <c r="AJ105" s="212"/>
      <c r="AK105" s="212" t="s">
        <v>373</v>
      </c>
      <c r="AL105" s="212"/>
      <c r="AM105" s="212" t="s">
        <v>376</v>
      </c>
      <c r="AN105" s="212"/>
      <c r="AO105" s="212" t="s">
        <v>377</v>
      </c>
      <c r="AP105" s="212"/>
      <c r="AQ105" s="212" t="s">
        <v>373</v>
      </c>
      <c r="AR105" s="212"/>
      <c r="AS105" s="212" t="s">
        <v>366</v>
      </c>
      <c r="AT105" s="212"/>
      <c r="AU105" s="212" t="s">
        <v>367</v>
      </c>
      <c r="AV105" s="212"/>
      <c r="AW105" s="221" t="s">
        <v>398</v>
      </c>
      <c r="AX105" s="221"/>
      <c r="AY105" s="221" t="s">
        <v>399</v>
      </c>
      <c r="AZ105" s="221"/>
      <c r="BA105" s="221" t="s">
        <v>367</v>
      </c>
      <c r="BB105" s="221"/>
      <c r="BE105" s="54" t="s">
        <v>366</v>
      </c>
      <c r="BG105" s="54" t="s">
        <v>367</v>
      </c>
    </row>
    <row r="106" spans="1:60" s="54" customFormat="1" x14ac:dyDescent="0.3">
      <c r="A106" s="219"/>
      <c r="B106" s="212"/>
      <c r="C106" s="212"/>
      <c r="D106" s="212"/>
      <c r="E106" s="212"/>
      <c r="F106" s="212"/>
      <c r="G106" s="212"/>
      <c r="H106" s="212"/>
      <c r="I106" s="212"/>
      <c r="J106" s="212"/>
      <c r="K106" s="212"/>
      <c r="L106" s="212"/>
      <c r="M106" s="212"/>
      <c r="N106" s="212"/>
      <c r="O106" s="212"/>
      <c r="P106" s="212"/>
      <c r="Q106" s="212"/>
      <c r="R106" s="212"/>
      <c r="S106" s="212"/>
      <c r="T106" s="212"/>
      <c r="U106" s="212"/>
      <c r="V106" s="212"/>
      <c r="W106" s="212"/>
      <c r="X106" s="236"/>
      <c r="Y106" s="212"/>
      <c r="Z106" s="212"/>
      <c r="AA106" s="212"/>
      <c r="AB106" s="212"/>
      <c r="AC106" s="236"/>
      <c r="AD106" s="236"/>
      <c r="AE106" s="235"/>
      <c r="AF106" s="235"/>
      <c r="AG106" s="65" t="s">
        <v>366</v>
      </c>
      <c r="AH106" s="65" t="s">
        <v>367</v>
      </c>
      <c r="AI106" s="65" t="s">
        <v>366</v>
      </c>
      <c r="AJ106" s="65" t="s">
        <v>367</v>
      </c>
      <c r="AK106" s="65" t="s">
        <v>372</v>
      </c>
      <c r="AL106" s="65" t="s">
        <v>28</v>
      </c>
      <c r="AM106" s="65" t="s">
        <v>366</v>
      </c>
      <c r="AN106" s="65" t="s">
        <v>367</v>
      </c>
      <c r="AO106" s="65" t="s">
        <v>366</v>
      </c>
      <c r="AP106" s="65" t="s">
        <v>367</v>
      </c>
      <c r="AQ106" s="65" t="s">
        <v>372</v>
      </c>
      <c r="AR106" s="65" t="s">
        <v>28</v>
      </c>
      <c r="AS106" s="65" t="s">
        <v>372</v>
      </c>
      <c r="AT106" s="65" t="s">
        <v>28</v>
      </c>
      <c r="AU106" s="65" t="s">
        <v>372</v>
      </c>
      <c r="AV106" s="65" t="s">
        <v>28</v>
      </c>
      <c r="AW106" s="64" t="s">
        <v>372</v>
      </c>
      <c r="AX106" s="64" t="s">
        <v>28</v>
      </c>
      <c r="AY106" s="64" t="s">
        <v>372</v>
      </c>
      <c r="AZ106" s="64" t="s">
        <v>28</v>
      </c>
      <c r="BA106" s="64" t="s">
        <v>372</v>
      </c>
      <c r="BB106" s="64" t="s">
        <v>28</v>
      </c>
      <c r="BE106" s="82">
        <v>-0.1</v>
      </c>
      <c r="BF106" s="83" t="s">
        <v>479</v>
      </c>
      <c r="BG106" s="82">
        <v>-0.03</v>
      </c>
      <c r="BH106" s="83" t="s">
        <v>527</v>
      </c>
    </row>
    <row r="107" spans="1:60" x14ac:dyDescent="0.3">
      <c r="A107" s="67">
        <f>C17</f>
        <v>13.8</v>
      </c>
      <c r="B107" s="68">
        <f t="shared" ref="B107:B116" si="0">((A107*0.5144)*$C$8)/$C$31</f>
        <v>862408920.85409701</v>
      </c>
      <c r="C107" s="69">
        <f>0.075/((LOG10(B107)-2)^2)</f>
        <v>1.5591180731027155E-3</v>
      </c>
      <c r="D107" s="67">
        <f>(A107*0.5144)/SQRT($H$30*$H$31)</f>
        <v>0.21241198876256409</v>
      </c>
      <c r="E107" s="70">
        <f>0.7+((1/8)*ATAN((23-(100*D107))/4))</f>
        <v>0.75178196771616379</v>
      </c>
      <c r="F107" s="70">
        <f>$H$50+($H$51*($H$41/$H$42))+($H$52*($H$42/$H$43))+($H$53*E107)+($H$54*($H$43/$H$45))+($H$55*($H$45/$H$46))+($H$56*($H$43/$H$46))+($H$57*(($H$47-$H$48)/$H$43))+($H$58*($H$49/$H$46))+($H$62*$H$59)+($H$63*$H$60)+($H$64*$H$61)</f>
        <v>0.81998987397689915</v>
      </c>
      <c r="G107" s="71">
        <f>(C107*($C$50/2)*$C$51*((A107*0.5144)^2))/1000</f>
        <v>118.40001101199543</v>
      </c>
      <c r="H107" s="67">
        <f>$M$31+($M$32*D107)+($M$33*(D107^2))+(($M$34+($M$35*D107)+($M$36*(D107^2)))*E107)+(($M$37+($M$38*D107)+($M$39*(D107^2)))*(E107^2))</f>
        <v>1.1819985011037915</v>
      </c>
      <c r="I107" s="67">
        <f>$M$44+($M$45*E107)+($M$46*(E107^2))</f>
        <v>0.21170427875519487</v>
      </c>
      <c r="J107" s="67">
        <f>D107/I107</f>
        <v>1.0033429178263684</v>
      </c>
      <c r="K107" s="67">
        <f>IF(D107&lt;I107,1,((D107/I107)^J107))</f>
        <v>1.0033541116463447</v>
      </c>
      <c r="L107" s="72">
        <f>$R$33</f>
        <v>1.0219946887395193</v>
      </c>
      <c r="M107" s="72">
        <f>$R$40</f>
        <v>1.458798748958537</v>
      </c>
      <c r="N107" s="72">
        <f>$R$47</f>
        <v>0.2489059424816254</v>
      </c>
      <c r="O107" s="72">
        <f>$R$54</f>
        <v>0.99209748532332132</v>
      </c>
      <c r="P107" s="72">
        <f>$R$61</f>
        <v>0.88463587114114295</v>
      </c>
      <c r="Q107" s="67">
        <f>$R$69</f>
        <v>1.0891907313921749</v>
      </c>
      <c r="R107" s="72">
        <f>$R$76</f>
        <v>0.99745767773674721</v>
      </c>
      <c r="S107" s="67">
        <f t="shared" ref="S107:S116" si="1">H107*K107*L107*M107*N107*O107*P107*Q107*R107*($M$59^$M$63)*($M$60^$M$64)*($M$61^$M$65)*(IF($C$21=0,1,($M$62^$M$66)))</f>
        <v>0.41963118535157662</v>
      </c>
      <c r="T107" s="67">
        <f>(S107*($M$72/2)*((A107*0.5144)^2)*(($M$74*$M$75)/10))/1000</f>
        <v>137.7043497996614</v>
      </c>
      <c r="U107" s="71">
        <f>T107+G107</f>
        <v>256.10436081165682</v>
      </c>
      <c r="V107" s="67">
        <f>U107*A107*0.5144</f>
        <v>1818.0131481809244</v>
      </c>
      <c r="W107" s="67">
        <f>$M$85</f>
        <v>0.66275130465924437</v>
      </c>
      <c r="X107" s="67">
        <f>V107/W107</f>
        <v>2743.1302441806001</v>
      </c>
      <c r="Y107" s="67">
        <f>(X107/$C$89)+1</f>
        <v>1.8572282013064374</v>
      </c>
      <c r="Z107" s="67">
        <f>ROUNDDOWN(Y107,0)</f>
        <v>1</v>
      </c>
      <c r="AA107" s="67">
        <f>X107/($C$89*Z107)</f>
        <v>0.85722820130643751</v>
      </c>
      <c r="AB107" s="70">
        <f>0.455*(AA107^2)-0.71*AA107+1.28</f>
        <v>1.0057202631197864</v>
      </c>
      <c r="AC107" s="67">
        <f>AB107*$R$89</f>
        <v>183.04108788780113</v>
      </c>
      <c r="AD107" s="70">
        <f t="shared" ref="AD107:AD116" si="2">(AC107*X107)/1000</f>
        <v>502.1055441127466</v>
      </c>
      <c r="AE107" s="71">
        <f>H101</f>
        <v>63.875271565495211</v>
      </c>
      <c r="AF107" s="67">
        <f>M101</f>
        <v>27.945431309904155</v>
      </c>
      <c r="AG107" s="67">
        <f>(AD107/890)*'data, etc'!H5*1000*2</f>
        <v>117480.10584643524</v>
      </c>
      <c r="AH107" s="67">
        <f>(AD107/991)*'data, etc'!H5*1000*2</f>
        <v>105506.85590648574</v>
      </c>
      <c r="AI107" s="67">
        <f>AG107/1000*890/1000</f>
        <v>104.55729420332736</v>
      </c>
      <c r="AJ107" s="67">
        <f>AH107/1000*991/1000</f>
        <v>104.55729420332737</v>
      </c>
      <c r="AK107" s="67">
        <f>AE107/890*(SUM($Q$8:$R$10))*1000</f>
        <v>8318.1392971246005</v>
      </c>
      <c r="AL107" s="67">
        <f>AK107/1000*890/1000</f>
        <v>7.4031439744408942</v>
      </c>
      <c r="AM107" s="67">
        <f t="shared" ref="AM107:AM116" si="3">((($C$89*20%)*223.84)/890)*(SUM($Q$11:$R$13))*1000/1000</f>
        <v>2626.3893333333331</v>
      </c>
      <c r="AN107" s="67"/>
      <c r="AO107" s="72">
        <f>AM107/1000*0.89</f>
        <v>2.3374865066666666</v>
      </c>
      <c r="AP107" s="67"/>
      <c r="AQ107" s="67">
        <f>'data, etc'!H5/890*Sheet1!AF107*1000</f>
        <v>3269.265064592304</v>
      </c>
      <c r="AR107" s="71">
        <f>AQ107/1000*0.89</f>
        <v>2.909645907487151</v>
      </c>
      <c r="AS107" s="71">
        <f>AQ107+AM107+AK107</f>
        <v>14213.793695050237</v>
      </c>
      <c r="AT107" s="71">
        <f>AS107/1000*0.89</f>
        <v>12.650276388594712</v>
      </c>
      <c r="AU107" s="71">
        <f>AH107+AN107</f>
        <v>105506.85590648574</v>
      </c>
      <c r="AV107" s="71">
        <f>AU107/1000*0.991</f>
        <v>104.55729420332737</v>
      </c>
      <c r="AW107" s="67">
        <f>AS107*'data, etc'!J5</f>
        <v>497482.77932675829</v>
      </c>
      <c r="AX107" s="67">
        <f>AW107/1000*0.89</f>
        <v>442.75967360081489</v>
      </c>
      <c r="AY107" s="67">
        <f>AG107*'data, etc'!J5</f>
        <v>4111803.7046252335</v>
      </c>
      <c r="AZ107" s="67">
        <f>AY107/1000*0.89</f>
        <v>3659.5052971164582</v>
      </c>
      <c r="BA107" s="67">
        <f>AU107*'data, etc'!J5</f>
        <v>3692739.9567270009</v>
      </c>
      <c r="BB107" s="67">
        <f>BA107/1000*0.991</f>
        <v>3659.5052971164578</v>
      </c>
      <c r="BE107">
        <f>AS107*90%</f>
        <v>12792.414325545215</v>
      </c>
      <c r="BF107">
        <f>AS107*110%</f>
        <v>15635.173064555262</v>
      </c>
      <c r="BG107">
        <f>AU107*97%</f>
        <v>102341.65022929116</v>
      </c>
      <c r="BH107">
        <f>AU107*103%</f>
        <v>108672.06158368032</v>
      </c>
    </row>
    <row r="108" spans="1:60" x14ac:dyDescent="0.3">
      <c r="A108" s="67">
        <f>A107-1</f>
        <v>12.8</v>
      </c>
      <c r="B108" s="68">
        <f t="shared" si="0"/>
        <v>799915520.79220593</v>
      </c>
      <c r="C108" s="69">
        <f t="shared" ref="C108:C116" si="4">0.075/((LOG10(B108)-2)^2)</f>
        <v>1.5739102535135643E-3</v>
      </c>
      <c r="D108" s="67">
        <f t="shared" ref="D108:D116" si="5">(A108*0.5144)/SQRT($H$30*$H$31)</f>
        <v>0.19701981566382756</v>
      </c>
      <c r="E108" s="70">
        <f t="shared" ref="E108:E116" si="6">0.7+((1/8)*ATAN((23-(100*D108))/4))</f>
        <v>0.78618815084413329</v>
      </c>
      <c r="F108" s="70">
        <f t="shared" ref="F108:F116" si="7">$H$50+($H$51*($H$41/$H$42))+($H$52*($H$42/$H$43))+($H$53*E108)+($H$54*($H$43/$H$45))+($H$55*($H$45/$H$46))+($H$56*($H$43/$H$46))+($H$57*(($H$47-$H$48)/$H$43))+($H$58*($H$49/$H$46))+($H$62*$H$59)+($H$63*$H$60)+($H$64*$H$61)</f>
        <v>0.84208552478168119</v>
      </c>
      <c r="G108" s="71">
        <f t="shared" ref="G108:G116" si="8">(C108*($C$50/2)*$C$51*((A108*0.5144)^2))/1000</f>
        <v>102.82872906696886</v>
      </c>
      <c r="H108" s="67">
        <f t="shared" ref="H108:H116" si="9">$M$31+($M$32*D108)+($M$33*(D108^2))+(($M$34+($M$35*D108)+($M$36*(D108^2)))*E108)+(($M$37+($M$38*D108)+($M$39*(D108^2)))*(E108^2))</f>
        <v>1.1773910924721243</v>
      </c>
      <c r="I108" s="67">
        <f t="shared" ref="I108:I116" si="10">$M$44+($M$45*E108)+($M$46*(E108^2))</f>
        <v>0.19575257960168008</v>
      </c>
      <c r="J108" s="67">
        <f t="shared" ref="J108:J116" si="11">D108/I108</f>
        <v>1.0064736621337307</v>
      </c>
      <c r="K108" s="67">
        <f t="shared" ref="K108:K116" si="12">IF(D108&lt;I108,1,((D108/I108)^J108))</f>
        <v>1.0065157066716326</v>
      </c>
      <c r="L108" s="72">
        <f t="shared" ref="L108:L116" si="13">$R$33</f>
        <v>1.0219946887395193</v>
      </c>
      <c r="M108" s="72">
        <f t="shared" ref="M108:M116" si="14">$R$40</f>
        <v>1.458798748958537</v>
      </c>
      <c r="N108" s="72">
        <f t="shared" ref="N108:N116" si="15">$R$47</f>
        <v>0.2489059424816254</v>
      </c>
      <c r="O108" s="72">
        <f t="shared" ref="O108:O116" si="16">$R$54</f>
        <v>0.99209748532332132</v>
      </c>
      <c r="P108" s="72">
        <f t="shared" ref="P108:P116" si="17">$R$61</f>
        <v>0.88463587114114295</v>
      </c>
      <c r="Q108" s="67">
        <f t="shared" ref="Q108:Q116" si="18">$R$69</f>
        <v>1.0891907313921749</v>
      </c>
      <c r="R108" s="72">
        <f t="shared" ref="R108:R116" si="19">$R$76</f>
        <v>0.99745767773674721</v>
      </c>
      <c r="S108" s="67">
        <f>H108*K108*L108*M108*N108*O108*P108*Q108*R108*($M$59^$M$63)*($M$60^$M$64)*($M$61^$M$65)*(IF($C$21=0,1,($M$62^$M$66)))</f>
        <v>0.41931258528402826</v>
      </c>
      <c r="T108" s="67">
        <f t="shared" ref="T108:T116" si="20">(S108*($M$72/2)*((A108*0.5144)^2)*(($M$74*$M$75)/10))/1000</f>
        <v>118.38033570132023</v>
      </c>
      <c r="U108" s="71">
        <f t="shared" ref="U108:U116" si="21">T108+G108</f>
        <v>221.2090647682891</v>
      </c>
      <c r="V108" s="67">
        <f t="shared" ref="V108:V116" si="22">U108*A108*0.5144</f>
        <v>1456.5112693351412</v>
      </c>
      <c r="W108" s="67">
        <f t="shared" ref="W108:W116" si="23">$M$85</f>
        <v>0.66275130465924437</v>
      </c>
      <c r="X108" s="67">
        <f t="shared" ref="X108:X116" si="24">V108/W108</f>
        <v>2197.6739375624629</v>
      </c>
      <c r="Y108" s="67">
        <f t="shared" ref="Y108:Y116" si="25">(X108/$C$89)+1</f>
        <v>1.6867731054882698</v>
      </c>
      <c r="Z108" s="67">
        <f t="shared" ref="Z108:Z116" si="26">ROUNDDOWN(Y108,0)</f>
        <v>1</v>
      </c>
      <c r="AA108" s="67">
        <f t="shared" ref="AA108:AA115" si="27">X108/($C$89*Z108)</f>
        <v>0.68677310548826964</v>
      </c>
      <c r="AB108" s="70">
        <f t="shared" ref="AB108:AB116" si="28">0.455*(AA108^2)-0.71*AA108+1.28</f>
        <v>1.0069951658853395</v>
      </c>
      <c r="AC108" s="67">
        <f t="shared" ref="AC108:AC116" si="29">AB108*$R$89</f>
        <v>183.2731201911318</v>
      </c>
      <c r="AD108" s="70">
        <f t="shared" si="2"/>
        <v>402.77455969980315</v>
      </c>
      <c r="AE108" s="71">
        <f>AE107</f>
        <v>63.875271565495211</v>
      </c>
      <c r="AF108" s="67">
        <f>AF107</f>
        <v>27.945431309904155</v>
      </c>
      <c r="AG108" s="67">
        <f>(AD108/890)*'data, etc'!H6*1000*2</f>
        <v>101601.57976809429</v>
      </c>
      <c r="AH108" s="67">
        <f>(AD108/991)*'data, etc'!H6*1000*2</f>
        <v>91246.625624221924</v>
      </c>
      <c r="AI108" s="67">
        <f t="shared" ref="AI108:AI116" si="30">AG108/1000*890/1000</f>
        <v>90.425405993603931</v>
      </c>
      <c r="AJ108" s="67">
        <f t="shared" ref="AJ108:AJ116" si="31">AH108/1000*991/1000</f>
        <v>90.425405993603931</v>
      </c>
      <c r="AK108" s="67">
        <f>AE108/890*(SUM($Q$8:$R$10))*1000</f>
        <v>8318.1392971246005</v>
      </c>
      <c r="AL108" s="67">
        <f t="shared" ref="AL108:AL116" si="32">AK108/1000*890/1000</f>
        <v>7.4031439744408942</v>
      </c>
      <c r="AM108" s="67">
        <f>((($C$89*20%)*223.84)/890)*(SUM($Q$11:$R$13))*1000/1000</f>
        <v>2626.3893333333331</v>
      </c>
      <c r="AN108" s="67"/>
      <c r="AO108" s="72">
        <f t="shared" ref="AO108:AO116" si="33">AM108/1000*0.89</f>
        <v>2.3374865066666666</v>
      </c>
      <c r="AP108" s="67"/>
      <c r="AQ108" s="67">
        <f>'data, etc'!H6/890*Sheet1!AF108*1000</f>
        <v>3524.6763977635778</v>
      </c>
      <c r="AR108" s="71">
        <f t="shared" ref="AR108:AR116" si="34">AQ108/1000*0.89</f>
        <v>3.1369619940095843</v>
      </c>
      <c r="AS108" s="71">
        <f t="shared" ref="AS108:AS116" si="35">AQ108+AM108+AK108</f>
        <v>14469.205028221511</v>
      </c>
      <c r="AT108" s="71">
        <f t="shared" ref="AT108:AT116" si="36">AS108/1000*0.89</f>
        <v>12.877592475117146</v>
      </c>
      <c r="AU108" s="71">
        <f t="shared" ref="AU108:AU116" si="37">AH108+AN108</f>
        <v>91246.625624221924</v>
      </c>
      <c r="AV108" s="71">
        <f t="shared" ref="AV108:AV116" si="38">AU108/1000*0.991</f>
        <v>90.425405993603917</v>
      </c>
      <c r="AW108" s="67">
        <f>AS108*'data, etc'!J6</f>
        <v>477483.7659313099</v>
      </c>
      <c r="AX108" s="67">
        <f t="shared" ref="AX108:AX116" si="39">AW108/1000*0.89</f>
        <v>424.96055167886584</v>
      </c>
      <c r="AY108" s="67">
        <f>AG108*'data, etc'!J6</f>
        <v>3352852.1323471116</v>
      </c>
      <c r="AZ108" s="67">
        <f t="shared" ref="AZ108:AZ116" si="40">AY108/1000*0.89</f>
        <v>2984.0383977889292</v>
      </c>
      <c r="BA108" s="67">
        <f>AU108*'data, etc'!J6</f>
        <v>3011138.6455993233</v>
      </c>
      <c r="BB108" s="67">
        <f t="shared" ref="BB108:BB116" si="41">BA108/1000*0.991</f>
        <v>2984.0383977889296</v>
      </c>
      <c r="BE108">
        <f t="shared" ref="BE108:BE116" si="42">AS108*90%</f>
        <v>13022.28452539936</v>
      </c>
      <c r="BF108">
        <f t="shared" ref="BF108:BF116" si="43">AS108*110%</f>
        <v>15916.125531043665</v>
      </c>
      <c r="BG108">
        <f t="shared" ref="BG108:BG116" si="44">AU108*97%</f>
        <v>88509.226855495261</v>
      </c>
      <c r="BH108">
        <f t="shared" ref="BH108:BH116" si="45">AU108*103%</f>
        <v>93984.024392948588</v>
      </c>
    </row>
    <row r="109" spans="1:60" x14ac:dyDescent="0.3">
      <c r="A109" s="67">
        <f t="shared" ref="A109:A116" si="46">A108-1</f>
        <v>11.8</v>
      </c>
      <c r="B109" s="68">
        <f t="shared" si="0"/>
        <v>737422120.73031485</v>
      </c>
      <c r="C109" s="69">
        <f t="shared" si="4"/>
        <v>1.5901444873182384E-3</v>
      </c>
      <c r="D109" s="67">
        <f t="shared" si="5"/>
        <v>0.18162764256509101</v>
      </c>
      <c r="E109" s="70">
        <f t="shared" si="6"/>
        <v>0.80998197290773166</v>
      </c>
      <c r="F109" s="70">
        <f t="shared" si="7"/>
        <v>0.85736591731092426</v>
      </c>
      <c r="G109" s="71">
        <f t="shared" si="8"/>
        <v>88.290742005308744</v>
      </c>
      <c r="H109" s="67">
        <f t="shared" si="9"/>
        <v>1.1077017075910289</v>
      </c>
      <c r="I109" s="67">
        <f t="shared" si="10"/>
        <v>0.18540932309774971</v>
      </c>
      <c r="J109" s="67">
        <f t="shared" si="11"/>
        <v>0.97960361178458666</v>
      </c>
      <c r="K109" s="67">
        <f t="shared" si="12"/>
        <v>1</v>
      </c>
      <c r="L109" s="72">
        <f t="shared" si="13"/>
        <v>1.0219946887395193</v>
      </c>
      <c r="M109" s="72">
        <f t="shared" si="14"/>
        <v>1.458798748958537</v>
      </c>
      <c r="N109" s="72">
        <f t="shared" si="15"/>
        <v>0.2489059424816254</v>
      </c>
      <c r="O109" s="72">
        <f t="shared" si="16"/>
        <v>0.99209748532332132</v>
      </c>
      <c r="P109" s="72">
        <f t="shared" si="17"/>
        <v>0.88463587114114295</v>
      </c>
      <c r="Q109" s="67">
        <f t="shared" si="18"/>
        <v>1.0891907313921749</v>
      </c>
      <c r="R109" s="72">
        <f t="shared" si="19"/>
        <v>0.99745767773674721</v>
      </c>
      <c r="S109" s="67">
        <f t="shared" si="1"/>
        <v>0.391939848551073</v>
      </c>
      <c r="T109" s="67">
        <f t="shared" si="20"/>
        <v>94.038385742226893</v>
      </c>
      <c r="U109" s="71">
        <f t="shared" si="21"/>
        <v>182.32912774753564</v>
      </c>
      <c r="V109" s="67">
        <f t="shared" si="22"/>
        <v>1106.7232190973216</v>
      </c>
      <c r="W109" s="67">
        <f t="shared" si="23"/>
        <v>0.66275130465924437</v>
      </c>
      <c r="X109" s="67">
        <f t="shared" si="24"/>
        <v>1669.8921772267906</v>
      </c>
      <c r="Y109" s="67">
        <f t="shared" si="25"/>
        <v>1.5218413053833721</v>
      </c>
      <c r="Z109" s="67">
        <f t="shared" si="26"/>
        <v>1</v>
      </c>
      <c r="AA109" s="67">
        <f t="shared" si="27"/>
        <v>0.52184130538337203</v>
      </c>
      <c r="AB109" s="70">
        <f t="shared" si="28"/>
        <v>1.0333975215197269</v>
      </c>
      <c r="AC109" s="67">
        <f t="shared" si="29"/>
        <v>188.0783489165903</v>
      </c>
      <c r="AD109" s="70">
        <f t="shared" si="2"/>
        <v>314.07056356154499</v>
      </c>
      <c r="AE109" s="71">
        <f t="shared" ref="AE109:AE116" si="47">AE108</f>
        <v>63.875271565495211</v>
      </c>
      <c r="AF109" s="67">
        <f t="shared" ref="AF109:AF116" si="48">AF108</f>
        <v>27.945431309904155</v>
      </c>
      <c r="AG109" s="67">
        <f>(AD109/890)*'data, etc'!H7*1000*2</f>
        <v>85939.658835987473</v>
      </c>
      <c r="AH109" s="67">
        <f>(AD109/991)*'data, etc'!H7*1000*2</f>
        <v>77180.924686204686</v>
      </c>
      <c r="AI109" s="67">
        <f t="shared" si="30"/>
        <v>76.486296364028846</v>
      </c>
      <c r="AJ109" s="67">
        <f t="shared" si="31"/>
        <v>76.486296364028846</v>
      </c>
      <c r="AK109" s="67">
        <f t="shared" ref="AK109:AK116" si="49">AE109/890*(SUM($Q$8:$R$10))*1000</f>
        <v>8318.1392971246005</v>
      </c>
      <c r="AL109" s="67">
        <f t="shared" si="32"/>
        <v>7.4031439744408942</v>
      </c>
      <c r="AM109" s="67">
        <f t="shared" si="3"/>
        <v>2626.3893333333331</v>
      </c>
      <c r="AN109" s="67"/>
      <c r="AO109" s="72">
        <f t="shared" si="33"/>
        <v>2.3374865066666666</v>
      </c>
      <c r="AP109" s="67"/>
      <c r="AQ109" s="67">
        <f>'data, etc'!H7/890*Sheet1!AF109*1000</f>
        <v>3823.3777874045591</v>
      </c>
      <c r="AR109" s="71">
        <f t="shared" si="34"/>
        <v>3.4028062307900577</v>
      </c>
      <c r="AS109" s="71">
        <f t="shared" si="35"/>
        <v>14767.906417862492</v>
      </c>
      <c r="AT109" s="71">
        <f t="shared" si="36"/>
        <v>13.143436711897619</v>
      </c>
      <c r="AU109" s="71">
        <f t="shared" si="37"/>
        <v>77180.924686204686</v>
      </c>
      <c r="AV109" s="71">
        <f t="shared" si="38"/>
        <v>76.486296364028846</v>
      </c>
      <c r="AW109" s="67">
        <f>AS109*'data, etc'!J7</f>
        <v>472573.00537159975</v>
      </c>
      <c r="AX109" s="67">
        <f t="shared" si="39"/>
        <v>420.58997478072382</v>
      </c>
      <c r="AY109" s="67">
        <f>AG109*'data, etc'!J7</f>
        <v>2750069.0827515991</v>
      </c>
      <c r="AZ109" s="67">
        <f t="shared" si="40"/>
        <v>2447.5614836489231</v>
      </c>
      <c r="BA109" s="67">
        <f>AU109*'data, etc'!J7</f>
        <v>2469789.5899585499</v>
      </c>
      <c r="BB109" s="67">
        <f t="shared" si="41"/>
        <v>2447.5614836489231</v>
      </c>
      <c r="BE109">
        <f t="shared" si="42"/>
        <v>13291.115776076243</v>
      </c>
      <c r="BF109">
        <f t="shared" si="43"/>
        <v>16244.697059648743</v>
      </c>
      <c r="BG109">
        <f t="shared" si="44"/>
        <v>74865.49694561855</v>
      </c>
      <c r="BH109">
        <f t="shared" si="45"/>
        <v>79496.352426790821</v>
      </c>
    </row>
    <row r="110" spans="1:60" x14ac:dyDescent="0.3">
      <c r="A110" s="67">
        <f t="shared" si="46"/>
        <v>10.8</v>
      </c>
      <c r="B110" s="68">
        <f t="shared" si="0"/>
        <v>674928720.66842377</v>
      </c>
      <c r="C110" s="69">
        <f t="shared" si="4"/>
        <v>1.6081043797730901E-3</v>
      </c>
      <c r="D110" s="67">
        <f t="shared" si="5"/>
        <v>0.16623546946635451</v>
      </c>
      <c r="E110" s="70">
        <f t="shared" si="6"/>
        <v>0.82631738109262642</v>
      </c>
      <c r="F110" s="70">
        <f t="shared" si="7"/>
        <v>0.86785651644726358</v>
      </c>
      <c r="G110" s="71">
        <f t="shared" si="8"/>
        <v>74.795644688208426</v>
      </c>
      <c r="H110" s="67">
        <f t="shared" si="9"/>
        <v>1.0108574767111964</v>
      </c>
      <c r="I110" s="67">
        <f t="shared" si="10"/>
        <v>0.17863406192325582</v>
      </c>
      <c r="J110" s="67">
        <f t="shared" si="11"/>
        <v>0.93059222679363385</v>
      </c>
      <c r="K110" s="67">
        <f t="shared" si="12"/>
        <v>1</v>
      </c>
      <c r="L110" s="72">
        <f t="shared" si="13"/>
        <v>1.0219946887395193</v>
      </c>
      <c r="M110" s="72">
        <f t="shared" si="14"/>
        <v>1.458798748958537</v>
      </c>
      <c r="N110" s="72">
        <f t="shared" si="15"/>
        <v>0.2489059424816254</v>
      </c>
      <c r="O110" s="72">
        <f t="shared" si="16"/>
        <v>0.99209748532332132</v>
      </c>
      <c r="P110" s="72">
        <f t="shared" si="17"/>
        <v>0.88463587114114295</v>
      </c>
      <c r="Q110" s="67">
        <f t="shared" si="18"/>
        <v>1.0891907313921749</v>
      </c>
      <c r="R110" s="72">
        <f t="shared" si="19"/>
        <v>0.99745767773674721</v>
      </c>
      <c r="S110" s="67">
        <f t="shared" si="1"/>
        <v>0.3576733010464801</v>
      </c>
      <c r="T110" s="67">
        <f t="shared" si="20"/>
        <v>71.887894559769947</v>
      </c>
      <c r="U110" s="71">
        <f t="shared" si="21"/>
        <v>146.68353924797839</v>
      </c>
      <c r="V110" s="67">
        <f t="shared" si="22"/>
        <v>814.90333596292896</v>
      </c>
      <c r="W110" s="67">
        <f t="shared" si="23"/>
        <v>0.66275130465924437</v>
      </c>
      <c r="X110" s="67">
        <f t="shared" si="24"/>
        <v>1229.5763587850106</v>
      </c>
      <c r="Y110" s="67">
        <f t="shared" si="25"/>
        <v>1.3842426121203157</v>
      </c>
      <c r="Z110" s="67">
        <f t="shared" si="26"/>
        <v>1</v>
      </c>
      <c r="AA110" s="67">
        <f t="shared" si="27"/>
        <v>0.3842426121203158</v>
      </c>
      <c r="AB110" s="70">
        <f t="shared" si="28"/>
        <v>1.0743650305554906</v>
      </c>
      <c r="AC110" s="67">
        <f t="shared" si="29"/>
        <v>195.53443556109929</v>
      </c>
      <c r="AD110" s="70">
        <f t="shared" si="2"/>
        <v>240.42451929429876</v>
      </c>
      <c r="AE110" s="71">
        <f t="shared" si="47"/>
        <v>63.875271565495211</v>
      </c>
      <c r="AF110" s="67">
        <f t="shared" si="48"/>
        <v>27.945431309904155</v>
      </c>
      <c r="AG110" s="67">
        <f>(AD110/890)*'data, etc'!H8*1000*2</f>
        <v>71879.227278988808</v>
      </c>
      <c r="AH110" s="67">
        <f>(AD110/991)*'data, etc'!H8*1000*2</f>
        <v>64553.4937217962</v>
      </c>
      <c r="AI110" s="67">
        <f t="shared" si="30"/>
        <v>63.972512278300037</v>
      </c>
      <c r="AJ110" s="67">
        <f t="shared" si="31"/>
        <v>63.97251227830003</v>
      </c>
      <c r="AK110" s="67">
        <f t="shared" si="49"/>
        <v>8318.1392971246005</v>
      </c>
      <c r="AL110" s="67">
        <f t="shared" si="32"/>
        <v>7.4031439744408942</v>
      </c>
      <c r="AM110" s="67">
        <f t="shared" si="3"/>
        <v>2626.3893333333331</v>
      </c>
      <c r="AN110" s="67"/>
      <c r="AO110" s="72">
        <f t="shared" si="33"/>
        <v>2.3374865066666666</v>
      </c>
      <c r="AP110" s="67"/>
      <c r="AQ110" s="67">
        <f>'data, etc'!H8/890*Sheet1!AF110*1000</f>
        <v>4177.3942492012766</v>
      </c>
      <c r="AR110" s="71">
        <f t="shared" si="34"/>
        <v>3.7178808817891364</v>
      </c>
      <c r="AS110" s="71">
        <f t="shared" si="35"/>
        <v>15121.922879659211</v>
      </c>
      <c r="AT110" s="71">
        <f t="shared" si="36"/>
        <v>13.458511362896697</v>
      </c>
      <c r="AU110" s="71">
        <f t="shared" si="37"/>
        <v>64553.4937217962</v>
      </c>
      <c r="AV110" s="71">
        <f t="shared" si="38"/>
        <v>63.972512278300037</v>
      </c>
      <c r="AW110" s="67">
        <f>AS110*'data, etc'!J8</f>
        <v>468779.60926943552</v>
      </c>
      <c r="AX110" s="67">
        <f t="shared" si="39"/>
        <v>417.21385224979764</v>
      </c>
      <c r="AY110" s="67">
        <f>AG110*'data, etc'!J8</f>
        <v>2228256.0456486531</v>
      </c>
      <c r="AZ110" s="67">
        <f t="shared" si="40"/>
        <v>1983.1478806273012</v>
      </c>
      <c r="BA110" s="67">
        <f>AU110*'data, etc'!J8</f>
        <v>2001158.3053756822</v>
      </c>
      <c r="BB110" s="67">
        <f t="shared" si="41"/>
        <v>1983.147880627301</v>
      </c>
      <c r="BE110">
        <f t="shared" si="42"/>
        <v>13609.730591693289</v>
      </c>
      <c r="BF110">
        <f t="shared" si="43"/>
        <v>16634.115167625132</v>
      </c>
      <c r="BG110">
        <f t="shared" si="44"/>
        <v>62616.888910142312</v>
      </c>
      <c r="BH110">
        <f t="shared" si="45"/>
        <v>66490.098533450087</v>
      </c>
    </row>
    <row r="111" spans="1:60" x14ac:dyDescent="0.3">
      <c r="A111" s="67">
        <f t="shared" si="46"/>
        <v>9.8000000000000007</v>
      </c>
      <c r="B111" s="68">
        <f t="shared" si="0"/>
        <v>612435320.60653269</v>
      </c>
      <c r="C111" s="69">
        <f t="shared" si="4"/>
        <v>1.6281629092290699E-3</v>
      </c>
      <c r="D111" s="67">
        <f t="shared" si="5"/>
        <v>0.15084329636761798</v>
      </c>
      <c r="E111" s="70">
        <f t="shared" si="6"/>
        <v>0.83786205021795612</v>
      </c>
      <c r="F111" s="70">
        <f t="shared" si="7"/>
        <v>0.87527050295955022</v>
      </c>
      <c r="G111" s="71">
        <f t="shared" si="8"/>
        <v>62.35403644407922</v>
      </c>
      <c r="H111" s="67">
        <f t="shared" si="9"/>
        <v>0.91985212239476777</v>
      </c>
      <c r="I111" s="67">
        <f t="shared" si="10"/>
        <v>0.17400577148448204</v>
      </c>
      <c r="J111" s="67">
        <f t="shared" si="11"/>
        <v>0.86688674220826223</v>
      </c>
      <c r="K111" s="67">
        <f t="shared" si="12"/>
        <v>1</v>
      </c>
      <c r="L111" s="72">
        <f t="shared" si="13"/>
        <v>1.0219946887395193</v>
      </c>
      <c r="M111" s="72">
        <f t="shared" si="14"/>
        <v>1.458798748958537</v>
      </c>
      <c r="N111" s="72">
        <f t="shared" si="15"/>
        <v>0.2489059424816254</v>
      </c>
      <c r="O111" s="72">
        <f t="shared" si="16"/>
        <v>0.99209748532332132</v>
      </c>
      <c r="P111" s="72">
        <f t="shared" si="17"/>
        <v>0.88463587114114295</v>
      </c>
      <c r="Q111" s="67">
        <f t="shared" si="18"/>
        <v>1.0891907313921749</v>
      </c>
      <c r="R111" s="72">
        <f t="shared" si="19"/>
        <v>0.99745767773674721</v>
      </c>
      <c r="S111" s="67">
        <f t="shared" si="1"/>
        <v>0.32547273247853226</v>
      </c>
      <c r="T111" s="67">
        <f t="shared" si="20"/>
        <v>53.862746144206398</v>
      </c>
      <c r="U111" s="71">
        <f t="shared" si="21"/>
        <v>116.21678258828561</v>
      </c>
      <c r="V111" s="67">
        <f t="shared" si="22"/>
        <v>585.86274704145831</v>
      </c>
      <c r="W111" s="67">
        <f t="shared" si="23"/>
        <v>0.66275130465924437</v>
      </c>
      <c r="X111" s="67">
        <f t="shared" si="24"/>
        <v>883.98580722927647</v>
      </c>
      <c r="Y111" s="67">
        <f t="shared" si="25"/>
        <v>1.2762455647591489</v>
      </c>
      <c r="Z111" s="67">
        <f t="shared" si="26"/>
        <v>1</v>
      </c>
      <c r="AA111" s="67">
        <f t="shared" si="27"/>
        <v>0.27624556475914891</v>
      </c>
      <c r="AB111" s="70">
        <f t="shared" si="28"/>
        <v>1.1185874325033454</v>
      </c>
      <c r="AC111" s="67">
        <f t="shared" si="29"/>
        <v>203.58291271560884</v>
      </c>
      <c r="AD111" s="70">
        <f t="shared" si="2"/>
        <v>179.9644054349948</v>
      </c>
      <c r="AE111" s="71">
        <f t="shared" si="47"/>
        <v>63.875271565495211</v>
      </c>
      <c r="AF111" s="67">
        <f t="shared" si="48"/>
        <v>27.945431309904155</v>
      </c>
      <c r="AG111" s="67">
        <f>(AD111/890)*'data, etc'!H9*1000*2</f>
        <v>59293.752878976811</v>
      </c>
      <c r="AH111" s="67">
        <f>(AD111/991)*'data, etc'!H9*1000*2</f>
        <v>53250.696329252634</v>
      </c>
      <c r="AI111" s="67">
        <f t="shared" si="30"/>
        <v>52.771440062289358</v>
      </c>
      <c r="AJ111" s="67">
        <f t="shared" si="31"/>
        <v>52.771440062289358</v>
      </c>
      <c r="AK111" s="67">
        <f t="shared" si="49"/>
        <v>8318.1392971246005</v>
      </c>
      <c r="AL111" s="67">
        <f t="shared" si="32"/>
        <v>7.4031439744408942</v>
      </c>
      <c r="AM111" s="67">
        <f t="shared" si="3"/>
        <v>2626.3893333333331</v>
      </c>
      <c r="AN111" s="67"/>
      <c r="AO111" s="72">
        <f t="shared" si="33"/>
        <v>2.3374865066666666</v>
      </c>
      <c r="AP111" s="67"/>
      <c r="AQ111" s="67">
        <f>'data, etc'!H9/890*Sheet1!AF111*1000</f>
        <v>4603.6589685075296</v>
      </c>
      <c r="AR111" s="71">
        <f t="shared" si="34"/>
        <v>4.0972564819717014</v>
      </c>
      <c r="AS111" s="71">
        <f t="shared" si="35"/>
        <v>15548.187598965464</v>
      </c>
      <c r="AT111" s="71">
        <f t="shared" si="36"/>
        <v>13.837886963079264</v>
      </c>
      <c r="AU111" s="71">
        <f t="shared" si="37"/>
        <v>53250.696329252634</v>
      </c>
      <c r="AV111" s="71">
        <f t="shared" si="38"/>
        <v>52.771440062289358</v>
      </c>
      <c r="AW111" s="67">
        <f>AS111*'data, etc'!J9</f>
        <v>450897.44036999845</v>
      </c>
      <c r="AX111" s="67">
        <f t="shared" si="39"/>
        <v>401.29872192929861</v>
      </c>
      <c r="AY111" s="67">
        <f>AG111*'data, etc'!J9</f>
        <v>1719518.8334903275</v>
      </c>
      <c r="AZ111" s="67">
        <f t="shared" si="40"/>
        <v>1530.3717618063915</v>
      </c>
      <c r="BA111" s="67">
        <f>AU111*'data, etc'!J9</f>
        <v>1544270.1935483264</v>
      </c>
      <c r="BB111" s="67">
        <f t="shared" si="41"/>
        <v>1530.3717618063915</v>
      </c>
      <c r="BE111">
        <f t="shared" si="42"/>
        <v>13993.368839068917</v>
      </c>
      <c r="BF111">
        <f t="shared" si="43"/>
        <v>17103.006358862011</v>
      </c>
      <c r="BG111">
        <f t="shared" si="44"/>
        <v>51653.175439375053</v>
      </c>
      <c r="BH111">
        <f t="shared" si="45"/>
        <v>54848.217219130216</v>
      </c>
    </row>
    <row r="112" spans="1:60" x14ac:dyDescent="0.3">
      <c r="A112" s="67">
        <f t="shared" si="46"/>
        <v>8.8000000000000007</v>
      </c>
      <c r="B112" s="68">
        <f t="shared" si="0"/>
        <v>549941920.54464161</v>
      </c>
      <c r="C112" s="69">
        <f t="shared" si="4"/>
        <v>1.6508234965809116E-3</v>
      </c>
      <c r="D112" s="67">
        <f t="shared" si="5"/>
        <v>0.13545112326888145</v>
      </c>
      <c r="E112" s="70">
        <f t="shared" si="6"/>
        <v>0.8463210822762357</v>
      </c>
      <c r="F112" s="70">
        <f t="shared" si="7"/>
        <v>0.8807028933473775</v>
      </c>
      <c r="G112" s="71">
        <f t="shared" si="8"/>
        <v>50.977736729594938</v>
      </c>
      <c r="H112" s="67">
        <f t="shared" si="9"/>
        <v>0.85638742102243226</v>
      </c>
      <c r="I112" s="67">
        <f t="shared" si="10"/>
        <v>0.17069861999447644</v>
      </c>
      <c r="J112" s="67">
        <f t="shared" si="11"/>
        <v>0.79351035921242041</v>
      </c>
      <c r="K112" s="67">
        <f t="shared" si="12"/>
        <v>1</v>
      </c>
      <c r="L112" s="72">
        <f t="shared" si="13"/>
        <v>1.0219946887395193</v>
      </c>
      <c r="M112" s="72">
        <f t="shared" si="14"/>
        <v>1.458798748958537</v>
      </c>
      <c r="N112" s="72">
        <f t="shared" si="15"/>
        <v>0.2489059424816254</v>
      </c>
      <c r="O112" s="72">
        <f t="shared" si="16"/>
        <v>0.99209748532332132</v>
      </c>
      <c r="P112" s="72">
        <f t="shared" si="17"/>
        <v>0.88463587114114295</v>
      </c>
      <c r="Q112" s="67">
        <f t="shared" si="18"/>
        <v>1.0891907313921749</v>
      </c>
      <c r="R112" s="72">
        <f t="shared" si="19"/>
        <v>0.99745767773674721</v>
      </c>
      <c r="S112" s="67">
        <f t="shared" si="1"/>
        <v>0.3030169167352238</v>
      </c>
      <c r="T112" s="67">
        <f t="shared" si="20"/>
        <v>40.434674324443861</v>
      </c>
      <c r="U112" s="71">
        <f t="shared" si="21"/>
        <v>91.412411054038799</v>
      </c>
      <c r="V112" s="67">
        <f t="shared" si="22"/>
        <v>413.79838936653852</v>
      </c>
      <c r="W112" s="67">
        <f t="shared" si="23"/>
        <v>0.66275130465924437</v>
      </c>
      <c r="X112" s="67">
        <f t="shared" si="24"/>
        <v>624.36450363427684</v>
      </c>
      <c r="Y112" s="67">
        <f t="shared" si="25"/>
        <v>1.1951139073857115</v>
      </c>
      <c r="Z112" s="67">
        <f t="shared" si="26"/>
        <v>1</v>
      </c>
      <c r="AA112" s="67">
        <f t="shared" si="27"/>
        <v>0.19511390738571152</v>
      </c>
      <c r="AB112" s="70">
        <f t="shared" si="28"/>
        <v>1.1587907195253155</v>
      </c>
      <c r="AC112" s="67">
        <f t="shared" si="29"/>
        <v>210.89991095360742</v>
      </c>
      <c r="AD112" s="70">
        <f t="shared" si="2"/>
        <v>131.67841821906228</v>
      </c>
      <c r="AE112" s="71">
        <f t="shared" si="47"/>
        <v>63.875271565495211</v>
      </c>
      <c r="AF112" s="67">
        <f t="shared" si="48"/>
        <v>27.945431309904155</v>
      </c>
      <c r="AG112" s="67">
        <f>(AD112/890)*'data, etc'!H10*1000*2</f>
        <v>48314.815738988102</v>
      </c>
      <c r="AH112" s="67">
        <f>(AD112/991)*'data, etc'!H10*1000*2</f>
        <v>43390.702328657331</v>
      </c>
      <c r="AI112" s="67">
        <f t="shared" si="30"/>
        <v>43.000186007699412</v>
      </c>
      <c r="AJ112" s="67">
        <f t="shared" si="31"/>
        <v>43.000186007699419</v>
      </c>
      <c r="AK112" s="67">
        <f t="shared" si="49"/>
        <v>8318.1392971246005</v>
      </c>
      <c r="AL112" s="67">
        <f t="shared" si="32"/>
        <v>7.4031439744408942</v>
      </c>
      <c r="AM112" s="67">
        <f t="shared" si="3"/>
        <v>2626.3893333333331</v>
      </c>
      <c r="AN112" s="67"/>
      <c r="AO112" s="72">
        <f t="shared" si="33"/>
        <v>2.3374865066666666</v>
      </c>
      <c r="AP112" s="67"/>
      <c r="AQ112" s="67">
        <f>'data, etc'!H10/890*Sheet1!AF112*1000</f>
        <v>5126.8020331106591</v>
      </c>
      <c r="AR112" s="71">
        <f t="shared" si="34"/>
        <v>4.5628538094684865</v>
      </c>
      <c r="AS112" s="71">
        <f t="shared" si="35"/>
        <v>16071.330663568593</v>
      </c>
      <c r="AT112" s="71">
        <f t="shared" si="36"/>
        <v>14.303484290576048</v>
      </c>
      <c r="AU112" s="71">
        <f t="shared" si="37"/>
        <v>43390.702328657331</v>
      </c>
      <c r="AV112" s="71">
        <f t="shared" si="38"/>
        <v>43.000186007699419</v>
      </c>
      <c r="AW112" s="67">
        <f>AS112*'data, etc'!J10</f>
        <v>449997.25857992063</v>
      </c>
      <c r="AX112" s="67">
        <f t="shared" si="39"/>
        <v>400.49756013612938</v>
      </c>
      <c r="AY112" s="67">
        <f>AG112*'data, etc'!J10</f>
        <v>1352814.8406916668</v>
      </c>
      <c r="AZ112" s="67">
        <f t="shared" si="40"/>
        <v>1204.0052082155835</v>
      </c>
      <c r="BA112" s="67">
        <f>AU112*'data, etc'!J10</f>
        <v>1214939.6652024053</v>
      </c>
      <c r="BB112" s="67">
        <f t="shared" si="41"/>
        <v>1204.0052082155835</v>
      </c>
      <c r="BE112">
        <f t="shared" si="42"/>
        <v>14464.197597211734</v>
      </c>
      <c r="BF112">
        <f t="shared" si="43"/>
        <v>17678.463729925454</v>
      </c>
      <c r="BG112">
        <f t="shared" si="44"/>
        <v>42088.981258797612</v>
      </c>
      <c r="BH112">
        <f t="shared" si="45"/>
        <v>44692.42339851705</v>
      </c>
    </row>
    <row r="113" spans="1:60" x14ac:dyDescent="0.3">
      <c r="A113" s="67">
        <f t="shared" si="46"/>
        <v>7.8000000000000007</v>
      </c>
      <c r="B113" s="68">
        <f t="shared" si="0"/>
        <v>487448520.48275048</v>
      </c>
      <c r="C113" s="69">
        <f t="shared" si="4"/>
        <v>1.6767873432279006E-3</v>
      </c>
      <c r="D113" s="67">
        <f t="shared" si="5"/>
        <v>0.12005895017014491</v>
      </c>
      <c r="E113" s="70">
        <f t="shared" si="6"/>
        <v>0.85273164055275363</v>
      </c>
      <c r="F113" s="70">
        <f t="shared" si="7"/>
        <v>0.88481975387255729</v>
      </c>
      <c r="G113" s="71">
        <f t="shared" si="8"/>
        <v>40.680076097853444</v>
      </c>
      <c r="H113" s="67">
        <f t="shared" si="9"/>
        <v>0.83393666348326123</v>
      </c>
      <c r="I113" s="67">
        <f t="shared" si="10"/>
        <v>0.16823971704871449</v>
      </c>
      <c r="J113" s="67">
        <f t="shared" si="11"/>
        <v>0.71361835526257666</v>
      </c>
      <c r="K113" s="67">
        <f t="shared" si="12"/>
        <v>1</v>
      </c>
      <c r="L113" s="72">
        <f t="shared" si="13"/>
        <v>1.0219946887395193</v>
      </c>
      <c r="M113" s="72">
        <f t="shared" si="14"/>
        <v>1.458798748958537</v>
      </c>
      <c r="N113" s="72">
        <f t="shared" si="15"/>
        <v>0.2489059424816254</v>
      </c>
      <c r="O113" s="72">
        <f t="shared" si="16"/>
        <v>0.99209748532332132</v>
      </c>
      <c r="P113" s="72">
        <f t="shared" si="17"/>
        <v>0.88463587114114295</v>
      </c>
      <c r="Q113" s="67">
        <f t="shared" si="18"/>
        <v>1.0891907313921749</v>
      </c>
      <c r="R113" s="72">
        <f t="shared" si="19"/>
        <v>0.99745767773674721</v>
      </c>
      <c r="S113" s="67">
        <f t="shared" si="1"/>
        <v>0.2950731296583799</v>
      </c>
      <c r="T113" s="67">
        <f t="shared" si="20"/>
        <v>30.934321778038843</v>
      </c>
      <c r="U113" s="71">
        <f t="shared" si="21"/>
        <v>71.61439787589228</v>
      </c>
      <c r="V113" s="67">
        <f t="shared" si="22"/>
        <v>287.33988088540013</v>
      </c>
      <c r="W113" s="67">
        <f t="shared" si="23"/>
        <v>0.66275130465924437</v>
      </c>
      <c r="X113" s="67">
        <f t="shared" si="24"/>
        <v>433.55611503946693</v>
      </c>
      <c r="Y113" s="67">
        <f t="shared" si="25"/>
        <v>1.1354862859498334</v>
      </c>
      <c r="Z113" s="67">
        <f t="shared" si="26"/>
        <v>1</v>
      </c>
      <c r="AA113" s="67">
        <f t="shared" si="27"/>
        <v>0.13548628594983342</v>
      </c>
      <c r="AB113" s="70">
        <f t="shared" si="28"/>
        <v>1.1921569598002366</v>
      </c>
      <c r="AC113" s="67">
        <f t="shared" si="29"/>
        <v>216.97256668364307</v>
      </c>
      <c r="AD113" s="70">
        <f t="shared" si="2"/>
        <v>94.069783081501967</v>
      </c>
      <c r="AE113" s="71">
        <f t="shared" si="47"/>
        <v>63.875271565495211</v>
      </c>
      <c r="AF113" s="67">
        <f t="shared" si="48"/>
        <v>27.945431309904155</v>
      </c>
      <c r="AG113" s="67">
        <f>(AD113/890)*'data, etc'!H11*1000*2</f>
        <v>38940.716543597024</v>
      </c>
      <c r="AH113" s="67">
        <f>(AD113/991)*'data, etc'!H11*1000*2</f>
        <v>34971.985594148689</v>
      </c>
      <c r="AI113" s="67">
        <f t="shared" si="30"/>
        <v>34.657237723801352</v>
      </c>
      <c r="AJ113" s="67">
        <f t="shared" si="31"/>
        <v>34.657237723801352</v>
      </c>
      <c r="AK113" s="67">
        <f t="shared" si="49"/>
        <v>8318.1392971246005</v>
      </c>
      <c r="AL113" s="67">
        <f t="shared" si="32"/>
        <v>7.4031439744408942</v>
      </c>
      <c r="AM113" s="67">
        <f t="shared" si="3"/>
        <v>2626.3893333333331</v>
      </c>
      <c r="AN113" s="67"/>
      <c r="AO113" s="72">
        <f t="shared" si="33"/>
        <v>2.3374865066666666</v>
      </c>
      <c r="AP113" s="67"/>
      <c r="AQ113" s="67">
        <f>'data, etc'!H11/890*Sheet1!AF113*1000</f>
        <v>5784.0843450479224</v>
      </c>
      <c r="AR113" s="71">
        <f t="shared" si="34"/>
        <v>5.1478350670926512</v>
      </c>
      <c r="AS113" s="71">
        <f t="shared" si="35"/>
        <v>16728.612975505857</v>
      </c>
      <c r="AT113" s="71">
        <f t="shared" si="36"/>
        <v>14.888465548200214</v>
      </c>
      <c r="AU113" s="71">
        <f t="shared" si="37"/>
        <v>34971.985594148689</v>
      </c>
      <c r="AV113" s="71">
        <f t="shared" si="38"/>
        <v>34.657237723801352</v>
      </c>
      <c r="AW113" s="67">
        <f>AS113*'data, etc'!J11</f>
        <v>434943.93736315228</v>
      </c>
      <c r="AX113" s="67">
        <f t="shared" si="39"/>
        <v>387.10010425320553</v>
      </c>
      <c r="AY113" s="67">
        <f>AG113*'data, etc'!J11</f>
        <v>1012458.6301335227</v>
      </c>
      <c r="AZ113" s="67">
        <f t="shared" si="40"/>
        <v>901.08818081883521</v>
      </c>
      <c r="BA113" s="67">
        <f>AU113*'data, etc'!J11</f>
        <v>909271.62544786592</v>
      </c>
      <c r="BB113" s="67">
        <f t="shared" si="41"/>
        <v>901.08818081883521</v>
      </c>
      <c r="BE113">
        <f t="shared" si="42"/>
        <v>15055.751677955272</v>
      </c>
      <c r="BF113">
        <f t="shared" si="43"/>
        <v>18401.474273056443</v>
      </c>
      <c r="BG113">
        <f t="shared" si="44"/>
        <v>33922.826026324226</v>
      </c>
      <c r="BH113">
        <f t="shared" si="45"/>
        <v>36021.145161973152</v>
      </c>
    </row>
    <row r="114" spans="1:60" x14ac:dyDescent="0.3">
      <c r="A114" s="67">
        <f t="shared" si="46"/>
        <v>6.8000000000000007</v>
      </c>
      <c r="B114" s="68">
        <f t="shared" si="0"/>
        <v>424955120.4208594</v>
      </c>
      <c r="C114" s="69">
        <f t="shared" si="4"/>
        <v>1.7070699080107858E-3</v>
      </c>
      <c r="D114" s="67">
        <f t="shared" si="5"/>
        <v>0.1046667770714084</v>
      </c>
      <c r="E114" s="70">
        <f t="shared" si="6"/>
        <v>0.8577331659655516</v>
      </c>
      <c r="F114" s="70">
        <f t="shared" si="7"/>
        <v>0.88803173349265618</v>
      </c>
      <c r="G114" s="71">
        <f t="shared" si="8"/>
        <v>31.476301474749626</v>
      </c>
      <c r="H114" s="67">
        <f t="shared" si="9"/>
        <v>0.86092742817477053</v>
      </c>
      <c r="I114" s="67">
        <f t="shared" si="10"/>
        <v>0.16634964564095511</v>
      </c>
      <c r="J114" s="67">
        <f t="shared" si="11"/>
        <v>0.62919747540261395</v>
      </c>
      <c r="K114" s="67">
        <f t="shared" si="12"/>
        <v>1</v>
      </c>
      <c r="L114" s="72">
        <f t="shared" si="13"/>
        <v>1.0219946887395193</v>
      </c>
      <c r="M114" s="72">
        <f t="shared" si="14"/>
        <v>1.458798748958537</v>
      </c>
      <c r="N114" s="72">
        <f t="shared" si="15"/>
        <v>0.2489059424816254</v>
      </c>
      <c r="O114" s="72">
        <f t="shared" si="16"/>
        <v>0.99209748532332132</v>
      </c>
      <c r="P114" s="72">
        <f t="shared" si="17"/>
        <v>0.88463587114114295</v>
      </c>
      <c r="Q114" s="67">
        <f t="shared" si="18"/>
        <v>1.0891907313921749</v>
      </c>
      <c r="R114" s="72">
        <f t="shared" si="19"/>
        <v>0.99745767773674721</v>
      </c>
      <c r="S114" s="67">
        <f t="shared" si="1"/>
        <v>0.30462331465220283</v>
      </c>
      <c r="T114" s="67">
        <f t="shared" si="20"/>
        <v>24.271839699591943</v>
      </c>
      <c r="U114" s="71">
        <f t="shared" si="21"/>
        <v>55.748141174341569</v>
      </c>
      <c r="V114" s="67">
        <f t="shared" si="22"/>
        <v>195.00253797655287</v>
      </c>
      <c r="W114" s="67">
        <f t="shared" si="23"/>
        <v>0.66275130465924437</v>
      </c>
      <c r="X114" s="67">
        <f t="shared" si="24"/>
        <v>294.23184323539584</v>
      </c>
      <c r="Y114" s="67">
        <f t="shared" si="25"/>
        <v>1.0919474510110612</v>
      </c>
      <c r="Z114" s="67">
        <f t="shared" si="26"/>
        <v>1</v>
      </c>
      <c r="AA114" s="67">
        <f t="shared" si="27"/>
        <v>9.1947451011061207E-2</v>
      </c>
      <c r="AB114" s="70">
        <f t="shared" si="28"/>
        <v>1.2185640316372279</v>
      </c>
      <c r="AC114" s="67">
        <f t="shared" si="29"/>
        <v>221.77865375797549</v>
      </c>
      <c r="AD114" s="70">
        <f t="shared" si="2"/>
        <v>65.25434208547378</v>
      </c>
      <c r="AE114" s="71">
        <f t="shared" si="47"/>
        <v>63.875271565495211</v>
      </c>
      <c r="AF114" s="67">
        <f t="shared" si="48"/>
        <v>27.945431309904155</v>
      </c>
      <c r="AG114" s="67">
        <f>(AD114/890)*'data, etc'!H12*1000*2</f>
        <v>30984.814567776644</v>
      </c>
      <c r="AH114" s="67">
        <f>(AD114/991)*'data, etc'!H12*1000*2</f>
        <v>27826.927311121308</v>
      </c>
      <c r="AI114" s="67">
        <f t="shared" si="30"/>
        <v>27.576484965321214</v>
      </c>
      <c r="AJ114" s="67">
        <f t="shared" si="31"/>
        <v>27.576484965321217</v>
      </c>
      <c r="AK114" s="67">
        <f t="shared" si="49"/>
        <v>8318.1392971246005</v>
      </c>
      <c r="AL114" s="67">
        <f t="shared" si="32"/>
        <v>7.4031439744408942</v>
      </c>
      <c r="AM114" s="67">
        <f t="shared" si="3"/>
        <v>2626.3893333333331</v>
      </c>
      <c r="AN114" s="67"/>
      <c r="AO114" s="72">
        <f t="shared" si="33"/>
        <v>2.3374865066666666</v>
      </c>
      <c r="AP114" s="67"/>
      <c r="AQ114" s="67">
        <f>'data, etc'!H12/890*Sheet1!AF114*1000</f>
        <v>6634.6849840255582</v>
      </c>
      <c r="AR114" s="71">
        <f t="shared" si="34"/>
        <v>5.904869635782747</v>
      </c>
      <c r="AS114" s="71">
        <f t="shared" si="35"/>
        <v>17579.213614483491</v>
      </c>
      <c r="AT114" s="71">
        <f t="shared" si="36"/>
        <v>15.645500116890309</v>
      </c>
      <c r="AU114" s="71">
        <f t="shared" si="37"/>
        <v>27826.927311121308</v>
      </c>
      <c r="AV114" s="71">
        <f t="shared" si="38"/>
        <v>27.576484965321217</v>
      </c>
      <c r="AW114" s="67">
        <f>AS114*'data, etc'!J12</f>
        <v>421901.12674760376</v>
      </c>
      <c r="AX114" s="67">
        <f t="shared" si="39"/>
        <v>375.49200280536735</v>
      </c>
      <c r="AY114" s="67">
        <f>AG114*'data, etc'!J12</f>
        <v>743635.54962663946</v>
      </c>
      <c r="AZ114" s="67">
        <f t="shared" si="40"/>
        <v>661.83563916770913</v>
      </c>
      <c r="BA114" s="67">
        <f>AU114*'data, etc'!J12</f>
        <v>667846.25546691136</v>
      </c>
      <c r="BB114" s="67">
        <f t="shared" si="41"/>
        <v>661.83563916770913</v>
      </c>
      <c r="BE114">
        <f t="shared" si="42"/>
        <v>15821.292253035142</v>
      </c>
      <c r="BF114">
        <f t="shared" si="43"/>
        <v>19337.134975931844</v>
      </c>
      <c r="BG114">
        <f t="shared" si="44"/>
        <v>26992.119491787667</v>
      </c>
      <c r="BH114">
        <f t="shared" si="45"/>
        <v>28661.735130454948</v>
      </c>
    </row>
    <row r="115" spans="1:60" x14ac:dyDescent="0.3">
      <c r="A115" s="67">
        <f t="shared" si="46"/>
        <v>5.8000000000000007</v>
      </c>
      <c r="B115" s="68">
        <f t="shared" si="0"/>
        <v>362461720.35896838</v>
      </c>
      <c r="C115" s="69">
        <f t="shared" si="4"/>
        <v>1.7432163350522209E-3</v>
      </c>
      <c r="D115" s="67">
        <f t="shared" si="5"/>
        <v>8.9274603972671868E-2</v>
      </c>
      <c r="E115" s="70">
        <f t="shared" si="6"/>
        <v>0.86173235169206941</v>
      </c>
      <c r="F115" s="70">
        <f t="shared" si="7"/>
        <v>0.89060001056622595</v>
      </c>
      <c r="G115" s="71">
        <f t="shared" si="8"/>
        <v>23.384163457417252</v>
      </c>
      <c r="H115" s="67">
        <f t="shared" si="9"/>
        <v>0.94277635204220189</v>
      </c>
      <c r="I115" s="67">
        <f t="shared" si="10"/>
        <v>0.16485624716065272</v>
      </c>
      <c r="J115" s="67">
        <f t="shared" si="11"/>
        <v>0.54153000271608509</v>
      </c>
      <c r="K115" s="67">
        <f t="shared" si="12"/>
        <v>1</v>
      </c>
      <c r="L115" s="72">
        <f t="shared" si="13"/>
        <v>1.0219946887395193</v>
      </c>
      <c r="M115" s="72">
        <f t="shared" si="14"/>
        <v>1.458798748958537</v>
      </c>
      <c r="N115" s="72">
        <f t="shared" si="15"/>
        <v>0.2489059424816254</v>
      </c>
      <c r="O115" s="72">
        <f t="shared" si="16"/>
        <v>0.99209748532332132</v>
      </c>
      <c r="P115" s="72">
        <f t="shared" si="17"/>
        <v>0.88463587114114295</v>
      </c>
      <c r="Q115" s="67">
        <f t="shared" si="18"/>
        <v>1.0891907313921749</v>
      </c>
      <c r="R115" s="72">
        <f t="shared" si="19"/>
        <v>0.99745767773674721</v>
      </c>
      <c r="S115" s="67">
        <f t="shared" si="1"/>
        <v>0.33358404894089044</v>
      </c>
      <c r="T115" s="67">
        <f t="shared" si="20"/>
        <v>19.33672821922902</v>
      </c>
      <c r="U115" s="71">
        <f t="shared" si="21"/>
        <v>42.720891676646275</v>
      </c>
      <c r="V115" s="67">
        <f t="shared" si="22"/>
        <v>127.45863473510769</v>
      </c>
      <c r="W115" s="67">
        <f t="shared" si="23"/>
        <v>0.66275130465924437</v>
      </c>
      <c r="X115" s="67">
        <f t="shared" si="24"/>
        <v>192.3174407037055</v>
      </c>
      <c r="Y115" s="67">
        <f t="shared" si="25"/>
        <v>1.0600992002199079</v>
      </c>
      <c r="Z115" s="67">
        <f t="shared" si="26"/>
        <v>1</v>
      </c>
      <c r="AA115" s="67">
        <f t="shared" si="27"/>
        <v>6.0099200219907972E-2</v>
      </c>
      <c r="AB115" s="70">
        <f t="shared" si="28"/>
        <v>1.2389729886533833</v>
      </c>
      <c r="AC115" s="67">
        <f t="shared" si="29"/>
        <v>225.49308393491577</v>
      </c>
      <c r="AD115" s="70">
        <f t="shared" si="2"/>
        <v>43.366252798748853</v>
      </c>
      <c r="AE115" s="71">
        <f t="shared" si="47"/>
        <v>63.875271565495211</v>
      </c>
      <c r="AF115" s="67">
        <f t="shared" si="48"/>
        <v>27.945431309904155</v>
      </c>
      <c r="AG115" s="67">
        <f>(AD115/890)*'data, etc'!H13*1000*2</f>
        <v>24141.947567359275</v>
      </c>
      <c r="AH115" s="67">
        <f>(AD115/991)*'data, etc'!H13*1000*2</f>
        <v>21681.466533753541</v>
      </c>
      <c r="AI115" s="67">
        <f t="shared" si="30"/>
        <v>21.486333334949755</v>
      </c>
      <c r="AJ115" s="67">
        <f t="shared" si="31"/>
        <v>21.486333334949759</v>
      </c>
      <c r="AK115" s="67">
        <f t="shared" si="49"/>
        <v>8318.1392971246005</v>
      </c>
      <c r="AL115" s="67">
        <f t="shared" si="32"/>
        <v>7.4031439744408942</v>
      </c>
      <c r="AM115" s="67">
        <f t="shared" si="3"/>
        <v>2626.3893333333331</v>
      </c>
      <c r="AN115" s="67"/>
      <c r="AO115" s="72">
        <f t="shared" si="33"/>
        <v>2.3374865066666666</v>
      </c>
      <c r="AP115" s="67"/>
      <c r="AQ115" s="67">
        <f>'data, etc'!H13/890*Sheet1!AF115*1000</f>
        <v>7778.5961881678959</v>
      </c>
      <c r="AR115" s="71">
        <f t="shared" si="34"/>
        <v>6.9229506074694269</v>
      </c>
      <c r="AS115" s="71">
        <f t="shared" si="35"/>
        <v>18723.124818625831</v>
      </c>
      <c r="AT115" s="71">
        <f t="shared" si="36"/>
        <v>16.66358108857699</v>
      </c>
      <c r="AU115" s="71">
        <f t="shared" si="37"/>
        <v>21681.466533753541</v>
      </c>
      <c r="AV115" s="71">
        <f t="shared" si="38"/>
        <v>21.486333334949759</v>
      </c>
      <c r="AW115" s="67">
        <f>AS115*'data, etc'!J13</f>
        <v>411908.74600976828</v>
      </c>
      <c r="AX115" s="67">
        <f t="shared" si="39"/>
        <v>366.59878394869378</v>
      </c>
      <c r="AY115" s="67">
        <f>AG115*'data, etc'!J13</f>
        <v>531122.84648190404</v>
      </c>
      <c r="AZ115" s="67">
        <f t="shared" si="40"/>
        <v>472.6993333688946</v>
      </c>
      <c r="BA115" s="67">
        <f>AU115*'data, etc'!J13</f>
        <v>476992.26374257787</v>
      </c>
      <c r="BB115" s="67">
        <f t="shared" si="41"/>
        <v>472.69933336889466</v>
      </c>
      <c r="BE115">
        <f t="shared" si="42"/>
        <v>16850.812336763247</v>
      </c>
      <c r="BF115">
        <f t="shared" si="43"/>
        <v>20595.437300488415</v>
      </c>
      <c r="BG115">
        <f t="shared" si="44"/>
        <v>21031.022537740933</v>
      </c>
      <c r="BH115">
        <f t="shared" si="45"/>
        <v>22331.910529766148</v>
      </c>
    </row>
    <row r="116" spans="1:60" x14ac:dyDescent="0.3">
      <c r="A116" s="67">
        <f t="shared" si="46"/>
        <v>4.8000000000000007</v>
      </c>
      <c r="B116" s="68">
        <f t="shared" si="0"/>
        <v>299968320.29707724</v>
      </c>
      <c r="C116" s="69">
        <f t="shared" si="4"/>
        <v>1.7877358905030983E-3</v>
      </c>
      <c r="D116" s="67">
        <f t="shared" si="5"/>
        <v>7.388243087393534E-2</v>
      </c>
      <c r="E116" s="70">
        <f t="shared" si="6"/>
        <v>0.8649968542408909</v>
      </c>
      <c r="F116" s="70">
        <f t="shared" si="7"/>
        <v>0.89269647410307895</v>
      </c>
      <c r="G116" s="71">
        <f t="shared" si="8"/>
        <v>16.424811648022999</v>
      </c>
      <c r="H116" s="67">
        <f t="shared" si="9"/>
        <v>1.0830764700714028</v>
      </c>
      <c r="I116" s="67">
        <f t="shared" si="10"/>
        <v>0.16364898324196459</v>
      </c>
      <c r="J116" s="67">
        <f t="shared" si="11"/>
        <v>0.45146892703082575</v>
      </c>
      <c r="K116" s="67">
        <f t="shared" si="12"/>
        <v>1</v>
      </c>
      <c r="L116" s="72">
        <f t="shared" si="13"/>
        <v>1.0219946887395193</v>
      </c>
      <c r="M116" s="72">
        <f t="shared" si="14"/>
        <v>1.458798748958537</v>
      </c>
      <c r="N116" s="72">
        <f t="shared" si="15"/>
        <v>0.2489059424816254</v>
      </c>
      <c r="O116" s="72">
        <f t="shared" si="16"/>
        <v>0.99209748532332132</v>
      </c>
      <c r="P116" s="72">
        <f t="shared" si="17"/>
        <v>0.88463587114114295</v>
      </c>
      <c r="Q116" s="67">
        <f t="shared" si="18"/>
        <v>1.0891907313921749</v>
      </c>
      <c r="R116" s="72">
        <f t="shared" si="19"/>
        <v>0.99745767773674721</v>
      </c>
      <c r="S116" s="67">
        <f t="shared" si="1"/>
        <v>0.38322666178081305</v>
      </c>
      <c r="T116" s="67">
        <f t="shared" si="20"/>
        <v>15.214578357352314</v>
      </c>
      <c r="U116" s="71">
        <f t="shared" si="21"/>
        <v>31.639390005375311</v>
      </c>
      <c r="V116" s="67">
        <f t="shared" si="22"/>
        <v>78.121450650072305</v>
      </c>
      <c r="W116" s="67">
        <f t="shared" si="23"/>
        <v>0.66275130465924437</v>
      </c>
      <c r="X116" s="67">
        <f t="shared" si="24"/>
        <v>117.87445773530192</v>
      </c>
      <c r="Y116" s="67">
        <f t="shared" si="25"/>
        <v>1.0368357680422819</v>
      </c>
      <c r="Z116" s="67">
        <f t="shared" si="26"/>
        <v>1</v>
      </c>
      <c r="AA116" s="67">
        <f>X116/($C$89*Z116)</f>
        <v>3.683576804228185E-2</v>
      </c>
      <c r="AB116" s="70">
        <f t="shared" si="28"/>
        <v>1.2544639822722854</v>
      </c>
      <c r="AC116" s="67">
        <f t="shared" si="29"/>
        <v>228.31244477355594</v>
      </c>
      <c r="AD116" s="70">
        <f t="shared" si="2"/>
        <v>26.912205621903972</v>
      </c>
      <c r="AE116" s="71">
        <f t="shared" si="47"/>
        <v>63.875271565495211</v>
      </c>
      <c r="AF116" s="67">
        <f t="shared" si="48"/>
        <v>27.945431309904155</v>
      </c>
      <c r="AG116" s="67">
        <f>(AD116/890)*'data, etc'!H14*1000*2</f>
        <v>18103.246032666899</v>
      </c>
      <c r="AH116" s="67">
        <f>(AD116/991)*'data, etc'!H14*1000*2</f>
        <v>16258.212885038887</v>
      </c>
      <c r="AI116" s="67">
        <f t="shared" si="30"/>
        <v>16.11188896907354</v>
      </c>
      <c r="AJ116" s="67">
        <f t="shared" si="31"/>
        <v>16.111888969073537</v>
      </c>
      <c r="AK116" s="67">
        <f t="shared" si="49"/>
        <v>8318.1392971246005</v>
      </c>
      <c r="AL116" s="67">
        <f t="shared" si="32"/>
        <v>7.4031439744408942</v>
      </c>
      <c r="AM116" s="67">
        <f t="shared" si="3"/>
        <v>2626.3893333333331</v>
      </c>
      <c r="AN116" s="67"/>
      <c r="AO116" s="72">
        <f t="shared" si="33"/>
        <v>2.3374865066666666</v>
      </c>
      <c r="AP116" s="67"/>
      <c r="AQ116" s="67">
        <f>'data, etc'!H14/890*Sheet1!AF116*1000</f>
        <v>9399.137060702873</v>
      </c>
      <c r="AR116" s="71">
        <f t="shared" si="34"/>
        <v>8.3652319840255576</v>
      </c>
      <c r="AS116" s="71">
        <f t="shared" si="35"/>
        <v>20343.665691160808</v>
      </c>
      <c r="AT116" s="71">
        <f t="shared" si="36"/>
        <v>18.105862465133118</v>
      </c>
      <c r="AU116" s="71">
        <f t="shared" si="37"/>
        <v>16258.212885038887</v>
      </c>
      <c r="AV116" s="71">
        <f t="shared" si="38"/>
        <v>16.111888969073537</v>
      </c>
      <c r="AW116" s="67">
        <f>AS116*'data, etc'!J14</f>
        <v>386529.64813205536</v>
      </c>
      <c r="AX116" s="67">
        <f t="shared" si="39"/>
        <v>344.01138683752924</v>
      </c>
      <c r="AY116" s="67">
        <f>AG116*'data, etc'!J14</f>
        <v>343961.67462067108</v>
      </c>
      <c r="AZ116" s="67">
        <f t="shared" si="40"/>
        <v>306.12589041239727</v>
      </c>
      <c r="BA116" s="67">
        <f>AU116*'data, etc'!J14</f>
        <v>308906.04481573886</v>
      </c>
      <c r="BB116" s="67">
        <f t="shared" si="41"/>
        <v>306.12589041239721</v>
      </c>
      <c r="BE116">
        <f t="shared" si="42"/>
        <v>18309.299122044729</v>
      </c>
      <c r="BF116">
        <f t="shared" si="43"/>
        <v>22378.03226027689</v>
      </c>
      <c r="BG116">
        <f t="shared" si="44"/>
        <v>15770.46649848772</v>
      </c>
      <c r="BH116">
        <f t="shared" si="45"/>
        <v>16745.959271590054</v>
      </c>
    </row>
    <row r="119" spans="1:60" x14ac:dyDescent="0.3">
      <c r="A119" s="63" t="s">
        <v>381</v>
      </c>
      <c r="B119" s="63"/>
      <c r="C119" s="63"/>
      <c r="D119" s="63"/>
      <c r="F119" s="221" t="s">
        <v>202</v>
      </c>
      <c r="G119" s="221" t="s">
        <v>393</v>
      </c>
      <c r="H119" s="221"/>
      <c r="I119" s="221" t="s">
        <v>395</v>
      </c>
      <c r="J119" s="221"/>
      <c r="K119" s="221" t="s">
        <v>407</v>
      </c>
      <c r="L119" s="221"/>
      <c r="M119" s="221" t="s">
        <v>408</v>
      </c>
      <c r="N119" s="221"/>
      <c r="O119" s="243" t="s">
        <v>405</v>
      </c>
    </row>
    <row r="120" spans="1:60" x14ac:dyDescent="0.3">
      <c r="A120" t="s">
        <v>393</v>
      </c>
      <c r="D120" t="s">
        <v>397</v>
      </c>
      <c r="F120" s="221"/>
      <c r="G120" s="64" t="s">
        <v>406</v>
      </c>
      <c r="H120" s="64" t="s">
        <v>28</v>
      </c>
      <c r="I120" s="64" t="s">
        <v>406</v>
      </c>
      <c r="J120" s="64" t="s">
        <v>28</v>
      </c>
      <c r="K120" s="64" t="s">
        <v>367</v>
      </c>
      <c r="L120" s="64" t="s">
        <v>366</v>
      </c>
      <c r="M120" s="64" t="s">
        <v>407</v>
      </c>
      <c r="N120" s="64" t="s">
        <v>179</v>
      </c>
      <c r="O120" s="243"/>
    </row>
    <row r="121" spans="1:60" x14ac:dyDescent="0.3">
      <c r="C121">
        <f>C120/1000*0.991</f>
        <v>0</v>
      </c>
      <c r="D121" t="s">
        <v>28</v>
      </c>
      <c r="F121" s="65">
        <f>A107</f>
        <v>13.8</v>
      </c>
      <c r="G121" s="65">
        <f>BA107</f>
        <v>3692739.9567270009</v>
      </c>
      <c r="H121" s="65">
        <f>BB107</f>
        <v>3659.5052971164578</v>
      </c>
      <c r="I121" s="65">
        <f>AW107</f>
        <v>497482.77932675829</v>
      </c>
      <c r="J121" s="65">
        <f>AX107</f>
        <v>442.75967360081489</v>
      </c>
      <c r="K121" s="65">
        <f>H121*'data, etc'!$L$21</f>
        <v>11395.69949522065</v>
      </c>
      <c r="L121" s="65">
        <f>J121*'data, etc'!$L$19</f>
        <v>1419.4875135642126</v>
      </c>
      <c r="M121" s="65">
        <f>K121+L121</f>
        <v>12815.187008784862</v>
      </c>
      <c r="N121" s="65">
        <f>'data, etc'!K5</f>
        <v>50289.399999999994</v>
      </c>
      <c r="O121" s="66">
        <f>(M121*10^6)/(N121*$C$130)</f>
        <v>33.247500343478023</v>
      </c>
    </row>
    <row r="122" spans="1:60" x14ac:dyDescent="0.3">
      <c r="A122" t="s">
        <v>394</v>
      </c>
      <c r="C122">
        <f>C121*'data, etc'!L21</f>
        <v>0</v>
      </c>
      <c r="D122" t="s">
        <v>28</v>
      </c>
      <c r="F122" s="65">
        <f t="shared" ref="F122:F130" si="50">A108</f>
        <v>12.8</v>
      </c>
      <c r="G122" s="65">
        <f t="shared" ref="G122:H122" si="51">BA108</f>
        <v>3011138.6455993233</v>
      </c>
      <c r="H122" s="65">
        <f t="shared" si="51"/>
        <v>2984.0383977889296</v>
      </c>
      <c r="I122" s="65">
        <f t="shared" ref="I122:J122" si="52">AW108</f>
        <v>477483.7659313099</v>
      </c>
      <c r="J122" s="65">
        <f t="shared" si="52"/>
        <v>424.96055167886584</v>
      </c>
      <c r="K122" s="65">
        <f>H122*'data, etc'!$L$21</f>
        <v>9292.2955707147266</v>
      </c>
      <c r="L122" s="65">
        <f>J122*'data, etc'!$L$19</f>
        <v>1362.4235286824439</v>
      </c>
      <c r="M122" s="65">
        <f t="shared" ref="M122:M130" si="53">K122+L122</f>
        <v>10654.719099397171</v>
      </c>
      <c r="N122" s="65">
        <f>'data, etc'!K6</f>
        <v>47415.719999999994</v>
      </c>
      <c r="O122" s="66">
        <f t="shared" ref="O122:O129" si="54">(M122*10^6)/(N122*$C$130)</f>
        <v>29.317717787996397</v>
      </c>
    </row>
    <row r="123" spans="1:60" x14ac:dyDescent="0.3">
      <c r="A123" t="s">
        <v>395</v>
      </c>
      <c r="C123">
        <f>AY107</f>
        <v>4111803.7046252335</v>
      </c>
      <c r="D123" t="s">
        <v>397</v>
      </c>
      <c r="F123" s="65">
        <f t="shared" si="50"/>
        <v>11.8</v>
      </c>
      <c r="G123" s="65">
        <f t="shared" ref="G123:H123" si="55">BA109</f>
        <v>2469789.5899585499</v>
      </c>
      <c r="H123" s="65">
        <f t="shared" si="55"/>
        <v>2447.5614836489231</v>
      </c>
      <c r="I123" s="65">
        <f t="shared" ref="I123:J123" si="56">AW109</f>
        <v>472573.00537159975</v>
      </c>
      <c r="J123" s="65">
        <f t="shared" si="56"/>
        <v>420.58997478072382</v>
      </c>
      <c r="K123" s="65">
        <f>H123*'data, etc'!$L$21</f>
        <v>7621.7064600827462</v>
      </c>
      <c r="L123" s="65">
        <f>J123*'data, etc'!$L$19</f>
        <v>1348.4114591470006</v>
      </c>
      <c r="M123" s="65">
        <f t="shared" si="53"/>
        <v>8970.1179192297459</v>
      </c>
      <c r="N123" s="65">
        <f>'data, etc'!K7</f>
        <v>45978.879999999997</v>
      </c>
      <c r="O123" s="66">
        <f t="shared" si="54"/>
        <v>25.453661795636023</v>
      </c>
    </row>
    <row r="124" spans="1:60" x14ac:dyDescent="0.3">
      <c r="C124">
        <f>C123/1000*0.89</f>
        <v>3659.5052971164582</v>
      </c>
      <c r="D124" t="s">
        <v>28</v>
      </c>
      <c r="F124" s="65">
        <f t="shared" si="50"/>
        <v>10.8</v>
      </c>
      <c r="G124" s="65">
        <f t="shared" ref="G124:H124" si="57">BA110</f>
        <v>2001158.3053756822</v>
      </c>
      <c r="H124" s="65">
        <f t="shared" si="57"/>
        <v>1983.147880627301</v>
      </c>
      <c r="I124" s="65">
        <f t="shared" ref="I124:J124" si="58">AW110</f>
        <v>468779.60926943552</v>
      </c>
      <c r="J124" s="65">
        <f t="shared" si="58"/>
        <v>417.21385224979764</v>
      </c>
      <c r="K124" s="65">
        <f>H124*'data, etc'!$L$21</f>
        <v>6175.5225002734151</v>
      </c>
      <c r="L124" s="65">
        <f>J124*'data, etc'!$L$19</f>
        <v>1337.5876103128512</v>
      </c>
      <c r="M124" s="65">
        <f t="shared" si="53"/>
        <v>7513.1101105862663</v>
      </c>
      <c r="N124" s="65">
        <f>'data, etc'!K8</f>
        <v>44542.04</v>
      </c>
      <c r="O124" s="66">
        <f t="shared" si="54"/>
        <v>22.006965134131175</v>
      </c>
    </row>
    <row r="125" spans="1:60" x14ac:dyDescent="0.3">
      <c r="A125" t="s">
        <v>396</v>
      </c>
      <c r="C125">
        <f>C124*'data, etc'!L19</f>
        <v>11732.373982555366</v>
      </c>
      <c r="D125" t="s">
        <v>28</v>
      </c>
      <c r="F125" s="65">
        <f t="shared" si="50"/>
        <v>9.8000000000000007</v>
      </c>
      <c r="G125" s="65">
        <f t="shared" ref="G125:H125" si="59">BA111</f>
        <v>1544270.1935483264</v>
      </c>
      <c r="H125" s="65">
        <f t="shared" si="59"/>
        <v>1530.3717618063915</v>
      </c>
      <c r="I125" s="65">
        <f t="shared" ref="I125:J125" si="60">AW111</f>
        <v>450897.44036999845</v>
      </c>
      <c r="J125" s="65">
        <f t="shared" si="60"/>
        <v>401.29872192929861</v>
      </c>
      <c r="K125" s="65">
        <f>H125*'data, etc'!$L$21</f>
        <v>4765.5776662651033</v>
      </c>
      <c r="L125" s="65">
        <f>J125*'data, etc'!$L$19</f>
        <v>1286.5637025053313</v>
      </c>
      <c r="M125" s="65">
        <f t="shared" si="53"/>
        <v>6052.1413687704344</v>
      </c>
      <c r="N125" s="65">
        <f>'data, etc'!K9</f>
        <v>41668.36</v>
      </c>
      <c r="O125" s="66">
        <f t="shared" si="54"/>
        <v>18.950172229962924</v>
      </c>
    </row>
    <row r="126" spans="1:60" x14ac:dyDescent="0.3">
      <c r="F126" s="65">
        <f t="shared" si="50"/>
        <v>8.8000000000000007</v>
      </c>
      <c r="G126" s="65">
        <f t="shared" ref="G126:H126" si="61">BA112</f>
        <v>1214939.6652024053</v>
      </c>
      <c r="H126" s="65">
        <f t="shared" si="61"/>
        <v>1204.0052082155835</v>
      </c>
      <c r="I126" s="65">
        <f t="shared" ref="I126:J126" si="62">AW112</f>
        <v>449997.25857992063</v>
      </c>
      <c r="J126" s="65">
        <f t="shared" si="62"/>
        <v>400.49756013612938</v>
      </c>
      <c r="K126" s="65">
        <f>H126*'data, etc'!$L$21</f>
        <v>3749.2722183833266</v>
      </c>
      <c r="L126" s="65">
        <f>J126*'data, etc'!$L$19</f>
        <v>1283.9951777964309</v>
      </c>
      <c r="M126" s="65">
        <f t="shared" si="53"/>
        <v>5033.2673961797573</v>
      </c>
      <c r="N126" s="65">
        <f>'data, etc'!K10</f>
        <v>40231.519999999997</v>
      </c>
      <c r="O126" s="66">
        <f t="shared" si="54"/>
        <v>16.322777748833136</v>
      </c>
    </row>
    <row r="127" spans="1:60" x14ac:dyDescent="0.3">
      <c r="A127" t="s">
        <v>400</v>
      </c>
      <c r="C127">
        <f>C125+C122</f>
        <v>11732.373982555366</v>
      </c>
      <c r="D127" t="s">
        <v>28</v>
      </c>
      <c r="F127" s="65">
        <f t="shared" si="50"/>
        <v>7.8000000000000007</v>
      </c>
      <c r="G127" s="65">
        <f t="shared" ref="G127:H127" si="63">BA113</f>
        <v>909271.62544786592</v>
      </c>
      <c r="H127" s="65">
        <f t="shared" si="63"/>
        <v>901.08818081883521</v>
      </c>
      <c r="I127" s="65">
        <f t="shared" ref="I127:J127" si="64">AW113</f>
        <v>434943.93736315228</v>
      </c>
      <c r="J127" s="65">
        <f t="shared" si="64"/>
        <v>387.10010425320553</v>
      </c>
      <c r="K127" s="65">
        <f>H127*'data, etc'!$L$21</f>
        <v>2805.9885950698526</v>
      </c>
      <c r="L127" s="65">
        <f>J127*'data, etc'!$L$19</f>
        <v>1241.042934235777</v>
      </c>
      <c r="M127" s="65">
        <f t="shared" si="53"/>
        <v>4047.0315293056296</v>
      </c>
      <c r="N127" s="65">
        <f>'data, etc'!K11</f>
        <v>37357.839999999997</v>
      </c>
      <c r="O127" s="66">
        <f t="shared" si="54"/>
        <v>14.134008082017296</v>
      </c>
    </row>
    <row r="128" spans="1:60" x14ac:dyDescent="0.3">
      <c r="A128" t="s">
        <v>402</v>
      </c>
      <c r="C128">
        <f>'data, etc'!K5</f>
        <v>50289.399999999994</v>
      </c>
      <c r="D128" t="s">
        <v>403</v>
      </c>
      <c r="F128" s="65">
        <f t="shared" si="50"/>
        <v>6.8000000000000007</v>
      </c>
      <c r="G128" s="65">
        <f t="shared" ref="G128:H128" si="65">BA114</f>
        <v>667846.25546691136</v>
      </c>
      <c r="H128" s="65">
        <f t="shared" si="65"/>
        <v>661.83563916770913</v>
      </c>
      <c r="I128" s="65">
        <f t="shared" ref="I128:J128" si="66">AW114</f>
        <v>421901.12674760376</v>
      </c>
      <c r="J128" s="65">
        <f t="shared" si="66"/>
        <v>375.49200280536735</v>
      </c>
      <c r="K128" s="65">
        <f>H128*'data, etc'!$L$21</f>
        <v>2060.9561803682464</v>
      </c>
      <c r="L128" s="65">
        <f>J128*'data, etc'!$L$19</f>
        <v>1203.8273609940077</v>
      </c>
      <c r="M128" s="65">
        <f t="shared" si="53"/>
        <v>3264.7835413622543</v>
      </c>
      <c r="N128" s="65">
        <f>'data, etc'!K12</f>
        <v>34484.159999999996</v>
      </c>
      <c r="O128" s="66">
        <f t="shared" si="54"/>
        <v>12.35222648443243</v>
      </c>
    </row>
    <row r="129" spans="1:29" x14ac:dyDescent="0.3">
      <c r="F129" s="65">
        <f t="shared" si="50"/>
        <v>5.8000000000000007</v>
      </c>
      <c r="G129" s="65">
        <f t="shared" ref="G129:H129" si="67">BA115</f>
        <v>476992.26374257787</v>
      </c>
      <c r="H129" s="65">
        <f t="shared" si="67"/>
        <v>472.69933336889466</v>
      </c>
      <c r="I129" s="65">
        <f t="shared" ref="I129:J129" si="68">AW115</f>
        <v>411908.74600976828</v>
      </c>
      <c r="J129" s="65">
        <f t="shared" si="68"/>
        <v>366.59878394869378</v>
      </c>
      <c r="K129" s="65">
        <f>H129*'data, etc'!$L$21</f>
        <v>1471.9857241107379</v>
      </c>
      <c r="L129" s="65">
        <f>J129*'data, etc'!$L$19</f>
        <v>1175.3157013395123</v>
      </c>
      <c r="M129" s="65">
        <f t="shared" si="53"/>
        <v>2647.3014254502505</v>
      </c>
      <c r="N129" s="65">
        <f>'data, etc'!K13</f>
        <v>31610.48</v>
      </c>
      <c r="O129" s="66">
        <f t="shared" si="54"/>
        <v>10.926543726831181</v>
      </c>
    </row>
    <row r="130" spans="1:29" x14ac:dyDescent="0.3">
      <c r="A130" t="s">
        <v>404</v>
      </c>
      <c r="C130">
        <f>C13</f>
        <v>7664.6</v>
      </c>
      <c r="F130" s="65">
        <f t="shared" si="50"/>
        <v>4.8000000000000007</v>
      </c>
      <c r="G130" s="65">
        <f t="shared" ref="G130:H130" si="69">BA116</f>
        <v>308906.04481573886</v>
      </c>
      <c r="H130" s="65">
        <f t="shared" si="69"/>
        <v>306.12589041239721</v>
      </c>
      <c r="I130" s="65">
        <f t="shared" ref="I130:J130" si="70">AW116</f>
        <v>386529.64813205536</v>
      </c>
      <c r="J130" s="65">
        <f t="shared" si="70"/>
        <v>344.01138683752924</v>
      </c>
      <c r="K130" s="65">
        <f>H130*'data, etc'!$L$21</f>
        <v>953.27602274420485</v>
      </c>
      <c r="L130" s="65">
        <f>J130*'data, etc'!$L$19</f>
        <v>1102.9005062011188</v>
      </c>
      <c r="M130" s="65">
        <f t="shared" si="53"/>
        <v>2056.1765289453238</v>
      </c>
      <c r="N130" s="65">
        <f>'data, etc'!K14</f>
        <v>27299.96</v>
      </c>
      <c r="O130" s="66">
        <f>(M130*10^6)/(N130*$C$130)</f>
        <v>9.8267270215057536</v>
      </c>
    </row>
    <row r="132" spans="1:29" x14ac:dyDescent="0.3">
      <c r="A132" s="63" t="s">
        <v>410</v>
      </c>
      <c r="B132" s="63"/>
      <c r="C132" s="63"/>
      <c r="D132" s="63"/>
    </row>
    <row r="133" spans="1:29" x14ac:dyDescent="0.3">
      <c r="A133" t="s">
        <v>411</v>
      </c>
      <c r="C133">
        <f>C130</f>
        <v>7664.6</v>
      </c>
    </row>
    <row r="134" spans="1:29" x14ac:dyDescent="0.3">
      <c r="A134" t="s">
        <v>412</v>
      </c>
      <c r="C134">
        <f>IF(AND(C5="Bulk Carrier",C13&gt;=279000),'data, etc'!M33,
IF(AND(C5="Bulk Carrier",C13&lt;279000),'data, etc'!M34,
IF(AND(C5="Gas Carrier",C13&gt;=65000),'data, etc'!M35,
IF(AND(C5="Gas Carrier",C13&lt;65000),'data, etc'!M36,
IF(C5="Tanker",'data, etc'!M37,
IF(C5="Container Ship",'data, etc'!M38,
IF(AND(C5="General Cargo Ship",C13&gt;=20000),'data, etc'!M39,
IF(AND(C5="General Cargo Ship",C13&lt;20000),'data, etc'!M40,
IF(C5="Refrigerated Cargo Carrier",'data, etc'!M41,
IF(C5="Combination Carrier",'data, etc'!M42,
IF(AND(C5="LNG Carrier",C13&gt;=100000),'data, etc'!M43,
IF(AND(C5="LNG Carrier",C13&gt;=65000,C13&lt;100000),'data, etc'!M44,
IF(AND(C5="LNG Carrier",C13&lt;65000),'data, etc'!M45,
IF(AND(C5="Ro-ro cargo ship (vehicle carrier)",C14&gt;=57700),'data, etc'!M46,
IF(AND(C5="Ro-ro cargo ship (vehicle carrier)",C14&gt;=30000,C14&lt;57700),'data, etc'!M47,
IF(C5="Ro-ro cargo ship",'data, etc'!M48,'data, etc'!M52))))))))))))))))</f>
        <v>588</v>
      </c>
    </row>
    <row r="135" spans="1:29" x14ac:dyDescent="0.3">
      <c r="A135" t="s">
        <v>413</v>
      </c>
      <c r="C135">
        <f>IF(AND(C5="Bulk Carrier",C13&gt;=279000),'data, etc'!N33,
IF(AND(C5="Bulk Carrier",C13&lt;279000),'data, etc'!N34,
IF(AND(C5="Gas Carrier",C13&gt;=65000),'data, etc'!N35,
IF(AND(C5="Gas Carrier",C13&lt;65000),'data, etc'!N36,
IF(C5="Tanker",'data, etc'!N37,
IF(C5="Container Ship",'data, etc'!N38,
IF(AND(C5="General Cargo Ship",C13&gt;=20000),'data, etc'!N39,
IF(AND(C5="General Cargo Ship",C13&lt;20000),'data, etc'!N40,
IF(C5="Refrigerated Cargo Carrier",'data, etc'!N41,
IF(C5="Combination Carrier",'data, etc'!N42,
IF(AND(C5="LNG Carrier",C13&gt;=100000),'data, etc'!N43,
IF(AND(C5="LNG Carrier",C13&gt;=65000,C13&lt;100000),'data, etc'!N44,
IF(AND(C5="LNG Carrier",C13&lt;65000),'data, etc'!N45,
IF(AND(C5="Ro-ro cargo ship (vehicle carrier)",C14&gt;=57700),'data, etc'!N46,
IF(AND(C5="Ro-ro cargo ship (vehicle carrier)",C14&gt;=30000,C14&lt;57700),'data, etc'!N47,
IF(C5="Ro-ro cargo ship",'data, etc'!N48,'data, etc'!N52))))))))))))))))</f>
        <v>0.38850000000000001</v>
      </c>
    </row>
    <row r="137" spans="1:29" x14ac:dyDescent="0.3">
      <c r="A137" t="s">
        <v>410</v>
      </c>
      <c r="C137" s="53">
        <f>C134*(C133^(-C135))</f>
        <v>18.20761901130874</v>
      </c>
      <c r="AB137" t="s">
        <v>470</v>
      </c>
      <c r="AC137">
        <f>AC146/AC139</f>
        <v>168.71794871794873</v>
      </c>
    </row>
    <row r="139" spans="1:29" x14ac:dyDescent="0.3">
      <c r="A139" s="63" t="s">
        <v>436</v>
      </c>
      <c r="B139" s="63"/>
      <c r="C139" s="63"/>
      <c r="D139" s="63"/>
      <c r="AB139" t="s">
        <v>471</v>
      </c>
      <c r="AC139">
        <v>3.9</v>
      </c>
    </row>
    <row r="140" spans="1:29" x14ac:dyDescent="0.3">
      <c r="A140" t="s">
        <v>437</v>
      </c>
      <c r="C140" t="s">
        <v>438</v>
      </c>
    </row>
    <row r="141" spans="1:29" x14ac:dyDescent="0.3">
      <c r="A141" t="s">
        <v>410</v>
      </c>
      <c r="C141" s="53">
        <f>C137</f>
        <v>18.20761901130874</v>
      </c>
    </row>
    <row r="143" spans="1:29" x14ac:dyDescent="0.3">
      <c r="A143" s="225" t="s">
        <v>439</v>
      </c>
      <c r="B143" s="225"/>
      <c r="D143" s="225" t="s">
        <v>440</v>
      </c>
      <c r="E143" s="225"/>
      <c r="AB143" t="s">
        <v>469</v>
      </c>
      <c r="AC143">
        <v>6</v>
      </c>
    </row>
    <row r="144" spans="1:29" x14ac:dyDescent="0.3">
      <c r="A144" s="55">
        <v>2020</v>
      </c>
      <c r="B144" s="73">
        <v>0.01</v>
      </c>
      <c r="D144">
        <v>2020</v>
      </c>
      <c r="E144" s="53">
        <f>(1-B144)*$C$141</f>
        <v>18.025542821195653</v>
      </c>
      <c r="AC144">
        <f>R85/AC143</f>
        <v>457.18837403010002</v>
      </c>
    </row>
    <row r="145" spans="1:29" x14ac:dyDescent="0.3">
      <c r="A145" s="55">
        <v>2021</v>
      </c>
      <c r="B145" s="73">
        <v>0.02</v>
      </c>
      <c r="D145">
        <v>2021</v>
      </c>
      <c r="E145" s="53">
        <f>(1-B145)*$C$141</f>
        <v>17.843466631082563</v>
      </c>
    </row>
    <row r="146" spans="1:29" x14ac:dyDescent="0.3">
      <c r="A146" s="55">
        <v>2022</v>
      </c>
      <c r="B146" s="73">
        <v>0.03</v>
      </c>
      <c r="D146">
        <v>2022</v>
      </c>
      <c r="E146" s="53">
        <f t="shared" ref="E146:E154" si="71">(1-B146)*$C$141</f>
        <v>17.661390440969477</v>
      </c>
      <c r="AB146" t="s">
        <v>211</v>
      </c>
      <c r="AC146">
        <v>658</v>
      </c>
    </row>
    <row r="147" spans="1:29" x14ac:dyDescent="0.3">
      <c r="A147" s="55">
        <v>2023</v>
      </c>
      <c r="B147" s="73">
        <v>0.05</v>
      </c>
      <c r="D147">
        <v>2023</v>
      </c>
      <c r="E147" s="53">
        <f t="shared" si="71"/>
        <v>17.297238060743304</v>
      </c>
    </row>
    <row r="148" spans="1:29" x14ac:dyDescent="0.3">
      <c r="A148" s="55">
        <v>2024</v>
      </c>
      <c r="B148" s="73">
        <v>7.0000000000000007E-2</v>
      </c>
      <c r="D148">
        <v>2024</v>
      </c>
      <c r="E148" s="53">
        <f t="shared" si="71"/>
        <v>16.933085680517127</v>
      </c>
    </row>
    <row r="149" spans="1:29" x14ac:dyDescent="0.3">
      <c r="A149" s="55">
        <v>2025</v>
      </c>
      <c r="B149" s="73">
        <v>0.09</v>
      </c>
      <c r="D149">
        <v>2025</v>
      </c>
      <c r="E149" s="53">
        <f t="shared" si="71"/>
        <v>16.568933300290954</v>
      </c>
    </row>
    <row r="150" spans="1:29" x14ac:dyDescent="0.3">
      <c r="A150" s="55">
        <v>2026</v>
      </c>
      <c r="B150" s="73">
        <v>0.11</v>
      </c>
      <c r="D150">
        <v>2026</v>
      </c>
      <c r="E150" s="53">
        <f t="shared" si="71"/>
        <v>16.204780920064778</v>
      </c>
    </row>
    <row r="151" spans="1:29" x14ac:dyDescent="0.3">
      <c r="A151" s="55">
        <v>2027</v>
      </c>
      <c r="B151" s="73">
        <v>0.14000000000000001</v>
      </c>
      <c r="D151">
        <v>2027</v>
      </c>
      <c r="E151" s="53">
        <f t="shared" si="71"/>
        <v>15.658552349725516</v>
      </c>
    </row>
    <row r="152" spans="1:29" x14ac:dyDescent="0.3">
      <c r="A152" s="55">
        <v>2028</v>
      </c>
      <c r="B152" s="73">
        <v>0.17</v>
      </c>
      <c r="D152">
        <v>2028</v>
      </c>
      <c r="E152" s="53">
        <f t="shared" si="71"/>
        <v>15.112323779386253</v>
      </c>
    </row>
    <row r="153" spans="1:29" x14ac:dyDescent="0.3">
      <c r="A153" s="55">
        <v>2029</v>
      </c>
      <c r="B153" s="73">
        <v>0.2</v>
      </c>
      <c r="D153">
        <v>2029</v>
      </c>
      <c r="E153" s="53">
        <f t="shared" si="71"/>
        <v>14.566095209046992</v>
      </c>
    </row>
    <row r="154" spans="1:29" x14ac:dyDescent="0.3">
      <c r="A154" s="55">
        <v>2030</v>
      </c>
      <c r="B154" s="73">
        <v>0.23</v>
      </c>
      <c r="D154">
        <v>2030</v>
      </c>
      <c r="E154" s="53">
        <f t="shared" si="71"/>
        <v>14.019866638707731</v>
      </c>
    </row>
    <row r="156" spans="1:29" x14ac:dyDescent="0.3">
      <c r="A156" s="76" t="s">
        <v>441</v>
      </c>
      <c r="B156" s="76"/>
      <c r="C156" s="76"/>
      <c r="D156" s="76"/>
    </row>
    <row r="158" spans="1:29" x14ac:dyDescent="0.3">
      <c r="A158" t="s">
        <v>451</v>
      </c>
      <c r="C158" t="s">
        <v>455</v>
      </c>
      <c r="G158" t="s">
        <v>463</v>
      </c>
      <c r="H158">
        <f>IF(C5="Bulk Carrier",'data, etc'!L56,
IF(AND(C5="Gas Carrier",C13&gt;=65000),'data, etc'!L57,
IF(AND(C5="Gas Carrier",C13&lt;65000),'data, etc'!L58,
IF(C5="Tanker",'data, etc'!L59,
IF(C5="Container Ship",'data, etc'!L60,
IF(C5="General Cargo Ship",'data, etc'!L61,
IF(C5="Refrigerated Cargo Carrier",'data, etc'!L62,
IF(C5="Combination Carrier",'data, etc'!L63,
IF(AND(C5="LNG Carrier",C13&gt;=100000),'data, etc'!L64,
IF(AND(C5="LNG Carrier",C13&lt;100000),'data, etc'!L65,
IF(C5="Ro-ro cargo ship (vehicle carrier)",'data, etc'!L66,
IF(C5="Ro-ro cargo ship",'data, etc'!L67,
IF(C5="Ro-ro passenger ship",'data, etc'!L68,'data, etc'!L69)))))))))))))</f>
        <v>0.83</v>
      </c>
    </row>
    <row r="159" spans="1:29" x14ac:dyDescent="0.3">
      <c r="A159" t="s">
        <v>452</v>
      </c>
      <c r="C159" t="s">
        <v>456</v>
      </c>
      <c r="G159" t="s">
        <v>464</v>
      </c>
      <c r="H159">
        <f>IF(C5="Bulk Carrier",'data, etc'!M56,
IF(AND(C5="Gas Carrier",C13&gt;=65000),'data, etc'!M57,
IF(AND(C5="Gas Carrier",C13&lt;65000),'data, etc'!M58,
IF(C5="Tanker",'data, etc'!M59,
IF(C5="Container Ship",'data, etc'!M60,
IF(C5="General Cargo Ship",'data, etc'!M61,
IF(C5="Refrigerated Cargo Carrier",'data, etc'!M62,
IF(C5="Combination Carrier",'data, etc'!M63,
IF(AND(C5="LNG Carrier",C13&gt;=100000),'data, etc'!M64,
IF(AND(C5="LNG Carrier",C13&lt;100000),'data, etc'!M65,
IF(C5="Ro-ro cargo ship (vehicle carrier)",'data, etc'!M66,
IF(C5="Ro-ro cargo ship",'data, etc'!M67,
IF(C5="Ro-ro passenger ship",'data, etc'!M68,'data, etc'!M69)))))))))))))</f>
        <v>0.94</v>
      </c>
    </row>
    <row r="160" spans="1:29" x14ac:dyDescent="0.3">
      <c r="A160" t="s">
        <v>453</v>
      </c>
      <c r="C160" t="s">
        <v>457</v>
      </c>
      <c r="G160" t="s">
        <v>465</v>
      </c>
      <c r="H160">
        <f>IF(C5="Bulk Carrier",'data, etc'!N56,
IF(AND(C5="Gas Carrier",C13&gt;=65000),'data, etc'!N57,
IF(AND(C5="Gas Carrier",C13&lt;65000),'data, etc'!N58,
IF(C5="Tanker",'data, etc'!N59,
IF(C5="Container Ship",'data, etc'!N60,
IF(C5="General Cargo Ship",'data, etc'!N61,
IF(C5="Refrigerated Cargo Carrier",'data, etc'!N62,
IF(C5="Combination Carrier",'data, etc'!N63,
IF(AND(C5="LNG Carrier",C13&gt;=100000),'data, etc'!N64,
IF(AND(C5="LNG Carrier",C13&lt;100000),'data, etc'!N65,
IF(C5="Ro-ro cargo ship (vehicle carrier)",'data, etc'!N66,
IF(C5="Ro-ro cargo ship",'data, etc'!N67,
IF(C5="Ro-ro passenger ship",'data, etc'!N68,'data, etc'!N69)))))))))))))</f>
        <v>1.06</v>
      </c>
    </row>
    <row r="161" spans="1:23" x14ac:dyDescent="0.3">
      <c r="A161" t="s">
        <v>454</v>
      </c>
      <c r="C161" t="s">
        <v>458</v>
      </c>
      <c r="G161" t="s">
        <v>466</v>
      </c>
      <c r="H161">
        <f>IF(C5="Bulk Carrier",'data, etc'!O56,
IF(AND(C5="Gas Carrier",C13&gt;=65000),'data, etc'!O57,
IF(AND(C5="Gas Carrier",C13&lt;65000),'data, etc'!O58,
IF(C5="Tanker",'data, etc'!O59,
IF(C5="Container Ship",'data, etc'!O60,
IF(C5="General Cargo Ship",'data, etc'!O61,
IF(C5="Refrigerated Cargo Carrier",'data, etc'!O62,
IF(C5="Combination Carrier",'data, etc'!O63,
IF(AND(C5="LNG Carrier",C13&gt;=100000),'data, etc'!O64,
IF(AND(C5="LNG Carrier",C13&lt;100000),'data, etc'!O65,
IF(C5="Ro-ro cargo ship (vehicle carrier)",'data, etc'!O66,
IF(C5="Ro-ro cargo ship",'data, etc'!O67,
IF(C5="Ro-ro passenger ship",'data, etc'!O68,'data, etc'!O69)))))))))))))</f>
        <v>1.19</v>
      </c>
    </row>
    <row r="163" spans="1:23" x14ac:dyDescent="0.3">
      <c r="A163" t="s">
        <v>196</v>
      </c>
      <c r="B163" t="s">
        <v>459</v>
      </c>
      <c r="C163" t="s">
        <v>460</v>
      </c>
      <c r="D163" t="s">
        <v>452</v>
      </c>
      <c r="E163" t="s">
        <v>461</v>
      </c>
      <c r="F163" t="s">
        <v>462</v>
      </c>
      <c r="I163" t="s">
        <v>462</v>
      </c>
      <c r="J163" t="s">
        <v>462</v>
      </c>
      <c r="K163" t="s">
        <v>461</v>
      </c>
      <c r="L163" t="s">
        <v>472</v>
      </c>
      <c r="M163" t="s">
        <v>460</v>
      </c>
      <c r="N163">
        <f>A178</f>
        <v>13.8</v>
      </c>
      <c r="O163">
        <f>A179</f>
        <v>12.8</v>
      </c>
      <c r="P163">
        <f>A180</f>
        <v>11.8</v>
      </c>
      <c r="Q163">
        <f>A181</f>
        <v>10.8</v>
      </c>
      <c r="R163">
        <f>A182</f>
        <v>9.8000000000000007</v>
      </c>
      <c r="S163">
        <f>A183</f>
        <v>8.8000000000000007</v>
      </c>
      <c r="T163">
        <f>A184</f>
        <v>7.8000000000000007</v>
      </c>
      <c r="U163">
        <f>A185</f>
        <v>6.8000000000000007</v>
      </c>
    </row>
    <row r="164" spans="1:23" x14ac:dyDescent="0.3">
      <c r="A164">
        <f>D144</f>
        <v>2020</v>
      </c>
      <c r="B164" s="53">
        <f>E144</f>
        <v>18.025542821195653</v>
      </c>
      <c r="C164" s="53">
        <f>B164*$H$158</f>
        <v>14.961200541592392</v>
      </c>
      <c r="D164" s="53">
        <f>B164*$H$159</f>
        <v>16.944010251923913</v>
      </c>
      <c r="E164" s="53">
        <f>B164*$H$160</f>
        <v>19.107075390467394</v>
      </c>
      <c r="F164" s="53">
        <f>B164*$H$161</f>
        <v>21.450395957222828</v>
      </c>
      <c r="I164" s="78">
        <v>35</v>
      </c>
      <c r="J164" s="79">
        <f t="shared" ref="J164:J174" si="72">F164</f>
        <v>21.450395957222828</v>
      </c>
      <c r="K164" s="79">
        <f t="shared" ref="K164:K174" si="73">E164</f>
        <v>19.107075390467394</v>
      </c>
      <c r="L164" s="79">
        <f t="shared" ref="L164:L174" si="74">D164</f>
        <v>16.944010251923913</v>
      </c>
      <c r="M164" s="79">
        <f t="shared" ref="M164:M174" si="75">C164</f>
        <v>14.961200541592392</v>
      </c>
      <c r="N164" s="80">
        <f>B178</f>
        <v>33.247500343478023</v>
      </c>
      <c r="O164" s="79">
        <f>B179</f>
        <v>29.317717787996397</v>
      </c>
      <c r="P164" s="79">
        <f>B180</f>
        <v>25.453661795636023</v>
      </c>
      <c r="Q164" s="79">
        <f>B181</f>
        <v>22.006965134131175</v>
      </c>
      <c r="R164" s="79">
        <f>B182</f>
        <v>18.950172229962924</v>
      </c>
      <c r="S164" s="79">
        <f>B183</f>
        <v>16.322777748833136</v>
      </c>
      <c r="T164" s="79">
        <f>B184</f>
        <v>14.134008082017296</v>
      </c>
      <c r="U164" s="79">
        <f>B185</f>
        <v>12.35222648443243</v>
      </c>
      <c r="V164" s="53"/>
      <c r="W164" s="53"/>
    </row>
    <row r="165" spans="1:23" x14ac:dyDescent="0.3">
      <c r="A165">
        <f t="shared" ref="A165:B165" si="76">D145</f>
        <v>2021</v>
      </c>
      <c r="B165" s="53">
        <f t="shared" si="76"/>
        <v>17.843466631082563</v>
      </c>
      <c r="C165" s="53">
        <f t="shared" ref="C165:C174" si="77">B165*$H$158</f>
        <v>14.810077303798527</v>
      </c>
      <c r="D165" s="53">
        <f t="shared" ref="D165:D174" si="78">B165*$H$159</f>
        <v>16.772858633217609</v>
      </c>
      <c r="E165" s="53">
        <f t="shared" ref="E165:E174" si="79">B165*$H$160</f>
        <v>18.914074628947517</v>
      </c>
      <c r="F165" s="53">
        <f t="shared" ref="F165:F174" si="80">B165*$H$161</f>
        <v>21.23372529098825</v>
      </c>
      <c r="I165" s="78">
        <f>I164</f>
        <v>35</v>
      </c>
      <c r="J165" s="79">
        <f t="shared" si="72"/>
        <v>21.23372529098825</v>
      </c>
      <c r="K165" s="79">
        <f t="shared" si="73"/>
        <v>18.914074628947517</v>
      </c>
      <c r="L165" s="79">
        <f t="shared" si="74"/>
        <v>16.772858633217609</v>
      </c>
      <c r="M165" s="79">
        <f t="shared" si="75"/>
        <v>14.810077303798527</v>
      </c>
      <c r="N165" s="80">
        <f>N164</f>
        <v>33.247500343478023</v>
      </c>
      <c r="O165" s="79">
        <f>O164</f>
        <v>29.317717787996397</v>
      </c>
      <c r="P165" s="79">
        <f t="shared" ref="P165:U165" si="81">P164</f>
        <v>25.453661795636023</v>
      </c>
      <c r="Q165" s="79">
        <f t="shared" si="81"/>
        <v>22.006965134131175</v>
      </c>
      <c r="R165" s="79">
        <f t="shared" si="81"/>
        <v>18.950172229962924</v>
      </c>
      <c r="S165" s="79">
        <f t="shared" si="81"/>
        <v>16.322777748833136</v>
      </c>
      <c r="T165" s="79">
        <f t="shared" si="81"/>
        <v>14.134008082017296</v>
      </c>
      <c r="U165" s="79">
        <f t="shared" si="81"/>
        <v>12.35222648443243</v>
      </c>
      <c r="V165" s="53"/>
      <c r="W165" s="53"/>
    </row>
    <row r="166" spans="1:23" x14ac:dyDescent="0.3">
      <c r="A166">
        <f t="shared" ref="A166:B166" si="82">D146</f>
        <v>2022</v>
      </c>
      <c r="B166" s="53">
        <f t="shared" si="82"/>
        <v>17.661390440969477</v>
      </c>
      <c r="C166" s="53">
        <f t="shared" si="77"/>
        <v>14.658954066004664</v>
      </c>
      <c r="D166" s="53">
        <f t="shared" si="78"/>
        <v>16.601707014511309</v>
      </c>
      <c r="E166" s="53">
        <f t="shared" si="79"/>
        <v>18.721073867427645</v>
      </c>
      <c r="F166" s="53">
        <f t="shared" si="80"/>
        <v>21.017054624753676</v>
      </c>
      <c r="I166" s="78">
        <f t="shared" ref="I166:I174" si="83">I165</f>
        <v>35</v>
      </c>
      <c r="J166" s="79">
        <f t="shared" si="72"/>
        <v>21.017054624753676</v>
      </c>
      <c r="K166" s="79">
        <f t="shared" si="73"/>
        <v>18.721073867427645</v>
      </c>
      <c r="L166" s="79">
        <f t="shared" si="74"/>
        <v>16.601707014511309</v>
      </c>
      <c r="M166" s="79">
        <f t="shared" si="75"/>
        <v>14.658954066004664</v>
      </c>
      <c r="N166" s="80">
        <f t="shared" ref="N166:N174" si="84">N165</f>
        <v>33.247500343478023</v>
      </c>
      <c r="O166" s="79">
        <f t="shared" ref="O166:O174" si="85">O165</f>
        <v>29.317717787996397</v>
      </c>
      <c r="P166" s="79">
        <f t="shared" ref="P166:P174" si="86">P165</f>
        <v>25.453661795636023</v>
      </c>
      <c r="Q166" s="79">
        <f t="shared" ref="Q166:Q174" si="87">Q165</f>
        <v>22.006965134131175</v>
      </c>
      <c r="R166" s="79">
        <f t="shared" ref="R166:R174" si="88">R165</f>
        <v>18.950172229962924</v>
      </c>
      <c r="S166" s="79">
        <f t="shared" ref="S166:S174" si="89">S165</f>
        <v>16.322777748833136</v>
      </c>
      <c r="T166" s="79">
        <f t="shared" ref="T166:T174" si="90">T165</f>
        <v>14.134008082017296</v>
      </c>
      <c r="U166" s="79">
        <f t="shared" ref="U166:U174" si="91">U165</f>
        <v>12.35222648443243</v>
      </c>
      <c r="V166" s="53"/>
      <c r="W166" s="53"/>
    </row>
    <row r="167" spans="1:23" x14ac:dyDescent="0.3">
      <c r="A167">
        <f t="shared" ref="A167:B167" si="92">D147</f>
        <v>2023</v>
      </c>
      <c r="B167" s="53">
        <f t="shared" si="92"/>
        <v>17.297238060743304</v>
      </c>
      <c r="C167" s="53">
        <f t="shared" si="77"/>
        <v>14.356707590416942</v>
      </c>
      <c r="D167" s="53">
        <f t="shared" si="78"/>
        <v>16.259403777098704</v>
      </c>
      <c r="E167" s="53">
        <f t="shared" si="79"/>
        <v>18.335072344387903</v>
      </c>
      <c r="F167" s="53">
        <f t="shared" si="80"/>
        <v>20.583713292284532</v>
      </c>
      <c r="I167" s="78">
        <f t="shared" si="83"/>
        <v>35</v>
      </c>
      <c r="J167" s="79">
        <f t="shared" si="72"/>
        <v>20.583713292284532</v>
      </c>
      <c r="K167" s="79">
        <f t="shared" si="73"/>
        <v>18.335072344387903</v>
      </c>
      <c r="L167" s="79">
        <f t="shared" si="74"/>
        <v>16.259403777098704</v>
      </c>
      <c r="M167" s="79">
        <f t="shared" si="75"/>
        <v>14.356707590416942</v>
      </c>
      <c r="N167" s="80">
        <f t="shared" si="84"/>
        <v>33.247500343478023</v>
      </c>
      <c r="O167" s="79">
        <f t="shared" si="85"/>
        <v>29.317717787996397</v>
      </c>
      <c r="P167" s="79">
        <f t="shared" si="86"/>
        <v>25.453661795636023</v>
      </c>
      <c r="Q167" s="79">
        <f t="shared" si="87"/>
        <v>22.006965134131175</v>
      </c>
      <c r="R167" s="79">
        <f t="shared" si="88"/>
        <v>18.950172229962924</v>
      </c>
      <c r="S167" s="79">
        <f t="shared" si="89"/>
        <v>16.322777748833136</v>
      </c>
      <c r="T167" s="79">
        <f t="shared" si="90"/>
        <v>14.134008082017296</v>
      </c>
      <c r="U167" s="79">
        <f t="shared" si="91"/>
        <v>12.35222648443243</v>
      </c>
      <c r="V167" s="53"/>
      <c r="W167" s="53"/>
    </row>
    <row r="168" spans="1:23" x14ac:dyDescent="0.3">
      <c r="A168">
        <f t="shared" ref="A168:B168" si="93">D148</f>
        <v>2024</v>
      </c>
      <c r="B168" s="53">
        <f t="shared" si="93"/>
        <v>16.933085680517127</v>
      </c>
      <c r="C168" s="53">
        <f t="shared" si="77"/>
        <v>14.054461114829214</v>
      </c>
      <c r="D168" s="53">
        <f t="shared" si="78"/>
        <v>15.917100539686098</v>
      </c>
      <c r="E168" s="53">
        <f t="shared" si="79"/>
        <v>17.949070821348155</v>
      </c>
      <c r="F168" s="53">
        <f t="shared" si="80"/>
        <v>20.150371959815381</v>
      </c>
      <c r="I168" s="78">
        <f t="shared" si="83"/>
        <v>35</v>
      </c>
      <c r="J168" s="53">
        <f t="shared" si="72"/>
        <v>20.150371959815381</v>
      </c>
      <c r="K168" s="53">
        <f t="shared" si="73"/>
        <v>17.949070821348155</v>
      </c>
      <c r="L168" s="53">
        <f t="shared" si="74"/>
        <v>15.917100539686098</v>
      </c>
      <c r="M168" s="53">
        <f t="shared" si="75"/>
        <v>14.054461114829214</v>
      </c>
      <c r="N168" s="50">
        <f t="shared" si="84"/>
        <v>33.247500343478023</v>
      </c>
      <c r="O168" s="53">
        <f t="shared" si="85"/>
        <v>29.317717787996397</v>
      </c>
      <c r="P168" s="53">
        <f t="shared" si="86"/>
        <v>25.453661795636023</v>
      </c>
      <c r="Q168" s="53">
        <f t="shared" si="87"/>
        <v>22.006965134131175</v>
      </c>
      <c r="R168" s="53">
        <f t="shared" si="88"/>
        <v>18.950172229962924</v>
      </c>
      <c r="S168" s="53">
        <f t="shared" si="89"/>
        <v>16.322777748833136</v>
      </c>
      <c r="T168" s="53">
        <f t="shared" si="90"/>
        <v>14.134008082017296</v>
      </c>
      <c r="U168" s="53">
        <f t="shared" si="91"/>
        <v>12.35222648443243</v>
      </c>
      <c r="V168" s="53"/>
      <c r="W168" s="53"/>
    </row>
    <row r="169" spans="1:23" x14ac:dyDescent="0.3">
      <c r="A169">
        <f t="shared" ref="A169:B169" si="94">D149</f>
        <v>2025</v>
      </c>
      <c r="B169" s="53">
        <f t="shared" si="94"/>
        <v>16.568933300290954</v>
      </c>
      <c r="C169" s="53">
        <f t="shared" si="77"/>
        <v>13.752214639241492</v>
      </c>
      <c r="D169" s="53">
        <f t="shared" si="78"/>
        <v>15.574797302273495</v>
      </c>
      <c r="E169" s="53">
        <f t="shared" si="79"/>
        <v>17.563069298308413</v>
      </c>
      <c r="F169" s="53">
        <f t="shared" si="80"/>
        <v>19.717030627346233</v>
      </c>
      <c r="I169" s="78">
        <f t="shared" si="83"/>
        <v>35</v>
      </c>
      <c r="J169" s="53">
        <f t="shared" si="72"/>
        <v>19.717030627346233</v>
      </c>
      <c r="K169" s="53">
        <f t="shared" si="73"/>
        <v>17.563069298308413</v>
      </c>
      <c r="L169" s="53">
        <f t="shared" si="74"/>
        <v>15.574797302273495</v>
      </c>
      <c r="M169" s="53">
        <f t="shared" si="75"/>
        <v>13.752214639241492</v>
      </c>
      <c r="N169" s="50">
        <f t="shared" si="84"/>
        <v>33.247500343478023</v>
      </c>
      <c r="O169" s="53">
        <f t="shared" si="85"/>
        <v>29.317717787996397</v>
      </c>
      <c r="P169" s="53">
        <f t="shared" si="86"/>
        <v>25.453661795636023</v>
      </c>
      <c r="Q169" s="53">
        <f t="shared" si="87"/>
        <v>22.006965134131175</v>
      </c>
      <c r="R169" s="53">
        <f t="shared" si="88"/>
        <v>18.950172229962924</v>
      </c>
      <c r="S169" s="53">
        <f t="shared" si="89"/>
        <v>16.322777748833136</v>
      </c>
      <c r="T169" s="53">
        <f t="shared" si="90"/>
        <v>14.134008082017296</v>
      </c>
      <c r="U169" s="53">
        <f t="shared" si="91"/>
        <v>12.35222648443243</v>
      </c>
      <c r="V169" s="53"/>
      <c r="W169" s="53"/>
    </row>
    <row r="170" spans="1:23" x14ac:dyDescent="0.3">
      <c r="A170">
        <f t="shared" ref="A170:B170" si="95">D150</f>
        <v>2026</v>
      </c>
      <c r="B170" s="53">
        <f t="shared" si="95"/>
        <v>16.204780920064778</v>
      </c>
      <c r="C170" s="53">
        <f t="shared" si="77"/>
        <v>13.449968163653764</v>
      </c>
      <c r="D170" s="53">
        <f t="shared" si="78"/>
        <v>15.232494064860891</v>
      </c>
      <c r="E170" s="53">
        <f t="shared" si="79"/>
        <v>17.177067775268664</v>
      </c>
      <c r="F170" s="53">
        <f t="shared" si="80"/>
        <v>19.283689294877085</v>
      </c>
      <c r="I170" s="78">
        <f t="shared" si="83"/>
        <v>35</v>
      </c>
      <c r="J170" s="53">
        <f t="shared" si="72"/>
        <v>19.283689294877085</v>
      </c>
      <c r="K170" s="53">
        <f t="shared" si="73"/>
        <v>17.177067775268664</v>
      </c>
      <c r="L170" s="53">
        <f t="shared" si="74"/>
        <v>15.232494064860891</v>
      </c>
      <c r="M170" s="53">
        <f t="shared" si="75"/>
        <v>13.449968163653764</v>
      </c>
      <c r="N170" s="50">
        <f t="shared" si="84"/>
        <v>33.247500343478023</v>
      </c>
      <c r="O170" s="53">
        <f t="shared" si="85"/>
        <v>29.317717787996397</v>
      </c>
      <c r="P170" s="53">
        <f t="shared" si="86"/>
        <v>25.453661795636023</v>
      </c>
      <c r="Q170" s="53">
        <f t="shared" si="87"/>
        <v>22.006965134131175</v>
      </c>
      <c r="R170" s="53">
        <f t="shared" si="88"/>
        <v>18.950172229962924</v>
      </c>
      <c r="S170" s="53">
        <f t="shared" si="89"/>
        <v>16.322777748833136</v>
      </c>
      <c r="T170" s="53">
        <f t="shared" si="90"/>
        <v>14.134008082017296</v>
      </c>
      <c r="U170" s="53">
        <f t="shared" si="91"/>
        <v>12.35222648443243</v>
      </c>
      <c r="V170" s="53"/>
      <c r="W170" s="53"/>
    </row>
    <row r="171" spans="1:23" x14ac:dyDescent="0.3">
      <c r="A171">
        <f t="shared" ref="A171:B171" si="96">D151</f>
        <v>2027</v>
      </c>
      <c r="B171" s="53">
        <f t="shared" si="96"/>
        <v>15.658552349725516</v>
      </c>
      <c r="C171" s="53">
        <f t="shared" si="77"/>
        <v>12.996598450272177</v>
      </c>
      <c r="D171" s="53">
        <f t="shared" si="78"/>
        <v>14.719039208741984</v>
      </c>
      <c r="E171" s="53">
        <f t="shared" si="79"/>
        <v>16.598065490709047</v>
      </c>
      <c r="F171" s="53">
        <f t="shared" si="80"/>
        <v>18.633677296173364</v>
      </c>
      <c r="I171" s="78">
        <f t="shared" si="83"/>
        <v>35</v>
      </c>
      <c r="J171" s="53">
        <f t="shared" si="72"/>
        <v>18.633677296173364</v>
      </c>
      <c r="K171" s="53">
        <f t="shared" si="73"/>
        <v>16.598065490709047</v>
      </c>
      <c r="L171" s="53">
        <f t="shared" si="74"/>
        <v>14.719039208741984</v>
      </c>
      <c r="M171" s="53">
        <f t="shared" si="75"/>
        <v>12.996598450272177</v>
      </c>
      <c r="N171" s="50">
        <f t="shared" si="84"/>
        <v>33.247500343478023</v>
      </c>
      <c r="O171" s="53">
        <f t="shared" si="85"/>
        <v>29.317717787996397</v>
      </c>
      <c r="P171" s="53">
        <f t="shared" si="86"/>
        <v>25.453661795636023</v>
      </c>
      <c r="Q171" s="53">
        <f t="shared" si="87"/>
        <v>22.006965134131175</v>
      </c>
      <c r="R171" s="53">
        <f t="shared" si="88"/>
        <v>18.950172229962924</v>
      </c>
      <c r="S171" s="53">
        <f t="shared" si="89"/>
        <v>16.322777748833136</v>
      </c>
      <c r="T171" s="53">
        <f t="shared" si="90"/>
        <v>14.134008082017296</v>
      </c>
      <c r="U171" s="53">
        <f t="shared" si="91"/>
        <v>12.35222648443243</v>
      </c>
      <c r="V171" s="53"/>
      <c r="W171" s="53"/>
    </row>
    <row r="172" spans="1:23" x14ac:dyDescent="0.3">
      <c r="A172">
        <f t="shared" ref="A172:B172" si="97">D152</f>
        <v>2028</v>
      </c>
      <c r="B172" s="53">
        <f t="shared" si="97"/>
        <v>15.112323779386253</v>
      </c>
      <c r="C172" s="53">
        <f t="shared" si="77"/>
        <v>12.54322873689059</v>
      </c>
      <c r="D172" s="53">
        <f t="shared" si="78"/>
        <v>14.205584352623077</v>
      </c>
      <c r="E172" s="53">
        <f t="shared" si="79"/>
        <v>16.019063206149429</v>
      </c>
      <c r="F172" s="53">
        <f t="shared" si="80"/>
        <v>17.983665297469642</v>
      </c>
      <c r="I172" s="78">
        <f t="shared" si="83"/>
        <v>35</v>
      </c>
      <c r="J172" s="53">
        <f t="shared" si="72"/>
        <v>17.983665297469642</v>
      </c>
      <c r="K172" s="53">
        <f t="shared" si="73"/>
        <v>16.019063206149429</v>
      </c>
      <c r="L172" s="53">
        <f t="shared" si="74"/>
        <v>14.205584352623077</v>
      </c>
      <c r="M172" s="53">
        <f t="shared" si="75"/>
        <v>12.54322873689059</v>
      </c>
      <c r="N172" s="50">
        <f t="shared" si="84"/>
        <v>33.247500343478023</v>
      </c>
      <c r="O172" s="53">
        <f t="shared" si="85"/>
        <v>29.317717787996397</v>
      </c>
      <c r="P172" s="53">
        <f t="shared" si="86"/>
        <v>25.453661795636023</v>
      </c>
      <c r="Q172" s="53">
        <f t="shared" si="87"/>
        <v>22.006965134131175</v>
      </c>
      <c r="R172" s="53">
        <f t="shared" si="88"/>
        <v>18.950172229962924</v>
      </c>
      <c r="S172" s="53">
        <f t="shared" si="89"/>
        <v>16.322777748833136</v>
      </c>
      <c r="T172" s="53">
        <f t="shared" si="90"/>
        <v>14.134008082017296</v>
      </c>
      <c r="U172" s="53">
        <f t="shared" si="91"/>
        <v>12.35222648443243</v>
      </c>
      <c r="V172" s="53"/>
      <c r="W172" s="53"/>
    </row>
    <row r="173" spans="1:23" x14ac:dyDescent="0.3">
      <c r="A173">
        <f t="shared" ref="A173:B173" si="98">D153</f>
        <v>2029</v>
      </c>
      <c r="B173" s="53">
        <f t="shared" si="98"/>
        <v>14.566095209046992</v>
      </c>
      <c r="C173" s="53">
        <f t="shared" si="77"/>
        <v>12.089859023509003</v>
      </c>
      <c r="D173" s="53">
        <f t="shared" si="78"/>
        <v>13.692129496504172</v>
      </c>
      <c r="E173" s="53">
        <f t="shared" si="79"/>
        <v>15.440060921589811</v>
      </c>
      <c r="F173" s="53">
        <f t="shared" si="80"/>
        <v>17.33365329876592</v>
      </c>
      <c r="I173" s="78">
        <f t="shared" si="83"/>
        <v>35</v>
      </c>
      <c r="J173" s="53">
        <f t="shared" si="72"/>
        <v>17.33365329876592</v>
      </c>
      <c r="K173" s="53">
        <f t="shared" si="73"/>
        <v>15.440060921589811</v>
      </c>
      <c r="L173" s="53">
        <f t="shared" si="74"/>
        <v>13.692129496504172</v>
      </c>
      <c r="M173" s="53">
        <f t="shared" si="75"/>
        <v>12.089859023509003</v>
      </c>
      <c r="N173" s="50">
        <f t="shared" si="84"/>
        <v>33.247500343478023</v>
      </c>
      <c r="O173" s="53">
        <f t="shared" si="85"/>
        <v>29.317717787996397</v>
      </c>
      <c r="P173" s="53">
        <f t="shared" si="86"/>
        <v>25.453661795636023</v>
      </c>
      <c r="Q173" s="53">
        <f t="shared" si="87"/>
        <v>22.006965134131175</v>
      </c>
      <c r="R173" s="53">
        <f t="shared" si="88"/>
        <v>18.950172229962924</v>
      </c>
      <c r="S173" s="53">
        <f t="shared" si="89"/>
        <v>16.322777748833136</v>
      </c>
      <c r="T173" s="53">
        <f t="shared" si="90"/>
        <v>14.134008082017296</v>
      </c>
      <c r="U173" s="53">
        <f t="shared" si="91"/>
        <v>12.35222648443243</v>
      </c>
      <c r="V173" s="53"/>
      <c r="W173" s="53"/>
    </row>
    <row r="174" spans="1:23" x14ac:dyDescent="0.3">
      <c r="A174">
        <f t="shared" ref="A174:B174" si="99">D154</f>
        <v>2030</v>
      </c>
      <c r="B174" s="53">
        <f t="shared" si="99"/>
        <v>14.019866638707731</v>
      </c>
      <c r="C174" s="53">
        <f t="shared" si="77"/>
        <v>11.636489310127416</v>
      </c>
      <c r="D174" s="53">
        <f t="shared" si="78"/>
        <v>13.178674640385266</v>
      </c>
      <c r="E174" s="53">
        <f t="shared" si="79"/>
        <v>14.861058637030196</v>
      </c>
      <c r="F174" s="53">
        <f t="shared" si="80"/>
        <v>16.683641300062199</v>
      </c>
      <c r="I174" s="78">
        <f t="shared" si="83"/>
        <v>35</v>
      </c>
      <c r="J174" s="53">
        <f t="shared" si="72"/>
        <v>16.683641300062199</v>
      </c>
      <c r="K174" s="53">
        <f t="shared" si="73"/>
        <v>14.861058637030196</v>
      </c>
      <c r="L174" s="53">
        <f t="shared" si="74"/>
        <v>13.178674640385266</v>
      </c>
      <c r="M174" s="53">
        <f t="shared" si="75"/>
        <v>11.636489310127416</v>
      </c>
      <c r="N174" s="50">
        <f t="shared" si="84"/>
        <v>33.247500343478023</v>
      </c>
      <c r="O174" s="53">
        <f t="shared" si="85"/>
        <v>29.317717787996397</v>
      </c>
      <c r="P174" s="53">
        <f t="shared" si="86"/>
        <v>25.453661795636023</v>
      </c>
      <c r="Q174" s="53">
        <f t="shared" si="87"/>
        <v>22.006965134131175</v>
      </c>
      <c r="R174" s="53">
        <f t="shared" si="88"/>
        <v>18.950172229962924</v>
      </c>
      <c r="S174" s="53">
        <f t="shared" si="89"/>
        <v>16.322777748833136</v>
      </c>
      <c r="T174" s="53">
        <f t="shared" si="90"/>
        <v>14.134008082017296</v>
      </c>
      <c r="U174" s="53">
        <f t="shared" si="91"/>
        <v>12.35222648443243</v>
      </c>
      <c r="V174" s="53"/>
      <c r="W174" s="53"/>
    </row>
    <row r="176" spans="1:23" x14ac:dyDescent="0.3">
      <c r="A176">
        <v>2024</v>
      </c>
      <c r="F176">
        <f>A176+1</f>
        <v>2025</v>
      </c>
    </row>
    <row r="177" spans="1:9" x14ac:dyDescent="0.3">
      <c r="A177" t="s">
        <v>12</v>
      </c>
      <c r="B177" t="s">
        <v>405</v>
      </c>
      <c r="C177" t="s">
        <v>409</v>
      </c>
      <c r="D177" t="s">
        <v>467</v>
      </c>
      <c r="F177" t="s">
        <v>12</v>
      </c>
      <c r="G177" t="s">
        <v>405</v>
      </c>
      <c r="H177" t="s">
        <v>409</v>
      </c>
      <c r="I177" t="s">
        <v>467</v>
      </c>
    </row>
    <row r="178" spans="1:9" x14ac:dyDescent="0.3">
      <c r="A178">
        <f t="shared" ref="A178:A185" si="100">F121</f>
        <v>13.8</v>
      </c>
      <c r="B178" s="53">
        <f t="shared" ref="B178:B185" si="101">O121</f>
        <v>33.247500343478023</v>
      </c>
      <c r="C178" s="50">
        <f>VLOOKUP(A176,D144:E154,2,FALSE)</f>
        <v>16.933085680517127</v>
      </c>
      <c r="D178" t="str">
        <f>IF(B178&lt;(VLOOKUP($A$176,$A$164:$F$174,3,FALSE)),"A",IF(AND((VLOOKUP($A$176,$A$164:$F$174,3,FALSE))&lt;=B178,B178&lt;(VLOOKUP($A$176,$A$164:$F$174,4,FALSE))),"B",IF(AND((VLOOKUP($A$176,$A$164:$F$174,4,FALSE))&lt;=B178,B178&lt;(VLOOKUP($A$176,$A$164:$F$174,5,FALSE))),"C",IF(AND((VLOOKUP($A$176,$A$164:$F$174,5,FALSE))&lt;=B178,B178&lt;(VLOOKUP($A$176,$A$164:$F$174,6,FALSE))),"D","E"))))</f>
        <v>E</v>
      </c>
      <c r="F178">
        <f t="shared" ref="F178:F185" si="102">A178</f>
        <v>13.8</v>
      </c>
      <c r="G178" s="50">
        <f t="shared" ref="G178:G185" si="103">B178</f>
        <v>33.247500343478023</v>
      </c>
      <c r="H178" s="50">
        <f>VLOOKUP(F176,D144:E154,2,FALSE)</f>
        <v>16.568933300290954</v>
      </c>
      <c r="I178" t="str">
        <f>IF(G178&lt;(VLOOKUP($F$176,$A$164:$F$174,3,FALSE)),"A",IF(AND((VLOOKUP($F$176,$A$164:$F$174,3,FALSE))&lt;=G178,G178&lt;(VLOOKUP($F$176,$A$164:$F$174,4,FALSE))),"B",IF(AND((VLOOKUP($F$176,$A$164:$F$174,4,FALSE))&lt;=G178,G178&lt;(VLOOKUP($F$176,$A$164:$F$174,5,FALSE))),"C",IF(AND((VLOOKUP($F$176,$A$164:$F$174,5,FALSE))&lt;=G178,G178&lt;(VLOOKUP($F$176,$A$164:$F$174,6,FALSE))),"D","E"))))</f>
        <v>E</v>
      </c>
    </row>
    <row r="179" spans="1:9" x14ac:dyDescent="0.3">
      <c r="A179">
        <f t="shared" si="100"/>
        <v>12.8</v>
      </c>
      <c r="B179" s="53">
        <f>O122</f>
        <v>29.317717787996397</v>
      </c>
      <c r="C179" s="50">
        <f>C178</f>
        <v>16.933085680517127</v>
      </c>
      <c r="D179" t="str">
        <f t="shared" ref="D179:D185" si="104">IF(B179&lt;(VLOOKUP($A$176,$A$164:$F$174,3,FALSE)),"A",IF(AND((VLOOKUP($A$176,$A$164:$F$174,3,FALSE))&lt;=B179,B179&lt;(VLOOKUP($A$176,$A$164:$F$174,4,FALSE))),"B",IF(AND((VLOOKUP($A$176,$A$164:$F$174,4,FALSE))&lt;=B179,B179&lt;(VLOOKUP($A$176,$A$164:$F$174,5,FALSE))),"C",IF(AND((VLOOKUP($A$176,$A$164:$F$174,5,FALSE))&lt;=B179,B179&lt;(VLOOKUP($A$176,$A$164:$F$174,6,FALSE))),"D","E"))))</f>
        <v>E</v>
      </c>
      <c r="F179">
        <f t="shared" si="102"/>
        <v>12.8</v>
      </c>
      <c r="G179" s="50">
        <f t="shared" si="103"/>
        <v>29.317717787996397</v>
      </c>
      <c r="H179" s="50">
        <f>H178</f>
        <v>16.568933300290954</v>
      </c>
      <c r="I179" t="str">
        <f t="shared" ref="I179:I185" si="105">IF(G179&lt;(VLOOKUP($F$176,$A$164:$F$174,3,FALSE)),"A",IF(AND((VLOOKUP($F$176,$A$164:$F$174,3,FALSE))&lt;=G179,G179&lt;(VLOOKUP($F$176,$A$164:$F$174,4,FALSE))),"B",IF(AND((VLOOKUP($F$176,$A$164:$F$174,4,FALSE))&lt;=G179,G179&lt;(VLOOKUP($F$176,$A$164:$F$174,5,FALSE))),"C",IF(AND((VLOOKUP($F$176,$A$164:$F$174,5,FALSE))&lt;=G179,G179&lt;(VLOOKUP($F$176,$A$164:$F$174,6,FALSE))),"D","E"))))</f>
        <v>E</v>
      </c>
    </row>
    <row r="180" spans="1:9" x14ac:dyDescent="0.3">
      <c r="A180">
        <f t="shared" si="100"/>
        <v>11.8</v>
      </c>
      <c r="B180" s="53">
        <f t="shared" si="101"/>
        <v>25.453661795636023</v>
      </c>
      <c r="C180" s="50">
        <f t="shared" ref="C180:C185" si="106">C179</f>
        <v>16.933085680517127</v>
      </c>
      <c r="D180" t="str">
        <f t="shared" si="104"/>
        <v>E</v>
      </c>
      <c r="F180">
        <f t="shared" si="102"/>
        <v>11.8</v>
      </c>
      <c r="G180" s="50">
        <f t="shared" si="103"/>
        <v>25.453661795636023</v>
      </c>
      <c r="H180" s="50">
        <f t="shared" ref="H180:H185" si="107">H179</f>
        <v>16.568933300290954</v>
      </c>
      <c r="I180" t="str">
        <f t="shared" si="105"/>
        <v>E</v>
      </c>
    </row>
    <row r="181" spans="1:9" x14ac:dyDescent="0.3">
      <c r="A181">
        <f t="shared" si="100"/>
        <v>10.8</v>
      </c>
      <c r="B181" s="53">
        <f t="shared" si="101"/>
        <v>22.006965134131175</v>
      </c>
      <c r="C181" s="50">
        <f t="shared" si="106"/>
        <v>16.933085680517127</v>
      </c>
      <c r="D181" t="str">
        <f t="shared" si="104"/>
        <v>E</v>
      </c>
      <c r="F181">
        <f t="shared" si="102"/>
        <v>10.8</v>
      </c>
      <c r="G181" s="50">
        <f t="shared" si="103"/>
        <v>22.006965134131175</v>
      </c>
      <c r="H181" s="50">
        <f t="shared" si="107"/>
        <v>16.568933300290954</v>
      </c>
      <c r="I181" t="str">
        <f t="shared" si="105"/>
        <v>E</v>
      </c>
    </row>
    <row r="182" spans="1:9" x14ac:dyDescent="0.3">
      <c r="A182">
        <f t="shared" si="100"/>
        <v>9.8000000000000007</v>
      </c>
      <c r="B182" s="53">
        <f t="shared" si="101"/>
        <v>18.950172229962924</v>
      </c>
      <c r="C182" s="50">
        <f t="shared" si="106"/>
        <v>16.933085680517127</v>
      </c>
      <c r="D182" t="str">
        <f t="shared" si="104"/>
        <v>D</v>
      </c>
      <c r="F182">
        <f t="shared" si="102"/>
        <v>9.8000000000000007</v>
      </c>
      <c r="G182" s="50">
        <f t="shared" si="103"/>
        <v>18.950172229962924</v>
      </c>
      <c r="H182" s="50">
        <f t="shared" si="107"/>
        <v>16.568933300290954</v>
      </c>
      <c r="I182" t="str">
        <f t="shared" si="105"/>
        <v>D</v>
      </c>
    </row>
    <row r="183" spans="1:9" x14ac:dyDescent="0.3">
      <c r="A183">
        <f t="shared" si="100"/>
        <v>8.8000000000000007</v>
      </c>
      <c r="B183" s="53">
        <f t="shared" si="101"/>
        <v>16.322777748833136</v>
      </c>
      <c r="C183" s="50">
        <f t="shared" si="106"/>
        <v>16.933085680517127</v>
      </c>
      <c r="D183" t="str">
        <f t="shared" si="104"/>
        <v>C</v>
      </c>
      <c r="F183">
        <f t="shared" si="102"/>
        <v>8.8000000000000007</v>
      </c>
      <c r="G183" s="50">
        <f t="shared" si="103"/>
        <v>16.322777748833136</v>
      </c>
      <c r="H183" s="50">
        <f t="shared" si="107"/>
        <v>16.568933300290954</v>
      </c>
      <c r="I183" t="str">
        <f t="shared" si="105"/>
        <v>C</v>
      </c>
    </row>
    <row r="184" spans="1:9" x14ac:dyDescent="0.3">
      <c r="A184">
        <f t="shared" si="100"/>
        <v>7.8000000000000007</v>
      </c>
      <c r="B184" s="53">
        <f t="shared" si="101"/>
        <v>14.134008082017296</v>
      </c>
      <c r="C184" s="50">
        <f t="shared" si="106"/>
        <v>16.933085680517127</v>
      </c>
      <c r="D184" t="str">
        <f t="shared" si="104"/>
        <v>B</v>
      </c>
      <c r="F184">
        <f t="shared" si="102"/>
        <v>7.8000000000000007</v>
      </c>
      <c r="G184" s="50">
        <f t="shared" si="103"/>
        <v>14.134008082017296</v>
      </c>
      <c r="H184" s="50">
        <f t="shared" si="107"/>
        <v>16.568933300290954</v>
      </c>
      <c r="I184" t="str">
        <f t="shared" si="105"/>
        <v>B</v>
      </c>
    </row>
    <row r="185" spans="1:9" x14ac:dyDescent="0.3">
      <c r="A185">
        <f t="shared" si="100"/>
        <v>6.8000000000000007</v>
      </c>
      <c r="B185" s="53">
        <f t="shared" si="101"/>
        <v>12.35222648443243</v>
      </c>
      <c r="C185" s="50">
        <f t="shared" si="106"/>
        <v>16.933085680517127</v>
      </c>
      <c r="D185" t="str">
        <f t="shared" si="104"/>
        <v>A</v>
      </c>
      <c r="F185">
        <f t="shared" si="102"/>
        <v>6.8000000000000007</v>
      </c>
      <c r="G185" s="50">
        <f t="shared" si="103"/>
        <v>12.35222648443243</v>
      </c>
      <c r="H185" s="50">
        <f t="shared" si="107"/>
        <v>16.568933300290954</v>
      </c>
      <c r="I185" t="str">
        <f t="shared" si="105"/>
        <v>A</v>
      </c>
    </row>
    <row r="186" spans="1:9" x14ac:dyDescent="0.3">
      <c r="B186" s="53"/>
      <c r="C186" s="50"/>
      <c r="G186" s="50"/>
      <c r="H186" s="50"/>
    </row>
    <row r="187" spans="1:9" x14ac:dyDescent="0.3">
      <c r="B187" s="53"/>
      <c r="C187" s="50"/>
      <c r="G187" s="50"/>
      <c r="H187" s="50"/>
    </row>
    <row r="189" spans="1:9" x14ac:dyDescent="0.3">
      <c r="A189">
        <f>F176+1</f>
        <v>2026</v>
      </c>
      <c r="F189">
        <f>A189+1</f>
        <v>2027</v>
      </c>
    </row>
    <row r="190" spans="1:9" x14ac:dyDescent="0.3">
      <c r="A190" t="s">
        <v>12</v>
      </c>
      <c r="B190" t="s">
        <v>405</v>
      </c>
      <c r="C190" t="s">
        <v>409</v>
      </c>
      <c r="D190" t="s">
        <v>467</v>
      </c>
      <c r="F190" t="s">
        <v>12</v>
      </c>
      <c r="G190" t="s">
        <v>405</v>
      </c>
      <c r="H190" t="s">
        <v>409</v>
      </c>
      <c r="I190" t="s">
        <v>467</v>
      </c>
    </row>
    <row r="191" spans="1:9" x14ac:dyDescent="0.3">
      <c r="A191">
        <f t="shared" ref="A191:A198" si="108">F178</f>
        <v>13.8</v>
      </c>
      <c r="B191" s="50">
        <f t="shared" ref="B191:B198" si="109">G178</f>
        <v>33.247500343478023</v>
      </c>
      <c r="C191" s="50">
        <f>VLOOKUP(A189,D144:E154,2,FALSE)</f>
        <v>16.204780920064778</v>
      </c>
      <c r="D191" t="str">
        <f>IF(B191&lt;(VLOOKUP($A$189,$A$164:$F$174,3,FALSE)),"A",IF(AND((VLOOKUP($A$189,$A$164:$F$174,3,FALSE))&lt;=B191,B191&lt;(VLOOKUP($A$189,$A$164:$F$174,4,FALSE))),"B",IF(AND((VLOOKUP($A$189,$A$164:$F$174,4,FALSE))&lt;=B191,B191&lt;(VLOOKUP($A$189,$A$164:$F$174,5,FALSE))),"C",IF(AND((VLOOKUP($A$189,$A$164:$F$174,5,FALSE))&lt;=B191,B191&lt;(VLOOKUP($A$189,$A$164:$F$174,6,FALSE))),"D","E"))))</f>
        <v>E</v>
      </c>
      <c r="F191">
        <f t="shared" ref="F191:F198" si="110">A191</f>
        <v>13.8</v>
      </c>
      <c r="G191" s="50">
        <f t="shared" ref="G191:G198" si="111">B191</f>
        <v>33.247500343478023</v>
      </c>
      <c r="H191" s="50">
        <f>VLOOKUP(F189,D144:E154,2,FALSE)</f>
        <v>15.658552349725516</v>
      </c>
      <c r="I191" t="str">
        <f>IF(G191&lt;(VLOOKUP($F$189,$A$164:$F$174,3,FALSE)),"A",IF(AND((VLOOKUP($F$189,$A$164:$F$174,3,FALSE))&lt;=G191,G191&lt;(VLOOKUP($F$189,$A$164:$F$174,4,FALSE))),"B",IF(AND((VLOOKUP($F$189,$A$164:$F$174,4,FALSE))&lt;=G191,G191&lt;(VLOOKUP($F$189,$A$164:$F$174,5,FALSE))),"C",IF(AND((VLOOKUP($F$189,$A$164:$F$174,5,FALSE))&lt;=G191,G191&lt;(VLOOKUP($F$189,$A$164:$F$174,6,FALSE))),"D","E"))))</f>
        <v>E</v>
      </c>
    </row>
    <row r="192" spans="1:9" x14ac:dyDescent="0.3">
      <c r="A192">
        <f t="shared" si="108"/>
        <v>12.8</v>
      </c>
      <c r="B192" s="50">
        <f t="shared" si="109"/>
        <v>29.317717787996397</v>
      </c>
      <c r="C192" s="50">
        <f>C191</f>
        <v>16.204780920064778</v>
      </c>
      <c r="D192" t="str">
        <f t="shared" ref="D192:D198" si="112">IF(B192&lt;(VLOOKUP($A$189,$A$164:$F$174,3,FALSE)),"A",IF(AND((VLOOKUP($A$189,$A$164:$F$174,3,FALSE))&lt;=B192,B192&lt;(VLOOKUP($A$189,$A$164:$F$174,4,FALSE))),"B",IF(AND((VLOOKUP($A$189,$A$164:$F$174,4,FALSE))&lt;=B192,B192&lt;(VLOOKUP($A$189,$A$164:$F$174,5,FALSE))),"C",IF(AND((VLOOKUP($A$189,$A$164:$F$174,5,FALSE))&lt;=B192,B192&lt;(VLOOKUP($A$189,$A$164:$F$174,6,FALSE))),"D","E"))))</f>
        <v>E</v>
      </c>
      <c r="F192">
        <f t="shared" si="110"/>
        <v>12.8</v>
      </c>
      <c r="G192" s="50">
        <f t="shared" si="111"/>
        <v>29.317717787996397</v>
      </c>
      <c r="H192" s="50">
        <f>H191</f>
        <v>15.658552349725516</v>
      </c>
      <c r="I192" t="str">
        <f t="shared" ref="I192:I198" si="113">IF(G192&lt;(VLOOKUP($F$189,$A$164:$F$174,3,FALSE)),"A",IF(AND((VLOOKUP($F$189,$A$164:$F$174,3,FALSE))&lt;=G192,G192&lt;(VLOOKUP($F$189,$A$164:$F$174,4,FALSE))),"B",IF(AND((VLOOKUP($F$189,$A$164:$F$174,4,FALSE))&lt;=G192,G192&lt;(VLOOKUP($F$189,$A$164:$F$174,5,FALSE))),"C",IF(AND((VLOOKUP($F$189,$A$164:$F$174,5,FALSE))&lt;=G192,G192&lt;(VLOOKUP($F$189,$A$164:$F$174,6,FALSE))),"D","E"))))</f>
        <v>E</v>
      </c>
    </row>
    <row r="193" spans="1:9" x14ac:dyDescent="0.3">
      <c r="A193">
        <f t="shared" si="108"/>
        <v>11.8</v>
      </c>
      <c r="B193" s="50">
        <f t="shared" si="109"/>
        <v>25.453661795636023</v>
      </c>
      <c r="C193" s="50">
        <f t="shared" ref="C193:C198" si="114">C192</f>
        <v>16.204780920064778</v>
      </c>
      <c r="D193" t="str">
        <f t="shared" si="112"/>
        <v>E</v>
      </c>
      <c r="F193">
        <f t="shared" si="110"/>
        <v>11.8</v>
      </c>
      <c r="G193" s="50">
        <f t="shared" si="111"/>
        <v>25.453661795636023</v>
      </c>
      <c r="H193" s="50">
        <f t="shared" ref="H193:H198" si="115">H192</f>
        <v>15.658552349725516</v>
      </c>
      <c r="I193" t="str">
        <f t="shared" si="113"/>
        <v>E</v>
      </c>
    </row>
    <row r="194" spans="1:9" x14ac:dyDescent="0.3">
      <c r="A194">
        <f t="shared" si="108"/>
        <v>10.8</v>
      </c>
      <c r="B194" s="50">
        <f t="shared" si="109"/>
        <v>22.006965134131175</v>
      </c>
      <c r="C194" s="50">
        <f t="shared" si="114"/>
        <v>16.204780920064778</v>
      </c>
      <c r="D194" t="str">
        <f t="shared" si="112"/>
        <v>E</v>
      </c>
      <c r="F194">
        <f t="shared" si="110"/>
        <v>10.8</v>
      </c>
      <c r="G194" s="50">
        <f t="shared" si="111"/>
        <v>22.006965134131175</v>
      </c>
      <c r="H194" s="50">
        <f t="shared" si="115"/>
        <v>15.658552349725516</v>
      </c>
      <c r="I194" t="str">
        <f t="shared" si="113"/>
        <v>E</v>
      </c>
    </row>
    <row r="195" spans="1:9" x14ac:dyDescent="0.3">
      <c r="A195">
        <f t="shared" si="108"/>
        <v>9.8000000000000007</v>
      </c>
      <c r="B195" s="50">
        <f t="shared" si="109"/>
        <v>18.950172229962924</v>
      </c>
      <c r="C195" s="50">
        <f t="shared" si="114"/>
        <v>16.204780920064778</v>
      </c>
      <c r="D195" t="str">
        <f t="shared" si="112"/>
        <v>D</v>
      </c>
      <c r="F195">
        <f t="shared" si="110"/>
        <v>9.8000000000000007</v>
      </c>
      <c r="G195" s="50">
        <f t="shared" si="111"/>
        <v>18.950172229962924</v>
      </c>
      <c r="H195" s="50">
        <f t="shared" si="115"/>
        <v>15.658552349725516</v>
      </c>
      <c r="I195" t="str">
        <f t="shared" si="113"/>
        <v>E</v>
      </c>
    </row>
    <row r="196" spans="1:9" x14ac:dyDescent="0.3">
      <c r="A196">
        <f t="shared" si="108"/>
        <v>8.8000000000000007</v>
      </c>
      <c r="B196" s="50">
        <f t="shared" si="109"/>
        <v>16.322777748833136</v>
      </c>
      <c r="C196" s="50">
        <f t="shared" si="114"/>
        <v>16.204780920064778</v>
      </c>
      <c r="D196" t="str">
        <f t="shared" si="112"/>
        <v>C</v>
      </c>
      <c r="F196">
        <f t="shared" si="110"/>
        <v>8.8000000000000007</v>
      </c>
      <c r="G196" s="50">
        <f t="shared" si="111"/>
        <v>16.322777748833136</v>
      </c>
      <c r="H196" s="50">
        <f t="shared" si="115"/>
        <v>15.658552349725516</v>
      </c>
      <c r="I196" t="str">
        <f t="shared" si="113"/>
        <v>C</v>
      </c>
    </row>
    <row r="197" spans="1:9" x14ac:dyDescent="0.3">
      <c r="A197">
        <f t="shared" si="108"/>
        <v>7.8000000000000007</v>
      </c>
      <c r="B197" s="50">
        <f t="shared" si="109"/>
        <v>14.134008082017296</v>
      </c>
      <c r="C197" s="50">
        <f t="shared" si="114"/>
        <v>16.204780920064778</v>
      </c>
      <c r="D197" t="str">
        <f t="shared" si="112"/>
        <v>B</v>
      </c>
      <c r="F197">
        <f t="shared" si="110"/>
        <v>7.8000000000000007</v>
      </c>
      <c r="G197" s="50">
        <f t="shared" si="111"/>
        <v>14.134008082017296</v>
      </c>
      <c r="H197" s="50">
        <f t="shared" si="115"/>
        <v>15.658552349725516</v>
      </c>
      <c r="I197" t="str">
        <f t="shared" si="113"/>
        <v>B</v>
      </c>
    </row>
    <row r="198" spans="1:9" x14ac:dyDescent="0.3">
      <c r="A198">
        <f t="shared" si="108"/>
        <v>6.8000000000000007</v>
      </c>
      <c r="B198" s="50">
        <f t="shared" si="109"/>
        <v>12.35222648443243</v>
      </c>
      <c r="C198" s="50">
        <f t="shared" si="114"/>
        <v>16.204780920064778</v>
      </c>
      <c r="D198" t="str">
        <f t="shared" si="112"/>
        <v>A</v>
      </c>
      <c r="F198">
        <f t="shared" si="110"/>
        <v>6.8000000000000007</v>
      </c>
      <c r="G198" s="50">
        <f t="shared" si="111"/>
        <v>12.35222648443243</v>
      </c>
      <c r="H198" s="50">
        <f t="shared" si="115"/>
        <v>15.658552349725516</v>
      </c>
      <c r="I198" t="str">
        <f t="shared" si="113"/>
        <v>A</v>
      </c>
    </row>
    <row r="199" spans="1:9" x14ac:dyDescent="0.3">
      <c r="B199" s="50"/>
      <c r="C199" s="50"/>
      <c r="G199" s="50"/>
      <c r="H199" s="50"/>
    </row>
    <row r="200" spans="1:9" x14ac:dyDescent="0.3">
      <c r="B200" s="50"/>
      <c r="C200" s="50"/>
      <c r="G200" s="50"/>
      <c r="H200" s="50"/>
    </row>
    <row r="202" spans="1:9" x14ac:dyDescent="0.3">
      <c r="A202">
        <f>F189+1</f>
        <v>2028</v>
      </c>
      <c r="F202">
        <f>A202+1</f>
        <v>2029</v>
      </c>
    </row>
    <row r="203" spans="1:9" x14ac:dyDescent="0.3">
      <c r="A203" t="s">
        <v>12</v>
      </c>
      <c r="B203" t="s">
        <v>405</v>
      </c>
      <c r="C203" t="s">
        <v>409</v>
      </c>
      <c r="D203" t="s">
        <v>467</v>
      </c>
      <c r="F203" t="s">
        <v>12</v>
      </c>
      <c r="G203" t="s">
        <v>405</v>
      </c>
      <c r="H203" t="s">
        <v>409</v>
      </c>
      <c r="I203" t="s">
        <v>467</v>
      </c>
    </row>
    <row r="204" spans="1:9" x14ac:dyDescent="0.3">
      <c r="A204">
        <f t="shared" ref="A204:A211" si="116">F191</f>
        <v>13.8</v>
      </c>
      <c r="B204" s="50">
        <f t="shared" ref="B204:B211" si="117">G191</f>
        <v>33.247500343478023</v>
      </c>
      <c r="C204" s="50">
        <f>VLOOKUP(A202,D144:E154,2,FALSE)</f>
        <v>15.112323779386253</v>
      </c>
      <c r="D204" t="str">
        <f>IF(B204&lt;(VLOOKUP($A$202,$A$164:$F$174,3,FALSE)),"A",IF(AND((VLOOKUP($A$202,$A$164:$F$174,3,FALSE))&lt;=B204,B204&lt;(VLOOKUP($A$202,$A$164:$F$174,4,FALSE))),"B",IF(AND((VLOOKUP($A$202,$A$164:$F$174,4,FALSE))&lt;=B204,B204&lt;(VLOOKUP($A$202,$A$164:$F$174,5,FALSE))),"C",IF(AND((VLOOKUP($A$202,$A$164:$F$174,5,FALSE))&lt;=B204,B204&lt;(VLOOKUP($A$202,$A$164:$F$174,6,FALSE))),"D","E"))))</f>
        <v>E</v>
      </c>
      <c r="F204">
        <f t="shared" ref="F204:F211" si="118">A204</f>
        <v>13.8</v>
      </c>
      <c r="G204" s="50">
        <f t="shared" ref="G204:G211" si="119">B204</f>
        <v>33.247500343478023</v>
      </c>
      <c r="H204" s="50">
        <f>VLOOKUP(F202,D144:E154,2,FALSE)</f>
        <v>14.566095209046992</v>
      </c>
      <c r="I204" t="str">
        <f>IF(G204&lt;(VLOOKUP($F$202,$A$164:$F$174,3,FALSE)),"A",IF(AND((VLOOKUP($F$202,$A$164:$F$174,3,FALSE))&lt;=G204,G204&lt;(VLOOKUP($F$202,$A$164:$F$174,4,FALSE))),"B",IF(AND((VLOOKUP($F$202,$A$164:$F$174,4,FALSE))&lt;=G204,G204&lt;(VLOOKUP($F$202,$A$164:$F$174,5,FALSE))),"C",IF(AND((VLOOKUP($F$202,$A$164:$F$174,5,FALSE))&lt;=G204,G204&lt;(VLOOKUP($F$202,$A$164:$F$174,6,FALSE))),"D","E"))))</f>
        <v>E</v>
      </c>
    </row>
    <row r="205" spans="1:9" x14ac:dyDescent="0.3">
      <c r="A205">
        <f t="shared" si="116"/>
        <v>12.8</v>
      </c>
      <c r="B205" s="50">
        <f t="shared" si="117"/>
        <v>29.317717787996397</v>
      </c>
      <c r="C205" s="50">
        <f>C204</f>
        <v>15.112323779386253</v>
      </c>
      <c r="D205" t="str">
        <f t="shared" ref="D205:D211" si="120">IF(B205&lt;(VLOOKUP($A$202,$A$164:$F$174,3,FALSE)),"A",IF(AND((VLOOKUP($A$202,$A$164:$F$174,3,FALSE))&lt;=B205,B205&lt;(VLOOKUP($A$202,$A$164:$F$174,4,FALSE))),"B",IF(AND((VLOOKUP($A$202,$A$164:$F$174,4,FALSE))&lt;=B205,B205&lt;(VLOOKUP($A$202,$A$164:$F$174,5,FALSE))),"C",IF(AND((VLOOKUP($A$202,$A$164:$F$174,5,FALSE))&lt;=B205,B205&lt;(VLOOKUP($A$202,$A$164:$F$174,6,FALSE))),"D","E"))))</f>
        <v>E</v>
      </c>
      <c r="F205">
        <f t="shared" si="118"/>
        <v>12.8</v>
      </c>
      <c r="G205" s="50">
        <f t="shared" si="119"/>
        <v>29.317717787996397</v>
      </c>
      <c r="H205" s="50">
        <f>H204</f>
        <v>14.566095209046992</v>
      </c>
      <c r="I205" t="str">
        <f t="shared" ref="I205:I211" si="121">IF(G205&lt;(VLOOKUP($F$202,$A$164:$F$174,3,FALSE)),"A",IF(AND((VLOOKUP($F$202,$A$164:$F$174,3,FALSE))&lt;=G205,G205&lt;(VLOOKUP($F$202,$A$164:$F$174,4,FALSE))),"B",IF(AND((VLOOKUP($F$202,$A$164:$F$174,4,FALSE))&lt;=G205,G205&lt;(VLOOKUP($F$202,$A$164:$F$174,5,FALSE))),"C",IF(AND((VLOOKUP($F$202,$A$164:$F$174,5,FALSE))&lt;=G205,G205&lt;(VLOOKUP($F$202,$A$164:$F$174,6,FALSE))),"D","E"))))</f>
        <v>E</v>
      </c>
    </row>
    <row r="206" spans="1:9" x14ac:dyDescent="0.3">
      <c r="A206">
        <f t="shared" si="116"/>
        <v>11.8</v>
      </c>
      <c r="B206" s="50">
        <f t="shared" si="117"/>
        <v>25.453661795636023</v>
      </c>
      <c r="C206" s="50">
        <f t="shared" ref="C206:C211" si="122">C205</f>
        <v>15.112323779386253</v>
      </c>
      <c r="D206" t="str">
        <f t="shared" si="120"/>
        <v>E</v>
      </c>
      <c r="F206">
        <f t="shared" si="118"/>
        <v>11.8</v>
      </c>
      <c r="G206" s="50">
        <f t="shared" si="119"/>
        <v>25.453661795636023</v>
      </c>
      <c r="H206" s="50">
        <f t="shared" ref="H206:H211" si="123">H205</f>
        <v>14.566095209046992</v>
      </c>
      <c r="I206" t="str">
        <f t="shared" si="121"/>
        <v>E</v>
      </c>
    </row>
    <row r="207" spans="1:9" x14ac:dyDescent="0.3">
      <c r="A207">
        <f t="shared" si="116"/>
        <v>10.8</v>
      </c>
      <c r="B207" s="50">
        <f t="shared" si="117"/>
        <v>22.006965134131175</v>
      </c>
      <c r="C207" s="50">
        <f t="shared" si="122"/>
        <v>15.112323779386253</v>
      </c>
      <c r="D207" t="str">
        <f t="shared" si="120"/>
        <v>E</v>
      </c>
      <c r="F207">
        <f t="shared" si="118"/>
        <v>10.8</v>
      </c>
      <c r="G207" s="50">
        <f t="shared" si="119"/>
        <v>22.006965134131175</v>
      </c>
      <c r="H207" s="50">
        <f t="shared" si="123"/>
        <v>14.566095209046992</v>
      </c>
      <c r="I207" t="str">
        <f t="shared" si="121"/>
        <v>E</v>
      </c>
    </row>
    <row r="208" spans="1:9" x14ac:dyDescent="0.3">
      <c r="A208">
        <f t="shared" si="116"/>
        <v>9.8000000000000007</v>
      </c>
      <c r="B208" s="50">
        <f t="shared" si="117"/>
        <v>18.950172229962924</v>
      </c>
      <c r="C208" s="50">
        <f t="shared" si="122"/>
        <v>15.112323779386253</v>
      </c>
      <c r="D208" t="str">
        <f t="shared" si="120"/>
        <v>E</v>
      </c>
      <c r="F208">
        <f t="shared" si="118"/>
        <v>9.8000000000000007</v>
      </c>
      <c r="G208" s="50">
        <f t="shared" si="119"/>
        <v>18.950172229962924</v>
      </c>
      <c r="H208" s="50">
        <f t="shared" si="123"/>
        <v>14.566095209046992</v>
      </c>
      <c r="I208" t="str">
        <f t="shared" si="121"/>
        <v>E</v>
      </c>
    </row>
    <row r="209" spans="1:13" x14ac:dyDescent="0.3">
      <c r="A209">
        <f t="shared" si="116"/>
        <v>8.8000000000000007</v>
      </c>
      <c r="B209" s="50">
        <f t="shared" si="117"/>
        <v>16.322777748833136</v>
      </c>
      <c r="C209" s="50">
        <f t="shared" si="122"/>
        <v>15.112323779386253</v>
      </c>
      <c r="D209" t="str">
        <f t="shared" si="120"/>
        <v>D</v>
      </c>
      <c r="F209">
        <f t="shared" si="118"/>
        <v>8.8000000000000007</v>
      </c>
      <c r="G209" s="50">
        <f t="shared" si="119"/>
        <v>16.322777748833136</v>
      </c>
      <c r="H209" s="50">
        <f t="shared" si="123"/>
        <v>14.566095209046992</v>
      </c>
      <c r="I209" t="str">
        <f t="shared" si="121"/>
        <v>D</v>
      </c>
    </row>
    <row r="210" spans="1:13" x14ac:dyDescent="0.3">
      <c r="A210">
        <f t="shared" si="116"/>
        <v>7.8000000000000007</v>
      </c>
      <c r="B210" s="50">
        <f t="shared" si="117"/>
        <v>14.134008082017296</v>
      </c>
      <c r="C210" s="50">
        <f t="shared" si="122"/>
        <v>15.112323779386253</v>
      </c>
      <c r="D210" t="str">
        <f t="shared" si="120"/>
        <v>B</v>
      </c>
      <c r="F210">
        <f t="shared" si="118"/>
        <v>7.8000000000000007</v>
      </c>
      <c r="G210" s="50">
        <f t="shared" si="119"/>
        <v>14.134008082017296</v>
      </c>
      <c r="H210" s="50">
        <f t="shared" si="123"/>
        <v>14.566095209046992</v>
      </c>
      <c r="I210" t="str">
        <f t="shared" si="121"/>
        <v>C</v>
      </c>
    </row>
    <row r="211" spans="1:13" x14ac:dyDescent="0.3">
      <c r="A211">
        <f t="shared" si="116"/>
        <v>6.8000000000000007</v>
      </c>
      <c r="B211" s="50">
        <f t="shared" si="117"/>
        <v>12.35222648443243</v>
      </c>
      <c r="C211" s="50">
        <f t="shared" si="122"/>
        <v>15.112323779386253</v>
      </c>
      <c r="D211" t="str">
        <f t="shared" si="120"/>
        <v>A</v>
      </c>
      <c r="F211">
        <f t="shared" si="118"/>
        <v>6.8000000000000007</v>
      </c>
      <c r="G211" s="50">
        <f t="shared" si="119"/>
        <v>12.35222648443243</v>
      </c>
      <c r="H211" s="50">
        <f t="shared" si="123"/>
        <v>14.566095209046992</v>
      </c>
      <c r="I211" t="str">
        <f t="shared" si="121"/>
        <v>B</v>
      </c>
    </row>
    <row r="212" spans="1:13" x14ac:dyDescent="0.3">
      <c r="B212" s="50"/>
      <c r="C212" s="50"/>
      <c r="G212" s="50"/>
      <c r="H212" s="50"/>
    </row>
    <row r="213" spans="1:13" x14ac:dyDescent="0.3">
      <c r="B213" s="50"/>
      <c r="C213" s="50"/>
      <c r="G213" s="50"/>
      <c r="H213" s="50"/>
    </row>
    <row r="215" spans="1:13" x14ac:dyDescent="0.3">
      <c r="A215">
        <f>F202+1</f>
        <v>2030</v>
      </c>
    </row>
    <row r="216" spans="1:13" x14ac:dyDescent="0.3">
      <c r="A216" t="s">
        <v>12</v>
      </c>
      <c r="B216" t="s">
        <v>405</v>
      </c>
      <c r="C216" t="s">
        <v>409</v>
      </c>
      <c r="D216" t="s">
        <v>467</v>
      </c>
      <c r="F216" s="54" t="s">
        <v>468</v>
      </c>
      <c r="G216" s="54">
        <f>A176</f>
        <v>2024</v>
      </c>
      <c r="H216" s="54">
        <f>F176</f>
        <v>2025</v>
      </c>
      <c r="I216" s="54">
        <f>A189</f>
        <v>2026</v>
      </c>
      <c r="J216" s="54">
        <f>F189</f>
        <v>2027</v>
      </c>
      <c r="K216" s="54">
        <f>A202</f>
        <v>2028</v>
      </c>
      <c r="L216" s="54">
        <f>F202</f>
        <v>2029</v>
      </c>
      <c r="M216" s="54">
        <f>A215</f>
        <v>2030</v>
      </c>
    </row>
    <row r="217" spans="1:13" x14ac:dyDescent="0.3">
      <c r="A217">
        <f t="shared" ref="A217:A224" si="124">F204</f>
        <v>13.8</v>
      </c>
      <c r="B217" s="50">
        <f t="shared" ref="B217:B224" si="125">G204</f>
        <v>33.247500343478023</v>
      </c>
      <c r="C217" s="50">
        <f>VLOOKUP(A215,D144:E154,2,FALSE)</f>
        <v>14.019866638707731</v>
      </c>
      <c r="D217" t="str">
        <f>IF(B217&lt;(VLOOKUP($A$215,$A$164:$F$174,3,FALSE)),"A",IF(AND((VLOOKUP($A$215,$A$164:$F$174,3,FALSE))&lt;=B217,B217&lt;(VLOOKUP($A$215,$A$164:$F$174,4,FALSE))),"B",IF(AND((VLOOKUP($A$215,$A$164:$F$174,4,FALSE))&lt;=B217,B217&lt;(VLOOKUP($A$215,$A$164:$F$174,5,FALSE))),"C",IF(AND((VLOOKUP($A$215,$A$164:$F$174,5,FALSE))&lt;=B217,B217&lt;(VLOOKUP($A$215,$A$164:$F$174,6,FALSE))),"D","E"))))</f>
        <v>E</v>
      </c>
      <c r="F217" s="54">
        <f>F204</f>
        <v>13.8</v>
      </c>
      <c r="G217" s="54" t="str">
        <f>D178</f>
        <v>E</v>
      </c>
      <c r="H217" s="54" t="str">
        <f>I178</f>
        <v>E</v>
      </c>
      <c r="I217" s="54" t="str">
        <f>D191</f>
        <v>E</v>
      </c>
      <c r="J217" s="54" t="str">
        <f>I191</f>
        <v>E</v>
      </c>
      <c r="K217" s="54" t="str">
        <f>D204</f>
        <v>E</v>
      </c>
      <c r="L217" s="54" t="str">
        <f>I204</f>
        <v>E</v>
      </c>
      <c r="M217" s="54" t="str">
        <f>D217</f>
        <v>E</v>
      </c>
    </row>
    <row r="218" spans="1:13" x14ac:dyDescent="0.3">
      <c r="A218">
        <f t="shared" si="124"/>
        <v>12.8</v>
      </c>
      <c r="B218" s="50">
        <f t="shared" si="125"/>
        <v>29.317717787996397</v>
      </c>
      <c r="C218" s="50">
        <f>C217</f>
        <v>14.019866638707731</v>
      </c>
      <c r="D218" t="str">
        <f t="shared" ref="D218:D224" si="126">IF(B218&lt;(VLOOKUP($A$215,$A$164:$F$174,3,FALSE)),"A",IF(AND((VLOOKUP($A$215,$A$164:$F$174,3,FALSE))&lt;=B218,B218&lt;(VLOOKUP($A$215,$A$164:$F$174,4,FALSE))),"B",IF(AND((VLOOKUP($A$215,$A$164:$F$174,4,FALSE))&lt;=B218,B218&lt;(VLOOKUP($A$215,$A$164:$F$174,5,FALSE))),"C",IF(AND((VLOOKUP($A$215,$A$164:$F$174,5,FALSE))&lt;=B218,B218&lt;(VLOOKUP($A$215,$A$164:$F$174,6,FALSE))),"D","E"))))</f>
        <v>E</v>
      </c>
      <c r="F218" s="54">
        <f t="shared" ref="F218:F226" si="127">F205</f>
        <v>12.8</v>
      </c>
      <c r="G218" s="54" t="str">
        <f t="shared" ref="G218:G226" si="128">D179</f>
        <v>E</v>
      </c>
      <c r="H218" s="54" t="str">
        <f t="shared" ref="H218:H226" si="129">I179</f>
        <v>E</v>
      </c>
      <c r="I218" s="54" t="str">
        <f t="shared" ref="I218:I226" si="130">D192</f>
        <v>E</v>
      </c>
      <c r="J218" s="54" t="str">
        <f t="shared" ref="J218:J226" si="131">I192</f>
        <v>E</v>
      </c>
      <c r="K218" s="54" t="str">
        <f t="shared" ref="K218:K226" si="132">D205</f>
        <v>E</v>
      </c>
      <c r="L218" s="54" t="str">
        <f t="shared" ref="L218:L226" si="133">I205</f>
        <v>E</v>
      </c>
      <c r="M218" s="54" t="str">
        <f t="shared" ref="M218:M226" si="134">D218</f>
        <v>E</v>
      </c>
    </row>
    <row r="219" spans="1:13" x14ac:dyDescent="0.3">
      <c r="A219">
        <f t="shared" si="124"/>
        <v>11.8</v>
      </c>
      <c r="B219" s="50">
        <f t="shared" si="125"/>
        <v>25.453661795636023</v>
      </c>
      <c r="C219" s="50">
        <f t="shared" ref="C219:C224" si="135">C218</f>
        <v>14.019866638707731</v>
      </c>
      <c r="D219" t="str">
        <f t="shared" si="126"/>
        <v>E</v>
      </c>
      <c r="F219" s="54">
        <f t="shared" si="127"/>
        <v>11.8</v>
      </c>
      <c r="G219" s="54" t="str">
        <f t="shared" si="128"/>
        <v>E</v>
      </c>
      <c r="H219" s="54" t="str">
        <f t="shared" si="129"/>
        <v>E</v>
      </c>
      <c r="I219" s="54" t="str">
        <f t="shared" si="130"/>
        <v>E</v>
      </c>
      <c r="J219" s="54" t="str">
        <f t="shared" si="131"/>
        <v>E</v>
      </c>
      <c r="K219" s="54" t="str">
        <f t="shared" si="132"/>
        <v>E</v>
      </c>
      <c r="L219" s="54" t="str">
        <f t="shared" si="133"/>
        <v>E</v>
      </c>
      <c r="M219" s="54" t="str">
        <f t="shared" si="134"/>
        <v>E</v>
      </c>
    </row>
    <row r="220" spans="1:13" x14ac:dyDescent="0.3">
      <c r="A220">
        <f t="shared" si="124"/>
        <v>10.8</v>
      </c>
      <c r="B220" s="50">
        <f t="shared" si="125"/>
        <v>22.006965134131175</v>
      </c>
      <c r="C220" s="50">
        <f t="shared" si="135"/>
        <v>14.019866638707731</v>
      </c>
      <c r="D220" t="str">
        <f t="shared" si="126"/>
        <v>E</v>
      </c>
      <c r="F220" s="54">
        <f t="shared" si="127"/>
        <v>10.8</v>
      </c>
      <c r="G220" s="54" t="str">
        <f t="shared" si="128"/>
        <v>E</v>
      </c>
      <c r="H220" s="54" t="str">
        <f t="shared" si="129"/>
        <v>E</v>
      </c>
      <c r="I220" s="54" t="str">
        <f t="shared" si="130"/>
        <v>E</v>
      </c>
      <c r="J220" s="54" t="str">
        <f t="shared" si="131"/>
        <v>E</v>
      </c>
      <c r="K220" s="54" t="str">
        <f t="shared" si="132"/>
        <v>E</v>
      </c>
      <c r="L220" s="54" t="str">
        <f t="shared" si="133"/>
        <v>E</v>
      </c>
      <c r="M220" s="54" t="str">
        <f t="shared" si="134"/>
        <v>E</v>
      </c>
    </row>
    <row r="221" spans="1:13" x14ac:dyDescent="0.3">
      <c r="A221">
        <f t="shared" si="124"/>
        <v>9.8000000000000007</v>
      </c>
      <c r="B221" s="50">
        <f t="shared" si="125"/>
        <v>18.950172229962924</v>
      </c>
      <c r="C221" s="50">
        <f t="shared" si="135"/>
        <v>14.019866638707731</v>
      </c>
      <c r="D221" t="str">
        <f t="shared" si="126"/>
        <v>E</v>
      </c>
      <c r="F221" s="54">
        <f t="shared" si="127"/>
        <v>9.8000000000000007</v>
      </c>
      <c r="G221" s="54" t="str">
        <f t="shared" si="128"/>
        <v>D</v>
      </c>
      <c r="H221" s="54" t="str">
        <f t="shared" si="129"/>
        <v>D</v>
      </c>
      <c r="I221" s="54" t="str">
        <f t="shared" si="130"/>
        <v>D</v>
      </c>
      <c r="J221" s="54" t="str">
        <f t="shared" si="131"/>
        <v>E</v>
      </c>
      <c r="K221" s="54" t="str">
        <f t="shared" si="132"/>
        <v>E</v>
      </c>
      <c r="L221" s="54" t="str">
        <f t="shared" si="133"/>
        <v>E</v>
      </c>
      <c r="M221" s="54" t="str">
        <f t="shared" si="134"/>
        <v>E</v>
      </c>
    </row>
    <row r="222" spans="1:13" x14ac:dyDescent="0.3">
      <c r="A222">
        <f t="shared" si="124"/>
        <v>8.8000000000000007</v>
      </c>
      <c r="B222" s="50">
        <f t="shared" si="125"/>
        <v>16.322777748833136</v>
      </c>
      <c r="C222" s="50">
        <f t="shared" si="135"/>
        <v>14.019866638707731</v>
      </c>
      <c r="D222" t="str">
        <f t="shared" si="126"/>
        <v>D</v>
      </c>
      <c r="F222" s="54">
        <f t="shared" si="127"/>
        <v>8.8000000000000007</v>
      </c>
      <c r="G222" s="54" t="str">
        <f t="shared" si="128"/>
        <v>C</v>
      </c>
      <c r="H222" s="54" t="str">
        <f t="shared" si="129"/>
        <v>C</v>
      </c>
      <c r="I222" s="54" t="str">
        <f t="shared" si="130"/>
        <v>C</v>
      </c>
      <c r="J222" s="54" t="str">
        <f t="shared" si="131"/>
        <v>C</v>
      </c>
      <c r="K222" s="54" t="str">
        <f t="shared" si="132"/>
        <v>D</v>
      </c>
      <c r="L222" s="54" t="str">
        <f t="shared" si="133"/>
        <v>D</v>
      </c>
      <c r="M222" s="54" t="str">
        <f t="shared" si="134"/>
        <v>D</v>
      </c>
    </row>
    <row r="223" spans="1:13" x14ac:dyDescent="0.3">
      <c r="A223">
        <f t="shared" si="124"/>
        <v>7.8000000000000007</v>
      </c>
      <c r="B223" s="50">
        <f t="shared" si="125"/>
        <v>14.134008082017296</v>
      </c>
      <c r="C223" s="50">
        <f t="shared" si="135"/>
        <v>14.019866638707731</v>
      </c>
      <c r="D223" t="str">
        <f t="shared" si="126"/>
        <v>C</v>
      </c>
      <c r="F223" s="54">
        <f t="shared" si="127"/>
        <v>7.8000000000000007</v>
      </c>
      <c r="G223" s="54" t="str">
        <f t="shared" si="128"/>
        <v>B</v>
      </c>
      <c r="H223" s="54" t="str">
        <f t="shared" si="129"/>
        <v>B</v>
      </c>
      <c r="I223" s="54" t="str">
        <f t="shared" si="130"/>
        <v>B</v>
      </c>
      <c r="J223" s="54" t="str">
        <f t="shared" si="131"/>
        <v>B</v>
      </c>
      <c r="K223" s="54" t="str">
        <f t="shared" si="132"/>
        <v>B</v>
      </c>
      <c r="L223" s="54" t="str">
        <f t="shared" si="133"/>
        <v>C</v>
      </c>
      <c r="M223" s="54" t="str">
        <f t="shared" si="134"/>
        <v>C</v>
      </c>
    </row>
    <row r="224" spans="1:13" x14ac:dyDescent="0.3">
      <c r="A224">
        <f t="shared" si="124"/>
        <v>6.8000000000000007</v>
      </c>
      <c r="B224" s="50">
        <f t="shared" si="125"/>
        <v>12.35222648443243</v>
      </c>
      <c r="C224" s="50">
        <f t="shared" si="135"/>
        <v>14.019866638707731</v>
      </c>
      <c r="D224" t="str">
        <f t="shared" si="126"/>
        <v>B</v>
      </c>
      <c r="F224" s="54">
        <f t="shared" si="127"/>
        <v>6.8000000000000007</v>
      </c>
      <c r="G224" s="54" t="str">
        <f t="shared" si="128"/>
        <v>A</v>
      </c>
      <c r="H224" s="54" t="str">
        <f t="shared" si="129"/>
        <v>A</v>
      </c>
      <c r="I224" s="54" t="str">
        <f t="shared" si="130"/>
        <v>A</v>
      </c>
      <c r="J224" s="54" t="str">
        <f t="shared" si="131"/>
        <v>A</v>
      </c>
      <c r="K224" s="54" t="str">
        <f t="shared" si="132"/>
        <v>A</v>
      </c>
      <c r="L224" s="54" t="str">
        <f t="shared" si="133"/>
        <v>B</v>
      </c>
      <c r="M224" s="54" t="str">
        <f t="shared" si="134"/>
        <v>B</v>
      </c>
    </row>
    <row r="225" spans="2:13" x14ac:dyDescent="0.3">
      <c r="B225" s="50"/>
      <c r="C225" s="50"/>
      <c r="F225" s="54">
        <f t="shared" si="127"/>
        <v>0</v>
      </c>
      <c r="G225" s="54">
        <f t="shared" si="128"/>
        <v>0</v>
      </c>
      <c r="H225" s="54">
        <f t="shared" si="129"/>
        <v>0</v>
      </c>
      <c r="I225" s="54">
        <f t="shared" si="130"/>
        <v>0</v>
      </c>
      <c r="J225" s="54">
        <f t="shared" si="131"/>
        <v>0</v>
      </c>
      <c r="K225" s="54">
        <f t="shared" si="132"/>
        <v>0</v>
      </c>
      <c r="L225" s="54">
        <f t="shared" si="133"/>
        <v>0</v>
      </c>
      <c r="M225" s="54">
        <f t="shared" si="134"/>
        <v>0</v>
      </c>
    </row>
    <row r="226" spans="2:13" x14ac:dyDescent="0.3">
      <c r="B226" s="50"/>
      <c r="C226" s="50"/>
      <c r="F226" s="54">
        <f t="shared" si="127"/>
        <v>0</v>
      </c>
      <c r="G226" s="54">
        <f t="shared" si="128"/>
        <v>0</v>
      </c>
      <c r="H226" s="54">
        <f t="shared" si="129"/>
        <v>0</v>
      </c>
      <c r="I226" s="54">
        <f t="shared" si="130"/>
        <v>0</v>
      </c>
      <c r="J226" s="54">
        <f t="shared" si="131"/>
        <v>0</v>
      </c>
      <c r="K226" s="54">
        <f t="shared" si="132"/>
        <v>0</v>
      </c>
      <c r="L226" s="54">
        <f t="shared" si="133"/>
        <v>0</v>
      </c>
      <c r="M226" s="54">
        <f t="shared" si="134"/>
        <v>0</v>
      </c>
    </row>
  </sheetData>
  <mergeCells count="131">
    <mergeCell ref="A143:B143"/>
    <mergeCell ref="D143:E143"/>
    <mergeCell ref="G119:H119"/>
    <mergeCell ref="I119:J119"/>
    <mergeCell ref="K119:L119"/>
    <mergeCell ref="M119:N119"/>
    <mergeCell ref="O119:O120"/>
    <mergeCell ref="AB105:AB106"/>
    <mergeCell ref="AA105:AA106"/>
    <mergeCell ref="X105:X106"/>
    <mergeCell ref="Y105:Y106"/>
    <mergeCell ref="Z105:Z106"/>
    <mergeCell ref="O105:O106"/>
    <mergeCell ref="W105:W106"/>
    <mergeCell ref="V105:V106"/>
    <mergeCell ref="U105:U106"/>
    <mergeCell ref="T105:T106"/>
    <mergeCell ref="Q105:Q106"/>
    <mergeCell ref="R105:R106"/>
    <mergeCell ref="S105:S106"/>
    <mergeCell ref="G105:G106"/>
    <mergeCell ref="H105:H106"/>
    <mergeCell ref="AE105:AE106"/>
    <mergeCell ref="AF105:AF106"/>
    <mergeCell ref="AD105:AD106"/>
    <mergeCell ref="AC105:AC106"/>
    <mergeCell ref="K8:L8"/>
    <mergeCell ref="K9:L9"/>
    <mergeCell ref="K77:L78"/>
    <mergeCell ref="F119:F120"/>
    <mergeCell ref="A104:AF104"/>
    <mergeCell ref="A8:B8"/>
    <mergeCell ref="C8:F8"/>
    <mergeCell ref="C12:F12"/>
    <mergeCell ref="C13:F13"/>
    <mergeCell ref="C14:F14"/>
    <mergeCell ref="C15:F15"/>
    <mergeCell ref="C16:F16"/>
    <mergeCell ref="C17:F17"/>
    <mergeCell ref="A11:B11"/>
    <mergeCell ref="A12:B12"/>
    <mergeCell ref="A13:B13"/>
    <mergeCell ref="A14:B14"/>
    <mergeCell ref="A15:B15"/>
    <mergeCell ref="A16:B16"/>
    <mergeCell ref="C9:F9"/>
    <mergeCell ref="AW104:BB104"/>
    <mergeCell ref="AY105:AZ105"/>
    <mergeCell ref="AM105:AN105"/>
    <mergeCell ref="AO105:AP105"/>
    <mergeCell ref="AM104:AP104"/>
    <mergeCell ref="AQ104:AR104"/>
    <mergeCell ref="AQ105:AR105"/>
    <mergeCell ref="AI105:AJ105"/>
    <mergeCell ref="AK105:AL105"/>
    <mergeCell ref="AG104:AJ104"/>
    <mergeCell ref="AK104:AL104"/>
    <mergeCell ref="AG105:AH105"/>
    <mergeCell ref="I2:M2"/>
    <mergeCell ref="O2:R2"/>
    <mergeCell ref="A91:A92"/>
    <mergeCell ref="K7:L7"/>
    <mergeCell ref="A98:A102"/>
    <mergeCell ref="Q8:R8"/>
    <mergeCell ref="Q9:R9"/>
    <mergeCell ref="Q10:R10"/>
    <mergeCell ref="Q11:R11"/>
    <mergeCell ref="Q4:R4"/>
    <mergeCell ref="Q13:R13"/>
    <mergeCell ref="Q15:R15"/>
    <mergeCell ref="Q16:R16"/>
    <mergeCell ref="Q17:R17"/>
    <mergeCell ref="Q18:R18"/>
    <mergeCell ref="Q12:R12"/>
    <mergeCell ref="Q14:R14"/>
    <mergeCell ref="K4:L4"/>
    <mergeCell ref="K5:L5"/>
    <mergeCell ref="K6:L6"/>
    <mergeCell ref="Q6:R6"/>
    <mergeCell ref="Q7:R7"/>
    <mergeCell ref="Q5:R5"/>
    <mergeCell ref="A10:B10"/>
    <mergeCell ref="C4:G4"/>
    <mergeCell ref="A2:G2"/>
    <mergeCell ref="A4:B4"/>
    <mergeCell ref="A5:B5"/>
    <mergeCell ref="A6:B6"/>
    <mergeCell ref="A7:B7"/>
    <mergeCell ref="C5:G5"/>
    <mergeCell ref="C6:F6"/>
    <mergeCell ref="C7:F7"/>
    <mergeCell ref="K27:S27"/>
    <mergeCell ref="C21:F21"/>
    <mergeCell ref="C23:F23"/>
    <mergeCell ref="C24:F24"/>
    <mergeCell ref="A21:B21"/>
    <mergeCell ref="A26:S26"/>
    <mergeCell ref="I105:I106"/>
    <mergeCell ref="A9:B9"/>
    <mergeCell ref="C10:F10"/>
    <mergeCell ref="C11:F11"/>
    <mergeCell ref="A17:B18"/>
    <mergeCell ref="C18:F18"/>
    <mergeCell ref="A19:B19"/>
    <mergeCell ref="A20:B20"/>
    <mergeCell ref="C19:F19"/>
    <mergeCell ref="C20:F20"/>
    <mergeCell ref="BE104:BH104"/>
    <mergeCell ref="A22:B22"/>
    <mergeCell ref="A23:B23"/>
    <mergeCell ref="C22:F22"/>
    <mergeCell ref="C105:C106"/>
    <mergeCell ref="D105:D106"/>
    <mergeCell ref="E105:E106"/>
    <mergeCell ref="F105:F106"/>
    <mergeCell ref="A80:S80"/>
    <mergeCell ref="L105:L106"/>
    <mergeCell ref="M105:M106"/>
    <mergeCell ref="N105:N106"/>
    <mergeCell ref="P105:P106"/>
    <mergeCell ref="J105:J106"/>
    <mergeCell ref="K105:K106"/>
    <mergeCell ref="A105:A106"/>
    <mergeCell ref="B105:B106"/>
    <mergeCell ref="AS105:AT105"/>
    <mergeCell ref="AU105:AV105"/>
    <mergeCell ref="AS104:AV104"/>
    <mergeCell ref="AW105:AX105"/>
    <mergeCell ref="BA105:BB105"/>
    <mergeCell ref="A27:I27"/>
    <mergeCell ref="A54:B55"/>
  </mergeCells>
  <phoneticPr fontId="2" type="noConversion"/>
  <dataValidations disablePrompts="1" count="1">
    <dataValidation type="list" allowBlank="1" showInputMessage="1" showErrorMessage="1" sqref="A176" xr:uid="{6D8346E0-2B04-4CE3-BA0C-DF2DE1DA8F30}">
      <formula1>$A$164:$A$174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7281A7B1-3E66-48D0-AA64-A27DDEDC7289}">
          <x14:formula1>
            <xm:f>'data, etc'!$B$4:$B$15</xm:f>
          </x14:formula1>
          <xm:sqref>C5</xm:sqref>
        </x14:dataValidation>
        <x14:dataValidation type="list" allowBlank="1" showInputMessage="1" showErrorMessage="1" xr:uid="{D64A369C-15B1-4F52-8EFF-00DC038FBBAF}">
          <x14:formula1>
            <xm:f>'Route Distance'!$C$147:$C$159</xm:f>
          </x14:formula1>
          <xm:sqref>Q4:R4</xm:sqref>
        </x14:dataValidation>
        <x14:dataValidation type="list" allowBlank="1" showInputMessage="1" showErrorMessage="1" xr:uid="{F24DCBE8-481F-402E-910E-22F1271F0CD6}">
          <x14:formula1>
            <xm:f>'Route Distance'!$D$188:$H$188</xm:f>
          </x14:formula1>
          <xm:sqref>Q5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6743D-04E9-4A8C-836A-9A42D785E1D3}">
  <dimension ref="B3:AE91"/>
  <sheetViews>
    <sheetView topLeftCell="N6" zoomScale="115" zoomScaleNormal="115" workbookViewId="0">
      <selection activeCell="AA34" sqref="X34:AA34"/>
    </sheetView>
  </sheetViews>
  <sheetFormatPr defaultRowHeight="14.4" x14ac:dyDescent="0.3"/>
  <cols>
    <col min="3" max="3" width="12.44140625" customWidth="1"/>
    <col min="4" max="4" width="12.109375" customWidth="1"/>
    <col min="5" max="5" width="15.6640625" customWidth="1"/>
    <col min="6" max="6" width="23" customWidth="1"/>
    <col min="7" max="7" width="14.5546875" customWidth="1"/>
    <col min="9" max="9" width="12" bestFit="1" customWidth="1"/>
    <col min="10" max="10" width="10.6640625" customWidth="1"/>
    <col min="12" max="12" width="14.77734375" bestFit="1" customWidth="1"/>
    <col min="13" max="13" width="14.44140625" customWidth="1"/>
    <col min="15" max="15" width="11.5546875" bestFit="1" customWidth="1"/>
    <col min="16" max="16" width="13.33203125" customWidth="1"/>
    <col min="18" max="18" width="17.33203125" customWidth="1"/>
    <col min="19" max="19" width="29.5546875" customWidth="1"/>
  </cols>
  <sheetData>
    <row r="3" spans="2:18" x14ac:dyDescent="0.3">
      <c r="B3" s="225" t="s">
        <v>13</v>
      </c>
      <c r="C3" s="225"/>
      <c r="D3" s="225"/>
      <c r="F3" s="151" t="s">
        <v>353</v>
      </c>
      <c r="G3" s="151"/>
      <c r="H3" s="151" t="s">
        <v>354</v>
      </c>
      <c r="I3" s="151"/>
      <c r="J3" s="151"/>
      <c r="K3" s="152"/>
      <c r="L3" s="152"/>
      <c r="M3" t="s">
        <v>353</v>
      </c>
      <c r="O3" t="s">
        <v>354</v>
      </c>
      <c r="R3" s="57"/>
    </row>
    <row r="4" spans="2:18" x14ac:dyDescent="0.3">
      <c r="B4" t="s">
        <v>435</v>
      </c>
      <c r="F4" s="151" t="s">
        <v>26</v>
      </c>
      <c r="G4" s="151" t="s">
        <v>25</v>
      </c>
      <c r="H4" s="151"/>
      <c r="I4" s="151" t="s">
        <v>355</v>
      </c>
      <c r="J4" s="151" t="s">
        <v>363</v>
      </c>
      <c r="K4" s="152" t="s">
        <v>401</v>
      </c>
      <c r="L4" s="152"/>
      <c r="M4" t="s">
        <v>26</v>
      </c>
      <c r="N4" t="s">
        <v>25</v>
      </c>
      <c r="O4" t="s">
        <v>601</v>
      </c>
      <c r="P4" t="s">
        <v>355</v>
      </c>
      <c r="Q4" t="s">
        <v>363</v>
      </c>
      <c r="R4" s="57" t="s">
        <v>401</v>
      </c>
    </row>
    <row r="5" spans="2:18" x14ac:dyDescent="0.3">
      <c r="B5" t="s">
        <v>14</v>
      </c>
      <c r="F5" s="151">
        <f>Sheet1!C17</f>
        <v>13.8</v>
      </c>
      <c r="G5" s="151">
        <f>F5*0.5144</f>
        <v>7.0987200000000001</v>
      </c>
      <c r="H5" s="151">
        <f>Sheet1!$Q$6/'data, etc'!F5</f>
        <v>104.11884057971014</v>
      </c>
      <c r="I5" s="151">
        <f>H5+(SUM(Sheet1!$Q$8:$R$13))</f>
        <v>236.33550724637681</v>
      </c>
      <c r="J5" s="151">
        <f>ROUNDUP(335*24/I5,0)</f>
        <v>35</v>
      </c>
      <c r="K5" s="152">
        <f>J5*Sheet1!$Q$6</f>
        <v>50289.399999999994</v>
      </c>
      <c r="L5" s="152"/>
      <c r="M5">
        <f>'External Input'!F12</f>
        <v>13.8</v>
      </c>
      <c r="N5">
        <f>M5*0.5144</f>
        <v>7.0987200000000001</v>
      </c>
      <c r="O5">
        <f>Calculation!$H$3/'data, etc'!M5</f>
        <v>118.10144927536231</v>
      </c>
      <c r="P5">
        <f>O5+SUM(Calculation!$H$5:$H$7,Calculation!$M$3:$M$5)</f>
        <v>256.92144927536231</v>
      </c>
      <c r="Q5">
        <f>ROUNDUP(335*24/P5,0)</f>
        <v>32</v>
      </c>
      <c r="R5" s="57">
        <f>Q5*Calculation!$H$3</f>
        <v>52153.599999999999</v>
      </c>
    </row>
    <row r="6" spans="2:18" x14ac:dyDescent="0.3">
      <c r="B6" t="s">
        <v>15</v>
      </c>
      <c r="F6" s="151">
        <f t="shared" ref="F6:F14" si="0">F5-1</f>
        <v>12.8</v>
      </c>
      <c r="G6" s="151">
        <f t="shared" ref="G6:G14" si="1">F6*0.5144</f>
        <v>6.58432</v>
      </c>
      <c r="H6" s="151">
        <f>Sheet1!$Q$6/'data, etc'!F6</f>
        <v>112.25312499999998</v>
      </c>
      <c r="I6" s="151">
        <f>H6+(SUM(Sheet1!$Q$8:$R$13))</f>
        <v>244.46979166666665</v>
      </c>
      <c r="J6" s="151">
        <f t="shared" ref="J6:J14" si="2">ROUNDUP(335*24/I6,0)</f>
        <v>33</v>
      </c>
      <c r="K6" s="152">
        <f>J6*Sheet1!$Q$6</f>
        <v>47415.719999999994</v>
      </c>
      <c r="L6" s="152"/>
      <c r="M6">
        <f t="shared" ref="M6:M14" si="3">M5-1</f>
        <v>12.8</v>
      </c>
      <c r="N6">
        <f t="shared" ref="N6:N14" si="4">M6*0.5144</f>
        <v>6.58432</v>
      </c>
      <c r="O6">
        <f>Calculation!$H$3/'data, etc'!M6</f>
        <v>127.32812499999999</v>
      </c>
      <c r="P6">
        <f>O6+SUM(Calculation!$H$5:$H$7,Calculation!$M$3:$M$5)</f>
        <v>266.14812499999999</v>
      </c>
      <c r="Q6">
        <f t="shared" ref="Q6:Q14" si="5">ROUNDUP(335*24/P6,0)</f>
        <v>31</v>
      </c>
      <c r="R6" s="57">
        <f>Q6*Calculation!$H$3</f>
        <v>50523.799999999996</v>
      </c>
    </row>
    <row r="7" spans="2:18" x14ac:dyDescent="0.3">
      <c r="B7" t="s">
        <v>16</v>
      </c>
      <c r="F7" s="151">
        <f t="shared" si="0"/>
        <v>11.8</v>
      </c>
      <c r="G7" s="151">
        <f t="shared" si="1"/>
        <v>6.0699199999999998</v>
      </c>
      <c r="H7" s="151">
        <f>Sheet1!$Q$6/'data, etc'!F7</f>
        <v>121.76610169491524</v>
      </c>
      <c r="I7" s="151">
        <f>H7+(SUM(Sheet1!$Q$8:$R$13))</f>
        <v>253.98276836158192</v>
      </c>
      <c r="J7" s="151">
        <f t="shared" si="2"/>
        <v>32</v>
      </c>
      <c r="K7" s="152">
        <f>J7*Sheet1!$Q$6</f>
        <v>45978.879999999997</v>
      </c>
      <c r="L7" s="152"/>
      <c r="M7">
        <f t="shared" si="3"/>
        <v>11.8</v>
      </c>
      <c r="N7">
        <f t="shared" si="4"/>
        <v>6.0699199999999998</v>
      </c>
      <c r="O7">
        <f>Calculation!$H$3/'data, etc'!M7</f>
        <v>138.11864406779659</v>
      </c>
      <c r="P7">
        <f>O7+SUM(Calculation!$H$5:$H$7,Calculation!$M$3:$M$5)</f>
        <v>276.93864406779659</v>
      </c>
      <c r="Q7">
        <f t="shared" si="5"/>
        <v>30</v>
      </c>
      <c r="R7" s="57">
        <f>Q7*Calculation!$H$3</f>
        <v>48894</v>
      </c>
    </row>
    <row r="8" spans="2:18" x14ac:dyDescent="0.3">
      <c r="B8" t="s">
        <v>17</v>
      </c>
      <c r="F8" s="151">
        <f t="shared" si="0"/>
        <v>10.8</v>
      </c>
      <c r="G8" s="151">
        <f t="shared" si="1"/>
        <v>5.5555200000000005</v>
      </c>
      <c r="H8" s="151">
        <f>Sheet1!$Q$6/'data, etc'!F8</f>
        <v>133.04074074074072</v>
      </c>
      <c r="I8" s="151">
        <f>H8+(SUM(Sheet1!$Q$8:$R$13))</f>
        <v>265.25740740740741</v>
      </c>
      <c r="J8" s="151">
        <f t="shared" si="2"/>
        <v>31</v>
      </c>
      <c r="K8" s="152">
        <f>J8*Sheet1!$Q$6</f>
        <v>44542.04</v>
      </c>
      <c r="L8" s="152"/>
      <c r="M8">
        <f t="shared" si="3"/>
        <v>10.8</v>
      </c>
      <c r="N8">
        <f t="shared" si="4"/>
        <v>5.5555200000000005</v>
      </c>
      <c r="O8">
        <f>Calculation!$H$3/'data, etc'!M8</f>
        <v>150.90740740740739</v>
      </c>
      <c r="P8">
        <f>O8+SUM(Calculation!$H$5:$H$7,Calculation!$M$3:$M$5)</f>
        <v>289.72740740740738</v>
      </c>
      <c r="Q8">
        <f t="shared" si="5"/>
        <v>28</v>
      </c>
      <c r="R8" s="57">
        <f>Q8*Calculation!$H$3</f>
        <v>45634.400000000001</v>
      </c>
    </row>
    <row r="9" spans="2:18" x14ac:dyDescent="0.3">
      <c r="B9" t="s">
        <v>18</v>
      </c>
      <c r="F9" s="151">
        <f t="shared" si="0"/>
        <v>9.8000000000000007</v>
      </c>
      <c r="G9" s="151">
        <f t="shared" si="1"/>
        <v>5.0411200000000003</v>
      </c>
      <c r="H9" s="151">
        <f>Sheet1!$Q$6/'data, etc'!F9</f>
        <v>146.61632653061221</v>
      </c>
      <c r="I9" s="151">
        <f>H9+(SUM(Sheet1!$Q$8:$R$13))</f>
        <v>278.83299319727888</v>
      </c>
      <c r="J9" s="151">
        <f t="shared" si="2"/>
        <v>29</v>
      </c>
      <c r="K9" s="152">
        <f>J9*Sheet1!$Q$6</f>
        <v>41668.36</v>
      </c>
      <c r="L9" s="152"/>
      <c r="M9">
        <f t="shared" si="3"/>
        <v>9.8000000000000007</v>
      </c>
      <c r="N9">
        <f t="shared" si="4"/>
        <v>5.0411200000000003</v>
      </c>
      <c r="O9">
        <f>Calculation!$H$3/'data, etc'!M9</f>
        <v>166.30612244897958</v>
      </c>
      <c r="P9">
        <f>O9+SUM(Calculation!$H$5:$H$7,Calculation!$M$3:$M$5)</f>
        <v>305.12612244897957</v>
      </c>
      <c r="Q9">
        <f t="shared" si="5"/>
        <v>27</v>
      </c>
      <c r="R9" s="57">
        <f>Q9*Calculation!$H$3</f>
        <v>44004.6</v>
      </c>
    </row>
    <row r="10" spans="2:18" x14ac:dyDescent="0.3">
      <c r="B10" t="s">
        <v>19</v>
      </c>
      <c r="F10" s="151">
        <f t="shared" si="0"/>
        <v>8.8000000000000007</v>
      </c>
      <c r="G10" s="151">
        <f t="shared" si="1"/>
        <v>4.5267200000000001</v>
      </c>
      <c r="H10" s="151">
        <f>Sheet1!$Q$6/'data, etc'!F10</f>
        <v>163.2772727272727</v>
      </c>
      <c r="I10" s="151">
        <f>H10+(SUM(Sheet1!$Q$8:$R$13))</f>
        <v>295.4939393939394</v>
      </c>
      <c r="J10" s="151">
        <f t="shared" si="2"/>
        <v>28</v>
      </c>
      <c r="K10" s="152">
        <f>J10*Sheet1!$Q$6</f>
        <v>40231.519999999997</v>
      </c>
      <c r="L10" s="152"/>
      <c r="M10">
        <f t="shared" si="3"/>
        <v>8.8000000000000007</v>
      </c>
      <c r="N10">
        <f t="shared" si="4"/>
        <v>4.5267200000000001</v>
      </c>
      <c r="O10">
        <f>Calculation!$H$3/'data, etc'!M10</f>
        <v>185.20454545454544</v>
      </c>
      <c r="P10">
        <f>O10+SUM(Calculation!$H$5:$H$7,Calculation!$M$3:$M$5)</f>
        <v>324.02454545454543</v>
      </c>
      <c r="Q10">
        <f t="shared" si="5"/>
        <v>25</v>
      </c>
      <c r="R10" s="57">
        <f>Q10*Calculation!$H$3</f>
        <v>40745</v>
      </c>
    </row>
    <row r="11" spans="2:18" x14ac:dyDescent="0.3">
      <c r="B11" t="s">
        <v>20</v>
      </c>
      <c r="F11" s="151">
        <f t="shared" si="0"/>
        <v>7.8000000000000007</v>
      </c>
      <c r="G11" s="151">
        <f t="shared" si="1"/>
        <v>4.0123199999999999</v>
      </c>
      <c r="H11" s="151">
        <f>Sheet1!$Q$6/'data, etc'!F11</f>
        <v>184.21025641025639</v>
      </c>
      <c r="I11" s="151">
        <f>H11+(SUM(Sheet1!$Q$8:$R$13))</f>
        <v>316.42692307692306</v>
      </c>
      <c r="J11" s="151">
        <f t="shared" si="2"/>
        <v>26</v>
      </c>
      <c r="K11" s="152">
        <f>J11*Sheet1!$Q$6</f>
        <v>37357.839999999997</v>
      </c>
      <c r="L11" s="152"/>
      <c r="M11">
        <f t="shared" si="3"/>
        <v>7.8000000000000007</v>
      </c>
      <c r="N11">
        <f t="shared" si="4"/>
        <v>4.0123199999999999</v>
      </c>
      <c r="O11">
        <f>Calculation!$H$3/'data, etc'!M11</f>
        <v>208.94871794871793</v>
      </c>
      <c r="P11">
        <f>O11+SUM(Calculation!$H$5:$H$7,Calculation!$M$3:$M$5)</f>
        <v>347.76871794871795</v>
      </c>
      <c r="Q11">
        <f t="shared" si="5"/>
        <v>24</v>
      </c>
      <c r="R11" s="57">
        <f>Q11*Calculation!$H$3</f>
        <v>39115.199999999997</v>
      </c>
    </row>
    <row r="12" spans="2:18" x14ac:dyDescent="0.3">
      <c r="B12" t="s">
        <v>21</v>
      </c>
      <c r="F12" s="151">
        <f t="shared" si="0"/>
        <v>6.8000000000000007</v>
      </c>
      <c r="G12" s="151">
        <f t="shared" si="1"/>
        <v>3.4979200000000001</v>
      </c>
      <c r="H12" s="151">
        <f>Sheet1!$Q$6/'data, etc'!F12</f>
        <v>211.29999999999995</v>
      </c>
      <c r="I12" s="151">
        <f>H12+(SUM(Sheet1!$Q$8:$R$13))</f>
        <v>343.51666666666665</v>
      </c>
      <c r="J12" s="151">
        <f t="shared" si="2"/>
        <v>24</v>
      </c>
      <c r="K12" s="152">
        <f>J12*Sheet1!$Q$6</f>
        <v>34484.159999999996</v>
      </c>
      <c r="L12" s="152"/>
      <c r="M12">
        <f t="shared" si="3"/>
        <v>6.8000000000000007</v>
      </c>
      <c r="N12">
        <f t="shared" si="4"/>
        <v>3.4979200000000001</v>
      </c>
      <c r="O12">
        <f>Calculation!$H$3/'data, etc'!M12</f>
        <v>239.67647058823528</v>
      </c>
      <c r="P12">
        <f>O12+SUM(Calculation!$H$5:$H$7,Calculation!$M$3:$M$5)</f>
        <v>378.4964705882353</v>
      </c>
      <c r="Q12">
        <f t="shared" si="5"/>
        <v>22</v>
      </c>
      <c r="R12" s="57">
        <f>Q12*Calculation!$H$3</f>
        <v>35855.599999999999</v>
      </c>
    </row>
    <row r="13" spans="2:18" x14ac:dyDescent="0.3">
      <c r="B13" t="s">
        <v>23</v>
      </c>
      <c r="F13" s="151">
        <f t="shared" si="0"/>
        <v>5.8000000000000007</v>
      </c>
      <c r="G13" s="151">
        <f t="shared" si="1"/>
        <v>2.9835200000000004</v>
      </c>
      <c r="H13" s="151">
        <f>Sheet1!$Q$6/'data, etc'!F13</f>
        <v>247.73103448275859</v>
      </c>
      <c r="I13" s="151">
        <f>H13+(SUM(Sheet1!$Q$8:$R$13))</f>
        <v>379.94770114942526</v>
      </c>
      <c r="J13" s="151">
        <f t="shared" si="2"/>
        <v>22</v>
      </c>
      <c r="K13" s="152">
        <f>J13*Sheet1!$Q$6</f>
        <v>31610.48</v>
      </c>
      <c r="L13" s="152"/>
      <c r="M13">
        <f t="shared" si="3"/>
        <v>5.8000000000000007</v>
      </c>
      <c r="N13">
        <f t="shared" si="4"/>
        <v>2.9835200000000004</v>
      </c>
      <c r="O13">
        <f>Calculation!$H$3/'data, etc'!M13</f>
        <v>280.99999999999994</v>
      </c>
      <c r="P13">
        <f>O13+SUM(Calculation!$H$5:$H$7,Calculation!$M$3:$M$5)</f>
        <v>419.81999999999994</v>
      </c>
      <c r="Q13">
        <f t="shared" si="5"/>
        <v>20</v>
      </c>
      <c r="R13" s="57">
        <f>Q13*Calculation!$H$3</f>
        <v>32596</v>
      </c>
    </row>
    <row r="14" spans="2:18" x14ac:dyDescent="0.3">
      <c r="B14" t="s">
        <v>22</v>
      </c>
      <c r="F14" s="151">
        <f t="shared" si="0"/>
        <v>4.8000000000000007</v>
      </c>
      <c r="G14" s="151">
        <f t="shared" si="1"/>
        <v>2.4691200000000002</v>
      </c>
      <c r="H14" s="151">
        <f>Sheet1!$Q$6/'data, etc'!F14</f>
        <v>299.34166666666658</v>
      </c>
      <c r="I14" s="151">
        <f>H14+(SUM(Sheet1!$Q$8:$R$13))</f>
        <v>431.55833333333328</v>
      </c>
      <c r="J14" s="151">
        <f t="shared" si="2"/>
        <v>19</v>
      </c>
      <c r="K14" s="152">
        <f>J14*Sheet1!$Q$6</f>
        <v>27299.96</v>
      </c>
      <c r="L14" s="152"/>
      <c r="M14">
        <f t="shared" si="3"/>
        <v>4.8000000000000007</v>
      </c>
      <c r="N14">
        <f t="shared" si="4"/>
        <v>2.4691200000000002</v>
      </c>
      <c r="O14">
        <f>Calculation!$H$3/'data, etc'!M14</f>
        <v>339.54166666666663</v>
      </c>
      <c r="P14">
        <f>O14+SUM(Calculation!$H$5:$H$7,Calculation!$M$3:$M$5)</f>
        <v>478.36166666666662</v>
      </c>
      <c r="Q14">
        <f t="shared" si="5"/>
        <v>17</v>
      </c>
      <c r="R14" s="57">
        <f>Q14*Calculation!$H$3</f>
        <v>27706.6</v>
      </c>
    </row>
    <row r="15" spans="2:18" x14ac:dyDescent="0.3">
      <c r="B15" t="s">
        <v>30</v>
      </c>
      <c r="K15" s="57"/>
      <c r="L15" s="57"/>
      <c r="M15" s="52"/>
      <c r="N15" s="52"/>
      <c r="O15" s="52"/>
      <c r="P15" s="52"/>
    </row>
    <row r="16" spans="2:18" x14ac:dyDescent="0.3">
      <c r="K16" s="57"/>
      <c r="L16" s="57"/>
      <c r="M16" s="52"/>
      <c r="N16" s="52"/>
      <c r="O16" s="52"/>
      <c r="P16" s="52"/>
    </row>
    <row r="17" spans="2:27" ht="16.2" x14ac:dyDescent="0.35">
      <c r="B17" s="255"/>
      <c r="C17" s="4" t="s">
        <v>66</v>
      </c>
      <c r="D17" s="4"/>
      <c r="E17" s="4" t="s">
        <v>67</v>
      </c>
      <c r="F17" s="4"/>
      <c r="K17" s="57"/>
      <c r="L17" s="57"/>
      <c r="M17" s="52"/>
      <c r="N17" s="52"/>
      <c r="O17" s="52"/>
      <c r="P17" s="52"/>
    </row>
    <row r="18" spans="2:27" ht="48.6" x14ac:dyDescent="0.3">
      <c r="B18" s="255"/>
      <c r="C18" s="5" t="s">
        <v>68</v>
      </c>
      <c r="D18" s="5" t="s">
        <v>69</v>
      </c>
      <c r="E18" s="5" t="s">
        <v>70</v>
      </c>
      <c r="F18" s="5" t="s">
        <v>71</v>
      </c>
      <c r="H18" s="56" t="s">
        <v>382</v>
      </c>
      <c r="I18" s="56" t="s">
        <v>383</v>
      </c>
      <c r="J18" s="56" t="s">
        <v>384</v>
      </c>
      <c r="K18" s="58" t="s">
        <v>385</v>
      </c>
      <c r="L18" s="57" t="s">
        <v>37</v>
      </c>
      <c r="M18" s="52"/>
      <c r="N18" s="52"/>
      <c r="O18" s="52"/>
      <c r="P18" s="52"/>
    </row>
    <row r="19" spans="2:27" ht="15.6" x14ac:dyDescent="0.3">
      <c r="B19" s="6" t="s">
        <v>49</v>
      </c>
      <c r="C19" s="7">
        <v>-0.68369999999999997</v>
      </c>
      <c r="D19" s="7">
        <v>0.80369999999999997</v>
      </c>
      <c r="E19" s="7">
        <v>-0.43190000000000001</v>
      </c>
      <c r="F19" s="7">
        <v>-8.8700000000000001E-2</v>
      </c>
      <c r="H19" t="s">
        <v>386</v>
      </c>
      <c r="J19">
        <v>42700</v>
      </c>
      <c r="K19" s="57">
        <v>0.87439999999999996</v>
      </c>
      <c r="L19" s="57">
        <v>3.206</v>
      </c>
      <c r="M19" s="52"/>
      <c r="N19" s="52"/>
      <c r="O19" s="52" t="s">
        <v>352</v>
      </c>
      <c r="P19" s="52"/>
    </row>
    <row r="20" spans="2:27" ht="15.6" x14ac:dyDescent="0.3">
      <c r="B20" s="6" t="s">
        <v>50</v>
      </c>
      <c r="C20" s="7">
        <v>0.27710000000000001</v>
      </c>
      <c r="D20" s="7">
        <v>0.27260000000000001</v>
      </c>
      <c r="E20" s="7">
        <v>0.16850000000000001</v>
      </c>
      <c r="F20" s="7">
        <v>0</v>
      </c>
      <c r="H20" t="s">
        <v>351</v>
      </c>
      <c r="J20">
        <v>41200</v>
      </c>
      <c r="K20" s="57">
        <v>0.85940000000000005</v>
      </c>
      <c r="L20" s="57">
        <v>3.1509999999999998</v>
      </c>
      <c r="M20" s="52"/>
      <c r="N20" s="52"/>
      <c r="O20" s="52" t="s">
        <v>387</v>
      </c>
      <c r="P20" s="52"/>
    </row>
    <row r="21" spans="2:27" ht="15.6" x14ac:dyDescent="0.3">
      <c r="B21" s="6" t="s">
        <v>51</v>
      </c>
      <c r="C21" s="7">
        <v>0.6542</v>
      </c>
      <c r="D21" s="7">
        <v>0.71330000000000005</v>
      </c>
      <c r="E21" s="7">
        <v>0.56369999999999998</v>
      </c>
      <c r="F21" s="7">
        <v>0.51919999999999999</v>
      </c>
      <c r="H21" t="s">
        <v>387</v>
      </c>
      <c r="J21">
        <v>40200</v>
      </c>
      <c r="K21" s="57">
        <v>0.84930000000000005</v>
      </c>
      <c r="L21" s="57">
        <v>3.1139999999999999</v>
      </c>
      <c r="M21" s="52"/>
      <c r="N21" s="52"/>
      <c r="O21" s="52"/>
      <c r="P21" s="52"/>
    </row>
    <row r="22" spans="2:27" ht="15.6" x14ac:dyDescent="0.3">
      <c r="B22" s="6" t="s">
        <v>52</v>
      </c>
      <c r="C22" s="7">
        <v>0.64219999999999999</v>
      </c>
      <c r="D22" s="7">
        <v>0.66990000000000005</v>
      </c>
      <c r="E22" s="7">
        <v>0.58909999999999996</v>
      </c>
      <c r="F22" s="7">
        <v>0.58389999999999997</v>
      </c>
      <c r="H22" t="s">
        <v>391</v>
      </c>
      <c r="J22">
        <v>46300</v>
      </c>
      <c r="K22" s="57">
        <v>0.81820000000000004</v>
      </c>
      <c r="L22" s="57">
        <v>3</v>
      </c>
      <c r="M22" s="52"/>
      <c r="N22" s="52"/>
      <c r="O22" s="52"/>
      <c r="P22" s="52"/>
    </row>
    <row r="23" spans="2:27" ht="15.6" x14ac:dyDescent="0.3">
      <c r="B23" s="6" t="s">
        <v>53</v>
      </c>
      <c r="C23" s="7">
        <v>7.4999999999999997E-3</v>
      </c>
      <c r="D23" s="7">
        <v>2.4299999999999999E-2</v>
      </c>
      <c r="E23" s="7">
        <v>3.3E-3</v>
      </c>
      <c r="F23" s="7">
        <v>-1.2999999999999999E-2</v>
      </c>
      <c r="H23" t="s">
        <v>392</v>
      </c>
      <c r="J23">
        <v>45700</v>
      </c>
      <c r="K23" s="57">
        <v>0.82640000000000002</v>
      </c>
      <c r="L23" s="57">
        <v>3.03</v>
      </c>
      <c r="M23" s="52"/>
      <c r="N23" s="52"/>
      <c r="O23" s="52"/>
      <c r="P23" s="52"/>
    </row>
    <row r="24" spans="2:27" ht="15.6" x14ac:dyDescent="0.3">
      <c r="B24" s="6" t="s">
        <v>54</v>
      </c>
      <c r="C24" s="7">
        <v>2.75E-2</v>
      </c>
      <c r="D24" s="7">
        <v>2.6499999999999999E-2</v>
      </c>
      <c r="E24" s="7">
        <v>1.34E-2</v>
      </c>
      <c r="F24" s="7">
        <v>5.0000000000000001E-3</v>
      </c>
      <c r="H24" t="s">
        <v>388</v>
      </c>
      <c r="J24">
        <v>48000</v>
      </c>
      <c r="K24" s="57">
        <v>0.75</v>
      </c>
      <c r="L24" s="57">
        <v>2.75</v>
      </c>
      <c r="M24" s="52"/>
      <c r="N24" s="52"/>
      <c r="O24" s="52"/>
      <c r="P24" s="52"/>
    </row>
    <row r="25" spans="2:27" ht="15.6" x14ac:dyDescent="0.3">
      <c r="B25" s="6" t="s">
        <v>55</v>
      </c>
      <c r="C25" s="7">
        <v>-4.4999999999999997E-3</v>
      </c>
      <c r="D25" s="7">
        <v>-6.1000000000000004E-3</v>
      </c>
      <c r="E25" s="7">
        <v>-5.0000000000000001E-4</v>
      </c>
      <c r="F25" s="7">
        <v>-7.0000000000000001E-3</v>
      </c>
      <c r="H25" t="s">
        <v>389</v>
      </c>
      <c r="J25">
        <v>19900</v>
      </c>
      <c r="K25" s="57">
        <v>0.375</v>
      </c>
      <c r="L25" s="57">
        <v>1.375</v>
      </c>
      <c r="M25" s="52"/>
      <c r="N25" s="52"/>
      <c r="O25" s="52"/>
      <c r="P25" s="52"/>
    </row>
    <row r="26" spans="2:27" ht="15.6" x14ac:dyDescent="0.3">
      <c r="B26" s="6" t="s">
        <v>56</v>
      </c>
      <c r="C26" s="7">
        <v>-0.4798</v>
      </c>
      <c r="D26" s="7">
        <v>0.2349</v>
      </c>
      <c r="E26" s="7">
        <v>-2.7932000000000001</v>
      </c>
      <c r="F26" s="7">
        <v>-0.9486</v>
      </c>
      <c r="H26" t="s">
        <v>390</v>
      </c>
      <c r="J26">
        <v>26800</v>
      </c>
      <c r="K26" s="57">
        <v>0.52170000000000005</v>
      </c>
      <c r="L26" s="57">
        <v>1.913</v>
      </c>
      <c r="M26" s="52"/>
      <c r="N26" s="52"/>
      <c r="O26" s="52"/>
      <c r="P26" s="52"/>
    </row>
    <row r="27" spans="2:27" ht="15.6" x14ac:dyDescent="0.3">
      <c r="B27" s="6" t="s">
        <v>57</v>
      </c>
      <c r="C27" s="7">
        <v>3.7600000000000001E-2</v>
      </c>
      <c r="D27" s="7">
        <v>1.3100000000000001E-2</v>
      </c>
      <c r="E27" s="7">
        <v>7.1999999999999998E-3</v>
      </c>
      <c r="F27" s="7">
        <v>5.0599999999999999E-2</v>
      </c>
      <c r="K27" s="57"/>
      <c r="L27" s="57"/>
      <c r="M27" s="52"/>
      <c r="N27" s="52"/>
      <c r="O27" s="52"/>
      <c r="P27" s="52"/>
    </row>
    <row r="28" spans="2:27" ht="18" x14ac:dyDescent="0.3">
      <c r="B28" s="6" t="s">
        <v>72</v>
      </c>
      <c r="C28" s="7" t="s">
        <v>73</v>
      </c>
      <c r="D28" s="7" t="s">
        <v>73</v>
      </c>
      <c r="E28" s="7">
        <v>1.3100000000000001E-2</v>
      </c>
      <c r="F28" s="7">
        <v>7.6E-3</v>
      </c>
      <c r="K28" s="57"/>
      <c r="L28" s="57"/>
      <c r="M28" s="52"/>
      <c r="N28" s="52"/>
      <c r="O28" s="52"/>
      <c r="P28" s="52"/>
    </row>
    <row r="29" spans="2:27" ht="18" x14ac:dyDescent="0.3">
      <c r="B29" s="6" t="s">
        <v>74</v>
      </c>
      <c r="C29" s="7" t="s">
        <v>73</v>
      </c>
      <c r="D29" s="7" t="s">
        <v>73</v>
      </c>
      <c r="E29" s="7">
        <v>-3.0000000000000001E-3</v>
      </c>
      <c r="F29" s="7">
        <v>3.5999999999999999E-3</v>
      </c>
      <c r="K29" s="57"/>
      <c r="L29" s="57"/>
      <c r="M29" s="52"/>
      <c r="N29" s="52"/>
      <c r="O29" s="52"/>
      <c r="P29" s="52"/>
    </row>
    <row r="30" spans="2:27" ht="18" x14ac:dyDescent="0.3">
      <c r="B30" s="6" t="s">
        <v>75</v>
      </c>
      <c r="C30" s="7" t="s">
        <v>73</v>
      </c>
      <c r="D30" s="7" t="s">
        <v>73</v>
      </c>
      <c r="E30" s="7">
        <v>6.1000000000000004E-3</v>
      </c>
      <c r="F30" s="7">
        <v>4.8999999999999998E-3</v>
      </c>
      <c r="K30" s="57"/>
      <c r="L30" s="57"/>
      <c r="M30" s="52"/>
      <c r="N30" s="52"/>
      <c r="O30" s="52"/>
      <c r="P30" s="52"/>
    </row>
    <row r="31" spans="2:27" x14ac:dyDescent="0.3">
      <c r="K31" s="57"/>
      <c r="L31" s="57"/>
      <c r="M31" s="52"/>
      <c r="N31" s="52"/>
      <c r="O31" s="52"/>
      <c r="P31" s="52"/>
    </row>
    <row r="32" spans="2:27" ht="16.2" x14ac:dyDescent="0.35">
      <c r="B32" s="10"/>
      <c r="C32" s="252" t="s">
        <v>88</v>
      </c>
      <c r="D32" s="252"/>
      <c r="E32" s="252"/>
      <c r="F32" s="252" t="s">
        <v>89</v>
      </c>
      <c r="G32" s="252"/>
      <c r="I32" s="256" t="s">
        <v>414</v>
      </c>
      <c r="J32" s="256"/>
      <c r="K32" s="256"/>
      <c r="L32" s="59" t="s">
        <v>411</v>
      </c>
      <c r="M32" s="59" t="s">
        <v>412</v>
      </c>
      <c r="N32" s="59" t="s">
        <v>413</v>
      </c>
      <c r="O32" s="52"/>
      <c r="P32" s="52"/>
      <c r="S32" s="59" t="s">
        <v>412</v>
      </c>
      <c r="T32" s="59" t="s">
        <v>413</v>
      </c>
      <c r="V32" s="247" t="s">
        <v>414</v>
      </c>
      <c r="W32" s="247"/>
      <c r="X32" s="247" t="s">
        <v>443</v>
      </c>
      <c r="Y32" s="247"/>
      <c r="Z32" s="247"/>
      <c r="AA32" s="247"/>
    </row>
    <row r="33" spans="2:31" ht="16.2" x14ac:dyDescent="0.35">
      <c r="B33" s="255"/>
      <c r="C33" s="252" t="s">
        <v>66</v>
      </c>
      <c r="D33" s="252"/>
      <c r="E33" s="252"/>
      <c r="F33" s="252" t="s">
        <v>67</v>
      </c>
      <c r="G33" s="252"/>
      <c r="I33" s="251" t="s">
        <v>415</v>
      </c>
      <c r="J33" s="251" t="s">
        <v>416</v>
      </c>
      <c r="K33" s="251"/>
      <c r="L33" s="60">
        <v>279000</v>
      </c>
      <c r="M33" s="60">
        <v>4745</v>
      </c>
      <c r="N33" s="60">
        <v>0.622</v>
      </c>
      <c r="O33" s="52"/>
      <c r="P33" s="251" t="s">
        <v>415</v>
      </c>
      <c r="Q33" s="251" t="s">
        <v>416</v>
      </c>
      <c r="R33" s="251"/>
      <c r="S33" s="60">
        <v>4745</v>
      </c>
      <c r="T33" s="60">
        <v>0.622</v>
      </c>
      <c r="V33" s="247"/>
      <c r="W33" s="247"/>
      <c r="X33" s="6" t="s">
        <v>444</v>
      </c>
      <c r="Y33" s="6" t="s">
        <v>445</v>
      </c>
      <c r="Z33" s="6" t="s">
        <v>446</v>
      </c>
      <c r="AA33" s="6" t="s">
        <v>447</v>
      </c>
      <c r="AE33" s="246" t="s">
        <v>442</v>
      </c>
    </row>
    <row r="34" spans="2:31" ht="32.4" x14ac:dyDescent="0.3">
      <c r="B34" s="255"/>
      <c r="C34" s="5" t="s">
        <v>68</v>
      </c>
      <c r="D34" s="5" t="s">
        <v>90</v>
      </c>
      <c r="E34" s="5" t="s">
        <v>91</v>
      </c>
      <c r="F34" s="5" t="s">
        <v>92</v>
      </c>
      <c r="G34" s="5" t="s">
        <v>91</v>
      </c>
      <c r="I34" s="251"/>
      <c r="J34" s="251" t="s">
        <v>417</v>
      </c>
      <c r="K34" s="251"/>
      <c r="L34" s="60" t="s">
        <v>8</v>
      </c>
      <c r="M34" s="60">
        <v>4745</v>
      </c>
      <c r="N34" s="60">
        <v>0.622</v>
      </c>
      <c r="O34" s="52"/>
      <c r="P34" s="251"/>
      <c r="Q34" s="251" t="s">
        <v>417</v>
      </c>
      <c r="R34" s="251"/>
      <c r="S34" s="60">
        <v>4745</v>
      </c>
      <c r="T34" s="60">
        <v>0.622</v>
      </c>
      <c r="V34" s="248" t="s">
        <v>415</v>
      </c>
      <c r="W34" s="248"/>
      <c r="X34" s="74">
        <v>0.86</v>
      </c>
      <c r="Y34" s="74">
        <v>0.94</v>
      </c>
      <c r="Z34" s="74">
        <v>1.06</v>
      </c>
      <c r="AA34" s="74">
        <v>1.18</v>
      </c>
      <c r="AE34" s="246"/>
    </row>
    <row r="35" spans="2:31" ht="15.6" x14ac:dyDescent="0.3">
      <c r="B35" s="6" t="s">
        <v>93</v>
      </c>
      <c r="C35" s="7">
        <v>-0.57423999999999997</v>
      </c>
      <c r="D35" s="7">
        <v>-1.50162</v>
      </c>
      <c r="E35" s="7">
        <v>-5.3475000000000001</v>
      </c>
      <c r="F35" s="7">
        <v>-0.91424000000000005</v>
      </c>
      <c r="G35" s="7">
        <v>3.2727900000000001</v>
      </c>
      <c r="I35" s="251" t="s">
        <v>418</v>
      </c>
      <c r="J35" s="251" t="s">
        <v>419</v>
      </c>
      <c r="K35" s="251"/>
      <c r="L35" s="60" t="s">
        <v>8</v>
      </c>
      <c r="M35" s="61">
        <v>144050000000</v>
      </c>
      <c r="N35" s="60">
        <v>2.0710000000000002</v>
      </c>
      <c r="O35" s="52"/>
      <c r="P35" s="251" t="s">
        <v>418</v>
      </c>
      <c r="Q35" s="251" t="s">
        <v>419</v>
      </c>
      <c r="R35" s="251"/>
      <c r="S35" s="61">
        <v>144050000000</v>
      </c>
      <c r="T35" s="60">
        <v>2.0710000000000002</v>
      </c>
      <c r="V35" s="248" t="s">
        <v>418</v>
      </c>
      <c r="W35" s="75" t="s">
        <v>419</v>
      </c>
      <c r="X35" s="74">
        <v>0.81</v>
      </c>
      <c r="Y35" s="74">
        <v>0.91</v>
      </c>
      <c r="Z35" s="74">
        <v>1.1200000000000001</v>
      </c>
      <c r="AA35" s="74">
        <v>1.44</v>
      </c>
      <c r="AE35" s="6" t="s">
        <v>8</v>
      </c>
    </row>
    <row r="36" spans="2:31" ht="15.6" x14ac:dyDescent="0.3">
      <c r="B36" s="6" t="s">
        <v>94</v>
      </c>
      <c r="C36" s="7">
        <v>13.3893</v>
      </c>
      <c r="D36" s="7">
        <v>12.9678</v>
      </c>
      <c r="E36" s="7">
        <v>55.653199999999998</v>
      </c>
      <c r="F36" s="7">
        <v>13.3893</v>
      </c>
      <c r="G36" s="7">
        <v>-44.113799999999998</v>
      </c>
      <c r="I36" s="251"/>
      <c r="J36" s="251" t="s">
        <v>420</v>
      </c>
      <c r="K36" s="251"/>
      <c r="L36" s="60" t="s">
        <v>8</v>
      </c>
      <c r="M36" s="60">
        <v>8104</v>
      </c>
      <c r="N36" s="60">
        <v>0.63900000000000001</v>
      </c>
      <c r="O36" s="52"/>
      <c r="P36" s="251"/>
      <c r="Q36" s="251" t="s">
        <v>420</v>
      </c>
      <c r="R36" s="251"/>
      <c r="S36" s="60">
        <v>8104</v>
      </c>
      <c r="T36" s="60">
        <v>0.63900000000000001</v>
      </c>
      <c r="V36" s="248"/>
      <c r="W36" s="75" t="s">
        <v>420</v>
      </c>
      <c r="X36" s="74">
        <v>0.85</v>
      </c>
      <c r="Y36" s="74">
        <v>0.95</v>
      </c>
      <c r="Z36" s="74">
        <v>1.06</v>
      </c>
      <c r="AA36" s="74">
        <v>1.25</v>
      </c>
      <c r="AE36" s="244" t="s">
        <v>8</v>
      </c>
    </row>
    <row r="37" spans="2:31" ht="15.6" x14ac:dyDescent="0.3">
      <c r="B37" s="6" t="s">
        <v>95</v>
      </c>
      <c r="C37" s="7">
        <v>90.596000000000004</v>
      </c>
      <c r="D37" s="7">
        <v>-36.798499999999997</v>
      </c>
      <c r="E37" s="7">
        <v>-114.905</v>
      </c>
      <c r="F37" s="7">
        <v>90.596000000000004</v>
      </c>
      <c r="G37" s="7">
        <v>171.69200000000001</v>
      </c>
      <c r="I37" s="251" t="s">
        <v>16</v>
      </c>
      <c r="J37" s="251"/>
      <c r="K37" s="251"/>
      <c r="L37" s="60" t="s">
        <v>8</v>
      </c>
      <c r="M37" s="60">
        <v>5247</v>
      </c>
      <c r="N37" s="60">
        <v>0.61</v>
      </c>
      <c r="O37" s="52"/>
      <c r="P37" s="251" t="s">
        <v>16</v>
      </c>
      <c r="Q37" s="251"/>
      <c r="R37" s="251"/>
      <c r="S37" s="60">
        <v>5247</v>
      </c>
      <c r="T37" s="60">
        <v>0.61</v>
      </c>
      <c r="V37" s="248" t="s">
        <v>16</v>
      </c>
      <c r="W37" s="248"/>
      <c r="X37" s="74">
        <v>0.82</v>
      </c>
      <c r="Y37" s="74">
        <v>0.93</v>
      </c>
      <c r="Z37" s="74">
        <v>1.08</v>
      </c>
      <c r="AA37" s="74">
        <v>1.28</v>
      </c>
      <c r="AE37" s="245"/>
    </row>
    <row r="38" spans="2:31" ht="15.6" x14ac:dyDescent="0.3">
      <c r="B38" s="6" t="s">
        <v>96</v>
      </c>
      <c r="C38" s="7">
        <v>4.6614000000000004</v>
      </c>
      <c r="D38" s="7">
        <v>5.5553600000000003</v>
      </c>
      <c r="E38" s="7">
        <v>19.2714</v>
      </c>
      <c r="F38" s="7">
        <v>4.6614000000000004</v>
      </c>
      <c r="G38" s="7">
        <v>-11.501200000000001</v>
      </c>
      <c r="I38" s="251" t="s">
        <v>421</v>
      </c>
      <c r="J38" s="251"/>
      <c r="K38" s="251"/>
      <c r="L38" s="60" t="s">
        <v>8</v>
      </c>
      <c r="M38" s="60">
        <v>1984</v>
      </c>
      <c r="N38" s="60">
        <v>0.48899999999999999</v>
      </c>
      <c r="O38" s="52"/>
      <c r="P38" s="251" t="s">
        <v>421</v>
      </c>
      <c r="Q38" s="251"/>
      <c r="R38" s="251"/>
      <c r="S38" s="60">
        <v>1984</v>
      </c>
      <c r="T38" s="60">
        <v>0.48899999999999999</v>
      </c>
      <c r="V38" s="248" t="s">
        <v>421</v>
      </c>
      <c r="W38" s="248"/>
      <c r="X38" s="74">
        <v>0.83</v>
      </c>
      <c r="Y38" s="74">
        <v>0.94</v>
      </c>
      <c r="Z38" s="74">
        <v>1.07</v>
      </c>
      <c r="AA38" s="74">
        <v>1.19</v>
      </c>
      <c r="AE38" s="6" t="s">
        <v>8</v>
      </c>
    </row>
    <row r="39" spans="2:31" ht="15.6" x14ac:dyDescent="0.3">
      <c r="B39" s="6" t="s">
        <v>97</v>
      </c>
      <c r="C39" s="7">
        <v>-39.720999999999997</v>
      </c>
      <c r="D39" s="7">
        <v>-45.881500000000003</v>
      </c>
      <c r="E39" s="7">
        <v>-192.38800000000001</v>
      </c>
      <c r="F39" s="7">
        <v>-39.720999999999997</v>
      </c>
      <c r="G39" s="7">
        <v>166.559</v>
      </c>
      <c r="I39" s="251" t="s">
        <v>422</v>
      </c>
      <c r="J39" s="251" t="s">
        <v>423</v>
      </c>
      <c r="K39" s="251"/>
      <c r="L39" s="60" t="s">
        <v>8</v>
      </c>
      <c r="M39" s="60">
        <v>31948</v>
      </c>
      <c r="N39" s="60">
        <v>0.79200000000000004</v>
      </c>
      <c r="O39" s="52"/>
      <c r="P39" s="251" t="s">
        <v>422</v>
      </c>
      <c r="Q39" s="251" t="s">
        <v>423</v>
      </c>
      <c r="R39" s="251"/>
      <c r="S39" s="60">
        <v>31948</v>
      </c>
      <c r="T39" s="60">
        <v>0.79200000000000004</v>
      </c>
      <c r="V39" s="248" t="s">
        <v>422</v>
      </c>
      <c r="W39" s="248"/>
      <c r="X39" s="74">
        <v>0.83</v>
      </c>
      <c r="Y39" s="74">
        <v>0.94</v>
      </c>
      <c r="Z39" s="74">
        <v>1.06</v>
      </c>
      <c r="AA39" s="74">
        <v>1.19</v>
      </c>
      <c r="AE39" s="6" t="s">
        <v>8</v>
      </c>
    </row>
    <row r="40" spans="2:31" ht="15.6" x14ac:dyDescent="0.3">
      <c r="B40" s="6" t="s">
        <v>98</v>
      </c>
      <c r="C40" s="7">
        <v>-351.483</v>
      </c>
      <c r="D40" s="7">
        <v>121.82</v>
      </c>
      <c r="E40" s="7">
        <v>388.33300000000003</v>
      </c>
      <c r="F40" s="7">
        <v>-351.483</v>
      </c>
      <c r="G40" s="7">
        <v>-644.45600000000002</v>
      </c>
      <c r="I40" s="251"/>
      <c r="J40" s="251" t="s">
        <v>424</v>
      </c>
      <c r="K40" s="251"/>
      <c r="L40" s="60" t="s">
        <v>8</v>
      </c>
      <c r="M40" s="60">
        <v>588</v>
      </c>
      <c r="N40" s="60">
        <v>0.38850000000000001</v>
      </c>
      <c r="O40" s="52"/>
      <c r="P40" s="251"/>
      <c r="Q40" s="251" t="s">
        <v>424</v>
      </c>
      <c r="R40" s="251"/>
      <c r="S40" s="60">
        <v>588</v>
      </c>
      <c r="T40" s="60">
        <v>0.38850000000000001</v>
      </c>
      <c r="V40" s="248" t="s">
        <v>448</v>
      </c>
      <c r="W40" s="248"/>
      <c r="X40" s="74">
        <v>0.78</v>
      </c>
      <c r="Y40" s="74">
        <v>0.91</v>
      </c>
      <c r="Z40" s="74">
        <v>1.07</v>
      </c>
      <c r="AA40" s="74">
        <v>1.2</v>
      </c>
      <c r="AE40" s="6" t="s">
        <v>8</v>
      </c>
    </row>
    <row r="41" spans="2:31" ht="15.6" x14ac:dyDescent="0.3">
      <c r="B41" s="6" t="s">
        <v>99</v>
      </c>
      <c r="C41" s="7">
        <v>-1.14215</v>
      </c>
      <c r="D41" s="7">
        <v>-4.3357099999999997</v>
      </c>
      <c r="E41" s="7">
        <v>-14.357100000000001</v>
      </c>
      <c r="F41" s="7">
        <v>-1.14215</v>
      </c>
      <c r="G41" s="7">
        <v>12.4626</v>
      </c>
      <c r="I41" s="251" t="s">
        <v>425</v>
      </c>
      <c r="J41" s="251"/>
      <c r="K41" s="251"/>
      <c r="L41" s="60" t="s">
        <v>8</v>
      </c>
      <c r="M41" s="60">
        <v>46000</v>
      </c>
      <c r="N41" s="60">
        <v>0.55700000000000005</v>
      </c>
      <c r="O41" s="52"/>
      <c r="P41" s="251" t="s">
        <v>425</v>
      </c>
      <c r="Q41" s="251"/>
      <c r="R41" s="251"/>
      <c r="S41" s="60">
        <v>46000</v>
      </c>
      <c r="T41" s="60">
        <v>0.55700000000000005</v>
      </c>
      <c r="V41" s="248" t="s">
        <v>426</v>
      </c>
      <c r="W41" s="248"/>
      <c r="X41" s="74">
        <v>0.87</v>
      </c>
      <c r="Y41" s="74">
        <v>0.96</v>
      </c>
      <c r="Z41" s="74">
        <v>1.06</v>
      </c>
      <c r="AA41" s="74">
        <v>1.1399999999999999</v>
      </c>
      <c r="AE41" s="6" t="s">
        <v>8</v>
      </c>
    </row>
    <row r="42" spans="2:31" ht="15.6" x14ac:dyDescent="0.3">
      <c r="B42" s="6" t="s">
        <v>100</v>
      </c>
      <c r="C42" s="7">
        <v>-12.329599999999999</v>
      </c>
      <c r="D42" s="7">
        <v>36.078200000000002</v>
      </c>
      <c r="E42" s="7">
        <v>142.738</v>
      </c>
      <c r="F42" s="7">
        <v>-12.329599999999999</v>
      </c>
      <c r="G42" s="7">
        <v>-179.505</v>
      </c>
      <c r="I42" s="251" t="s">
        <v>426</v>
      </c>
      <c r="J42" s="251"/>
      <c r="K42" s="251"/>
      <c r="L42" s="60" t="s">
        <v>8</v>
      </c>
      <c r="M42" s="60">
        <v>5119</v>
      </c>
      <c r="N42" s="60">
        <v>0.622</v>
      </c>
      <c r="O42" s="52"/>
      <c r="P42" s="251" t="s">
        <v>426</v>
      </c>
      <c r="Q42" s="251"/>
      <c r="R42" s="251"/>
      <c r="S42" s="60">
        <v>5119</v>
      </c>
      <c r="T42" s="60">
        <v>0.622</v>
      </c>
      <c r="V42" s="248" t="s">
        <v>427</v>
      </c>
      <c r="W42" s="75" t="s">
        <v>428</v>
      </c>
      <c r="X42" s="74">
        <v>0.89</v>
      </c>
      <c r="Y42" s="74">
        <v>0.98</v>
      </c>
      <c r="Z42" s="74">
        <v>1.06</v>
      </c>
      <c r="AA42" s="74">
        <v>1.1299999999999999</v>
      </c>
      <c r="AE42" s="6" t="s">
        <v>8</v>
      </c>
    </row>
    <row r="43" spans="2:31" ht="15.6" x14ac:dyDescent="0.3">
      <c r="B43" s="6" t="s">
        <v>101</v>
      </c>
      <c r="C43" s="7">
        <v>459.25400000000002</v>
      </c>
      <c r="D43" s="7">
        <v>-85.374099999999999</v>
      </c>
      <c r="E43" s="7">
        <v>-254.762</v>
      </c>
      <c r="F43" s="7">
        <v>459.25400000000002</v>
      </c>
      <c r="G43" s="7">
        <v>680.92100000000005</v>
      </c>
      <c r="I43" s="251" t="s">
        <v>427</v>
      </c>
      <c r="J43" s="251" t="s">
        <v>428</v>
      </c>
      <c r="K43" s="251"/>
      <c r="L43" s="60" t="s">
        <v>8</v>
      </c>
      <c r="M43" s="60">
        <v>9827</v>
      </c>
      <c r="N43" s="60">
        <v>0</v>
      </c>
      <c r="O43" s="52"/>
      <c r="P43" s="251" t="s">
        <v>427</v>
      </c>
      <c r="Q43" s="251" t="s">
        <v>428</v>
      </c>
      <c r="R43" s="251"/>
      <c r="S43" s="60">
        <v>9827</v>
      </c>
      <c r="T43" s="60">
        <v>0</v>
      </c>
      <c r="V43" s="248"/>
      <c r="W43" s="75" t="s">
        <v>449</v>
      </c>
      <c r="X43" s="74">
        <v>0.78</v>
      </c>
      <c r="Y43" s="74">
        <v>0.92</v>
      </c>
      <c r="Z43" s="74">
        <v>1.1000000000000001</v>
      </c>
      <c r="AA43" s="74">
        <v>1.37</v>
      </c>
      <c r="AE43" s="244" t="s">
        <v>8</v>
      </c>
    </row>
    <row r="44" spans="2:31" ht="15.6" x14ac:dyDescent="0.3">
      <c r="I44" s="251"/>
      <c r="J44" s="251" t="s">
        <v>429</v>
      </c>
      <c r="K44" s="251"/>
      <c r="L44" s="60" t="s">
        <v>8</v>
      </c>
      <c r="M44" s="61">
        <v>144790000000000</v>
      </c>
      <c r="N44" s="60">
        <v>2.673</v>
      </c>
      <c r="O44" s="52"/>
      <c r="P44" s="251"/>
      <c r="Q44" s="251" t="s">
        <v>429</v>
      </c>
      <c r="R44" s="251"/>
      <c r="S44" s="61">
        <v>144790000000000</v>
      </c>
      <c r="T44" s="60">
        <v>2.673</v>
      </c>
      <c r="AE44" s="245"/>
    </row>
    <row r="45" spans="2:31" ht="16.2" x14ac:dyDescent="0.35">
      <c r="B45" s="220"/>
      <c r="C45" s="252" t="s">
        <v>88</v>
      </c>
      <c r="D45" s="252"/>
      <c r="E45" s="252"/>
      <c r="F45" s="252" t="s">
        <v>89</v>
      </c>
      <c r="G45" s="252"/>
      <c r="I45" s="251"/>
      <c r="J45" s="251" t="s">
        <v>420</v>
      </c>
      <c r="K45" s="251"/>
      <c r="L45" s="60">
        <v>65000</v>
      </c>
      <c r="M45" s="61">
        <v>144790000000000</v>
      </c>
      <c r="N45" s="60">
        <v>2.673</v>
      </c>
      <c r="O45" s="52"/>
      <c r="P45" s="251"/>
      <c r="Q45" s="251" t="s">
        <v>420</v>
      </c>
      <c r="R45" s="251"/>
      <c r="S45" s="61">
        <v>144790000000000</v>
      </c>
      <c r="T45" s="60">
        <v>2.673</v>
      </c>
    </row>
    <row r="46" spans="2:31" ht="16.2" x14ac:dyDescent="0.3">
      <c r="B46" s="220"/>
      <c r="C46" s="253" t="s">
        <v>107</v>
      </c>
      <c r="D46" s="254"/>
      <c r="E46" s="11" t="s">
        <v>108</v>
      </c>
      <c r="F46" s="11" t="s">
        <v>107</v>
      </c>
      <c r="G46" s="11" t="s">
        <v>108</v>
      </c>
      <c r="I46" s="250" t="s">
        <v>21</v>
      </c>
      <c r="J46" s="249" t="s">
        <v>430</v>
      </c>
      <c r="K46" s="249"/>
      <c r="L46" s="62">
        <v>57700</v>
      </c>
      <c r="M46" s="62">
        <v>3627</v>
      </c>
      <c r="N46" s="62">
        <v>0.59</v>
      </c>
      <c r="O46" s="52"/>
    </row>
    <row r="47" spans="2:31" ht="32.4" x14ac:dyDescent="0.3">
      <c r="B47" s="220"/>
      <c r="C47" s="5" t="s">
        <v>68</v>
      </c>
      <c r="D47" s="5" t="s">
        <v>90</v>
      </c>
      <c r="E47" s="5" t="s">
        <v>68</v>
      </c>
      <c r="F47" s="5" t="s">
        <v>68</v>
      </c>
      <c r="G47" s="5" t="s">
        <v>68</v>
      </c>
      <c r="I47" s="250"/>
      <c r="J47" s="249" t="s">
        <v>431</v>
      </c>
      <c r="K47" s="249"/>
      <c r="L47" s="62" t="s">
        <v>9</v>
      </c>
      <c r="M47" s="62">
        <v>3627</v>
      </c>
      <c r="N47" s="62">
        <v>0.59</v>
      </c>
      <c r="O47" s="52"/>
    </row>
    <row r="48" spans="2:31" ht="15.6" x14ac:dyDescent="0.3">
      <c r="B48" s="6" t="s">
        <v>109</v>
      </c>
      <c r="C48" s="12">
        <v>0.3382</v>
      </c>
      <c r="D48" s="12">
        <v>0.71389999999999998</v>
      </c>
      <c r="E48" s="12">
        <v>0.27479999999999999</v>
      </c>
      <c r="F48" s="12">
        <v>0.3382</v>
      </c>
      <c r="G48" s="12">
        <v>0.27479999999999999</v>
      </c>
      <c r="I48" s="250"/>
      <c r="J48" s="249" t="s">
        <v>432</v>
      </c>
      <c r="K48" s="249"/>
      <c r="L48" s="62" t="s">
        <v>9</v>
      </c>
      <c r="M48" s="62">
        <v>330</v>
      </c>
      <c r="N48" s="62">
        <v>0.32900000000000001</v>
      </c>
      <c r="O48" s="52"/>
    </row>
    <row r="49" spans="2:22" ht="15.6" x14ac:dyDescent="0.3">
      <c r="B49" s="6" t="s">
        <v>110</v>
      </c>
      <c r="C49" s="12">
        <v>-0.80859999999999999</v>
      </c>
      <c r="D49" s="12">
        <v>-0.25580000000000003</v>
      </c>
      <c r="E49" s="12">
        <v>-0.57469999999999999</v>
      </c>
      <c r="F49" s="12">
        <v>-0.80859999999999999</v>
      </c>
      <c r="G49" s="12">
        <v>-0.57469999999999999</v>
      </c>
      <c r="I49" s="249" t="s">
        <v>433</v>
      </c>
      <c r="J49" s="249"/>
      <c r="K49" s="249"/>
      <c r="L49" s="62" t="s">
        <v>9</v>
      </c>
      <c r="M49" s="62">
        <v>1967</v>
      </c>
      <c r="N49" s="62">
        <v>0.48499999999999999</v>
      </c>
      <c r="O49" s="52"/>
    </row>
    <row r="50" spans="2:22" ht="15.6" x14ac:dyDescent="0.3">
      <c r="B50" s="6" t="s">
        <v>111</v>
      </c>
      <c r="C50" s="12">
        <v>-6.0258000000000003</v>
      </c>
      <c r="D50" s="12">
        <v>-1.1606000000000001</v>
      </c>
      <c r="E50" s="12">
        <v>-6.7610000000000001</v>
      </c>
      <c r="F50" s="12">
        <v>-6.0258000000000003</v>
      </c>
      <c r="G50" s="12">
        <v>-6.7610000000000001</v>
      </c>
      <c r="I50" s="249" t="s">
        <v>22</v>
      </c>
      <c r="J50" s="249" t="s">
        <v>22</v>
      </c>
      <c r="K50" s="249"/>
      <c r="L50" s="62" t="s">
        <v>9</v>
      </c>
      <c r="M50" s="62">
        <v>2023</v>
      </c>
      <c r="N50" s="62">
        <v>0.46</v>
      </c>
      <c r="O50" s="52"/>
    </row>
    <row r="51" spans="2:22" ht="15.6" x14ac:dyDescent="0.3">
      <c r="B51" s="6" t="s">
        <v>112</v>
      </c>
      <c r="C51" s="12">
        <v>-3.5632000000000001</v>
      </c>
      <c r="D51" s="12">
        <v>0.45340000000000003</v>
      </c>
      <c r="E51" s="12">
        <v>-4.3834</v>
      </c>
      <c r="F51" s="12">
        <v>-3.5632000000000001</v>
      </c>
      <c r="G51" s="12">
        <v>-4.3834</v>
      </c>
      <c r="I51" s="249"/>
      <c r="J51" s="250" t="s">
        <v>434</v>
      </c>
      <c r="K51" s="250"/>
      <c r="L51" s="62" t="s">
        <v>9</v>
      </c>
      <c r="M51" s="62">
        <v>4196</v>
      </c>
      <c r="N51" s="62">
        <v>0.46</v>
      </c>
      <c r="O51" s="52"/>
    </row>
    <row r="52" spans="2:22" ht="15.6" x14ac:dyDescent="0.3">
      <c r="B52" s="6" t="s">
        <v>113</v>
      </c>
      <c r="C52" s="12">
        <v>9.4405000000000001</v>
      </c>
      <c r="D52" s="12">
        <v>11.222</v>
      </c>
      <c r="E52" s="12">
        <v>8.8157999999999994</v>
      </c>
      <c r="F52" s="13">
        <v>0</v>
      </c>
      <c r="G52" s="13">
        <v>0</v>
      </c>
      <c r="I52" s="249" t="s">
        <v>30</v>
      </c>
      <c r="J52" s="249"/>
      <c r="K52" s="249"/>
      <c r="L52" s="62" t="s">
        <v>9</v>
      </c>
      <c r="M52" s="62">
        <v>930</v>
      </c>
      <c r="N52" s="62">
        <v>0.38300000000000001</v>
      </c>
      <c r="O52" s="52"/>
    </row>
    <row r="53" spans="2:22" ht="15.6" x14ac:dyDescent="0.3">
      <c r="B53" s="6" t="s">
        <v>114</v>
      </c>
      <c r="C53" s="12">
        <v>1.46E-2</v>
      </c>
      <c r="D53" s="12">
        <v>0.45240000000000002</v>
      </c>
      <c r="E53" s="12">
        <v>-0.14180000000000001</v>
      </c>
      <c r="F53" s="13">
        <v>0</v>
      </c>
      <c r="G53" s="13">
        <v>0</v>
      </c>
      <c r="K53" s="57"/>
      <c r="L53" s="57"/>
      <c r="M53" s="52"/>
      <c r="N53" s="52"/>
      <c r="O53" s="52"/>
      <c r="P53" s="52"/>
    </row>
    <row r="54" spans="2:22" ht="15.6" x14ac:dyDescent="0.3">
      <c r="B54" s="6" t="s">
        <v>115</v>
      </c>
      <c r="C54" s="13">
        <v>0</v>
      </c>
      <c r="D54" s="13">
        <v>0</v>
      </c>
      <c r="E54" s="12">
        <v>-0.1258</v>
      </c>
      <c r="F54" s="13">
        <v>0</v>
      </c>
      <c r="G54" s="13">
        <v>0</v>
      </c>
      <c r="I54" s="247" t="s">
        <v>414</v>
      </c>
      <c r="J54" s="247"/>
      <c r="K54" s="246" t="s">
        <v>442</v>
      </c>
      <c r="L54" s="247" t="s">
        <v>443</v>
      </c>
      <c r="M54" s="247"/>
      <c r="N54" s="247"/>
      <c r="O54" s="247"/>
      <c r="P54" s="52"/>
    </row>
    <row r="55" spans="2:22" ht="15.6" x14ac:dyDescent="0.3">
      <c r="B55" s="6" t="s">
        <v>116</v>
      </c>
      <c r="C55" s="13">
        <v>0</v>
      </c>
      <c r="D55" s="13">
        <v>0</v>
      </c>
      <c r="E55" s="12">
        <v>4.8099999999999997E-2</v>
      </c>
      <c r="F55" s="13">
        <v>0</v>
      </c>
      <c r="G55" s="13">
        <v>0</v>
      </c>
      <c r="I55" s="247"/>
      <c r="J55" s="247"/>
      <c r="K55" s="246"/>
      <c r="L55" s="6" t="s">
        <v>444</v>
      </c>
      <c r="M55" s="6" t="s">
        <v>445</v>
      </c>
      <c r="N55" s="6" t="s">
        <v>446</v>
      </c>
      <c r="O55" s="6" t="s">
        <v>447</v>
      </c>
      <c r="P55" s="52"/>
    </row>
    <row r="56" spans="2:22" ht="15.6" x14ac:dyDescent="0.3">
      <c r="B56" s="6" t="s">
        <v>117</v>
      </c>
      <c r="C56" s="13">
        <v>0</v>
      </c>
      <c r="D56" s="13">
        <v>0</v>
      </c>
      <c r="E56" s="12">
        <v>0.1699</v>
      </c>
      <c r="F56" s="13">
        <v>0</v>
      </c>
      <c r="G56" s="13">
        <v>0</v>
      </c>
      <c r="I56" s="248" t="s">
        <v>415</v>
      </c>
      <c r="J56" s="248"/>
      <c r="K56" s="6" t="s">
        <v>8</v>
      </c>
      <c r="L56" s="74">
        <v>0.86</v>
      </c>
      <c r="M56" s="74">
        <v>0.94</v>
      </c>
      <c r="N56" s="74">
        <v>1.06</v>
      </c>
      <c r="O56" s="74">
        <v>1.18</v>
      </c>
      <c r="P56" s="52"/>
    </row>
    <row r="57" spans="2:22" ht="15.6" x14ac:dyDescent="0.3">
      <c r="B57" s="6" t="s">
        <v>118</v>
      </c>
      <c r="C57" s="13">
        <v>0</v>
      </c>
      <c r="D57" s="13">
        <v>0</v>
      </c>
      <c r="E57" s="3">
        <v>7.2800000000000004E-2</v>
      </c>
      <c r="F57" s="13">
        <v>0</v>
      </c>
      <c r="G57" s="13">
        <v>0</v>
      </c>
      <c r="I57" s="248" t="s">
        <v>418</v>
      </c>
      <c r="J57" s="75" t="s">
        <v>419</v>
      </c>
      <c r="K57" s="244" t="s">
        <v>8</v>
      </c>
      <c r="L57" s="74">
        <v>0.81</v>
      </c>
      <c r="M57" s="74">
        <v>0.91</v>
      </c>
      <c r="N57" s="74">
        <v>1.1200000000000001</v>
      </c>
      <c r="O57" s="74">
        <v>1.44</v>
      </c>
      <c r="P57" s="52"/>
      <c r="R57" s="250" t="s">
        <v>21</v>
      </c>
      <c r="S57" s="249" t="s">
        <v>602</v>
      </c>
      <c r="T57" s="249"/>
      <c r="U57" s="62">
        <v>3627</v>
      </c>
      <c r="V57" s="62">
        <v>0.59</v>
      </c>
    </row>
    <row r="58" spans="2:22" ht="15.6" x14ac:dyDescent="0.3">
      <c r="B58" s="6" t="s">
        <v>119</v>
      </c>
      <c r="C58" s="3" t="s">
        <v>120</v>
      </c>
      <c r="D58" s="3" t="s">
        <v>121</v>
      </c>
      <c r="E58" s="3" t="s">
        <v>120</v>
      </c>
      <c r="F58" s="13">
        <v>0</v>
      </c>
      <c r="G58" s="13">
        <v>0</v>
      </c>
      <c r="I58" s="248"/>
      <c r="J58" s="75" t="s">
        <v>420</v>
      </c>
      <c r="K58" s="245"/>
      <c r="L58" s="74">
        <v>0.85</v>
      </c>
      <c r="M58" s="74">
        <v>0.95</v>
      </c>
      <c r="N58" s="74">
        <v>1.06</v>
      </c>
      <c r="O58" s="74">
        <v>1.25</v>
      </c>
      <c r="P58" s="52"/>
      <c r="R58" s="250"/>
      <c r="S58" s="249" t="s">
        <v>431</v>
      </c>
      <c r="T58" s="249"/>
      <c r="U58" s="62">
        <v>3627</v>
      </c>
      <c r="V58" s="62">
        <v>0.59</v>
      </c>
    </row>
    <row r="59" spans="2:22" ht="15.6" x14ac:dyDescent="0.3">
      <c r="B59" s="6" t="s">
        <v>104</v>
      </c>
      <c r="C59" s="3">
        <v>0.85399999999999998</v>
      </c>
      <c r="D59" s="3">
        <v>3.2000000000000001E-2</v>
      </c>
      <c r="E59" s="3">
        <v>0.89700000000000002</v>
      </c>
      <c r="F59" s="13">
        <v>0</v>
      </c>
      <c r="G59" s="13">
        <v>0</v>
      </c>
      <c r="I59" s="248" t="s">
        <v>16</v>
      </c>
      <c r="J59" s="248"/>
      <c r="K59" s="6" t="s">
        <v>8</v>
      </c>
      <c r="L59" s="74">
        <v>0.82</v>
      </c>
      <c r="M59" s="74">
        <v>0.93</v>
      </c>
      <c r="N59" s="74">
        <v>1.08</v>
      </c>
      <c r="O59" s="74">
        <v>1.28</v>
      </c>
      <c r="P59" s="52"/>
      <c r="R59" s="250"/>
      <c r="S59" s="249" t="s">
        <v>432</v>
      </c>
      <c r="T59" s="249"/>
      <c r="U59" s="62">
        <v>330</v>
      </c>
      <c r="V59" s="62">
        <v>0.32900000000000001</v>
      </c>
    </row>
    <row r="60" spans="2:22" ht="15.6" x14ac:dyDescent="0.3">
      <c r="B60" s="6" t="s">
        <v>105</v>
      </c>
      <c r="C60" s="3">
        <v>-1.228</v>
      </c>
      <c r="D60" s="3">
        <v>0.80300000000000005</v>
      </c>
      <c r="E60" s="3">
        <v>-1.4570000000000001</v>
      </c>
      <c r="F60" s="13">
        <v>0</v>
      </c>
      <c r="G60" s="13">
        <v>0</v>
      </c>
      <c r="I60" s="248" t="s">
        <v>421</v>
      </c>
      <c r="J60" s="248"/>
      <c r="K60" s="6" t="s">
        <v>8</v>
      </c>
      <c r="L60" s="74">
        <v>0.83</v>
      </c>
      <c r="M60" s="74">
        <v>0.94</v>
      </c>
      <c r="N60" s="74">
        <v>1.07</v>
      </c>
      <c r="O60" s="74">
        <v>1.19</v>
      </c>
      <c r="P60" s="52"/>
      <c r="R60" s="249" t="s">
        <v>433</v>
      </c>
      <c r="S60" s="249"/>
      <c r="T60" s="249"/>
      <c r="U60" s="62">
        <v>1967</v>
      </c>
      <c r="V60" s="62">
        <v>0.48499999999999999</v>
      </c>
    </row>
    <row r="61" spans="2:22" ht="15.6" x14ac:dyDescent="0.3">
      <c r="B61" s="6" t="s">
        <v>106</v>
      </c>
      <c r="C61" s="3">
        <v>0.497</v>
      </c>
      <c r="D61" s="3">
        <v>0.73899999999999999</v>
      </c>
      <c r="E61" s="3">
        <v>0.76700000000000002</v>
      </c>
      <c r="F61" s="13">
        <v>0</v>
      </c>
      <c r="G61" s="13">
        <v>0</v>
      </c>
      <c r="I61" s="248" t="s">
        <v>422</v>
      </c>
      <c r="J61" s="248"/>
      <c r="K61" s="6" t="s">
        <v>8</v>
      </c>
      <c r="L61" s="74">
        <v>0.83</v>
      </c>
      <c r="M61" s="74">
        <v>0.94</v>
      </c>
      <c r="N61" s="74">
        <v>1.06</v>
      </c>
      <c r="O61" s="74">
        <v>1.19</v>
      </c>
      <c r="P61" s="52"/>
      <c r="R61" s="249" t="s">
        <v>22</v>
      </c>
      <c r="S61" s="249" t="s">
        <v>22</v>
      </c>
      <c r="T61" s="249"/>
      <c r="U61" s="62">
        <v>2023</v>
      </c>
      <c r="V61" s="62">
        <v>0.46</v>
      </c>
    </row>
    <row r="62" spans="2:22" ht="15.6" x14ac:dyDescent="0.3">
      <c r="B62" s="6" t="s">
        <v>122</v>
      </c>
      <c r="C62" s="3">
        <v>2.1701000000000001</v>
      </c>
      <c r="D62" s="3">
        <v>1.9994000000000001</v>
      </c>
      <c r="E62" s="3">
        <v>1.8319000000000001</v>
      </c>
      <c r="F62" s="13">
        <v>1</v>
      </c>
      <c r="G62" s="13">
        <v>1</v>
      </c>
      <c r="I62" s="248" t="s">
        <v>448</v>
      </c>
      <c r="J62" s="248"/>
      <c r="K62" s="6" t="s">
        <v>8</v>
      </c>
      <c r="L62" s="74">
        <v>0.78</v>
      </c>
      <c r="M62" s="74">
        <v>0.91</v>
      </c>
      <c r="N62" s="74">
        <v>1.07</v>
      </c>
      <c r="O62" s="74">
        <v>1.2</v>
      </c>
      <c r="P62" s="52"/>
      <c r="R62" s="249"/>
      <c r="S62" s="250" t="s">
        <v>434</v>
      </c>
      <c r="T62" s="250"/>
      <c r="U62" s="62">
        <v>4196</v>
      </c>
      <c r="V62" s="62">
        <v>0.46</v>
      </c>
    </row>
    <row r="63" spans="2:22" ht="15.6" x14ac:dyDescent="0.3">
      <c r="B63" s="6" t="s">
        <v>123</v>
      </c>
      <c r="C63" s="3">
        <v>-0.16020000000000001</v>
      </c>
      <c r="D63" s="3">
        <v>-0.14460000000000001</v>
      </c>
      <c r="E63" s="3">
        <v>-0.1237</v>
      </c>
      <c r="F63" s="13">
        <v>0</v>
      </c>
      <c r="G63" s="13">
        <v>0</v>
      </c>
      <c r="I63" s="248" t="s">
        <v>426</v>
      </c>
      <c r="J63" s="248"/>
      <c r="K63" s="6" t="s">
        <v>8</v>
      </c>
      <c r="L63" s="74">
        <v>0.87</v>
      </c>
      <c r="M63" s="74">
        <v>0.96</v>
      </c>
      <c r="N63" s="74">
        <v>1.06</v>
      </c>
      <c r="O63" s="74">
        <v>1.1399999999999999</v>
      </c>
      <c r="P63" s="52"/>
      <c r="R63" s="249" t="s">
        <v>30</v>
      </c>
      <c r="S63" s="249"/>
      <c r="T63" s="249"/>
      <c r="U63" s="62">
        <v>930</v>
      </c>
      <c r="V63" s="62">
        <v>0.38300000000000001</v>
      </c>
    </row>
    <row r="64" spans="2:22" ht="15.6" x14ac:dyDescent="0.3">
      <c r="B64" s="10"/>
      <c r="C64" s="10"/>
      <c r="D64" s="10"/>
      <c r="E64" s="10"/>
      <c r="F64" s="10"/>
      <c r="G64" s="10"/>
      <c r="I64" s="248" t="s">
        <v>427</v>
      </c>
      <c r="J64" s="75" t="s">
        <v>428</v>
      </c>
      <c r="K64" s="244" t="s">
        <v>8</v>
      </c>
      <c r="L64" s="74">
        <v>0.89</v>
      </c>
      <c r="M64" s="74">
        <v>0.98</v>
      </c>
      <c r="N64" s="74">
        <v>1.06</v>
      </c>
      <c r="O64" s="74">
        <v>1.1299999999999999</v>
      </c>
      <c r="P64" s="52"/>
    </row>
    <row r="65" spans="2:16" ht="16.2" x14ac:dyDescent="0.35">
      <c r="B65" s="220"/>
      <c r="C65" s="252" t="s">
        <v>88</v>
      </c>
      <c r="D65" s="252"/>
      <c r="E65" s="252"/>
      <c r="F65" s="252" t="s">
        <v>89</v>
      </c>
      <c r="G65" s="252"/>
      <c r="I65" s="248"/>
      <c r="J65" s="75" t="s">
        <v>449</v>
      </c>
      <c r="K65" s="245"/>
      <c r="L65" s="74">
        <v>0.78</v>
      </c>
      <c r="M65" s="74">
        <v>0.92</v>
      </c>
      <c r="N65" s="74">
        <v>1.1000000000000001</v>
      </c>
      <c r="O65" s="74">
        <v>1.37</v>
      </c>
      <c r="P65" s="52"/>
    </row>
    <row r="66" spans="2:16" ht="16.2" x14ac:dyDescent="0.3">
      <c r="B66" s="220"/>
      <c r="C66" s="253" t="s">
        <v>107</v>
      </c>
      <c r="D66" s="254"/>
      <c r="E66" s="11" t="s">
        <v>108</v>
      </c>
      <c r="F66" s="11" t="s">
        <v>107</v>
      </c>
      <c r="G66" s="11" t="s">
        <v>108</v>
      </c>
      <c r="I66" s="248" t="s">
        <v>21</v>
      </c>
      <c r="J66" s="248"/>
      <c r="K66" s="6" t="s">
        <v>9</v>
      </c>
      <c r="L66" s="74">
        <v>0.86</v>
      </c>
      <c r="M66" s="74">
        <v>0.94</v>
      </c>
      <c r="N66" s="74">
        <v>1.06</v>
      </c>
      <c r="O66" s="74">
        <v>1.1599999999999999</v>
      </c>
      <c r="P66" s="52"/>
    </row>
    <row r="67" spans="2:16" ht="32.4" x14ac:dyDescent="0.3">
      <c r="B67" s="220"/>
      <c r="C67" s="5" t="s">
        <v>68</v>
      </c>
      <c r="D67" s="5" t="s">
        <v>90</v>
      </c>
      <c r="E67" s="5" t="s">
        <v>68</v>
      </c>
      <c r="F67" s="5" t="s">
        <v>68</v>
      </c>
      <c r="G67" s="5" t="s">
        <v>68</v>
      </c>
      <c r="I67" s="248" t="s">
        <v>433</v>
      </c>
      <c r="J67" s="248"/>
      <c r="K67" s="6" t="s">
        <v>9</v>
      </c>
      <c r="L67" s="74">
        <v>0.76</v>
      </c>
      <c r="M67" s="74">
        <v>0.89</v>
      </c>
      <c r="N67" s="74">
        <v>1.08</v>
      </c>
      <c r="O67" s="74">
        <v>1.27</v>
      </c>
      <c r="P67" s="52"/>
    </row>
    <row r="68" spans="2:16" ht="15.6" x14ac:dyDescent="0.3">
      <c r="B68" s="6" t="s">
        <v>124</v>
      </c>
      <c r="C68" s="14">
        <v>0.17</v>
      </c>
      <c r="D68" s="14">
        <v>0.15</v>
      </c>
      <c r="E68" s="14">
        <v>0.16</v>
      </c>
      <c r="F68" s="14">
        <v>0.17</v>
      </c>
      <c r="G68" s="14">
        <v>0.15</v>
      </c>
      <c r="I68" s="248" t="s">
        <v>22</v>
      </c>
      <c r="J68" s="248"/>
      <c r="K68" s="6" t="s">
        <v>9</v>
      </c>
      <c r="L68" s="74">
        <v>0.76</v>
      </c>
      <c r="M68" s="74">
        <v>0.92</v>
      </c>
      <c r="N68" s="74">
        <v>1.1399999999999999</v>
      </c>
      <c r="O68" s="74">
        <v>1.3</v>
      </c>
      <c r="P68" s="52"/>
    </row>
    <row r="69" spans="2:16" ht="15.6" x14ac:dyDescent="0.3">
      <c r="B69" s="6" t="s">
        <v>125</v>
      </c>
      <c r="C69" s="14">
        <v>0.2</v>
      </c>
      <c r="D69" s="14">
        <v>0.1</v>
      </c>
      <c r="E69" s="14">
        <v>0.24</v>
      </c>
      <c r="F69" s="14">
        <v>0.2</v>
      </c>
      <c r="G69" s="14">
        <v>0</v>
      </c>
      <c r="I69" s="248" t="s">
        <v>450</v>
      </c>
      <c r="J69" s="248"/>
      <c r="K69" s="6" t="s">
        <v>9</v>
      </c>
      <c r="L69" s="74">
        <v>0.87</v>
      </c>
      <c r="M69" s="74">
        <v>0.95</v>
      </c>
      <c r="N69" s="74">
        <v>1.06</v>
      </c>
      <c r="O69" s="74">
        <v>1.1599999999999999</v>
      </c>
      <c r="P69" s="52"/>
    </row>
    <row r="70" spans="2:16" ht="15.6" x14ac:dyDescent="0.3">
      <c r="B70" s="6" t="s">
        <v>126</v>
      </c>
      <c r="C70" s="14">
        <v>0.6</v>
      </c>
      <c r="D70" s="14">
        <v>0.5</v>
      </c>
      <c r="E70" s="14">
        <v>0.6</v>
      </c>
      <c r="F70" s="14">
        <v>0.6</v>
      </c>
      <c r="G70" s="14">
        <v>0</v>
      </c>
      <c r="K70" s="57"/>
      <c r="L70" s="57"/>
      <c r="M70" s="52"/>
      <c r="N70" s="52"/>
      <c r="O70" s="52"/>
      <c r="P70" s="52"/>
    </row>
    <row r="71" spans="2:16" ht="15.6" x14ac:dyDescent="0.3">
      <c r="B71" s="6" t="s">
        <v>127</v>
      </c>
      <c r="C71" s="14">
        <v>0.64200000000000002</v>
      </c>
      <c r="D71" s="14">
        <v>0.42</v>
      </c>
      <c r="E71" s="14">
        <v>0.83</v>
      </c>
      <c r="F71" s="14">
        <v>0.61399999999999999</v>
      </c>
      <c r="G71" s="14">
        <v>0.95199999999999996</v>
      </c>
      <c r="K71" s="57"/>
      <c r="L71" s="57"/>
      <c r="M71" s="52"/>
      <c r="N71" s="52"/>
      <c r="O71" s="52"/>
      <c r="P71" s="52"/>
    </row>
    <row r="72" spans="2:16" ht="15.6" x14ac:dyDescent="0.3">
      <c r="B72" s="6" t="s">
        <v>128</v>
      </c>
      <c r="C72" s="14">
        <v>-0.63500000000000001</v>
      </c>
      <c r="D72" s="14">
        <v>-0.2</v>
      </c>
      <c r="E72" s="14">
        <v>-0.66</v>
      </c>
      <c r="F72" s="14">
        <v>-0.71699999999999997</v>
      </c>
      <c r="G72" s="14">
        <v>-1.4059999999999999</v>
      </c>
      <c r="K72" s="57"/>
      <c r="L72" s="57"/>
      <c r="M72" s="52"/>
      <c r="N72" s="52"/>
      <c r="O72" s="52"/>
      <c r="P72" s="52"/>
    </row>
    <row r="73" spans="2:16" ht="15.6" x14ac:dyDescent="0.3">
      <c r="B73" s="6" t="s">
        <v>129</v>
      </c>
      <c r="C73" s="14">
        <v>0.15</v>
      </c>
      <c r="D73" s="14">
        <v>0</v>
      </c>
      <c r="E73" s="14">
        <v>0</v>
      </c>
      <c r="F73" s="14">
        <v>0.26100000000000001</v>
      </c>
      <c r="G73" s="14">
        <v>0.64300000000000002</v>
      </c>
      <c r="K73" s="57"/>
      <c r="L73" s="57"/>
      <c r="M73" s="52"/>
      <c r="N73" s="52"/>
      <c r="O73" s="52"/>
      <c r="P73" s="52"/>
    </row>
    <row r="74" spans="2:16" x14ac:dyDescent="0.3">
      <c r="K74" s="57"/>
      <c r="L74" s="57"/>
      <c r="M74" s="52"/>
      <c r="N74" s="52"/>
      <c r="O74" s="52"/>
      <c r="P74" s="52"/>
    </row>
    <row r="75" spans="2:16" x14ac:dyDescent="0.3">
      <c r="K75" s="57"/>
      <c r="L75" s="57"/>
      <c r="M75" s="52"/>
      <c r="N75" s="52"/>
      <c r="O75" s="52"/>
      <c r="P75" s="52"/>
    </row>
    <row r="76" spans="2:16" x14ac:dyDescent="0.3">
      <c r="K76" s="57"/>
      <c r="L76" s="57"/>
      <c r="M76" s="52"/>
      <c r="N76" s="52"/>
      <c r="O76" s="52"/>
      <c r="P76" s="52"/>
    </row>
    <row r="77" spans="2:16" x14ac:dyDescent="0.3">
      <c r="K77" s="57"/>
      <c r="L77" s="57"/>
      <c r="M77" s="52"/>
      <c r="N77" s="52"/>
      <c r="O77" s="52"/>
      <c r="P77" s="52"/>
    </row>
    <row r="78" spans="2:16" x14ac:dyDescent="0.3">
      <c r="K78" s="57"/>
      <c r="L78" s="57"/>
      <c r="M78" s="52"/>
      <c r="N78" s="52"/>
      <c r="O78" s="52"/>
      <c r="P78" s="52"/>
    </row>
    <row r="79" spans="2:16" x14ac:dyDescent="0.3">
      <c r="K79" s="57"/>
      <c r="L79" s="57"/>
      <c r="M79" s="52"/>
      <c r="N79" s="52"/>
      <c r="O79" s="52"/>
      <c r="P79" s="52"/>
    </row>
    <row r="80" spans="2:16" x14ac:dyDescent="0.3">
      <c r="K80" s="57"/>
      <c r="L80" s="57"/>
      <c r="M80" s="52"/>
      <c r="N80" s="52"/>
      <c r="O80" s="52"/>
      <c r="P80" s="52"/>
    </row>
    <row r="81" spans="11:16" x14ac:dyDescent="0.3">
      <c r="K81" s="57"/>
      <c r="L81" s="57"/>
      <c r="M81" s="52"/>
      <c r="N81" s="52"/>
      <c r="O81" s="52"/>
      <c r="P81" s="52"/>
    </row>
    <row r="82" spans="11:16" x14ac:dyDescent="0.3">
      <c r="K82" s="57"/>
      <c r="L82" s="57"/>
      <c r="M82" s="52"/>
      <c r="N82" s="52"/>
      <c r="O82" s="52"/>
      <c r="P82" s="52"/>
    </row>
    <row r="83" spans="11:16" x14ac:dyDescent="0.3">
      <c r="K83" s="57"/>
      <c r="L83" s="57"/>
      <c r="M83" s="52"/>
      <c r="N83" s="52"/>
      <c r="O83" s="52"/>
      <c r="P83" s="52"/>
    </row>
    <row r="84" spans="11:16" x14ac:dyDescent="0.3">
      <c r="K84" s="57"/>
      <c r="L84" s="57"/>
      <c r="M84" s="52"/>
      <c r="N84" s="52"/>
      <c r="O84" s="52"/>
      <c r="P84" s="52"/>
    </row>
    <row r="85" spans="11:16" x14ac:dyDescent="0.3">
      <c r="K85" s="57"/>
      <c r="L85" s="57"/>
      <c r="M85" s="52"/>
      <c r="N85" s="52"/>
      <c r="O85" s="52"/>
      <c r="P85" s="52"/>
    </row>
    <row r="86" spans="11:16" x14ac:dyDescent="0.3">
      <c r="K86" s="57"/>
      <c r="L86" s="57"/>
      <c r="M86" s="52"/>
      <c r="N86" s="52"/>
      <c r="O86" s="52"/>
      <c r="P86" s="52"/>
    </row>
    <row r="87" spans="11:16" x14ac:dyDescent="0.3">
      <c r="K87" s="57"/>
      <c r="L87" s="57"/>
      <c r="M87" s="52"/>
      <c r="N87" s="52"/>
      <c r="O87" s="52"/>
      <c r="P87" s="52"/>
    </row>
    <row r="88" spans="11:16" x14ac:dyDescent="0.3">
      <c r="K88" s="57"/>
      <c r="L88" s="57"/>
      <c r="M88" s="52"/>
      <c r="N88" s="52"/>
      <c r="O88" s="52"/>
      <c r="P88" s="52"/>
    </row>
    <row r="89" spans="11:16" x14ac:dyDescent="0.3">
      <c r="K89" s="57"/>
      <c r="L89" s="57"/>
      <c r="M89" s="52"/>
      <c r="N89" s="52"/>
      <c r="O89" s="52"/>
      <c r="P89" s="52"/>
    </row>
    <row r="90" spans="11:16" x14ac:dyDescent="0.3">
      <c r="K90" s="57"/>
      <c r="L90" s="57"/>
      <c r="M90" s="52"/>
      <c r="N90" s="52"/>
      <c r="O90" s="52"/>
      <c r="P90" s="52"/>
    </row>
    <row r="91" spans="11:16" x14ac:dyDescent="0.3">
      <c r="K91" s="57"/>
      <c r="L91" s="57"/>
      <c r="M91" s="52"/>
      <c r="N91" s="52"/>
      <c r="O91" s="52"/>
      <c r="P91" s="52"/>
    </row>
  </sheetData>
  <mergeCells count="98">
    <mergeCell ref="K64:K65"/>
    <mergeCell ref="I66:J66"/>
    <mergeCell ref="I67:J67"/>
    <mergeCell ref="I68:J68"/>
    <mergeCell ref="I69:J69"/>
    <mergeCell ref="I60:J60"/>
    <mergeCell ref="I61:J61"/>
    <mergeCell ref="I62:J62"/>
    <mergeCell ref="I63:J63"/>
    <mergeCell ref="I64:I65"/>
    <mergeCell ref="L54:O54"/>
    <mergeCell ref="I56:J56"/>
    <mergeCell ref="I57:I58"/>
    <mergeCell ref="K57:K58"/>
    <mergeCell ref="I59:J59"/>
    <mergeCell ref="I50:I51"/>
    <mergeCell ref="J50:K50"/>
    <mergeCell ref="J51:K51"/>
    <mergeCell ref="I52:K52"/>
    <mergeCell ref="I54:J55"/>
    <mergeCell ref="K54:K55"/>
    <mergeCell ref="I46:I48"/>
    <mergeCell ref="J46:K46"/>
    <mergeCell ref="J47:K47"/>
    <mergeCell ref="J48:K48"/>
    <mergeCell ref="I49:K49"/>
    <mergeCell ref="I41:K41"/>
    <mergeCell ref="I42:K42"/>
    <mergeCell ref="I43:I45"/>
    <mergeCell ref="J43:K43"/>
    <mergeCell ref="J44:K44"/>
    <mergeCell ref="J45:K45"/>
    <mergeCell ref="I37:K37"/>
    <mergeCell ref="I38:K38"/>
    <mergeCell ref="I39:I40"/>
    <mergeCell ref="J39:K39"/>
    <mergeCell ref="J40:K40"/>
    <mergeCell ref="I32:K32"/>
    <mergeCell ref="I33:I34"/>
    <mergeCell ref="J33:K33"/>
    <mergeCell ref="J34:K34"/>
    <mergeCell ref="I35:I36"/>
    <mergeCell ref="J35:K35"/>
    <mergeCell ref="J36:K36"/>
    <mergeCell ref="B3:D3"/>
    <mergeCell ref="B17:B18"/>
    <mergeCell ref="C32:E32"/>
    <mergeCell ref="F32:G32"/>
    <mergeCell ref="B33:B34"/>
    <mergeCell ref="C33:E33"/>
    <mergeCell ref="F33:G33"/>
    <mergeCell ref="B45:B47"/>
    <mergeCell ref="C45:E45"/>
    <mergeCell ref="F45:G45"/>
    <mergeCell ref="C46:D46"/>
    <mergeCell ref="B65:B67"/>
    <mergeCell ref="C65:E65"/>
    <mergeCell ref="F65:G65"/>
    <mergeCell ref="C66:D66"/>
    <mergeCell ref="P33:P34"/>
    <mergeCell ref="Q33:R33"/>
    <mergeCell ref="Q34:R34"/>
    <mergeCell ref="P35:P36"/>
    <mergeCell ref="Q35:R35"/>
    <mergeCell ref="Q36:R36"/>
    <mergeCell ref="P37:R37"/>
    <mergeCell ref="P38:R38"/>
    <mergeCell ref="P39:P40"/>
    <mergeCell ref="Q39:R39"/>
    <mergeCell ref="Q40:R40"/>
    <mergeCell ref="P41:R41"/>
    <mergeCell ref="P42:R42"/>
    <mergeCell ref="P43:P45"/>
    <mergeCell ref="Q43:R43"/>
    <mergeCell ref="Q44:R44"/>
    <mergeCell ref="Q45:R45"/>
    <mergeCell ref="R61:R62"/>
    <mergeCell ref="S61:T61"/>
    <mergeCell ref="S62:T62"/>
    <mergeCell ref="R63:T63"/>
    <mergeCell ref="V32:W33"/>
    <mergeCell ref="V37:W37"/>
    <mergeCell ref="V38:W38"/>
    <mergeCell ref="V39:W39"/>
    <mergeCell ref="V40:W40"/>
    <mergeCell ref="V41:W41"/>
    <mergeCell ref="V42:V43"/>
    <mergeCell ref="R57:R59"/>
    <mergeCell ref="S57:T57"/>
    <mergeCell ref="S58:T58"/>
    <mergeCell ref="S59:T59"/>
    <mergeCell ref="R60:T60"/>
    <mergeCell ref="AE43:AE44"/>
    <mergeCell ref="AE33:AE34"/>
    <mergeCell ref="X32:AA32"/>
    <mergeCell ref="V34:W34"/>
    <mergeCell ref="V35:V36"/>
    <mergeCell ref="AE36:AE3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B4AD-0534-4896-AE7C-6052B3FB38B4}">
  <sheetPr>
    <tabColor theme="7" tint="0.79998168889431442"/>
  </sheetPr>
  <dimension ref="A1:AV203"/>
  <sheetViews>
    <sheetView view="pageBreakPreview" topLeftCell="A115" zoomScale="115" zoomScaleNormal="100" zoomScaleSheetLayoutView="115" workbookViewId="0">
      <selection activeCell="C157" sqref="C157"/>
    </sheetView>
  </sheetViews>
  <sheetFormatPr defaultRowHeight="14.4" x14ac:dyDescent="0.3"/>
  <cols>
    <col min="1" max="1" width="8.88671875" style="21"/>
    <col min="2" max="2" width="3.44140625" style="19" bestFit="1" customWidth="1"/>
    <col min="3" max="3" width="25.5546875" style="19" bestFit="1" customWidth="1"/>
    <col min="4" max="4" width="17.5546875" style="19" customWidth="1"/>
    <col min="5" max="5" width="12" style="19" bestFit="1" customWidth="1"/>
    <col min="6" max="6" width="12.77734375" style="19" bestFit="1" customWidth="1"/>
    <col min="7" max="8" width="15.88671875" style="19" bestFit="1" customWidth="1"/>
    <col min="9" max="9" width="15.88671875" style="21" bestFit="1" customWidth="1"/>
    <col min="10" max="11" width="17.44140625" style="21" bestFit="1" customWidth="1"/>
    <col min="12" max="12" width="17.44140625" style="19" bestFit="1" customWidth="1"/>
    <col min="13" max="13" width="15.109375" style="19" bestFit="1" customWidth="1"/>
    <col min="14" max="14" width="20.44140625" style="19" bestFit="1" customWidth="1"/>
    <col min="15" max="15" width="21" style="19" bestFit="1" customWidth="1"/>
    <col min="16" max="16" width="24.21875" style="19" bestFit="1" customWidth="1"/>
    <col min="17" max="17" width="6.44140625" style="19" bestFit="1" customWidth="1"/>
    <col min="18" max="18" width="18.5546875" style="19" bestFit="1" customWidth="1"/>
    <col min="19" max="19" width="18.5546875" style="19" customWidth="1"/>
    <col min="20" max="20" width="23.109375" style="19" bestFit="1" customWidth="1"/>
    <col min="21" max="21" width="23.109375" style="19" customWidth="1"/>
    <col min="22" max="22" width="21" style="19" bestFit="1" customWidth="1"/>
    <col min="23" max="23" width="18.5546875" style="19" customWidth="1"/>
    <col min="24" max="24" width="24.77734375" style="19" customWidth="1"/>
    <col min="25" max="25" width="8.88671875" style="21"/>
    <col min="26" max="26" width="5.21875" style="21" bestFit="1" customWidth="1"/>
    <col min="27" max="27" width="5.5546875" style="21" bestFit="1" customWidth="1"/>
    <col min="28" max="28" width="5" style="21" bestFit="1" customWidth="1"/>
    <col min="29" max="31" width="5" style="21" customWidth="1"/>
    <col min="32" max="32" width="16.21875" style="19" bestFit="1" customWidth="1"/>
    <col min="33" max="33" width="15" style="19" customWidth="1"/>
    <col min="34" max="34" width="5.5546875" style="19" bestFit="1" customWidth="1"/>
    <col min="35" max="35" width="16.6640625" style="19" bestFit="1" customWidth="1"/>
    <col min="36" max="36" width="22" style="21" bestFit="1" customWidth="1"/>
    <col min="37" max="37" width="23.88671875" style="22" bestFit="1" customWidth="1"/>
    <col min="38" max="38" width="14.77734375" style="21" bestFit="1" customWidth="1"/>
    <col min="39" max="39" width="18.5546875" style="21" bestFit="1" customWidth="1"/>
    <col min="40" max="40" width="18.6640625" style="21" bestFit="1" customWidth="1"/>
    <col min="41" max="42" width="17.5546875" style="21" bestFit="1" customWidth="1"/>
    <col min="43" max="43" width="8.88671875" style="21"/>
    <col min="44" max="44" width="18.21875" style="21" bestFit="1" customWidth="1"/>
    <col min="45" max="45" width="22.44140625" style="21" bestFit="1" customWidth="1"/>
    <col min="46" max="52" width="8.88671875" style="21"/>
    <col min="53" max="53" width="16.33203125" style="21" bestFit="1" customWidth="1"/>
    <col min="54" max="16384" width="8.88671875" style="21"/>
  </cols>
  <sheetData>
    <row r="1" spans="2:48" ht="15.6" x14ac:dyDescent="0.3">
      <c r="C1" s="19" t="s">
        <v>191</v>
      </c>
      <c r="D1" s="20" t="s">
        <v>333</v>
      </c>
    </row>
    <row r="2" spans="2:48" ht="15.6" x14ac:dyDescent="0.3">
      <c r="C2" s="19" t="s">
        <v>193</v>
      </c>
      <c r="D2" s="23">
        <v>0.5</v>
      </c>
    </row>
    <row r="3" spans="2:48" x14ac:dyDescent="0.3">
      <c r="Z3" s="21" t="s">
        <v>194</v>
      </c>
      <c r="AA3" s="21">
        <v>13.8</v>
      </c>
      <c r="AB3" s="21" t="s">
        <v>26</v>
      </c>
      <c r="AU3" s="21">
        <v>228</v>
      </c>
      <c r="AV3" s="21" t="s">
        <v>195</v>
      </c>
    </row>
    <row r="4" spans="2:48" x14ac:dyDescent="0.3">
      <c r="C4" s="19" t="s">
        <v>196</v>
      </c>
      <c r="AG4" s="19" t="s">
        <v>197</v>
      </c>
      <c r="AH4" s="19">
        <v>2022</v>
      </c>
    </row>
    <row r="5" spans="2:48" x14ac:dyDescent="0.3">
      <c r="B5" s="24" t="s">
        <v>198</v>
      </c>
      <c r="C5" s="24" t="s">
        <v>199</v>
      </c>
      <c r="D5" s="24" t="s">
        <v>191</v>
      </c>
      <c r="E5" s="24" t="s">
        <v>179</v>
      </c>
      <c r="F5" s="24" t="s">
        <v>200</v>
      </c>
      <c r="G5" s="24" t="s">
        <v>201</v>
      </c>
      <c r="H5" s="24" t="s">
        <v>202</v>
      </c>
      <c r="I5" s="24" t="s">
        <v>203</v>
      </c>
      <c r="J5" s="24" t="s">
        <v>204</v>
      </c>
      <c r="K5" s="24" t="s">
        <v>205</v>
      </c>
      <c r="L5" s="24" t="s">
        <v>206</v>
      </c>
      <c r="M5" s="24" t="s">
        <v>207</v>
      </c>
      <c r="N5" s="24" t="s">
        <v>208</v>
      </c>
      <c r="O5" s="24" t="s">
        <v>209</v>
      </c>
      <c r="P5" s="24" t="s">
        <v>210</v>
      </c>
      <c r="Q5" s="24" t="s">
        <v>211</v>
      </c>
      <c r="R5" s="24" t="s">
        <v>212</v>
      </c>
      <c r="S5" s="24" t="s">
        <v>213</v>
      </c>
      <c r="T5" s="24" t="s">
        <v>214</v>
      </c>
      <c r="U5" s="24" t="s">
        <v>215</v>
      </c>
      <c r="V5" s="24" t="s">
        <v>216</v>
      </c>
      <c r="W5" s="24" t="s">
        <v>217</v>
      </c>
      <c r="X5" s="24" t="s">
        <v>218</v>
      </c>
      <c r="Z5" s="25" t="s">
        <v>193</v>
      </c>
      <c r="AF5" s="24" t="s">
        <v>198</v>
      </c>
      <c r="AG5" s="24" t="s">
        <v>199</v>
      </c>
      <c r="AH5" s="24" t="s">
        <v>219</v>
      </c>
      <c r="AI5" s="26" t="s">
        <v>220</v>
      </c>
      <c r="AJ5" s="24" t="s">
        <v>221</v>
      </c>
      <c r="AK5" s="27" t="s">
        <v>222</v>
      </c>
      <c r="AL5" s="24" t="s">
        <v>223</v>
      </c>
      <c r="AM5" s="24" t="s">
        <v>224</v>
      </c>
      <c r="AN5" s="24" t="s">
        <v>225</v>
      </c>
      <c r="AO5" s="24" t="s">
        <v>226</v>
      </c>
      <c r="AP5" s="24" t="s">
        <v>227</v>
      </c>
      <c r="AR5" s="24" t="s">
        <v>228</v>
      </c>
      <c r="AS5" s="24" t="s">
        <v>229</v>
      </c>
      <c r="AT5" s="19"/>
    </row>
    <row r="6" spans="2:48" x14ac:dyDescent="0.3">
      <c r="B6" s="28">
        <v>1</v>
      </c>
      <c r="C6" s="28">
        <v>2126</v>
      </c>
      <c r="D6" s="28" t="s">
        <v>230</v>
      </c>
      <c r="E6" s="28">
        <v>56</v>
      </c>
      <c r="F6" s="28"/>
      <c r="G6" s="28">
        <f>E6-F6</f>
        <v>56</v>
      </c>
      <c r="H6" s="28">
        <v>11.28</v>
      </c>
      <c r="I6" s="29">
        <v>56</v>
      </c>
      <c r="J6" s="29"/>
      <c r="K6" s="29">
        <f>H6</f>
        <v>11.28</v>
      </c>
      <c r="L6" s="30">
        <v>1</v>
      </c>
      <c r="M6" s="29">
        <v>4.8</v>
      </c>
      <c r="N6" s="29">
        <f>E6/H6</f>
        <v>4.9645390070921991</v>
      </c>
      <c r="O6" s="29">
        <v>56</v>
      </c>
      <c r="P6" s="29">
        <v>56</v>
      </c>
      <c r="Q6" s="29">
        <v>525</v>
      </c>
      <c r="R6" s="29">
        <v>56</v>
      </c>
      <c r="S6" s="29">
        <v>211</v>
      </c>
      <c r="T6" s="29">
        <v>56</v>
      </c>
      <c r="U6" s="29">
        <f>S6/M6</f>
        <v>43.958333333333336</v>
      </c>
      <c r="V6" s="29">
        <v>56</v>
      </c>
      <c r="W6" s="31">
        <f t="shared" ref="W6:W26" si="0">(((S6/M6)/1000)*(890*1000))/$AU$3</f>
        <v>171.5917397660819</v>
      </c>
      <c r="X6" s="29">
        <v>56</v>
      </c>
      <c r="AA6" s="29">
        <f>K6/AA3</f>
        <v>0.81739130434782603</v>
      </c>
      <c r="AF6" s="32">
        <v>1</v>
      </c>
      <c r="AG6" s="28">
        <v>2201</v>
      </c>
      <c r="AH6" s="262" t="s">
        <v>231</v>
      </c>
      <c r="AI6" s="32">
        <v>51.099999999976717</v>
      </c>
      <c r="AK6" s="257">
        <f>AVERAGE(AI6:AI14)</f>
        <v>47.044444444379771</v>
      </c>
      <c r="AL6" s="33">
        <v>3.3</v>
      </c>
      <c r="AM6" s="257">
        <f>AVERAGE(AL6:AL14)</f>
        <v>5.2666666666666657</v>
      </c>
      <c r="AN6" s="33">
        <v>1916</v>
      </c>
      <c r="AO6" s="34">
        <f>AN6/AI6</f>
        <v>37.495107632111015</v>
      </c>
      <c r="AP6" s="257">
        <f>AVERAGE(AO6:AO14)</f>
        <v>38.409002422528175</v>
      </c>
      <c r="AR6" s="31">
        <f>((AO6/1000)*(890*1000))/$AU$3</f>
        <v>146.36248154639827</v>
      </c>
      <c r="AS6" s="257">
        <f>AVERAGE(AR6:AR14)</f>
        <v>149.92987787741259</v>
      </c>
    </row>
    <row r="7" spans="2:48" x14ac:dyDescent="0.3">
      <c r="B7" s="32">
        <v>2</v>
      </c>
      <c r="C7" s="28">
        <v>2201</v>
      </c>
      <c r="D7" s="259" t="s">
        <v>232</v>
      </c>
      <c r="E7" s="32">
        <v>375</v>
      </c>
      <c r="F7" s="32">
        <v>372.5</v>
      </c>
      <c r="G7" s="32">
        <f t="shared" ref="G7:G70" si="1">E7-F7</f>
        <v>2.5</v>
      </c>
      <c r="H7" s="32">
        <v>10.57</v>
      </c>
      <c r="I7" s="260">
        <f>AVERAGE(F7:F9)</f>
        <v>371.5</v>
      </c>
      <c r="J7" s="260">
        <f>AVERAGE(G7:G9)</f>
        <v>11.166666666666666</v>
      </c>
      <c r="K7" s="260">
        <f>AVERAGE(H7:H9)</f>
        <v>9.33</v>
      </c>
      <c r="L7" s="261">
        <v>3</v>
      </c>
      <c r="M7" s="29">
        <v>34.999999999883585</v>
      </c>
      <c r="N7" s="29">
        <f t="shared" ref="N7:N70" si="2">E7/H7</f>
        <v>35.477767265846737</v>
      </c>
      <c r="O7" s="260">
        <f>AVERAGE(M7:M9)</f>
        <v>40.233333333294532</v>
      </c>
      <c r="P7" s="260">
        <f>AVERAGE(N7:N9)</f>
        <v>41.451858198150639</v>
      </c>
      <c r="Q7" s="29">
        <v>540</v>
      </c>
      <c r="R7" s="260">
        <f>AVERAGE(Q7:Q9)</f>
        <v>530</v>
      </c>
      <c r="S7" s="29">
        <v>1455</v>
      </c>
      <c r="T7" s="260">
        <f>AVERAGE(S7:S9)</f>
        <v>1430.6666666666667</v>
      </c>
      <c r="U7" s="29">
        <f>S7/M7</f>
        <v>41.571428571566841</v>
      </c>
      <c r="V7" s="260">
        <f>AVERAGE(U7:U9)</f>
        <v>35.928929349563674</v>
      </c>
      <c r="W7" s="31">
        <f t="shared" si="0"/>
        <v>162.27443609076533</v>
      </c>
      <c r="X7" s="260">
        <f>AVERAGE(W7:W9)</f>
        <v>140.24889088206874</v>
      </c>
      <c r="AA7" s="260">
        <f>K7/AA3</f>
        <v>0.67608695652173911</v>
      </c>
      <c r="AF7" s="32">
        <v>2</v>
      </c>
      <c r="AG7" s="28" t="s">
        <v>233</v>
      </c>
      <c r="AH7" s="263"/>
      <c r="AI7" s="32">
        <v>21.499999999883585</v>
      </c>
      <c r="AK7" s="257"/>
      <c r="AL7" s="32">
        <v>4.5</v>
      </c>
      <c r="AM7" s="257"/>
      <c r="AN7" s="32">
        <v>919</v>
      </c>
      <c r="AO7" s="35">
        <f t="shared" ref="AO7:AO70" si="3">AN7/AI7</f>
        <v>42.744186046743074</v>
      </c>
      <c r="AP7" s="257"/>
      <c r="AR7" s="29">
        <f t="shared" ref="AR7:AR70" si="4">((AO7/1000)*(890*1000))/$AU$3</f>
        <v>166.85230518246198</v>
      </c>
      <c r="AS7" s="257"/>
    </row>
    <row r="8" spans="2:48" x14ac:dyDescent="0.3">
      <c r="B8" s="32">
        <v>3</v>
      </c>
      <c r="C8" s="28" t="s">
        <v>233</v>
      </c>
      <c r="D8" s="259"/>
      <c r="E8" s="32">
        <v>395</v>
      </c>
      <c r="F8" s="32">
        <v>372</v>
      </c>
      <c r="G8" s="32">
        <f t="shared" si="1"/>
        <v>23</v>
      </c>
      <c r="H8" s="32">
        <v>8.4600000000000009</v>
      </c>
      <c r="I8" s="260"/>
      <c r="J8" s="260"/>
      <c r="K8" s="260"/>
      <c r="L8" s="261"/>
      <c r="M8" s="29">
        <v>43.2</v>
      </c>
      <c r="N8" s="29">
        <f t="shared" si="2"/>
        <v>46.690307328605194</v>
      </c>
      <c r="O8" s="260"/>
      <c r="P8" s="260"/>
      <c r="Q8" s="29">
        <v>525</v>
      </c>
      <c r="R8" s="260"/>
      <c r="S8" s="29">
        <v>1410</v>
      </c>
      <c r="T8" s="260"/>
      <c r="U8" s="29">
        <f t="shared" ref="U8:U71" si="5">S8/M8</f>
        <v>32.638888888888886</v>
      </c>
      <c r="V8" s="260"/>
      <c r="W8" s="31">
        <f t="shared" si="0"/>
        <v>127.40618908382064</v>
      </c>
      <c r="X8" s="260"/>
      <c r="AA8" s="260"/>
      <c r="AF8" s="32">
        <v>3</v>
      </c>
      <c r="AG8" s="28" t="s">
        <v>234</v>
      </c>
      <c r="AH8" s="263"/>
      <c r="AI8" s="32">
        <v>24.299999999988358</v>
      </c>
      <c r="AK8" s="257"/>
      <c r="AL8" s="32">
        <v>6.5</v>
      </c>
      <c r="AM8" s="257"/>
      <c r="AN8" s="32">
        <v>1207</v>
      </c>
      <c r="AO8" s="35">
        <f t="shared" si="3"/>
        <v>49.670781893027915</v>
      </c>
      <c r="AP8" s="257"/>
      <c r="AR8" s="29">
        <f t="shared" si="4"/>
        <v>193.89033282804755</v>
      </c>
      <c r="AS8" s="257"/>
    </row>
    <row r="9" spans="2:48" x14ac:dyDescent="0.3">
      <c r="B9" s="32">
        <v>4</v>
      </c>
      <c r="C9" s="28" t="s">
        <v>235</v>
      </c>
      <c r="D9" s="259"/>
      <c r="E9" s="32">
        <v>378</v>
      </c>
      <c r="F9" s="32">
        <v>370</v>
      </c>
      <c r="G9" s="32">
        <f t="shared" si="1"/>
        <v>8</v>
      </c>
      <c r="H9" s="32">
        <v>8.9600000000000009</v>
      </c>
      <c r="I9" s="260"/>
      <c r="J9" s="260"/>
      <c r="K9" s="260"/>
      <c r="L9" s="261"/>
      <c r="M9" s="29">
        <v>42.5</v>
      </c>
      <c r="N9" s="29">
        <f t="shared" si="2"/>
        <v>42.187499999999993</v>
      </c>
      <c r="O9" s="260"/>
      <c r="P9" s="260"/>
      <c r="Q9" s="29">
        <v>525</v>
      </c>
      <c r="R9" s="260"/>
      <c r="S9" s="29">
        <v>1427</v>
      </c>
      <c r="T9" s="260"/>
      <c r="U9" s="29">
        <f t="shared" si="5"/>
        <v>33.576470588235296</v>
      </c>
      <c r="V9" s="260"/>
      <c r="W9" s="31">
        <f t="shared" si="0"/>
        <v>131.06604747162024</v>
      </c>
      <c r="X9" s="260"/>
      <c r="AA9" s="260"/>
      <c r="AF9" s="32">
        <v>4</v>
      </c>
      <c r="AG9" s="28" t="s">
        <v>236</v>
      </c>
      <c r="AH9" s="263"/>
      <c r="AI9" s="32">
        <v>49.199999999871942</v>
      </c>
      <c r="AK9" s="257"/>
      <c r="AL9" s="32">
        <v>9.1</v>
      </c>
      <c r="AM9" s="257"/>
      <c r="AN9" s="32">
        <v>2249</v>
      </c>
      <c r="AO9" s="35">
        <f t="shared" si="3"/>
        <v>45.711382113940118</v>
      </c>
      <c r="AP9" s="257"/>
      <c r="AR9" s="29">
        <f t="shared" si="4"/>
        <v>178.43478105880132</v>
      </c>
      <c r="AS9" s="257"/>
    </row>
    <row r="10" spans="2:48" x14ac:dyDescent="0.3">
      <c r="B10" s="28">
        <v>5</v>
      </c>
      <c r="C10" s="28">
        <v>2202</v>
      </c>
      <c r="D10" s="259" t="s">
        <v>237</v>
      </c>
      <c r="E10" s="28">
        <v>751</v>
      </c>
      <c r="F10" s="28">
        <v>751</v>
      </c>
      <c r="G10" s="28">
        <f t="shared" si="1"/>
        <v>0</v>
      </c>
      <c r="H10" s="28">
        <v>8.82</v>
      </c>
      <c r="I10" s="260">
        <f>AVERAGE(F10:F14)</f>
        <v>760.6</v>
      </c>
      <c r="J10" s="260">
        <f>AVERAGE(G10:G14)</f>
        <v>18.399999999999999</v>
      </c>
      <c r="K10" s="260">
        <f>AVERAGE(H10:H14)</f>
        <v>9.0440000000000005</v>
      </c>
      <c r="L10" s="261">
        <v>5</v>
      </c>
      <c r="M10" s="29">
        <v>85.8</v>
      </c>
      <c r="N10" s="29">
        <f t="shared" si="2"/>
        <v>85.147392290249428</v>
      </c>
      <c r="O10" s="260">
        <f>AVERAGE(M10:M14)</f>
        <v>82.36</v>
      </c>
      <c r="P10" s="260">
        <f>AVERAGE(N10:N14)</f>
        <v>86.154784486583495</v>
      </c>
      <c r="Q10" s="29">
        <v>525</v>
      </c>
      <c r="R10" s="260">
        <f>AVERAGE(Q10:Q14)</f>
        <v>525</v>
      </c>
      <c r="S10" s="29">
        <v>4258</v>
      </c>
      <c r="T10" s="260">
        <f>AVERAGE(S10:S14)</f>
        <v>3484.2</v>
      </c>
      <c r="U10" s="29">
        <f t="shared" si="5"/>
        <v>49.627039627039629</v>
      </c>
      <c r="V10" s="260">
        <f>AVERAGE(U10:U14)</f>
        <v>42.341731536777566</v>
      </c>
      <c r="W10" s="31">
        <f t="shared" si="0"/>
        <v>193.71958450905819</v>
      </c>
      <c r="X10" s="260">
        <f>AVERAGE(W10:W14)</f>
        <v>165.2813204725089</v>
      </c>
      <c r="AA10" s="260">
        <f>K10/AA3</f>
        <v>0.65536231884057972</v>
      </c>
      <c r="AF10" s="32">
        <v>5</v>
      </c>
      <c r="AG10" s="28" t="s">
        <v>238</v>
      </c>
      <c r="AH10" s="263"/>
      <c r="AI10" s="32">
        <v>47.899999999930152</v>
      </c>
      <c r="AK10" s="257"/>
      <c r="AL10" s="32">
        <v>4.9000000000000004</v>
      </c>
      <c r="AM10" s="257"/>
      <c r="AN10" s="32">
        <v>1493</v>
      </c>
      <c r="AO10" s="35">
        <f t="shared" si="3"/>
        <v>31.169102296496391</v>
      </c>
      <c r="AP10" s="257"/>
      <c r="AR10" s="29">
        <f t="shared" si="4"/>
        <v>121.66886422755171</v>
      </c>
      <c r="AS10" s="257"/>
    </row>
    <row r="11" spans="2:48" x14ac:dyDescent="0.3">
      <c r="B11" s="28">
        <v>6</v>
      </c>
      <c r="C11" s="28">
        <v>2204</v>
      </c>
      <c r="D11" s="259"/>
      <c r="E11" s="28">
        <v>792.5</v>
      </c>
      <c r="F11" s="28">
        <v>767.5</v>
      </c>
      <c r="G11" s="28">
        <f t="shared" si="1"/>
        <v>25</v>
      </c>
      <c r="H11" s="28">
        <v>9.07</v>
      </c>
      <c r="I11" s="260"/>
      <c r="J11" s="260"/>
      <c r="K11" s="260"/>
      <c r="L11" s="261"/>
      <c r="M11" s="29">
        <f>88.9-5.5</f>
        <v>83.4</v>
      </c>
      <c r="N11" s="29">
        <f t="shared" si="2"/>
        <v>87.375964718853353</v>
      </c>
      <c r="O11" s="260"/>
      <c r="P11" s="260"/>
      <c r="Q11" s="29">
        <v>525</v>
      </c>
      <c r="R11" s="260"/>
      <c r="S11" s="29">
        <v>3169</v>
      </c>
      <c r="T11" s="260"/>
      <c r="U11" s="29">
        <f t="shared" si="5"/>
        <v>37.997601918465229</v>
      </c>
      <c r="V11" s="260"/>
      <c r="W11" s="31">
        <f t="shared" si="0"/>
        <v>148.32397240102654</v>
      </c>
      <c r="X11" s="260"/>
      <c r="AA11" s="260"/>
      <c r="AF11" s="32">
        <v>6</v>
      </c>
      <c r="AG11" s="28" t="s">
        <v>239</v>
      </c>
      <c r="AH11" s="263"/>
      <c r="AI11" s="32">
        <v>43.999999999965077</v>
      </c>
      <c r="AK11" s="257"/>
      <c r="AL11" s="32">
        <v>4.9000000000000004</v>
      </c>
      <c r="AM11" s="257"/>
      <c r="AN11" s="32">
        <v>1559</v>
      </c>
      <c r="AO11" s="35">
        <f t="shared" si="3"/>
        <v>35.431818181846303</v>
      </c>
      <c r="AP11" s="257"/>
      <c r="AR11" s="29">
        <f t="shared" si="4"/>
        <v>138.30841307825972</v>
      </c>
      <c r="AS11" s="257"/>
    </row>
    <row r="12" spans="2:48" x14ac:dyDescent="0.3">
      <c r="B12" s="28">
        <v>7</v>
      </c>
      <c r="C12" s="28">
        <v>2205</v>
      </c>
      <c r="D12" s="259"/>
      <c r="E12" s="28">
        <v>790</v>
      </c>
      <c r="F12" s="28">
        <v>768</v>
      </c>
      <c r="G12" s="28">
        <f t="shared" si="1"/>
        <v>22</v>
      </c>
      <c r="H12" s="28">
        <v>9.39</v>
      </c>
      <c r="I12" s="260"/>
      <c r="J12" s="260"/>
      <c r="K12" s="260"/>
      <c r="L12" s="261"/>
      <c r="M12" s="29">
        <f>93.8-14.5</f>
        <v>79.3</v>
      </c>
      <c r="N12" s="29">
        <f t="shared" si="2"/>
        <v>84.132055378061764</v>
      </c>
      <c r="O12" s="260"/>
      <c r="P12" s="260"/>
      <c r="Q12" s="29">
        <v>525</v>
      </c>
      <c r="R12" s="260"/>
      <c r="S12" s="29">
        <v>3226</v>
      </c>
      <c r="T12" s="260"/>
      <c r="U12" s="29">
        <f t="shared" si="5"/>
        <v>40.680958385876423</v>
      </c>
      <c r="V12" s="260"/>
      <c r="W12" s="31">
        <f t="shared" si="0"/>
        <v>158.79847790978079</v>
      </c>
      <c r="X12" s="260"/>
      <c r="AA12" s="260"/>
      <c r="AF12" s="32">
        <v>7</v>
      </c>
      <c r="AG12" s="28" t="s">
        <v>240</v>
      </c>
      <c r="AH12" s="263"/>
      <c r="AI12" s="32">
        <v>45.599999999918509</v>
      </c>
      <c r="AK12" s="257"/>
      <c r="AL12" s="32">
        <v>5</v>
      </c>
      <c r="AM12" s="257"/>
      <c r="AN12" s="32">
        <v>1723</v>
      </c>
      <c r="AO12" s="35">
        <f t="shared" si="3"/>
        <v>37.785087719365769</v>
      </c>
      <c r="AP12" s="257"/>
      <c r="AR12" s="29">
        <f t="shared" si="4"/>
        <v>147.49442136068217</v>
      </c>
      <c r="AS12" s="257"/>
    </row>
    <row r="13" spans="2:48" x14ac:dyDescent="0.3">
      <c r="B13" s="28">
        <v>8</v>
      </c>
      <c r="C13" s="28">
        <v>2207</v>
      </c>
      <c r="D13" s="259"/>
      <c r="E13" s="28">
        <v>786.5</v>
      </c>
      <c r="F13" s="28">
        <v>763.5</v>
      </c>
      <c r="G13" s="28">
        <f t="shared" si="1"/>
        <v>23</v>
      </c>
      <c r="H13" s="28">
        <v>9.14</v>
      </c>
      <c r="I13" s="260"/>
      <c r="J13" s="260"/>
      <c r="K13" s="260"/>
      <c r="L13" s="261"/>
      <c r="M13" s="29">
        <v>74.3</v>
      </c>
      <c r="N13" s="29">
        <f t="shared" si="2"/>
        <v>86.050328227571114</v>
      </c>
      <c r="O13" s="260"/>
      <c r="P13" s="260"/>
      <c r="Q13" s="29">
        <v>525</v>
      </c>
      <c r="R13" s="260"/>
      <c r="S13" s="29">
        <v>3310</v>
      </c>
      <c r="T13" s="260"/>
      <c r="U13" s="29">
        <f t="shared" si="5"/>
        <v>44.549125168236877</v>
      </c>
      <c r="V13" s="260"/>
      <c r="W13" s="31">
        <f t="shared" si="0"/>
        <v>173.89790087601239</v>
      </c>
      <c r="X13" s="260"/>
      <c r="AA13" s="260"/>
      <c r="AF13" s="32">
        <v>8</v>
      </c>
      <c r="AG13" s="28" t="s">
        <v>241</v>
      </c>
      <c r="AH13" s="263"/>
      <c r="AI13" s="32">
        <v>42.099999999941794</v>
      </c>
      <c r="AK13" s="257"/>
      <c r="AL13" s="32">
        <v>5.4</v>
      </c>
      <c r="AM13" s="257"/>
      <c r="AN13" s="32">
        <v>1423</v>
      </c>
      <c r="AO13" s="35">
        <f t="shared" si="3"/>
        <v>33.800475059429154</v>
      </c>
      <c r="AP13" s="257"/>
      <c r="AR13" s="29">
        <f t="shared" si="4"/>
        <v>131.94045088987696</v>
      </c>
      <c r="AS13" s="257"/>
    </row>
    <row r="14" spans="2:48" x14ac:dyDescent="0.3">
      <c r="B14" s="28">
        <v>9</v>
      </c>
      <c r="C14" s="28">
        <v>2208</v>
      </c>
      <c r="D14" s="259"/>
      <c r="E14" s="28">
        <v>775</v>
      </c>
      <c r="F14" s="28">
        <v>753</v>
      </c>
      <c r="G14" s="28">
        <f t="shared" si="1"/>
        <v>22</v>
      </c>
      <c r="H14" s="28">
        <v>8.8000000000000007</v>
      </c>
      <c r="I14" s="260"/>
      <c r="J14" s="260"/>
      <c r="K14" s="260"/>
      <c r="L14" s="261"/>
      <c r="M14" s="29">
        <f>96.8-7.8</f>
        <v>89</v>
      </c>
      <c r="N14" s="29">
        <f t="shared" si="2"/>
        <v>88.068181818181813</v>
      </c>
      <c r="O14" s="260"/>
      <c r="P14" s="260"/>
      <c r="Q14" s="29">
        <v>525</v>
      </c>
      <c r="R14" s="260"/>
      <c r="S14" s="29">
        <v>3458</v>
      </c>
      <c r="T14" s="260"/>
      <c r="U14" s="29">
        <f t="shared" si="5"/>
        <v>38.853932584269664</v>
      </c>
      <c r="V14" s="260"/>
      <c r="W14" s="31">
        <f t="shared" si="0"/>
        <v>151.66666666666666</v>
      </c>
      <c r="X14" s="260"/>
      <c r="AA14" s="260"/>
      <c r="AF14" s="32">
        <v>9</v>
      </c>
      <c r="AG14" s="36" t="s">
        <v>235</v>
      </c>
      <c r="AH14" s="264"/>
      <c r="AI14" s="32">
        <v>97.699999999941795</v>
      </c>
      <c r="AK14" s="258"/>
      <c r="AL14" s="32">
        <v>3.8</v>
      </c>
      <c r="AM14" s="258"/>
      <c r="AN14" s="32">
        <v>3114</v>
      </c>
      <c r="AO14" s="35">
        <f t="shared" si="3"/>
        <v>31.873080859793809</v>
      </c>
      <c r="AP14" s="258"/>
      <c r="AR14" s="29">
        <f t="shared" si="4"/>
        <v>124.41685072463375</v>
      </c>
      <c r="AS14" s="258"/>
    </row>
    <row r="15" spans="2:48" x14ac:dyDescent="0.3">
      <c r="B15" s="32">
        <v>10</v>
      </c>
      <c r="C15" s="28">
        <v>2202</v>
      </c>
      <c r="D15" s="259" t="s">
        <v>242</v>
      </c>
      <c r="E15" s="32">
        <v>78</v>
      </c>
      <c r="F15" s="32">
        <v>75.5</v>
      </c>
      <c r="G15" s="32">
        <f t="shared" si="1"/>
        <v>2.5</v>
      </c>
      <c r="H15" s="32">
        <v>8</v>
      </c>
      <c r="I15" s="260">
        <f>AVERAGE(F15:F19)</f>
        <v>75.8</v>
      </c>
      <c r="J15" s="260">
        <f>AVERAGE(G15:G19)</f>
        <v>2.1</v>
      </c>
      <c r="K15" s="260">
        <f>AVERAGE(H15:H19)</f>
        <v>7.7919999999999998</v>
      </c>
      <c r="L15" s="261">
        <v>5</v>
      </c>
      <c r="M15" s="29">
        <v>10.3</v>
      </c>
      <c r="N15" s="29">
        <f t="shared" si="2"/>
        <v>9.75</v>
      </c>
      <c r="O15" s="260">
        <f>AVERAGE(M15:M19)</f>
        <v>10.280000000000001</v>
      </c>
      <c r="P15" s="260">
        <f>AVERAGE(N15:N19)</f>
        <v>10.025614475092496</v>
      </c>
      <c r="Q15" s="29">
        <v>525</v>
      </c>
      <c r="R15" s="260">
        <f>AVERAGE(Q15:Q19)</f>
        <v>525</v>
      </c>
      <c r="S15" s="29">
        <v>468</v>
      </c>
      <c r="T15" s="260">
        <f>AVERAGE(S15:S19)</f>
        <v>386</v>
      </c>
      <c r="U15" s="29">
        <f t="shared" si="5"/>
        <v>45.436893203883493</v>
      </c>
      <c r="V15" s="260">
        <f>AVERAGE(U15:U19)</f>
        <v>37.618458177524232</v>
      </c>
      <c r="W15" s="31">
        <f t="shared" si="0"/>
        <v>177.36331119059784</v>
      </c>
      <c r="X15" s="260">
        <f>AVERAGE(W15:W19)</f>
        <v>146.84398148244108</v>
      </c>
      <c r="AA15" s="260">
        <f>K15/AA3</f>
        <v>0.56463768115942026</v>
      </c>
      <c r="AF15" s="28">
        <v>10</v>
      </c>
      <c r="AG15" s="36">
        <v>2202</v>
      </c>
      <c r="AH15" s="262" t="s">
        <v>243</v>
      </c>
      <c r="AI15" s="28">
        <v>115.7</v>
      </c>
      <c r="AK15" s="265">
        <f>AVERAGE(AI15:AI38)</f>
        <v>60.812500000007276</v>
      </c>
      <c r="AL15" s="28">
        <v>9.6999999999999993</v>
      </c>
      <c r="AM15" s="265">
        <f>AVERAGE(AL15:AL38)</f>
        <v>11.204166666666667</v>
      </c>
      <c r="AN15" s="28">
        <v>4930</v>
      </c>
      <c r="AO15" s="37">
        <f t="shared" si="3"/>
        <v>42.610198789974071</v>
      </c>
      <c r="AP15" s="265">
        <f>AVERAGE(AO15:AO38)</f>
        <v>54.138865306117623</v>
      </c>
      <c r="AR15" s="29">
        <f t="shared" si="4"/>
        <v>166.32928475033737</v>
      </c>
      <c r="AS15" s="265">
        <f>AVERAGE(AR15:AR38)</f>
        <v>211.33153562475732</v>
      </c>
    </row>
    <row r="16" spans="2:48" x14ac:dyDescent="0.3">
      <c r="B16" s="32">
        <v>11</v>
      </c>
      <c r="C16" s="28">
        <v>2204</v>
      </c>
      <c r="D16" s="259"/>
      <c r="E16" s="32">
        <v>79.5</v>
      </c>
      <c r="F16" s="32">
        <v>74</v>
      </c>
      <c r="G16" s="32">
        <f t="shared" si="1"/>
        <v>5.5</v>
      </c>
      <c r="H16" s="32">
        <v>7.5</v>
      </c>
      <c r="I16" s="260"/>
      <c r="J16" s="260"/>
      <c r="K16" s="260"/>
      <c r="L16" s="261"/>
      <c r="M16" s="29">
        <v>9.6999999999999993</v>
      </c>
      <c r="N16" s="29">
        <f t="shared" si="2"/>
        <v>10.6</v>
      </c>
      <c r="O16" s="260"/>
      <c r="P16" s="260"/>
      <c r="Q16" s="29">
        <v>525</v>
      </c>
      <c r="R16" s="260"/>
      <c r="S16" s="29">
        <v>383</v>
      </c>
      <c r="T16" s="260"/>
      <c r="U16" s="29">
        <f t="shared" si="5"/>
        <v>39.484536082474229</v>
      </c>
      <c r="V16" s="260"/>
      <c r="W16" s="31">
        <f t="shared" si="0"/>
        <v>154.12823295351782</v>
      </c>
      <c r="X16" s="260"/>
      <c r="AA16" s="260"/>
      <c r="AF16" s="28">
        <v>11</v>
      </c>
      <c r="AG16" s="28">
        <v>2203</v>
      </c>
      <c r="AH16" s="263"/>
      <c r="AI16" s="28">
        <v>65.7</v>
      </c>
      <c r="AK16" s="257"/>
      <c r="AL16" s="28">
        <v>18.8</v>
      </c>
      <c r="AM16" s="257"/>
      <c r="AN16" s="28">
        <v>3533</v>
      </c>
      <c r="AO16" s="37">
        <f t="shared" si="3"/>
        <v>53.774733637747332</v>
      </c>
      <c r="AP16" s="257"/>
      <c r="AR16" s="29">
        <f t="shared" si="4"/>
        <v>209.91014446313653</v>
      </c>
      <c r="AS16" s="257"/>
    </row>
    <row r="17" spans="2:45" x14ac:dyDescent="0.3">
      <c r="B17" s="32">
        <v>12</v>
      </c>
      <c r="C17" s="28">
        <v>2205</v>
      </c>
      <c r="D17" s="259"/>
      <c r="E17" s="32">
        <v>76</v>
      </c>
      <c r="F17" s="32">
        <v>75.5</v>
      </c>
      <c r="G17" s="32">
        <f t="shared" si="1"/>
        <v>0.5</v>
      </c>
      <c r="H17" s="32">
        <v>7.11</v>
      </c>
      <c r="I17" s="260"/>
      <c r="J17" s="260"/>
      <c r="K17" s="260"/>
      <c r="L17" s="261"/>
      <c r="M17" s="29">
        <v>11.1</v>
      </c>
      <c r="N17" s="29">
        <f t="shared" si="2"/>
        <v>10.689170182841069</v>
      </c>
      <c r="O17" s="260"/>
      <c r="P17" s="260"/>
      <c r="Q17" s="29">
        <v>525</v>
      </c>
      <c r="R17" s="260"/>
      <c r="S17" s="29">
        <v>372</v>
      </c>
      <c r="T17" s="260"/>
      <c r="U17" s="29">
        <f t="shared" si="5"/>
        <v>33.513513513513516</v>
      </c>
      <c r="V17" s="260"/>
      <c r="W17" s="31">
        <f t="shared" si="0"/>
        <v>130.82029397818872</v>
      </c>
      <c r="X17" s="260"/>
      <c r="AA17" s="260"/>
      <c r="AF17" s="28">
        <v>12</v>
      </c>
      <c r="AG17" s="28">
        <v>2204</v>
      </c>
      <c r="AH17" s="263"/>
      <c r="AI17" s="28">
        <v>52.8</v>
      </c>
      <c r="AK17" s="257"/>
      <c r="AL17" s="28">
        <v>9.1999999999999993</v>
      </c>
      <c r="AM17" s="257"/>
      <c r="AN17" s="28">
        <v>2669</v>
      </c>
      <c r="AO17" s="37">
        <f t="shared" si="3"/>
        <v>50.549242424242429</v>
      </c>
      <c r="AP17" s="257"/>
      <c r="AR17" s="29">
        <f t="shared" si="4"/>
        <v>197.31941121743753</v>
      </c>
      <c r="AS17" s="257"/>
    </row>
    <row r="18" spans="2:45" x14ac:dyDescent="0.3">
      <c r="B18" s="32">
        <v>13</v>
      </c>
      <c r="C18" s="28">
        <v>2207</v>
      </c>
      <c r="D18" s="259"/>
      <c r="E18" s="32">
        <v>77.5</v>
      </c>
      <c r="F18" s="32">
        <v>77</v>
      </c>
      <c r="G18" s="32">
        <f t="shared" si="1"/>
        <v>0.5</v>
      </c>
      <c r="H18" s="32">
        <v>8.3000000000000007</v>
      </c>
      <c r="I18" s="260"/>
      <c r="J18" s="260"/>
      <c r="K18" s="260"/>
      <c r="L18" s="261"/>
      <c r="M18" s="29">
        <v>10.1</v>
      </c>
      <c r="N18" s="29">
        <f t="shared" si="2"/>
        <v>9.3373493975903603</v>
      </c>
      <c r="O18" s="260"/>
      <c r="P18" s="260"/>
      <c r="Q18" s="29">
        <v>525</v>
      </c>
      <c r="R18" s="260"/>
      <c r="S18" s="29">
        <v>354</v>
      </c>
      <c r="T18" s="260"/>
      <c r="U18" s="29">
        <f t="shared" si="5"/>
        <v>35.049504950495049</v>
      </c>
      <c r="V18" s="260"/>
      <c r="W18" s="31">
        <f t="shared" si="0"/>
        <v>136.81605002605522</v>
      </c>
      <c r="X18" s="260"/>
      <c r="AA18" s="260"/>
      <c r="AF18" s="28">
        <v>13</v>
      </c>
      <c r="AG18" s="28">
        <v>2205</v>
      </c>
      <c r="AH18" s="263"/>
      <c r="AI18" s="28">
        <v>87.700000000058211</v>
      </c>
      <c r="AK18" s="257"/>
      <c r="AL18" s="28">
        <v>7.3</v>
      </c>
      <c r="AM18" s="257"/>
      <c r="AN18" s="28">
        <v>3459</v>
      </c>
      <c r="AO18" s="37">
        <f t="shared" si="3"/>
        <v>39.441277080931634</v>
      </c>
      <c r="AP18" s="257"/>
      <c r="AR18" s="29">
        <f t="shared" si="4"/>
        <v>153.95937106153136</v>
      </c>
      <c r="AS18" s="257"/>
    </row>
    <row r="19" spans="2:45" x14ac:dyDescent="0.3">
      <c r="B19" s="32">
        <v>14</v>
      </c>
      <c r="C19" s="28">
        <v>2208</v>
      </c>
      <c r="D19" s="259"/>
      <c r="E19" s="32">
        <v>78.5</v>
      </c>
      <c r="F19" s="32">
        <v>77</v>
      </c>
      <c r="G19" s="32">
        <f t="shared" si="1"/>
        <v>1.5</v>
      </c>
      <c r="H19" s="32">
        <v>8.0500000000000007</v>
      </c>
      <c r="I19" s="260"/>
      <c r="J19" s="260"/>
      <c r="K19" s="260"/>
      <c r="L19" s="261"/>
      <c r="M19" s="29">
        <v>10.199999999999999</v>
      </c>
      <c r="N19" s="29">
        <f t="shared" si="2"/>
        <v>9.7515527950310545</v>
      </c>
      <c r="O19" s="260"/>
      <c r="P19" s="260"/>
      <c r="Q19" s="29">
        <v>525</v>
      </c>
      <c r="R19" s="260"/>
      <c r="S19" s="29">
        <v>353</v>
      </c>
      <c r="T19" s="260"/>
      <c r="U19" s="29">
        <f t="shared" si="5"/>
        <v>34.607843137254903</v>
      </c>
      <c r="V19" s="260"/>
      <c r="W19" s="31">
        <f t="shared" si="0"/>
        <v>135.09201926384588</v>
      </c>
      <c r="X19" s="260"/>
      <c r="AA19" s="260"/>
      <c r="AF19" s="28">
        <v>14</v>
      </c>
      <c r="AG19" s="28">
        <v>2206</v>
      </c>
      <c r="AH19" s="263"/>
      <c r="AI19" s="28">
        <v>43.599999999941794</v>
      </c>
      <c r="AK19" s="257"/>
      <c r="AL19" s="28">
        <v>15.9</v>
      </c>
      <c r="AM19" s="257"/>
      <c r="AN19" s="28">
        <v>2437</v>
      </c>
      <c r="AO19" s="37">
        <f t="shared" si="3"/>
        <v>55.894495412918658</v>
      </c>
      <c r="AP19" s="257"/>
      <c r="AR19" s="29">
        <f t="shared" si="4"/>
        <v>218.18465314691932</v>
      </c>
      <c r="AS19" s="257"/>
    </row>
    <row r="20" spans="2:45" x14ac:dyDescent="0.3">
      <c r="B20" s="28">
        <v>15</v>
      </c>
      <c r="C20" s="28">
        <v>2202</v>
      </c>
      <c r="D20" s="259" t="s">
        <v>244</v>
      </c>
      <c r="E20" s="28">
        <v>798</v>
      </c>
      <c r="F20" s="28">
        <v>797</v>
      </c>
      <c r="G20" s="28">
        <f t="shared" si="1"/>
        <v>1</v>
      </c>
      <c r="H20" s="28">
        <v>7.09</v>
      </c>
      <c r="I20" s="260">
        <f>AVERAGE(F20:F24)</f>
        <v>793.4</v>
      </c>
      <c r="J20" s="260">
        <f>AVERAGE(G20:G24)</f>
        <v>1</v>
      </c>
      <c r="K20" s="260">
        <f>AVERAGE(H20:H24)</f>
        <v>8.0380000000000003</v>
      </c>
      <c r="L20" s="261">
        <v>5</v>
      </c>
      <c r="M20" s="29">
        <v>111</v>
      </c>
      <c r="N20" s="29">
        <f t="shared" si="2"/>
        <v>112.55289139633287</v>
      </c>
      <c r="O20" s="260">
        <f>AVERAGE(M20:M24)</f>
        <v>97.92</v>
      </c>
      <c r="P20" s="260">
        <f>AVERAGE(N20:N24)</f>
        <v>99.912901378317812</v>
      </c>
      <c r="Q20" s="29">
        <v>525</v>
      </c>
      <c r="R20" s="260">
        <f>AVERAGE(Q20:Q24)</f>
        <v>525</v>
      </c>
      <c r="S20" s="29">
        <v>3948</v>
      </c>
      <c r="T20" s="260">
        <f>AVERAGE(S20:S24)</f>
        <v>3605.2</v>
      </c>
      <c r="U20" s="29">
        <f t="shared" si="5"/>
        <v>35.567567567567565</v>
      </c>
      <c r="V20" s="260">
        <f>AVERAGE(U20:U24)</f>
        <v>37.070088701315242</v>
      </c>
      <c r="W20" s="31">
        <f t="shared" si="0"/>
        <v>138.83831199620673</v>
      </c>
      <c r="X20" s="260">
        <f>AVERAGE(W20:W24)</f>
        <v>144.70341642180071</v>
      </c>
      <c r="AA20" s="260">
        <f>K20/AA3</f>
        <v>0.58246376811594203</v>
      </c>
      <c r="AF20" s="28">
        <v>15</v>
      </c>
      <c r="AG20" s="28">
        <v>2207</v>
      </c>
      <c r="AH20" s="263"/>
      <c r="AI20" s="28">
        <v>44.800000000081489</v>
      </c>
      <c r="AK20" s="257"/>
      <c r="AL20" s="28">
        <v>14.1</v>
      </c>
      <c r="AM20" s="257"/>
      <c r="AN20" s="28">
        <v>2498</v>
      </c>
      <c r="AO20" s="37">
        <f t="shared" si="3"/>
        <v>55.758928571327147</v>
      </c>
      <c r="AP20" s="257"/>
      <c r="AR20" s="29">
        <f t="shared" si="4"/>
        <v>217.65546679158405</v>
      </c>
      <c r="AS20" s="257"/>
    </row>
    <row r="21" spans="2:45" x14ac:dyDescent="0.3">
      <c r="B21" s="28">
        <v>16</v>
      </c>
      <c r="C21" s="28">
        <v>2204</v>
      </c>
      <c r="D21" s="259"/>
      <c r="E21" s="28">
        <v>791</v>
      </c>
      <c r="F21" s="28">
        <v>789.5</v>
      </c>
      <c r="G21" s="28">
        <f t="shared" si="1"/>
        <v>1.5</v>
      </c>
      <c r="H21" s="28">
        <v>7.05</v>
      </c>
      <c r="I21" s="260"/>
      <c r="J21" s="260"/>
      <c r="K21" s="260"/>
      <c r="L21" s="261"/>
      <c r="M21" s="29">
        <v>111</v>
      </c>
      <c r="N21" s="29">
        <f t="shared" si="2"/>
        <v>112.19858156028369</v>
      </c>
      <c r="O21" s="260"/>
      <c r="P21" s="260"/>
      <c r="Q21" s="29">
        <v>525</v>
      </c>
      <c r="R21" s="260"/>
      <c r="S21" s="29">
        <v>3898</v>
      </c>
      <c r="T21" s="260"/>
      <c r="U21" s="29">
        <f t="shared" si="5"/>
        <v>35.117117117117118</v>
      </c>
      <c r="V21" s="260"/>
      <c r="W21" s="31">
        <f t="shared" si="0"/>
        <v>137.07997471155366</v>
      </c>
      <c r="X21" s="260"/>
      <c r="AA21" s="260"/>
      <c r="AF21" s="28">
        <v>16</v>
      </c>
      <c r="AG21" s="28">
        <v>2208</v>
      </c>
      <c r="AH21" s="263"/>
      <c r="AI21" s="28">
        <v>89.200000000046572</v>
      </c>
      <c r="AK21" s="257"/>
      <c r="AL21" s="28">
        <v>6.6</v>
      </c>
      <c r="AM21" s="257"/>
      <c r="AN21" s="28">
        <v>3736</v>
      </c>
      <c r="AO21" s="37">
        <f t="shared" si="3"/>
        <v>41.883408071727011</v>
      </c>
      <c r="AP21" s="257"/>
      <c r="AR21" s="29">
        <f t="shared" si="4"/>
        <v>163.49225080630279</v>
      </c>
      <c r="AS21" s="257"/>
    </row>
    <row r="22" spans="2:45" x14ac:dyDescent="0.3">
      <c r="B22" s="28">
        <v>17</v>
      </c>
      <c r="C22" s="28">
        <v>2205</v>
      </c>
      <c r="D22" s="259"/>
      <c r="E22" s="28">
        <v>798.5</v>
      </c>
      <c r="F22" s="28">
        <v>796.5</v>
      </c>
      <c r="G22" s="28">
        <f t="shared" si="1"/>
        <v>2</v>
      </c>
      <c r="H22" s="28">
        <v>8.36</v>
      </c>
      <c r="I22" s="260"/>
      <c r="J22" s="260"/>
      <c r="K22" s="260"/>
      <c r="L22" s="261"/>
      <c r="M22" s="29">
        <v>93.2</v>
      </c>
      <c r="N22" s="29">
        <f t="shared" si="2"/>
        <v>95.514354066985646</v>
      </c>
      <c r="O22" s="260"/>
      <c r="P22" s="260"/>
      <c r="Q22" s="29">
        <v>525</v>
      </c>
      <c r="R22" s="260"/>
      <c r="S22" s="29">
        <v>3230</v>
      </c>
      <c r="T22" s="260"/>
      <c r="U22" s="29">
        <f t="shared" si="5"/>
        <v>34.656652360515018</v>
      </c>
      <c r="V22" s="260"/>
      <c r="W22" s="31">
        <f t="shared" si="0"/>
        <v>135.28254649499283</v>
      </c>
      <c r="X22" s="260"/>
      <c r="AA22" s="260"/>
      <c r="AF22" s="28">
        <v>17</v>
      </c>
      <c r="AG22" s="36" t="s">
        <v>245</v>
      </c>
      <c r="AH22" s="263"/>
      <c r="AI22" s="28">
        <v>241.8000000001397</v>
      </c>
      <c r="AK22" s="257"/>
      <c r="AL22" s="28">
        <v>14.1</v>
      </c>
      <c r="AM22" s="257"/>
      <c r="AN22" s="28">
        <v>9012</v>
      </c>
      <c r="AO22" s="37">
        <f t="shared" si="3"/>
        <v>37.270471463998319</v>
      </c>
      <c r="AP22" s="257"/>
      <c r="AR22" s="29">
        <f t="shared" si="4"/>
        <v>145.48561229367763</v>
      </c>
      <c r="AS22" s="257"/>
    </row>
    <row r="23" spans="2:45" x14ac:dyDescent="0.3">
      <c r="B23" s="28">
        <v>18</v>
      </c>
      <c r="C23" s="28">
        <v>2207</v>
      </c>
      <c r="D23" s="259"/>
      <c r="E23" s="28">
        <v>795.5</v>
      </c>
      <c r="F23" s="28">
        <v>795</v>
      </c>
      <c r="G23" s="28">
        <f t="shared" si="1"/>
        <v>0.5</v>
      </c>
      <c r="H23" s="28">
        <v>8.6</v>
      </c>
      <c r="I23" s="260"/>
      <c r="J23" s="260"/>
      <c r="K23" s="260"/>
      <c r="L23" s="261"/>
      <c r="M23" s="29">
        <v>89.4</v>
      </c>
      <c r="N23" s="29">
        <f t="shared" si="2"/>
        <v>92.5</v>
      </c>
      <c r="O23" s="260"/>
      <c r="P23" s="260"/>
      <c r="Q23" s="29">
        <v>525</v>
      </c>
      <c r="R23" s="260"/>
      <c r="S23" s="29">
        <v>3032</v>
      </c>
      <c r="T23" s="260"/>
      <c r="U23" s="29">
        <f t="shared" si="5"/>
        <v>33.914988814317674</v>
      </c>
      <c r="V23" s="260"/>
      <c r="W23" s="31">
        <f t="shared" si="0"/>
        <v>132.38745633659093</v>
      </c>
      <c r="X23" s="260"/>
      <c r="AA23" s="260"/>
      <c r="AF23" s="28">
        <v>18</v>
      </c>
      <c r="AG23" s="28" t="s">
        <v>246</v>
      </c>
      <c r="AH23" s="263"/>
      <c r="AI23" s="28">
        <v>36.800000000069851</v>
      </c>
      <c r="AK23" s="257"/>
      <c r="AL23" s="28">
        <v>10.9</v>
      </c>
      <c r="AM23" s="257"/>
      <c r="AN23" s="28">
        <v>2835</v>
      </c>
      <c r="AO23" s="37">
        <f t="shared" si="3"/>
        <v>77.038043478114645</v>
      </c>
      <c r="AP23" s="257"/>
      <c r="AR23" s="29">
        <f t="shared" si="4"/>
        <v>300.71867848913172</v>
      </c>
      <c r="AS23" s="257"/>
    </row>
    <row r="24" spans="2:45" x14ac:dyDescent="0.3">
      <c r="B24" s="28">
        <v>19</v>
      </c>
      <c r="C24" s="28">
        <v>2208</v>
      </c>
      <c r="D24" s="259"/>
      <c r="E24" s="28">
        <v>789</v>
      </c>
      <c r="F24" s="28">
        <v>789</v>
      </c>
      <c r="G24" s="28">
        <f t="shared" si="1"/>
        <v>0</v>
      </c>
      <c r="H24" s="28">
        <v>9.09</v>
      </c>
      <c r="I24" s="260"/>
      <c r="J24" s="260"/>
      <c r="K24" s="260"/>
      <c r="L24" s="261"/>
      <c r="M24" s="29">
        <v>85</v>
      </c>
      <c r="N24" s="29">
        <f t="shared" si="2"/>
        <v>86.798679867986806</v>
      </c>
      <c r="O24" s="260"/>
      <c r="P24" s="260"/>
      <c r="Q24" s="29">
        <v>525</v>
      </c>
      <c r="R24" s="260"/>
      <c r="S24" s="29">
        <v>3918</v>
      </c>
      <c r="T24" s="260"/>
      <c r="U24" s="29">
        <f t="shared" si="5"/>
        <v>46.094117647058823</v>
      </c>
      <c r="V24" s="260"/>
      <c r="W24" s="31">
        <f t="shared" si="0"/>
        <v>179.92879256965944</v>
      </c>
      <c r="X24" s="260"/>
      <c r="AA24" s="260"/>
      <c r="AF24" s="28">
        <v>19</v>
      </c>
      <c r="AG24" s="36" t="s">
        <v>247</v>
      </c>
      <c r="AH24" s="263"/>
      <c r="AI24" s="28">
        <v>92.399999999965075</v>
      </c>
      <c r="AK24" s="257"/>
      <c r="AL24" s="28">
        <v>9</v>
      </c>
      <c r="AM24" s="257"/>
      <c r="AN24" s="28">
        <v>4202</v>
      </c>
      <c r="AO24" s="37">
        <f t="shared" si="3"/>
        <v>45.476190476207663</v>
      </c>
      <c r="AP24" s="257"/>
      <c r="AR24" s="29">
        <f t="shared" si="4"/>
        <v>177.51670843782816</v>
      </c>
      <c r="AS24" s="257"/>
    </row>
    <row r="25" spans="2:45" x14ac:dyDescent="0.3">
      <c r="B25" s="32">
        <v>20</v>
      </c>
      <c r="C25" s="28">
        <v>2203</v>
      </c>
      <c r="D25" s="259" t="s">
        <v>248</v>
      </c>
      <c r="E25" s="32">
        <v>583.5</v>
      </c>
      <c r="F25" s="32">
        <v>581</v>
      </c>
      <c r="G25" s="32">
        <f t="shared" si="1"/>
        <v>2.5</v>
      </c>
      <c r="H25" s="32">
        <v>8.42</v>
      </c>
      <c r="I25" s="260">
        <f>AVERAGE(F25:F31)</f>
        <v>588.57142857142856</v>
      </c>
      <c r="J25" s="260">
        <f>AVERAGE(G25:G31)</f>
        <v>10.428571428571429</v>
      </c>
      <c r="K25" s="260">
        <f>AVERAGE(H25:H31)</f>
        <v>8.3671428571428574</v>
      </c>
      <c r="L25" s="261">
        <v>7</v>
      </c>
      <c r="M25" s="29">
        <v>69.900000000000006</v>
      </c>
      <c r="N25" s="29">
        <f t="shared" si="2"/>
        <v>69.299287410926368</v>
      </c>
      <c r="O25" s="260">
        <f>AVERAGE(M25:M31)</f>
        <v>72.63333333333334</v>
      </c>
      <c r="P25" s="260">
        <f>AVERAGE(N25:N31)</f>
        <v>72.64501994220295</v>
      </c>
      <c r="Q25" s="29">
        <v>525</v>
      </c>
      <c r="R25" s="260">
        <f>AVERAGE(Q25:Q31)</f>
        <v>530.71428571428567</v>
      </c>
      <c r="S25" s="29">
        <v>3516</v>
      </c>
      <c r="T25" s="260">
        <f>AVERAGE(S25:S31)</f>
        <v>3503.8333333333335</v>
      </c>
      <c r="U25" s="29">
        <f t="shared" si="5"/>
        <v>50.300429184549351</v>
      </c>
      <c r="V25" s="260">
        <f>AVERAGE(U25:U31)</f>
        <v>48.440197037753848</v>
      </c>
      <c r="W25" s="31">
        <f t="shared" si="0"/>
        <v>196.34816655372333</v>
      </c>
      <c r="X25" s="260">
        <f>AVERAGE(W25:W31)</f>
        <v>189.08673405088129</v>
      </c>
      <c r="AA25" s="260">
        <f>K25/AA3</f>
        <v>0.6063146997929606</v>
      </c>
      <c r="AF25" s="28">
        <v>20</v>
      </c>
      <c r="AG25" s="28" t="s">
        <v>249</v>
      </c>
      <c r="AH25" s="263"/>
      <c r="AI25" s="28">
        <v>77.799999999906873</v>
      </c>
      <c r="AK25" s="257"/>
      <c r="AL25" s="28">
        <v>9.6</v>
      </c>
      <c r="AM25" s="257"/>
      <c r="AN25" s="28">
        <v>3295</v>
      </c>
      <c r="AO25" s="37">
        <f t="shared" si="3"/>
        <v>42.352185090024989</v>
      </c>
      <c r="AP25" s="257"/>
      <c r="AR25" s="29">
        <f t="shared" si="4"/>
        <v>165.32212600930808</v>
      </c>
      <c r="AS25" s="257"/>
    </row>
    <row r="26" spans="2:45" x14ac:dyDescent="0.3">
      <c r="B26" s="32">
        <v>21</v>
      </c>
      <c r="C26" s="28">
        <v>2203</v>
      </c>
      <c r="D26" s="259"/>
      <c r="E26" s="32">
        <v>600</v>
      </c>
      <c r="F26" s="32">
        <v>599</v>
      </c>
      <c r="G26" s="32">
        <f t="shared" si="1"/>
        <v>1</v>
      </c>
      <c r="H26" s="32">
        <v>8.6</v>
      </c>
      <c r="I26" s="260"/>
      <c r="J26" s="260"/>
      <c r="K26" s="260"/>
      <c r="L26" s="261"/>
      <c r="M26" s="29">
        <v>68.7</v>
      </c>
      <c r="N26" s="29">
        <f t="shared" si="2"/>
        <v>69.767441860465112</v>
      </c>
      <c r="O26" s="260"/>
      <c r="P26" s="260"/>
      <c r="Q26" s="29">
        <v>525</v>
      </c>
      <c r="R26" s="260"/>
      <c r="S26" s="29">
        <v>2508</v>
      </c>
      <c r="T26" s="260"/>
      <c r="U26" s="29">
        <f t="shared" si="5"/>
        <v>36.506550218340607</v>
      </c>
      <c r="V26" s="260"/>
      <c r="W26" s="31">
        <f t="shared" si="0"/>
        <v>142.5036390101892</v>
      </c>
      <c r="X26" s="260"/>
      <c r="AA26" s="260"/>
      <c r="AF26" s="28">
        <v>21</v>
      </c>
      <c r="AG26" s="28" t="s">
        <v>250</v>
      </c>
      <c r="AH26" s="263"/>
      <c r="AI26" s="28">
        <v>38.000000000046569</v>
      </c>
      <c r="AK26" s="257"/>
      <c r="AL26" s="28">
        <v>9.8000000000000007</v>
      </c>
      <c r="AM26" s="257"/>
      <c r="AN26" s="28">
        <v>1980</v>
      </c>
      <c r="AO26" s="37">
        <f t="shared" si="3"/>
        <v>52.105263157830883</v>
      </c>
      <c r="AP26" s="257"/>
      <c r="AR26" s="29">
        <f t="shared" si="4"/>
        <v>203.39335180030477</v>
      </c>
      <c r="AS26" s="257"/>
    </row>
    <row r="27" spans="2:45" x14ac:dyDescent="0.3">
      <c r="B27" s="32">
        <v>22</v>
      </c>
      <c r="C27" s="28" t="s">
        <v>73</v>
      </c>
      <c r="D27" s="259"/>
      <c r="E27" s="32">
        <v>596</v>
      </c>
      <c r="F27" s="32">
        <v>595</v>
      </c>
      <c r="G27" s="32">
        <f t="shared" si="1"/>
        <v>1</v>
      </c>
      <c r="H27" s="32">
        <v>9.1300000000000008</v>
      </c>
      <c r="I27" s="260"/>
      <c r="J27" s="260"/>
      <c r="K27" s="260"/>
      <c r="L27" s="261"/>
      <c r="M27" s="29"/>
      <c r="N27" s="29">
        <f t="shared" si="2"/>
        <v>65.279299014238774</v>
      </c>
      <c r="O27" s="260"/>
      <c r="P27" s="260"/>
      <c r="Q27" s="29">
        <v>525</v>
      </c>
      <c r="R27" s="260"/>
      <c r="S27" s="29"/>
      <c r="T27" s="260"/>
      <c r="U27" s="29"/>
      <c r="V27" s="260"/>
      <c r="W27" s="31"/>
      <c r="X27" s="260"/>
      <c r="AA27" s="260"/>
      <c r="AF27" s="28">
        <v>22</v>
      </c>
      <c r="AG27" s="28" t="s">
        <v>251</v>
      </c>
      <c r="AH27" s="263"/>
      <c r="AI27" s="28">
        <v>34.5</v>
      </c>
      <c r="AK27" s="257"/>
      <c r="AL27" s="28">
        <v>10.5</v>
      </c>
      <c r="AM27" s="257"/>
      <c r="AN27" s="28">
        <v>1583</v>
      </c>
      <c r="AO27" s="37">
        <f t="shared" si="3"/>
        <v>45.884057971014492</v>
      </c>
      <c r="AP27" s="257"/>
      <c r="AR27" s="29">
        <f t="shared" si="4"/>
        <v>179.10882278159164</v>
      </c>
      <c r="AS27" s="257"/>
    </row>
    <row r="28" spans="2:45" x14ac:dyDescent="0.3">
      <c r="B28" s="32">
        <v>23</v>
      </c>
      <c r="C28" s="28" t="s">
        <v>250</v>
      </c>
      <c r="D28" s="259"/>
      <c r="E28" s="32">
        <v>587</v>
      </c>
      <c r="F28" s="32">
        <v>584</v>
      </c>
      <c r="G28" s="32">
        <f t="shared" si="1"/>
        <v>3</v>
      </c>
      <c r="H28" s="32">
        <v>8.19</v>
      </c>
      <c r="I28" s="260"/>
      <c r="J28" s="260"/>
      <c r="K28" s="260"/>
      <c r="L28" s="261"/>
      <c r="M28" s="29">
        <v>69.599999999999994</v>
      </c>
      <c r="N28" s="29">
        <f t="shared" si="2"/>
        <v>71.672771672771674</v>
      </c>
      <c r="O28" s="260"/>
      <c r="P28" s="260"/>
      <c r="Q28" s="29">
        <v>525</v>
      </c>
      <c r="R28" s="260"/>
      <c r="S28" s="29">
        <v>2527</v>
      </c>
      <c r="T28" s="260"/>
      <c r="U28" s="29">
        <f t="shared" si="5"/>
        <v>36.30747126436782</v>
      </c>
      <c r="V28" s="260"/>
      <c r="W28" s="31">
        <f t="shared" ref="W28:W37" si="6">(((S28/M28)/1000)*(890*1000))/$AU$3</f>
        <v>141.72653256704982</v>
      </c>
      <c r="X28" s="260"/>
      <c r="AA28" s="260"/>
      <c r="AF28" s="28">
        <v>23</v>
      </c>
      <c r="AG28" s="28" t="s">
        <v>252</v>
      </c>
      <c r="AH28" s="263"/>
      <c r="AI28" s="28">
        <v>34.900000000058206</v>
      </c>
      <c r="AK28" s="257"/>
      <c r="AL28" s="28">
        <v>10.6</v>
      </c>
      <c r="AM28" s="257"/>
      <c r="AN28" s="28">
        <v>1208</v>
      </c>
      <c r="AO28" s="37">
        <f t="shared" si="3"/>
        <v>34.613180515701586</v>
      </c>
      <c r="AP28" s="257"/>
      <c r="AR28" s="29">
        <f t="shared" si="4"/>
        <v>135.11285376743163</v>
      </c>
      <c r="AS28" s="257"/>
    </row>
    <row r="29" spans="2:45" x14ac:dyDescent="0.3">
      <c r="B29" s="32">
        <v>24</v>
      </c>
      <c r="C29" s="28" t="s">
        <v>251</v>
      </c>
      <c r="D29" s="259"/>
      <c r="E29" s="32">
        <v>595.5</v>
      </c>
      <c r="F29" s="32">
        <v>592.5</v>
      </c>
      <c r="G29" s="32">
        <f t="shared" si="1"/>
        <v>3</v>
      </c>
      <c r="H29" s="32">
        <v>6.93</v>
      </c>
      <c r="I29" s="260"/>
      <c r="J29" s="260"/>
      <c r="K29" s="260"/>
      <c r="L29" s="261"/>
      <c r="M29" s="29">
        <v>86.1</v>
      </c>
      <c r="N29" s="29">
        <f t="shared" si="2"/>
        <v>85.930735930735935</v>
      </c>
      <c r="O29" s="260"/>
      <c r="P29" s="260"/>
      <c r="Q29" s="29">
        <v>560</v>
      </c>
      <c r="R29" s="260"/>
      <c r="S29" s="29">
        <v>4689</v>
      </c>
      <c r="T29" s="260"/>
      <c r="U29" s="29">
        <f t="shared" si="5"/>
        <v>54.459930313588856</v>
      </c>
      <c r="V29" s="260"/>
      <c r="W29" s="31">
        <f t="shared" si="6"/>
        <v>212.58481569778107</v>
      </c>
      <c r="X29" s="260"/>
      <c r="AA29" s="260"/>
      <c r="AF29" s="28">
        <v>24</v>
      </c>
      <c r="AG29" s="28" t="s">
        <v>233</v>
      </c>
      <c r="AH29" s="263"/>
      <c r="AI29" s="28">
        <v>21.200000000058207</v>
      </c>
      <c r="AK29" s="257"/>
      <c r="AL29" s="28">
        <v>9.3000000000000007</v>
      </c>
      <c r="AM29" s="257"/>
      <c r="AN29" s="28">
        <v>1070</v>
      </c>
      <c r="AO29" s="37">
        <f t="shared" si="3"/>
        <v>50.471698113068975</v>
      </c>
      <c r="AP29" s="257"/>
      <c r="AR29" s="29">
        <f t="shared" si="4"/>
        <v>197.01671631855871</v>
      </c>
      <c r="AS29" s="257"/>
    </row>
    <row r="30" spans="2:45" x14ac:dyDescent="0.3">
      <c r="B30" s="32">
        <v>25</v>
      </c>
      <c r="C30" s="28" t="s">
        <v>252</v>
      </c>
      <c r="D30" s="259"/>
      <c r="E30" s="32">
        <v>623.5</v>
      </c>
      <c r="F30" s="32">
        <v>591.5</v>
      </c>
      <c r="G30" s="32">
        <f t="shared" si="1"/>
        <v>32</v>
      </c>
      <c r="H30" s="32">
        <v>7.23</v>
      </c>
      <c r="I30" s="260"/>
      <c r="J30" s="260"/>
      <c r="K30" s="260"/>
      <c r="L30" s="261"/>
      <c r="M30" s="29">
        <v>82.2</v>
      </c>
      <c r="N30" s="29">
        <f t="shared" si="2"/>
        <v>86.23789764868603</v>
      </c>
      <c r="O30" s="260"/>
      <c r="P30" s="260"/>
      <c r="Q30" s="29">
        <v>525</v>
      </c>
      <c r="R30" s="260"/>
      <c r="S30" s="29">
        <v>3870</v>
      </c>
      <c r="T30" s="260"/>
      <c r="U30" s="29">
        <f t="shared" si="5"/>
        <v>47.080291970802918</v>
      </c>
      <c r="V30" s="260"/>
      <c r="W30" s="31">
        <f t="shared" si="6"/>
        <v>183.77833269304648</v>
      </c>
      <c r="X30" s="260"/>
      <c r="AA30" s="260"/>
      <c r="AF30" s="28">
        <v>25</v>
      </c>
      <c r="AG30" s="28" t="s">
        <v>235</v>
      </c>
      <c r="AH30" s="263"/>
      <c r="AI30" s="28">
        <v>67.799999999988358</v>
      </c>
      <c r="AK30" s="257"/>
      <c r="AL30" s="28">
        <v>11</v>
      </c>
      <c r="AM30" s="257"/>
      <c r="AN30" s="28">
        <v>2406</v>
      </c>
      <c r="AO30" s="37">
        <f t="shared" si="3"/>
        <v>35.486725663722908</v>
      </c>
      <c r="AP30" s="257"/>
      <c r="AR30" s="29">
        <f t="shared" si="4"/>
        <v>138.52274491540959</v>
      </c>
      <c r="AS30" s="257"/>
    </row>
    <row r="31" spans="2:45" x14ac:dyDescent="0.3">
      <c r="B31" s="32">
        <v>26</v>
      </c>
      <c r="C31" s="38" t="s">
        <v>253</v>
      </c>
      <c r="D31" s="259"/>
      <c r="E31" s="32">
        <v>607.5</v>
      </c>
      <c r="F31" s="32">
        <v>577</v>
      </c>
      <c r="G31" s="32">
        <f t="shared" si="1"/>
        <v>30.5</v>
      </c>
      <c r="H31" s="32">
        <v>10.07</v>
      </c>
      <c r="I31" s="260"/>
      <c r="J31" s="260"/>
      <c r="K31" s="260"/>
      <c r="L31" s="261"/>
      <c r="M31" s="29">
        <v>59.3</v>
      </c>
      <c r="N31" s="29">
        <f t="shared" si="2"/>
        <v>60.327706057596821</v>
      </c>
      <c r="O31" s="260"/>
      <c r="P31" s="260"/>
      <c r="Q31" s="29">
        <v>530</v>
      </c>
      <c r="R31" s="260"/>
      <c r="S31" s="29">
        <v>3913</v>
      </c>
      <c r="T31" s="260"/>
      <c r="U31" s="29">
        <f t="shared" si="5"/>
        <v>65.986509274873526</v>
      </c>
      <c r="V31" s="260"/>
      <c r="W31" s="31">
        <f t="shared" si="6"/>
        <v>257.57891778349756</v>
      </c>
      <c r="X31" s="260"/>
      <c r="AA31" s="260"/>
      <c r="AF31" s="28">
        <v>26</v>
      </c>
      <c r="AG31" s="28" t="s">
        <v>254</v>
      </c>
      <c r="AH31" s="263"/>
      <c r="AI31" s="28">
        <v>35.799999999965074</v>
      </c>
      <c r="AK31" s="257"/>
      <c r="AL31" s="28">
        <v>10.1</v>
      </c>
      <c r="AM31" s="257"/>
      <c r="AN31" s="28">
        <v>1942</v>
      </c>
      <c r="AO31" s="37">
        <f t="shared" si="3"/>
        <v>54.245810055918845</v>
      </c>
      <c r="AP31" s="257"/>
      <c r="AR31" s="29">
        <f t="shared" si="4"/>
        <v>211.7489953937183</v>
      </c>
      <c r="AS31" s="257"/>
    </row>
    <row r="32" spans="2:45" x14ac:dyDescent="0.3">
      <c r="B32" s="28">
        <v>27</v>
      </c>
      <c r="C32" s="28">
        <v>2206</v>
      </c>
      <c r="D32" s="259" t="s">
        <v>255</v>
      </c>
      <c r="E32" s="28">
        <v>435</v>
      </c>
      <c r="F32" s="28">
        <v>410</v>
      </c>
      <c r="G32" s="28">
        <f t="shared" si="1"/>
        <v>25</v>
      </c>
      <c r="H32" s="28">
        <v>8.9600000000000009</v>
      </c>
      <c r="I32" s="260">
        <f>AVERAGE(F32:F37)</f>
        <v>411.83333333333331</v>
      </c>
      <c r="J32" s="260">
        <f>AVERAGE(G32:G37)</f>
        <v>15.283333333333331</v>
      </c>
      <c r="K32" s="260">
        <f>AVERAGE(H32:H37)</f>
        <v>8.35</v>
      </c>
      <c r="L32" s="261">
        <v>6</v>
      </c>
      <c r="M32" s="29">
        <v>47.3</v>
      </c>
      <c r="N32" s="29">
        <f t="shared" si="2"/>
        <v>48.549107142857139</v>
      </c>
      <c r="O32" s="260">
        <f>AVERAGE(M32:M37)</f>
        <v>49.9</v>
      </c>
      <c r="P32" s="260">
        <f>AVERAGE(N32:N37)</f>
        <v>51.294265184711257</v>
      </c>
      <c r="Q32" s="29">
        <v>525</v>
      </c>
      <c r="R32" s="260">
        <f>AVERAGE(Q32:Q37)</f>
        <v>527.5</v>
      </c>
      <c r="S32" s="29">
        <v>1593</v>
      </c>
      <c r="T32" s="260">
        <f>AVERAGE(S32:S37)</f>
        <v>2324.3333333333335</v>
      </c>
      <c r="U32" s="29">
        <f t="shared" si="5"/>
        <v>33.678646934460893</v>
      </c>
      <c r="V32" s="260">
        <f>AVERAGE(U32:U37)</f>
        <v>46.725196113911899</v>
      </c>
      <c r="W32" s="31">
        <f t="shared" si="6"/>
        <v>131.46489373539558</v>
      </c>
      <c r="X32" s="260">
        <f>AVERAGE(W32:W37)</f>
        <v>182.39221290079647</v>
      </c>
      <c r="AA32" s="260">
        <f>K32/AA3</f>
        <v>0.60507246376811585</v>
      </c>
      <c r="AF32" s="28">
        <v>27</v>
      </c>
      <c r="AG32" s="28" t="s">
        <v>256</v>
      </c>
      <c r="AH32" s="263"/>
      <c r="AI32" s="28">
        <v>23.400000000046568</v>
      </c>
      <c r="AK32" s="257"/>
      <c r="AL32" s="28">
        <v>9.4</v>
      </c>
      <c r="AM32" s="257"/>
      <c r="AN32" s="28">
        <v>1369</v>
      </c>
      <c r="AO32" s="37">
        <f t="shared" si="3"/>
        <v>58.504273504157077</v>
      </c>
      <c r="AP32" s="257"/>
      <c r="AR32" s="29">
        <f t="shared" si="4"/>
        <v>228.37194481885876</v>
      </c>
      <c r="AS32" s="257"/>
    </row>
    <row r="33" spans="2:45" x14ac:dyDescent="0.3">
      <c r="B33" s="28">
        <v>28</v>
      </c>
      <c r="C33" s="28">
        <v>2206</v>
      </c>
      <c r="D33" s="259"/>
      <c r="E33" s="28">
        <v>416.5</v>
      </c>
      <c r="F33" s="28">
        <v>415</v>
      </c>
      <c r="G33" s="28">
        <f t="shared" si="1"/>
        <v>1.5</v>
      </c>
      <c r="H33" s="28">
        <v>8.42</v>
      </c>
      <c r="I33" s="260"/>
      <c r="J33" s="260"/>
      <c r="K33" s="260"/>
      <c r="L33" s="261"/>
      <c r="M33" s="29">
        <v>48.1</v>
      </c>
      <c r="N33" s="29">
        <f t="shared" si="2"/>
        <v>49.465558194774346</v>
      </c>
      <c r="O33" s="260"/>
      <c r="P33" s="260"/>
      <c r="Q33" s="29">
        <v>525</v>
      </c>
      <c r="R33" s="260"/>
      <c r="S33" s="29">
        <v>1814</v>
      </c>
      <c r="T33" s="260"/>
      <c r="U33" s="29">
        <f t="shared" si="5"/>
        <v>37.71309771309771</v>
      </c>
      <c r="V33" s="260"/>
      <c r="W33" s="31">
        <f t="shared" si="6"/>
        <v>147.21340773972352</v>
      </c>
      <c r="X33" s="260"/>
      <c r="AA33" s="260"/>
      <c r="AF33" s="28">
        <v>28</v>
      </c>
      <c r="AG33" s="28" t="s">
        <v>257</v>
      </c>
      <c r="AH33" s="263"/>
      <c r="AI33" s="28">
        <v>54.899999999953437</v>
      </c>
      <c r="AK33" s="257"/>
      <c r="AL33" s="28">
        <v>11.3</v>
      </c>
      <c r="AM33" s="257"/>
      <c r="AN33" s="28">
        <v>2696</v>
      </c>
      <c r="AO33" s="37">
        <f t="shared" si="3"/>
        <v>49.107468123903217</v>
      </c>
      <c r="AP33" s="257"/>
      <c r="AR33" s="29">
        <f t="shared" si="4"/>
        <v>191.69143258892046</v>
      </c>
      <c r="AS33" s="257"/>
    </row>
    <row r="34" spans="2:45" x14ac:dyDescent="0.3">
      <c r="B34" s="28">
        <v>29</v>
      </c>
      <c r="C34" s="28" t="s">
        <v>235</v>
      </c>
      <c r="D34" s="259"/>
      <c r="E34" s="28">
        <v>437.5</v>
      </c>
      <c r="F34" s="28">
        <v>410.5</v>
      </c>
      <c r="G34" s="28">
        <f t="shared" si="1"/>
        <v>27</v>
      </c>
      <c r="H34" s="28">
        <v>8.66</v>
      </c>
      <c r="I34" s="260"/>
      <c r="J34" s="260"/>
      <c r="K34" s="260"/>
      <c r="L34" s="261"/>
      <c r="M34" s="29">
        <v>54.3</v>
      </c>
      <c r="N34" s="29">
        <f t="shared" si="2"/>
        <v>50.519630484988454</v>
      </c>
      <c r="O34" s="260"/>
      <c r="P34" s="260"/>
      <c r="Q34" s="29">
        <v>525</v>
      </c>
      <c r="R34" s="260"/>
      <c r="S34" s="29">
        <v>2362</v>
      </c>
      <c r="T34" s="260"/>
      <c r="U34" s="29">
        <f t="shared" si="5"/>
        <v>43.499079189686924</v>
      </c>
      <c r="V34" s="260"/>
      <c r="W34" s="31">
        <f t="shared" si="6"/>
        <v>169.79903718781298</v>
      </c>
      <c r="X34" s="260"/>
      <c r="AA34" s="260"/>
      <c r="AF34" s="28">
        <v>29</v>
      </c>
      <c r="AG34" s="28" t="s">
        <v>258</v>
      </c>
      <c r="AH34" s="263"/>
      <c r="AI34" s="28">
        <v>59.400000000023283</v>
      </c>
      <c r="AK34" s="257"/>
      <c r="AL34" s="28">
        <v>20</v>
      </c>
      <c r="AM34" s="257"/>
      <c r="AN34" s="28">
        <v>2903</v>
      </c>
      <c r="AO34" s="37">
        <f t="shared" si="3"/>
        <v>48.872053872034712</v>
      </c>
      <c r="AP34" s="257"/>
      <c r="AR34" s="29">
        <f t="shared" si="4"/>
        <v>190.77249099171445</v>
      </c>
      <c r="AS34" s="257"/>
    </row>
    <row r="35" spans="2:45" x14ac:dyDescent="0.3">
      <c r="B35" s="28">
        <v>30</v>
      </c>
      <c r="C35" s="28" t="s">
        <v>235</v>
      </c>
      <c r="D35" s="259"/>
      <c r="E35" s="28">
        <v>420.7</v>
      </c>
      <c r="F35" s="28">
        <v>413</v>
      </c>
      <c r="G35" s="28">
        <f t="shared" si="1"/>
        <v>7.6999999999999886</v>
      </c>
      <c r="H35" s="28">
        <v>7.6</v>
      </c>
      <c r="I35" s="260"/>
      <c r="J35" s="260"/>
      <c r="K35" s="260"/>
      <c r="L35" s="261"/>
      <c r="M35" s="29">
        <v>50.1</v>
      </c>
      <c r="N35" s="29">
        <f t="shared" si="2"/>
        <v>55.35526315789474</v>
      </c>
      <c r="O35" s="260"/>
      <c r="P35" s="260"/>
      <c r="Q35" s="29">
        <v>525</v>
      </c>
      <c r="R35" s="260"/>
      <c r="S35" s="29">
        <v>1792</v>
      </c>
      <c r="T35" s="260"/>
      <c r="U35" s="29">
        <f t="shared" si="5"/>
        <v>35.768463073852296</v>
      </c>
      <c r="V35" s="260"/>
      <c r="W35" s="31">
        <f t="shared" si="6"/>
        <v>139.62250936723044</v>
      </c>
      <c r="X35" s="260"/>
      <c r="AA35" s="260"/>
      <c r="AF35" s="28">
        <v>30</v>
      </c>
      <c r="AG35" s="28" t="s">
        <v>259</v>
      </c>
      <c r="AH35" s="263"/>
      <c r="AI35" s="28">
        <v>30.099999999976717</v>
      </c>
      <c r="AK35" s="257"/>
      <c r="AL35" s="28">
        <v>9</v>
      </c>
      <c r="AM35" s="257"/>
      <c r="AN35" s="28">
        <v>2063</v>
      </c>
      <c r="AO35" s="37">
        <f t="shared" si="3"/>
        <v>68.538205980119457</v>
      </c>
      <c r="AP35" s="257"/>
      <c r="AR35" s="29">
        <f t="shared" si="4"/>
        <v>267.53948825572951</v>
      </c>
      <c r="AS35" s="257"/>
    </row>
    <row r="36" spans="2:45" x14ac:dyDescent="0.3">
      <c r="B36" s="28">
        <v>31</v>
      </c>
      <c r="C36" s="28" t="s">
        <v>254</v>
      </c>
      <c r="D36" s="259"/>
      <c r="E36" s="28">
        <v>432.5</v>
      </c>
      <c r="F36" s="28">
        <v>407</v>
      </c>
      <c r="G36" s="28">
        <f t="shared" si="1"/>
        <v>25.5</v>
      </c>
      <c r="H36" s="28">
        <v>8.68</v>
      </c>
      <c r="I36" s="260"/>
      <c r="J36" s="260"/>
      <c r="K36" s="260"/>
      <c r="L36" s="261"/>
      <c r="M36" s="29">
        <v>47.3</v>
      </c>
      <c r="N36" s="29">
        <f t="shared" si="2"/>
        <v>49.827188940092171</v>
      </c>
      <c r="O36" s="260"/>
      <c r="P36" s="260"/>
      <c r="Q36" s="29">
        <v>525</v>
      </c>
      <c r="R36" s="260"/>
      <c r="S36" s="29">
        <v>3764</v>
      </c>
      <c r="T36" s="260"/>
      <c r="U36" s="29">
        <f t="shared" si="5"/>
        <v>79.577167019027485</v>
      </c>
      <c r="V36" s="260"/>
      <c r="W36" s="31">
        <f t="shared" si="6"/>
        <v>310.63016950409849</v>
      </c>
      <c r="X36" s="260"/>
      <c r="AA36" s="260"/>
      <c r="AF36" s="28">
        <v>31</v>
      </c>
      <c r="AG36" s="28" t="s">
        <v>260</v>
      </c>
      <c r="AH36" s="263"/>
      <c r="AI36" s="28">
        <v>61.899999999965075</v>
      </c>
      <c r="AK36" s="257"/>
      <c r="AL36" s="28">
        <v>9.5</v>
      </c>
      <c r="AM36" s="257"/>
      <c r="AN36" s="28">
        <v>4372</v>
      </c>
      <c r="AO36" s="37">
        <f t="shared" si="3"/>
        <v>70.630048465306416</v>
      </c>
      <c r="AP36" s="257"/>
      <c r="AR36" s="29">
        <f t="shared" si="4"/>
        <v>275.70501374615225</v>
      </c>
      <c r="AS36" s="257"/>
    </row>
    <row r="37" spans="2:45" x14ac:dyDescent="0.3">
      <c r="B37" s="28">
        <v>32</v>
      </c>
      <c r="C37" s="28" t="s">
        <v>254</v>
      </c>
      <c r="D37" s="259"/>
      <c r="E37" s="28">
        <v>420.5</v>
      </c>
      <c r="F37" s="28">
        <v>415.5</v>
      </c>
      <c r="G37" s="28">
        <f t="shared" si="1"/>
        <v>5</v>
      </c>
      <c r="H37" s="28">
        <v>7.78</v>
      </c>
      <c r="I37" s="260"/>
      <c r="J37" s="260"/>
      <c r="K37" s="260"/>
      <c r="L37" s="261"/>
      <c r="M37" s="29">
        <v>52.3</v>
      </c>
      <c r="N37" s="29">
        <f t="shared" si="2"/>
        <v>54.048843187660665</v>
      </c>
      <c r="O37" s="260"/>
      <c r="P37" s="260"/>
      <c r="Q37" s="29">
        <v>540</v>
      </c>
      <c r="R37" s="260"/>
      <c r="S37" s="29">
        <v>2621</v>
      </c>
      <c r="T37" s="260"/>
      <c r="U37" s="29">
        <f t="shared" si="5"/>
        <v>50.114722753346086</v>
      </c>
      <c r="V37" s="260"/>
      <c r="W37" s="31">
        <f t="shared" si="6"/>
        <v>195.62325987051761</v>
      </c>
      <c r="X37" s="260"/>
      <c r="AA37" s="260"/>
      <c r="AF37" s="28">
        <v>32</v>
      </c>
      <c r="AG37" s="28" t="s">
        <v>261</v>
      </c>
      <c r="AH37" s="263"/>
      <c r="AI37" s="28">
        <v>24.899999999965075</v>
      </c>
      <c r="AK37" s="257"/>
      <c r="AL37" s="28">
        <v>10.5</v>
      </c>
      <c r="AM37" s="257"/>
      <c r="AN37" s="28">
        <v>2922</v>
      </c>
      <c r="AO37" s="37">
        <f t="shared" si="3"/>
        <v>117.34939759052604</v>
      </c>
      <c r="AP37" s="257"/>
      <c r="AR37" s="29">
        <f t="shared" si="4"/>
        <v>458.07440287529903</v>
      </c>
      <c r="AS37" s="257"/>
    </row>
    <row r="38" spans="2:45" x14ac:dyDescent="0.3">
      <c r="B38" s="32">
        <v>33</v>
      </c>
      <c r="C38" s="28" t="s">
        <v>73</v>
      </c>
      <c r="D38" s="259" t="s">
        <v>262</v>
      </c>
      <c r="E38" s="32">
        <v>736.5</v>
      </c>
      <c r="F38" s="32">
        <v>713.5</v>
      </c>
      <c r="G38" s="32">
        <f t="shared" si="1"/>
        <v>23</v>
      </c>
      <c r="H38" s="32">
        <v>10.96</v>
      </c>
      <c r="I38" s="260">
        <f>AVERAGE(F38:F42)</f>
        <v>718.42</v>
      </c>
      <c r="J38" s="260">
        <f>AVERAGE(G38:G42)</f>
        <v>10.3</v>
      </c>
      <c r="K38" s="260">
        <f>AVERAGE(H38:H42)</f>
        <v>9.218</v>
      </c>
      <c r="L38" s="261">
        <v>5</v>
      </c>
      <c r="M38" s="29"/>
      <c r="N38" s="29">
        <f t="shared" si="2"/>
        <v>67.198905109489047</v>
      </c>
      <c r="O38" s="260">
        <f>AVERAGE(M38:M42)</f>
        <v>80.800000000000011</v>
      </c>
      <c r="P38" s="260">
        <f>AVERAGE(N38:N42)</f>
        <v>80.04441118010331</v>
      </c>
      <c r="Q38" s="29">
        <v>525</v>
      </c>
      <c r="R38" s="260">
        <f>AVERAGE(Q38:Q42)</f>
        <v>539</v>
      </c>
      <c r="S38" s="29"/>
      <c r="T38" s="260">
        <f>AVERAGE(S38:S42)</f>
        <v>3498.5</v>
      </c>
      <c r="U38" s="29"/>
      <c r="V38" s="260">
        <f>AVERAGE(U38:U42)</f>
        <v>42.314723623012817</v>
      </c>
      <c r="W38" s="31"/>
      <c r="X38" s="260">
        <f>AVERAGE(W38:W42)</f>
        <v>165.17589484421671</v>
      </c>
      <c r="AA38" s="260">
        <f>K38/AA3</f>
        <v>0.66797101449275353</v>
      </c>
      <c r="AF38" s="28">
        <v>33</v>
      </c>
      <c r="AG38" s="28" t="s">
        <v>263</v>
      </c>
      <c r="AH38" s="264"/>
      <c r="AI38" s="28">
        <v>24.39999999991851</v>
      </c>
      <c r="AK38" s="258"/>
      <c r="AL38" s="28">
        <v>12.7</v>
      </c>
      <c r="AM38" s="258"/>
      <c r="AN38" s="28">
        <v>1744</v>
      </c>
      <c r="AO38" s="37">
        <f t="shared" si="3"/>
        <v>71.47540983630428</v>
      </c>
      <c r="AP38" s="258"/>
      <c r="AR38" s="29">
        <f t="shared" si="4"/>
        <v>279.00488927329303</v>
      </c>
      <c r="AS38" s="258"/>
    </row>
    <row r="39" spans="2:45" x14ac:dyDescent="0.3">
      <c r="B39" s="32">
        <v>34</v>
      </c>
      <c r="C39" s="28" t="s">
        <v>250</v>
      </c>
      <c r="D39" s="259"/>
      <c r="E39" s="32">
        <v>789</v>
      </c>
      <c r="F39" s="32">
        <v>767</v>
      </c>
      <c r="G39" s="32">
        <f t="shared" si="1"/>
        <v>22</v>
      </c>
      <c r="H39" s="32">
        <v>8.01</v>
      </c>
      <c r="I39" s="260"/>
      <c r="J39" s="260"/>
      <c r="K39" s="260"/>
      <c r="L39" s="261"/>
      <c r="M39" s="29">
        <v>90.4</v>
      </c>
      <c r="N39" s="29">
        <f t="shared" si="2"/>
        <v>98.50187265917603</v>
      </c>
      <c r="O39" s="260"/>
      <c r="P39" s="260"/>
      <c r="Q39" s="29">
        <v>525</v>
      </c>
      <c r="R39" s="260"/>
      <c r="S39" s="29">
        <v>6287</v>
      </c>
      <c r="T39" s="260"/>
      <c r="U39" s="29">
        <f t="shared" si="5"/>
        <v>69.546460176991147</v>
      </c>
      <c r="V39" s="260"/>
      <c r="W39" s="31">
        <f>(((S39/M39)/1000)*(890*1000))/$AU$3</f>
        <v>271.47521735755316</v>
      </c>
      <c r="X39" s="260"/>
      <c r="AA39" s="260"/>
      <c r="AF39" s="32">
        <v>34</v>
      </c>
      <c r="AG39" s="28">
        <v>2202</v>
      </c>
      <c r="AH39" s="262" t="s">
        <v>264</v>
      </c>
      <c r="AI39" s="32">
        <v>25.4</v>
      </c>
      <c r="AK39" s="265">
        <f>AVERAGE(AI39:AI43)</f>
        <v>32.040000000009314</v>
      </c>
      <c r="AL39" s="32">
        <v>3.5</v>
      </c>
      <c r="AM39" s="265">
        <f>AVERAGE(AL39:AL43)</f>
        <v>2.3400000000000003</v>
      </c>
      <c r="AN39" s="32">
        <v>1953</v>
      </c>
      <c r="AO39" s="35">
        <f t="shared" si="3"/>
        <v>76.88976377952757</v>
      </c>
      <c r="AP39" s="265">
        <f>AVERAGE(AO39:AO43)</f>
        <v>68.572277301325443</v>
      </c>
      <c r="AR39" s="29">
        <f t="shared" si="4"/>
        <v>300.13986738499796</v>
      </c>
      <c r="AS39" s="265">
        <f>AVERAGE(AR39:AR43)</f>
        <v>267.67248595692826</v>
      </c>
    </row>
    <row r="40" spans="2:45" x14ac:dyDescent="0.3">
      <c r="B40" s="32">
        <v>35</v>
      </c>
      <c r="C40" s="28" t="s">
        <v>251</v>
      </c>
      <c r="D40" s="259"/>
      <c r="E40" s="32">
        <v>691</v>
      </c>
      <c r="F40" s="32">
        <v>689.5</v>
      </c>
      <c r="G40" s="32">
        <f t="shared" si="1"/>
        <v>1.5</v>
      </c>
      <c r="H40" s="32">
        <v>9.25</v>
      </c>
      <c r="I40" s="260"/>
      <c r="J40" s="260"/>
      <c r="K40" s="260"/>
      <c r="L40" s="261"/>
      <c r="M40" s="29">
        <v>76</v>
      </c>
      <c r="N40" s="29">
        <f t="shared" si="2"/>
        <v>74.702702702702709</v>
      </c>
      <c r="O40" s="260"/>
      <c r="P40" s="260"/>
      <c r="Q40" s="29">
        <v>580</v>
      </c>
      <c r="R40" s="260"/>
      <c r="S40" s="29">
        <v>1935</v>
      </c>
      <c r="T40" s="260"/>
      <c r="U40" s="29">
        <f t="shared" si="5"/>
        <v>25.460526315789473</v>
      </c>
      <c r="V40" s="260"/>
      <c r="W40" s="31">
        <f>(((S40/M40)/1000)*(890*1000))/$AU$3</f>
        <v>99.385387811634345</v>
      </c>
      <c r="X40" s="260"/>
      <c r="AA40" s="260"/>
      <c r="AF40" s="32">
        <v>35</v>
      </c>
      <c r="AG40" s="28">
        <v>2204</v>
      </c>
      <c r="AH40" s="263"/>
      <c r="AI40" s="32">
        <v>32.4</v>
      </c>
      <c r="AK40" s="257"/>
      <c r="AL40" s="32">
        <v>2.8</v>
      </c>
      <c r="AM40" s="257"/>
      <c r="AN40" s="32">
        <v>1876</v>
      </c>
      <c r="AO40" s="35">
        <f t="shared" si="3"/>
        <v>57.901234567901234</v>
      </c>
      <c r="AP40" s="257"/>
      <c r="AR40" s="29">
        <f t="shared" si="4"/>
        <v>226.01797704136885</v>
      </c>
      <c r="AS40" s="257"/>
    </row>
    <row r="41" spans="2:45" x14ac:dyDescent="0.3">
      <c r="B41" s="32">
        <v>36</v>
      </c>
      <c r="C41" s="28" t="s">
        <v>252</v>
      </c>
      <c r="D41" s="259"/>
      <c r="E41" s="32">
        <v>710</v>
      </c>
      <c r="F41" s="32">
        <v>708.5</v>
      </c>
      <c r="G41" s="32">
        <f t="shared" si="1"/>
        <v>1.5</v>
      </c>
      <c r="H41" s="32">
        <v>8.69</v>
      </c>
      <c r="I41" s="260"/>
      <c r="J41" s="260"/>
      <c r="K41" s="260"/>
      <c r="L41" s="261"/>
      <c r="M41" s="29">
        <v>80.400000000000006</v>
      </c>
      <c r="N41" s="29">
        <f t="shared" si="2"/>
        <v>81.703107019562722</v>
      </c>
      <c r="O41" s="260"/>
      <c r="P41" s="260"/>
      <c r="Q41" s="29">
        <v>525</v>
      </c>
      <c r="R41" s="260"/>
      <c r="S41" s="29">
        <v>1993</v>
      </c>
      <c r="T41" s="260"/>
      <c r="U41" s="29">
        <f t="shared" si="5"/>
        <v>24.788557213930346</v>
      </c>
      <c r="V41" s="260"/>
      <c r="W41" s="31">
        <f>(((S41/M41)/1000)*(890*1000))/$AU$3</f>
        <v>96.762350528061432</v>
      </c>
      <c r="X41" s="260"/>
      <c r="AA41" s="260"/>
      <c r="AF41" s="32">
        <v>36</v>
      </c>
      <c r="AG41" s="28">
        <v>2205</v>
      </c>
      <c r="AH41" s="263"/>
      <c r="AI41" s="32">
        <v>11.799999999976716</v>
      </c>
      <c r="AK41" s="257"/>
      <c r="AL41" s="32">
        <v>1.8</v>
      </c>
      <c r="AM41" s="257"/>
      <c r="AN41" s="32">
        <v>1072</v>
      </c>
      <c r="AO41" s="35">
        <f t="shared" si="3"/>
        <v>90.847457627297899</v>
      </c>
      <c r="AP41" s="257"/>
      <c r="AR41" s="29">
        <f t="shared" si="4"/>
        <v>354.6238477556804</v>
      </c>
      <c r="AS41" s="257"/>
    </row>
    <row r="42" spans="2:45" x14ac:dyDescent="0.3">
      <c r="B42" s="32">
        <v>37</v>
      </c>
      <c r="C42" s="38" t="s">
        <v>253</v>
      </c>
      <c r="D42" s="259"/>
      <c r="E42" s="32">
        <v>717.1</v>
      </c>
      <c r="F42" s="32">
        <v>713.6</v>
      </c>
      <c r="G42" s="32">
        <f t="shared" si="1"/>
        <v>3.5</v>
      </c>
      <c r="H42" s="32">
        <v>9.18</v>
      </c>
      <c r="I42" s="260"/>
      <c r="J42" s="260"/>
      <c r="K42" s="260"/>
      <c r="L42" s="261"/>
      <c r="M42" s="29">
        <v>76.400000000000006</v>
      </c>
      <c r="N42" s="29">
        <f t="shared" si="2"/>
        <v>78.115468409586057</v>
      </c>
      <c r="O42" s="260"/>
      <c r="P42" s="260"/>
      <c r="Q42" s="29">
        <v>540</v>
      </c>
      <c r="R42" s="260"/>
      <c r="S42" s="29">
        <v>3779</v>
      </c>
      <c r="T42" s="260"/>
      <c r="U42" s="29">
        <f t="shared" si="5"/>
        <v>49.46335078534031</v>
      </c>
      <c r="V42" s="260"/>
      <c r="W42" s="31">
        <f>(((S42/M42)/1000)*(890*1000))/$AU$3</f>
        <v>193.08062367961787</v>
      </c>
      <c r="X42" s="260"/>
      <c r="AA42" s="260"/>
      <c r="AF42" s="32">
        <v>37</v>
      </c>
      <c r="AG42" s="28">
        <v>2207</v>
      </c>
      <c r="AH42" s="263"/>
      <c r="AI42" s="32">
        <v>10.700000000058207</v>
      </c>
      <c r="AK42" s="257"/>
      <c r="AL42" s="32">
        <v>1.8</v>
      </c>
      <c r="AM42" s="257"/>
      <c r="AN42" s="32">
        <v>822</v>
      </c>
      <c r="AO42" s="35">
        <f t="shared" si="3"/>
        <v>76.822429906124157</v>
      </c>
      <c r="AP42" s="257"/>
      <c r="AR42" s="29">
        <f t="shared" si="4"/>
        <v>299.87702901951974</v>
      </c>
      <c r="AS42" s="257"/>
    </row>
    <row r="43" spans="2:45" x14ac:dyDescent="0.3">
      <c r="B43" s="28">
        <v>38</v>
      </c>
      <c r="C43" s="28" t="s">
        <v>73</v>
      </c>
      <c r="D43" s="259" t="s">
        <v>265</v>
      </c>
      <c r="E43" s="28">
        <v>165.5</v>
      </c>
      <c r="F43" s="28">
        <v>164.5</v>
      </c>
      <c r="G43" s="28">
        <f t="shared" si="1"/>
        <v>1</v>
      </c>
      <c r="H43" s="28">
        <v>8.6</v>
      </c>
      <c r="I43" s="260">
        <f>AVERAGE(F43:F47)</f>
        <v>161.94</v>
      </c>
      <c r="J43" s="260">
        <f>AVERAGE(G43:G47)</f>
        <v>2.4</v>
      </c>
      <c r="K43" s="260">
        <f>AVERAGE(H43:H47)</f>
        <v>8.2339999999999982</v>
      </c>
      <c r="L43" s="261">
        <v>5</v>
      </c>
      <c r="M43" s="29"/>
      <c r="N43" s="29">
        <f t="shared" si="2"/>
        <v>19.244186046511629</v>
      </c>
      <c r="O43" s="260">
        <f>AVERAGE(M43:M47)</f>
        <v>19.224999999999998</v>
      </c>
      <c r="P43" s="260">
        <f>AVERAGE(N43:N47)</f>
        <v>19.983077952932888</v>
      </c>
      <c r="Q43" s="29">
        <v>525</v>
      </c>
      <c r="R43" s="260">
        <f>AVERAGE(Q43:Q47)</f>
        <v>528</v>
      </c>
      <c r="S43" s="29"/>
      <c r="T43" s="260">
        <f>AVERAGE(S43:S47)</f>
        <v>705</v>
      </c>
      <c r="U43" s="29"/>
      <c r="V43" s="260">
        <f>AVERAGE(U43:U47)</f>
        <v>37.063102092762101</v>
      </c>
      <c r="W43" s="31"/>
      <c r="X43" s="260">
        <f>AVERAGE(W43:W47)</f>
        <v>144.67614413402748</v>
      </c>
      <c r="AA43" s="260">
        <f>K43/AA3</f>
        <v>0.59666666666666646</v>
      </c>
      <c r="AF43" s="32">
        <v>38</v>
      </c>
      <c r="AG43" s="28">
        <v>2208</v>
      </c>
      <c r="AH43" s="264"/>
      <c r="AI43" s="32">
        <v>79.900000000011644</v>
      </c>
      <c r="AK43" s="258"/>
      <c r="AL43" s="32">
        <v>1.8</v>
      </c>
      <c r="AM43" s="258"/>
      <c r="AN43" s="32">
        <v>3228</v>
      </c>
      <c r="AO43" s="35">
        <f t="shared" si="3"/>
        <v>40.400500625776338</v>
      </c>
      <c r="AP43" s="258"/>
      <c r="AR43" s="29">
        <f t="shared" si="4"/>
        <v>157.7037085830743</v>
      </c>
      <c r="AS43" s="258"/>
    </row>
    <row r="44" spans="2:45" x14ac:dyDescent="0.3">
      <c r="B44" s="28">
        <v>39</v>
      </c>
      <c r="C44" s="28" t="s">
        <v>250</v>
      </c>
      <c r="D44" s="259"/>
      <c r="E44" s="28">
        <v>162</v>
      </c>
      <c r="F44" s="28">
        <v>160.5</v>
      </c>
      <c r="G44" s="28">
        <f t="shared" si="1"/>
        <v>1.5</v>
      </c>
      <c r="H44" s="28">
        <v>8.08</v>
      </c>
      <c r="I44" s="260"/>
      <c r="J44" s="260"/>
      <c r="K44" s="260"/>
      <c r="L44" s="261"/>
      <c r="M44" s="29">
        <v>19.7</v>
      </c>
      <c r="N44" s="29">
        <f t="shared" si="2"/>
        <v>20.049504950495049</v>
      </c>
      <c r="O44" s="260"/>
      <c r="P44" s="260"/>
      <c r="Q44" s="29">
        <v>525</v>
      </c>
      <c r="R44" s="260"/>
      <c r="S44" s="29">
        <v>930</v>
      </c>
      <c r="T44" s="260"/>
      <c r="U44" s="29">
        <f t="shared" si="5"/>
        <v>47.208121827411169</v>
      </c>
      <c r="V44" s="260"/>
      <c r="W44" s="31">
        <f t="shared" ref="W44:W93" si="7">(((S44/M44)/1000)*(890*1000))/$AU$3</f>
        <v>184.27731765963131</v>
      </c>
      <c r="X44" s="260"/>
      <c r="AA44" s="260"/>
      <c r="AF44" s="28">
        <v>39</v>
      </c>
      <c r="AG44" s="28">
        <v>2202</v>
      </c>
      <c r="AH44" s="262" t="s">
        <v>266</v>
      </c>
      <c r="AI44" s="28">
        <v>54.8</v>
      </c>
      <c r="AK44" s="265">
        <f>AVERAGE(AI44:AI48)</f>
        <v>48.939999999955759</v>
      </c>
      <c r="AL44" s="28">
        <v>2.6</v>
      </c>
      <c r="AM44" s="265">
        <f>AVERAGE(AL44:AL48)</f>
        <v>2.56</v>
      </c>
      <c r="AN44" s="28">
        <v>3867</v>
      </c>
      <c r="AO44" s="37">
        <f t="shared" si="3"/>
        <v>70.565693430656935</v>
      </c>
      <c r="AP44" s="265">
        <f>AVERAGE(AO44:AO48)</f>
        <v>70.556219189727685</v>
      </c>
      <c r="AR44" s="29">
        <f t="shared" si="4"/>
        <v>275.45380330388014</v>
      </c>
      <c r="AS44" s="265">
        <f>AVERAGE(AR44:AR48)</f>
        <v>275.41682052130534</v>
      </c>
    </row>
    <row r="45" spans="2:45" x14ac:dyDescent="0.3">
      <c r="B45" s="28">
        <v>40</v>
      </c>
      <c r="C45" s="28" t="s">
        <v>251</v>
      </c>
      <c r="D45" s="259"/>
      <c r="E45" s="28">
        <v>167</v>
      </c>
      <c r="F45" s="28">
        <v>162</v>
      </c>
      <c r="G45" s="28">
        <f t="shared" si="1"/>
        <v>5</v>
      </c>
      <c r="H45" s="28">
        <v>7.8</v>
      </c>
      <c r="I45" s="260"/>
      <c r="J45" s="260"/>
      <c r="K45" s="260"/>
      <c r="L45" s="261"/>
      <c r="M45" s="29">
        <v>19.899999999999999</v>
      </c>
      <c r="N45" s="29">
        <f t="shared" si="2"/>
        <v>21.410256410256412</v>
      </c>
      <c r="O45" s="260"/>
      <c r="P45" s="260"/>
      <c r="Q45" s="29">
        <v>525</v>
      </c>
      <c r="R45" s="260"/>
      <c r="S45" s="29">
        <v>530</v>
      </c>
      <c r="T45" s="260"/>
      <c r="U45" s="29">
        <f t="shared" si="5"/>
        <v>26.633165829145732</v>
      </c>
      <c r="V45" s="260"/>
      <c r="W45" s="31">
        <f t="shared" si="7"/>
        <v>103.96279643833202</v>
      </c>
      <c r="X45" s="260"/>
      <c r="AA45" s="260"/>
      <c r="AF45" s="28">
        <v>40</v>
      </c>
      <c r="AG45" s="28">
        <v>2204</v>
      </c>
      <c r="AH45" s="263"/>
      <c r="AI45" s="28">
        <v>36.9</v>
      </c>
      <c r="AK45" s="257"/>
      <c r="AL45" s="28">
        <v>2.5</v>
      </c>
      <c r="AM45" s="257"/>
      <c r="AN45" s="28">
        <v>2809</v>
      </c>
      <c r="AO45" s="37">
        <f t="shared" si="3"/>
        <v>76.124661246612476</v>
      </c>
      <c r="AP45" s="257"/>
      <c r="AR45" s="29">
        <f t="shared" si="4"/>
        <v>297.15328293633814</v>
      </c>
      <c r="AS45" s="257"/>
    </row>
    <row r="46" spans="2:45" x14ac:dyDescent="0.3">
      <c r="B46" s="28">
        <v>41</v>
      </c>
      <c r="C46" s="28" t="s">
        <v>252</v>
      </c>
      <c r="D46" s="259"/>
      <c r="E46" s="28">
        <v>164</v>
      </c>
      <c r="F46" s="28">
        <v>162.5</v>
      </c>
      <c r="G46" s="28">
        <f t="shared" si="1"/>
        <v>1.5</v>
      </c>
      <c r="H46" s="28">
        <v>8.2899999999999991</v>
      </c>
      <c r="I46" s="260"/>
      <c r="J46" s="260"/>
      <c r="K46" s="260"/>
      <c r="L46" s="261"/>
      <c r="M46" s="29">
        <v>19.5</v>
      </c>
      <c r="N46" s="29">
        <f t="shared" si="2"/>
        <v>19.782870928829919</v>
      </c>
      <c r="O46" s="260"/>
      <c r="P46" s="260"/>
      <c r="Q46" s="29">
        <v>525</v>
      </c>
      <c r="R46" s="260"/>
      <c r="S46" s="29">
        <v>407</v>
      </c>
      <c r="T46" s="260"/>
      <c r="U46" s="29">
        <f t="shared" si="5"/>
        <v>20.871794871794872</v>
      </c>
      <c r="V46" s="260"/>
      <c r="W46" s="31">
        <f t="shared" si="7"/>
        <v>81.473234367971216</v>
      </c>
      <c r="X46" s="260"/>
      <c r="AA46" s="260"/>
      <c r="AF46" s="28">
        <v>41</v>
      </c>
      <c r="AG46" s="28">
        <v>2205</v>
      </c>
      <c r="AH46" s="263"/>
      <c r="AI46" s="28">
        <v>25.099999999883586</v>
      </c>
      <c r="AK46" s="257"/>
      <c r="AL46" s="28">
        <v>2.4</v>
      </c>
      <c r="AM46" s="257"/>
      <c r="AN46" s="28">
        <v>2337</v>
      </c>
      <c r="AO46" s="37">
        <f t="shared" si="3"/>
        <v>93.107569721547378</v>
      </c>
      <c r="AP46" s="257"/>
      <c r="AR46" s="29">
        <f t="shared" si="4"/>
        <v>363.44621514112794</v>
      </c>
      <c r="AS46" s="257"/>
    </row>
    <row r="47" spans="2:45" x14ac:dyDescent="0.3">
      <c r="B47" s="28">
        <v>42</v>
      </c>
      <c r="C47" s="38" t="s">
        <v>253</v>
      </c>
      <c r="D47" s="259"/>
      <c r="E47" s="28">
        <v>163.19999999999999</v>
      </c>
      <c r="F47" s="28">
        <v>160.19999999999999</v>
      </c>
      <c r="G47" s="28">
        <f t="shared" si="1"/>
        <v>3</v>
      </c>
      <c r="H47" s="28">
        <v>8.4</v>
      </c>
      <c r="I47" s="260"/>
      <c r="J47" s="260"/>
      <c r="K47" s="260"/>
      <c r="L47" s="261"/>
      <c r="M47" s="29">
        <v>17.8</v>
      </c>
      <c r="N47" s="29">
        <f t="shared" si="2"/>
        <v>19.428571428571427</v>
      </c>
      <c r="O47" s="260"/>
      <c r="P47" s="260"/>
      <c r="Q47" s="29">
        <v>540</v>
      </c>
      <c r="R47" s="260"/>
      <c r="S47" s="29">
        <v>953</v>
      </c>
      <c r="T47" s="260"/>
      <c r="U47" s="29">
        <f t="shared" si="5"/>
        <v>53.539325842696627</v>
      </c>
      <c r="V47" s="260"/>
      <c r="W47" s="31">
        <f t="shared" si="7"/>
        <v>208.99122807017545</v>
      </c>
      <c r="X47" s="260"/>
      <c r="AA47" s="260"/>
      <c r="AF47" s="28">
        <v>42</v>
      </c>
      <c r="AG47" s="28">
        <v>2207</v>
      </c>
      <c r="AH47" s="263"/>
      <c r="AI47" s="28">
        <v>58.599999999918509</v>
      </c>
      <c r="AK47" s="257"/>
      <c r="AL47" s="28">
        <v>2.5</v>
      </c>
      <c r="AM47" s="257"/>
      <c r="AN47" s="28">
        <v>3290</v>
      </c>
      <c r="AO47" s="37">
        <f t="shared" si="3"/>
        <v>56.143344709975686</v>
      </c>
      <c r="AP47" s="257"/>
      <c r="AR47" s="29">
        <f t="shared" si="4"/>
        <v>219.15603856087</v>
      </c>
      <c r="AS47" s="257"/>
    </row>
    <row r="48" spans="2:45" x14ac:dyDescent="0.3">
      <c r="B48" s="32">
        <v>43</v>
      </c>
      <c r="C48" s="28" t="s">
        <v>245</v>
      </c>
      <c r="D48" s="259" t="s">
        <v>267</v>
      </c>
      <c r="E48" s="32">
        <v>473</v>
      </c>
      <c r="F48" s="32">
        <v>452</v>
      </c>
      <c r="G48" s="32">
        <f t="shared" si="1"/>
        <v>21</v>
      </c>
      <c r="H48" s="32">
        <v>6.64</v>
      </c>
      <c r="I48" s="260">
        <f>AVERAGE(F48:F57)</f>
        <v>455.45</v>
      </c>
      <c r="J48" s="260">
        <f>AVERAGE(G48:G57)</f>
        <v>20.869999999999997</v>
      </c>
      <c r="K48" s="260">
        <f>AVERAGE(H48:H57)</f>
        <v>8.1210000000000004</v>
      </c>
      <c r="L48" s="261">
        <v>10</v>
      </c>
      <c r="M48" s="29">
        <v>69</v>
      </c>
      <c r="N48" s="29">
        <f t="shared" si="2"/>
        <v>71.234939759036152</v>
      </c>
      <c r="O48" s="260">
        <f>AVERAGE(M48:M57)</f>
        <v>56.05</v>
      </c>
      <c r="P48" s="260">
        <f>AVERAGE(N48:N57)</f>
        <v>58.185681062117432</v>
      </c>
      <c r="Q48" s="29">
        <v>525</v>
      </c>
      <c r="R48" s="260">
        <f>AVERAGE(Q48:Q57)</f>
        <v>525</v>
      </c>
      <c r="S48" s="29">
        <v>5687</v>
      </c>
      <c r="T48" s="260">
        <f>AVERAGE(S48:S57)</f>
        <v>3312.3</v>
      </c>
      <c r="U48" s="29">
        <f t="shared" si="5"/>
        <v>82.420289855072468</v>
      </c>
      <c r="V48" s="260">
        <f>AVERAGE(U48:U57)</f>
        <v>57.729048654636678</v>
      </c>
      <c r="W48" s="31">
        <f t="shared" si="7"/>
        <v>321.7283244342741</v>
      </c>
      <c r="X48" s="260">
        <f>AVERAGE(W48:W57)</f>
        <v>225.34584781853792</v>
      </c>
      <c r="AA48" s="260">
        <f>K48/AA3</f>
        <v>0.58847826086956523</v>
      </c>
      <c r="AF48" s="28">
        <v>43</v>
      </c>
      <c r="AG48" s="28">
        <v>2208</v>
      </c>
      <c r="AH48" s="264"/>
      <c r="AI48" s="28">
        <v>69.29999999997672</v>
      </c>
      <c r="AK48" s="258"/>
      <c r="AL48" s="28">
        <v>2.8</v>
      </c>
      <c r="AM48" s="258"/>
      <c r="AN48" s="28">
        <v>3939</v>
      </c>
      <c r="AO48" s="37">
        <f t="shared" si="3"/>
        <v>56.839826839845934</v>
      </c>
      <c r="AP48" s="258"/>
      <c r="AR48" s="29">
        <f t="shared" si="4"/>
        <v>221.87476266431085</v>
      </c>
      <c r="AS48" s="258"/>
    </row>
    <row r="49" spans="2:45" x14ac:dyDescent="0.3">
      <c r="B49" s="32">
        <v>44</v>
      </c>
      <c r="C49" s="28" t="s">
        <v>245</v>
      </c>
      <c r="D49" s="259"/>
      <c r="E49" s="32">
        <v>476</v>
      </c>
      <c r="F49" s="32">
        <v>462</v>
      </c>
      <c r="G49" s="32">
        <f t="shared" si="1"/>
        <v>14</v>
      </c>
      <c r="H49" s="32">
        <v>8.26</v>
      </c>
      <c r="I49" s="260"/>
      <c r="J49" s="260"/>
      <c r="K49" s="260"/>
      <c r="L49" s="261"/>
      <c r="M49" s="29">
        <v>54</v>
      </c>
      <c r="N49" s="29">
        <f t="shared" si="2"/>
        <v>57.627118644067799</v>
      </c>
      <c r="O49" s="260"/>
      <c r="P49" s="260"/>
      <c r="Q49" s="29">
        <v>525</v>
      </c>
      <c r="R49" s="260"/>
      <c r="S49" s="29">
        <v>1958</v>
      </c>
      <c r="T49" s="260"/>
      <c r="U49" s="29">
        <f t="shared" si="5"/>
        <v>36.25925925925926</v>
      </c>
      <c r="V49" s="260"/>
      <c r="W49" s="31">
        <f t="shared" si="7"/>
        <v>141.53833658219625</v>
      </c>
      <c r="X49" s="260"/>
      <c r="AA49" s="260"/>
      <c r="AF49" s="32">
        <v>44</v>
      </c>
      <c r="AG49" s="28">
        <v>2203</v>
      </c>
      <c r="AH49" s="262" t="s">
        <v>268</v>
      </c>
      <c r="AI49" s="32">
        <v>53.3</v>
      </c>
      <c r="AK49" s="265">
        <f>AVERAGE(AI49:AI52)</f>
        <v>49.200000000034919</v>
      </c>
      <c r="AL49" s="32">
        <v>4.5999999999999996</v>
      </c>
      <c r="AM49" s="265">
        <f>AVERAGE(AL49:AL52)</f>
        <v>5.625</v>
      </c>
      <c r="AN49" s="32">
        <v>2693</v>
      </c>
      <c r="AO49" s="35">
        <f t="shared" si="3"/>
        <v>50.525328330206385</v>
      </c>
      <c r="AP49" s="265">
        <f>AVERAGE(AO49:AO52)</f>
        <v>43.688784823264584</v>
      </c>
      <c r="AR49" s="29">
        <f t="shared" si="4"/>
        <v>197.22606234159508</v>
      </c>
      <c r="AS49" s="265">
        <f>AVERAGE(AR49:AR52)</f>
        <v>170.53955479256786</v>
      </c>
    </row>
    <row r="50" spans="2:45" x14ac:dyDescent="0.3">
      <c r="B50" s="32">
        <v>45</v>
      </c>
      <c r="C50" s="28" t="s">
        <v>246</v>
      </c>
      <c r="D50" s="259"/>
      <c r="E50" s="32">
        <v>458</v>
      </c>
      <c r="F50" s="32">
        <v>458</v>
      </c>
      <c r="G50" s="32">
        <f t="shared" si="1"/>
        <v>0</v>
      </c>
      <c r="H50" s="32">
        <v>7.91</v>
      </c>
      <c r="I50" s="260"/>
      <c r="J50" s="260"/>
      <c r="K50" s="260"/>
      <c r="L50" s="261"/>
      <c r="M50" s="29">
        <v>58.9</v>
      </c>
      <c r="N50" s="29">
        <f t="shared" si="2"/>
        <v>57.901390644753477</v>
      </c>
      <c r="O50" s="260"/>
      <c r="P50" s="260"/>
      <c r="Q50" s="29">
        <v>525</v>
      </c>
      <c r="R50" s="260"/>
      <c r="S50" s="29">
        <v>4150</v>
      </c>
      <c r="T50" s="260"/>
      <c r="U50" s="29">
        <f>S50/M50</f>
        <v>70.458404074702884</v>
      </c>
      <c r="V50" s="260"/>
      <c r="W50" s="31">
        <f t="shared" si="7"/>
        <v>275.03499836177883</v>
      </c>
      <c r="X50" s="260"/>
      <c r="AA50" s="260"/>
      <c r="AF50" s="32">
        <v>45</v>
      </c>
      <c r="AG50" s="28" t="s">
        <v>250</v>
      </c>
      <c r="AH50" s="263"/>
      <c r="AI50" s="32">
        <v>69.000000000046569</v>
      </c>
      <c r="AK50" s="257"/>
      <c r="AL50" s="32">
        <v>5.8</v>
      </c>
      <c r="AM50" s="257"/>
      <c r="AN50" s="32">
        <v>3084</v>
      </c>
      <c r="AO50" s="35">
        <f t="shared" si="3"/>
        <v>44.695652173882877</v>
      </c>
      <c r="AP50" s="257"/>
      <c r="AR50" s="29">
        <f t="shared" si="4"/>
        <v>174.46987032787615</v>
      </c>
      <c r="AS50" s="257"/>
    </row>
    <row r="51" spans="2:45" x14ac:dyDescent="0.3">
      <c r="B51" s="32">
        <v>46</v>
      </c>
      <c r="C51" s="28" t="s">
        <v>246</v>
      </c>
      <c r="D51" s="259"/>
      <c r="E51" s="32">
        <v>470</v>
      </c>
      <c r="F51" s="32">
        <v>450</v>
      </c>
      <c r="G51" s="32">
        <f t="shared" si="1"/>
        <v>20</v>
      </c>
      <c r="H51" s="32">
        <v>8.77</v>
      </c>
      <c r="I51" s="260"/>
      <c r="J51" s="260"/>
      <c r="K51" s="260"/>
      <c r="L51" s="261"/>
      <c r="M51" s="29">
        <v>50.1</v>
      </c>
      <c r="N51" s="29">
        <f t="shared" si="2"/>
        <v>53.591790193842648</v>
      </c>
      <c r="O51" s="260"/>
      <c r="P51" s="260"/>
      <c r="Q51" s="29">
        <v>525</v>
      </c>
      <c r="R51" s="260"/>
      <c r="S51" s="29">
        <v>3219</v>
      </c>
      <c r="T51" s="260"/>
      <c r="U51" s="29">
        <f t="shared" si="5"/>
        <v>64.251497005988028</v>
      </c>
      <c r="V51" s="260"/>
      <c r="W51" s="31">
        <f t="shared" si="7"/>
        <v>250.80628217249716</v>
      </c>
      <c r="X51" s="260"/>
      <c r="AA51" s="260"/>
      <c r="AF51" s="32">
        <v>46</v>
      </c>
      <c r="AG51" s="28" t="s">
        <v>251</v>
      </c>
      <c r="AH51" s="263"/>
      <c r="AI51" s="32">
        <v>40.100000000023286</v>
      </c>
      <c r="AK51" s="257"/>
      <c r="AL51" s="32">
        <v>6.3</v>
      </c>
      <c r="AM51" s="257"/>
      <c r="AN51" s="32">
        <v>1569</v>
      </c>
      <c r="AO51" s="35">
        <f t="shared" si="3"/>
        <v>39.127182044865059</v>
      </c>
      <c r="AP51" s="257"/>
      <c r="AR51" s="29">
        <f t="shared" si="4"/>
        <v>152.73329833302591</v>
      </c>
      <c r="AS51" s="257"/>
    </row>
    <row r="52" spans="2:45" x14ac:dyDescent="0.3">
      <c r="B52" s="32">
        <v>47</v>
      </c>
      <c r="C52" s="28" t="s">
        <v>247</v>
      </c>
      <c r="D52" s="259"/>
      <c r="E52" s="32">
        <v>479.5</v>
      </c>
      <c r="F52" s="32">
        <v>457.5</v>
      </c>
      <c r="G52" s="32">
        <f t="shared" si="1"/>
        <v>22</v>
      </c>
      <c r="H52" s="32">
        <v>7.59</v>
      </c>
      <c r="I52" s="260"/>
      <c r="J52" s="260"/>
      <c r="K52" s="260"/>
      <c r="L52" s="261"/>
      <c r="M52" s="29">
        <v>60.3</v>
      </c>
      <c r="N52" s="29">
        <f t="shared" si="2"/>
        <v>63.175230566534914</v>
      </c>
      <c r="O52" s="260"/>
      <c r="P52" s="260"/>
      <c r="Q52" s="29">
        <v>525</v>
      </c>
      <c r="R52" s="260"/>
      <c r="S52" s="29">
        <v>4547</v>
      </c>
      <c r="T52" s="260"/>
      <c r="U52" s="29">
        <f t="shared" si="5"/>
        <v>75.406301824212278</v>
      </c>
      <c r="V52" s="260"/>
      <c r="W52" s="31">
        <f t="shared" si="7"/>
        <v>294.34916062960053</v>
      </c>
      <c r="X52" s="260"/>
      <c r="AA52" s="260"/>
      <c r="AF52" s="32">
        <v>47</v>
      </c>
      <c r="AG52" s="28" t="s">
        <v>252</v>
      </c>
      <c r="AH52" s="264"/>
      <c r="AI52" s="32">
        <v>34.400000000069852</v>
      </c>
      <c r="AK52" s="258"/>
      <c r="AL52" s="32">
        <v>5.8</v>
      </c>
      <c r="AM52" s="258"/>
      <c r="AN52" s="32">
        <v>1390</v>
      </c>
      <c r="AO52" s="35">
        <f t="shared" si="3"/>
        <v>40.406976744104</v>
      </c>
      <c r="AP52" s="258"/>
      <c r="AR52" s="29">
        <f t="shared" si="4"/>
        <v>157.72898816777439</v>
      </c>
      <c r="AS52" s="258"/>
    </row>
    <row r="53" spans="2:45" x14ac:dyDescent="0.3">
      <c r="B53" s="32">
        <v>48</v>
      </c>
      <c r="C53" s="28" t="s">
        <v>247</v>
      </c>
      <c r="D53" s="259"/>
      <c r="E53" s="32">
        <v>476</v>
      </c>
      <c r="F53" s="32">
        <v>456</v>
      </c>
      <c r="G53" s="32">
        <f t="shared" si="1"/>
        <v>20</v>
      </c>
      <c r="H53" s="32">
        <v>8.74</v>
      </c>
      <c r="I53" s="260"/>
      <c r="J53" s="260"/>
      <c r="K53" s="260"/>
      <c r="L53" s="261"/>
      <c r="M53" s="29">
        <v>50.8</v>
      </c>
      <c r="N53" s="29">
        <f t="shared" si="2"/>
        <v>54.462242562929063</v>
      </c>
      <c r="O53" s="260"/>
      <c r="P53" s="260"/>
      <c r="Q53" s="29">
        <v>525</v>
      </c>
      <c r="R53" s="260"/>
      <c r="S53" s="29">
        <v>1867</v>
      </c>
      <c r="T53" s="260"/>
      <c r="U53" s="29">
        <f t="shared" si="5"/>
        <v>36.751968503937007</v>
      </c>
      <c r="V53" s="260"/>
      <c r="W53" s="31">
        <f t="shared" si="7"/>
        <v>143.46163144080674</v>
      </c>
      <c r="X53" s="260"/>
      <c r="AA53" s="260"/>
      <c r="AF53" s="28">
        <v>48</v>
      </c>
      <c r="AG53" s="28">
        <v>2206</v>
      </c>
      <c r="AH53" s="262" t="s">
        <v>269</v>
      </c>
      <c r="AI53" s="28">
        <v>34.499999999941792</v>
      </c>
      <c r="AK53" s="265">
        <f>AVERAGE(AI53:AI55)</f>
        <v>27.533333333344974</v>
      </c>
      <c r="AL53" s="28">
        <v>2.5</v>
      </c>
      <c r="AM53" s="265">
        <f>AVERAGE(AL53:AL55)</f>
        <v>4.166666666666667</v>
      </c>
      <c r="AN53" s="28">
        <v>1360</v>
      </c>
      <c r="AO53" s="37">
        <f t="shared" si="3"/>
        <v>39.420289855138975</v>
      </c>
      <c r="AP53" s="265">
        <f>AVERAGE(AO53:AO55)</f>
        <v>44.273942346060267</v>
      </c>
      <c r="AR53" s="29">
        <f t="shared" si="4"/>
        <v>153.87744724155129</v>
      </c>
      <c r="AS53" s="265">
        <f>AVERAGE(AR53:AR55)</f>
        <v>172.82372231576156</v>
      </c>
    </row>
    <row r="54" spans="2:45" x14ac:dyDescent="0.3">
      <c r="B54" s="32">
        <v>49</v>
      </c>
      <c r="C54" s="28" t="s">
        <v>249</v>
      </c>
      <c r="D54" s="259"/>
      <c r="E54" s="32">
        <v>423</v>
      </c>
      <c r="F54" s="32">
        <v>457.5</v>
      </c>
      <c r="G54" s="32">
        <v>34.5</v>
      </c>
      <c r="H54" s="32">
        <v>7.39</v>
      </c>
      <c r="I54" s="260"/>
      <c r="J54" s="260"/>
      <c r="K54" s="260"/>
      <c r="L54" s="261"/>
      <c r="M54" s="29">
        <v>60.7</v>
      </c>
      <c r="N54" s="29">
        <f t="shared" si="2"/>
        <v>57.239512855209746</v>
      </c>
      <c r="O54" s="260"/>
      <c r="P54" s="260"/>
      <c r="Q54" s="29">
        <v>525</v>
      </c>
      <c r="R54" s="260"/>
      <c r="S54" s="29">
        <v>4110</v>
      </c>
      <c r="T54" s="260"/>
      <c r="U54" s="29">
        <f t="shared" si="5"/>
        <v>67.710049423393741</v>
      </c>
      <c r="V54" s="260"/>
      <c r="W54" s="31">
        <f t="shared" si="7"/>
        <v>264.30677187201945</v>
      </c>
      <c r="X54" s="260"/>
      <c r="AA54" s="260"/>
      <c r="AF54" s="28">
        <v>49</v>
      </c>
      <c r="AG54" s="28" t="s">
        <v>235</v>
      </c>
      <c r="AH54" s="263"/>
      <c r="AI54" s="28">
        <v>23.199999999976718</v>
      </c>
      <c r="AK54" s="257"/>
      <c r="AL54" s="28">
        <v>5.4</v>
      </c>
      <c r="AM54" s="257"/>
      <c r="AN54" s="28">
        <v>1074</v>
      </c>
      <c r="AO54" s="37">
        <f t="shared" si="3"/>
        <v>46.29310344832232</v>
      </c>
      <c r="AP54" s="257"/>
      <c r="AR54" s="29">
        <f t="shared" si="4"/>
        <v>180.70553539038099</v>
      </c>
      <c r="AS54" s="257"/>
    </row>
    <row r="55" spans="2:45" x14ac:dyDescent="0.3">
      <c r="B55" s="32">
        <v>50</v>
      </c>
      <c r="C55" s="28" t="s">
        <v>249</v>
      </c>
      <c r="D55" s="259"/>
      <c r="E55" s="32">
        <v>465.5</v>
      </c>
      <c r="F55" s="32">
        <v>453.5</v>
      </c>
      <c r="G55" s="32">
        <f t="shared" si="1"/>
        <v>12</v>
      </c>
      <c r="H55" s="32">
        <v>8.77</v>
      </c>
      <c r="I55" s="260"/>
      <c r="J55" s="260"/>
      <c r="K55" s="260"/>
      <c r="L55" s="261"/>
      <c r="M55" s="29">
        <v>50.6</v>
      </c>
      <c r="N55" s="29">
        <f t="shared" si="2"/>
        <v>53.078677309007986</v>
      </c>
      <c r="O55" s="260"/>
      <c r="P55" s="260"/>
      <c r="Q55" s="29">
        <v>525</v>
      </c>
      <c r="R55" s="260"/>
      <c r="S55" s="29">
        <v>1608</v>
      </c>
      <c r="T55" s="260"/>
      <c r="U55" s="29">
        <f t="shared" si="5"/>
        <v>31.778656126482211</v>
      </c>
      <c r="V55" s="260"/>
      <c r="W55" s="31">
        <f t="shared" si="7"/>
        <v>124.04826294986475</v>
      </c>
      <c r="X55" s="260"/>
      <c r="AA55" s="260"/>
      <c r="AF55" s="28">
        <v>50</v>
      </c>
      <c r="AG55" s="28" t="s">
        <v>254</v>
      </c>
      <c r="AH55" s="264"/>
      <c r="AI55" s="28">
        <v>24.900000000116414</v>
      </c>
      <c r="AK55" s="258"/>
      <c r="AL55" s="28">
        <v>4.5999999999999996</v>
      </c>
      <c r="AM55" s="258"/>
      <c r="AN55" s="28">
        <v>1173</v>
      </c>
      <c r="AO55" s="37">
        <f t="shared" si="3"/>
        <v>47.108433734719512</v>
      </c>
      <c r="AP55" s="258"/>
      <c r="AR55" s="29">
        <f t="shared" si="4"/>
        <v>183.88818431535248</v>
      </c>
      <c r="AS55" s="258"/>
    </row>
    <row r="56" spans="2:45" x14ac:dyDescent="0.3">
      <c r="B56" s="32">
        <v>51</v>
      </c>
      <c r="C56" s="28" t="s">
        <v>256</v>
      </c>
      <c r="D56" s="259"/>
      <c r="E56" s="32">
        <v>499</v>
      </c>
      <c r="F56" s="32">
        <v>457</v>
      </c>
      <c r="G56" s="32">
        <f t="shared" si="1"/>
        <v>42</v>
      </c>
      <c r="H56" s="32">
        <v>8.6199999999999992</v>
      </c>
      <c r="I56" s="260"/>
      <c r="J56" s="260"/>
      <c r="K56" s="260"/>
      <c r="L56" s="261"/>
      <c r="M56" s="29">
        <v>54.4</v>
      </c>
      <c r="N56" s="29">
        <f t="shared" si="2"/>
        <v>57.888631090487245</v>
      </c>
      <c r="O56" s="260"/>
      <c r="P56" s="260"/>
      <c r="Q56" s="29">
        <v>525</v>
      </c>
      <c r="R56" s="260"/>
      <c r="S56" s="29">
        <v>3495</v>
      </c>
      <c r="T56" s="260"/>
      <c r="U56" s="29">
        <f t="shared" si="5"/>
        <v>64.246323529411768</v>
      </c>
      <c r="V56" s="260"/>
      <c r="W56" s="31">
        <f t="shared" si="7"/>
        <v>250.78608746130033</v>
      </c>
      <c r="X56" s="260"/>
      <c r="AA56" s="260"/>
      <c r="AF56" s="32">
        <v>51</v>
      </c>
      <c r="AG56" s="28" t="s">
        <v>245</v>
      </c>
      <c r="AH56" s="262" t="s">
        <v>270</v>
      </c>
      <c r="AI56" s="32">
        <v>25.799999999871943</v>
      </c>
      <c r="AK56" s="265">
        <f>AVERAGE(AI56:AI60)</f>
        <v>27.040000000016295</v>
      </c>
      <c r="AL56" s="32">
        <v>7</v>
      </c>
      <c r="AM56" s="265">
        <f>AVERAGE(AL56:AL60)</f>
        <v>6.339999999999999</v>
      </c>
      <c r="AN56" s="32">
        <v>1659</v>
      </c>
      <c r="AO56" s="35">
        <f t="shared" si="3"/>
        <v>64.302325581714513</v>
      </c>
      <c r="AP56" s="265">
        <f>AVERAGE(AO56:AO60)</f>
        <v>52.771720478950421</v>
      </c>
      <c r="AR56" s="29">
        <f t="shared" si="4"/>
        <v>251.0046919637102</v>
      </c>
      <c r="AS56" s="265">
        <f>AVERAGE(AR56:AR60)</f>
        <v>205.99487379941178</v>
      </c>
    </row>
    <row r="57" spans="2:45" x14ac:dyDescent="0.3">
      <c r="B57" s="32">
        <v>52</v>
      </c>
      <c r="C57" s="28" t="s">
        <v>256</v>
      </c>
      <c r="D57" s="259"/>
      <c r="E57" s="32">
        <v>474.2</v>
      </c>
      <c r="F57" s="32">
        <v>451</v>
      </c>
      <c r="G57" s="32">
        <f t="shared" si="1"/>
        <v>23.199999999999989</v>
      </c>
      <c r="H57" s="32">
        <v>8.52</v>
      </c>
      <c r="I57" s="260"/>
      <c r="J57" s="260"/>
      <c r="K57" s="260"/>
      <c r="L57" s="261"/>
      <c r="M57" s="29">
        <v>51.7</v>
      </c>
      <c r="N57" s="29">
        <f t="shared" si="2"/>
        <v>55.657276995305168</v>
      </c>
      <c r="O57" s="260"/>
      <c r="P57" s="260"/>
      <c r="Q57" s="29">
        <v>525</v>
      </c>
      <c r="R57" s="260"/>
      <c r="S57" s="29">
        <v>2482</v>
      </c>
      <c r="T57" s="260"/>
      <c r="U57" s="29">
        <f t="shared" si="5"/>
        <v>48.007736943907155</v>
      </c>
      <c r="V57" s="260"/>
      <c r="W57" s="31">
        <f t="shared" si="7"/>
        <v>187.39862228104107</v>
      </c>
      <c r="X57" s="260"/>
      <c r="AA57" s="260"/>
      <c r="AF57" s="32">
        <v>52</v>
      </c>
      <c r="AG57" s="28" t="s">
        <v>246</v>
      </c>
      <c r="AH57" s="263"/>
      <c r="AI57" s="32">
        <v>37.500000000081492</v>
      </c>
      <c r="AK57" s="257"/>
      <c r="AL57" s="32">
        <v>6.4</v>
      </c>
      <c r="AM57" s="257"/>
      <c r="AN57" s="32">
        <v>2454</v>
      </c>
      <c r="AO57" s="35">
        <f t="shared" si="3"/>
        <v>65.43999999985779</v>
      </c>
      <c r="AP57" s="257"/>
      <c r="AR57" s="29">
        <f t="shared" si="4"/>
        <v>255.44561403453261</v>
      </c>
      <c r="AS57" s="257"/>
    </row>
    <row r="58" spans="2:45" x14ac:dyDescent="0.3">
      <c r="B58" s="28">
        <v>53</v>
      </c>
      <c r="C58" s="28" t="s">
        <v>233</v>
      </c>
      <c r="D58" s="259" t="s">
        <v>271</v>
      </c>
      <c r="E58" s="28">
        <v>552.5</v>
      </c>
      <c r="F58" s="28">
        <v>545</v>
      </c>
      <c r="G58" s="28">
        <f t="shared" si="1"/>
        <v>7.5</v>
      </c>
      <c r="H58" s="28">
        <v>7.95</v>
      </c>
      <c r="I58" s="260">
        <f>AVERAGE(F58:F65)</f>
        <v>549.8125</v>
      </c>
      <c r="J58" s="260">
        <f>AVERAGE(G58:G65)</f>
        <v>5.5749999999999886</v>
      </c>
      <c r="K58" s="260">
        <f>AVERAGE(H58:H65)</f>
        <v>8.2962500000000006</v>
      </c>
      <c r="L58" s="261">
        <v>8</v>
      </c>
      <c r="M58" s="29">
        <v>68.8</v>
      </c>
      <c r="N58" s="29">
        <f t="shared" si="2"/>
        <v>69.496855345911953</v>
      </c>
      <c r="O58" s="260">
        <f>AVERAGE(M58:M65)</f>
        <v>70.137500000000003</v>
      </c>
      <c r="P58" s="260">
        <f>AVERAGE(N58:N65)</f>
        <v>67.871995963046245</v>
      </c>
      <c r="Q58" s="29">
        <v>525</v>
      </c>
      <c r="R58" s="260">
        <f>AVERAGE(Q58:Q65)</f>
        <v>518.75</v>
      </c>
      <c r="S58" s="29">
        <v>2836</v>
      </c>
      <c r="T58" s="260">
        <f>AVERAGE(S58:S65)</f>
        <v>2347.125</v>
      </c>
      <c r="U58" s="29">
        <f t="shared" si="5"/>
        <v>41.220930232558139</v>
      </c>
      <c r="V58" s="260">
        <f>AVERAGE(U58:U65)</f>
        <v>33.479956926694015</v>
      </c>
      <c r="W58" s="31">
        <f t="shared" si="7"/>
        <v>160.90626274989802</v>
      </c>
      <c r="X58" s="260">
        <f>AVERAGE(W58:W65)</f>
        <v>130.68930554718278</v>
      </c>
      <c r="AA58" s="260">
        <f>K58/AA3</f>
        <v>0.60117753623188408</v>
      </c>
      <c r="AF58" s="32">
        <v>53</v>
      </c>
      <c r="AG58" s="28" t="s">
        <v>247</v>
      </c>
      <c r="AH58" s="263"/>
      <c r="AI58" s="32">
        <v>22.700000000058207</v>
      </c>
      <c r="AK58" s="257"/>
      <c r="AL58" s="32">
        <v>6.3</v>
      </c>
      <c r="AM58" s="257"/>
      <c r="AN58" s="32">
        <v>1185</v>
      </c>
      <c r="AO58" s="35">
        <f t="shared" si="3"/>
        <v>52.202643171672314</v>
      </c>
      <c r="AP58" s="257"/>
      <c r="AR58" s="29">
        <f t="shared" si="4"/>
        <v>203.77347553854545</v>
      </c>
      <c r="AS58" s="257"/>
    </row>
    <row r="59" spans="2:45" x14ac:dyDescent="0.3">
      <c r="B59" s="28">
        <v>54</v>
      </c>
      <c r="C59" s="28" t="s">
        <v>233</v>
      </c>
      <c r="D59" s="259"/>
      <c r="E59" s="28">
        <v>555.79999999999995</v>
      </c>
      <c r="F59" s="28">
        <v>551.5</v>
      </c>
      <c r="G59" s="28">
        <f t="shared" si="1"/>
        <v>4.2999999999999545</v>
      </c>
      <c r="H59" s="28">
        <v>7.67</v>
      </c>
      <c r="I59" s="260"/>
      <c r="J59" s="260"/>
      <c r="K59" s="260"/>
      <c r="L59" s="261"/>
      <c r="M59" s="29">
        <v>74.2</v>
      </c>
      <c r="N59" s="29">
        <f t="shared" si="2"/>
        <v>72.464146023468047</v>
      </c>
      <c r="O59" s="260"/>
      <c r="P59" s="260"/>
      <c r="Q59" s="29">
        <v>525</v>
      </c>
      <c r="R59" s="260"/>
      <c r="S59" s="29">
        <v>2490</v>
      </c>
      <c r="T59" s="260"/>
      <c r="U59" s="29">
        <f t="shared" si="5"/>
        <v>33.55795148247978</v>
      </c>
      <c r="V59" s="260"/>
      <c r="W59" s="31">
        <f t="shared" si="7"/>
        <v>130.99375797985527</v>
      </c>
      <c r="X59" s="260"/>
      <c r="AA59" s="260"/>
      <c r="AF59" s="32">
        <v>54</v>
      </c>
      <c r="AG59" s="28" t="s">
        <v>249</v>
      </c>
      <c r="AH59" s="263"/>
      <c r="AI59" s="32">
        <v>26.600000000069848</v>
      </c>
      <c r="AK59" s="257"/>
      <c r="AL59" s="32">
        <v>6.1</v>
      </c>
      <c r="AM59" s="257"/>
      <c r="AN59" s="32">
        <v>1202</v>
      </c>
      <c r="AO59" s="35">
        <f t="shared" si="3"/>
        <v>45.18796992469337</v>
      </c>
      <c r="AP59" s="257"/>
      <c r="AR59" s="29">
        <f t="shared" si="4"/>
        <v>176.39163698674167</v>
      </c>
      <c r="AS59" s="257"/>
    </row>
    <row r="60" spans="2:45" x14ac:dyDescent="0.3">
      <c r="B60" s="28">
        <v>55</v>
      </c>
      <c r="C60" s="28" t="s">
        <v>236</v>
      </c>
      <c r="D60" s="259"/>
      <c r="E60" s="28">
        <v>559.5</v>
      </c>
      <c r="F60" s="28">
        <v>551</v>
      </c>
      <c r="G60" s="28">
        <f t="shared" si="1"/>
        <v>8.5</v>
      </c>
      <c r="H60" s="28">
        <v>10.86</v>
      </c>
      <c r="I60" s="260"/>
      <c r="J60" s="260"/>
      <c r="K60" s="260"/>
      <c r="L60" s="261"/>
      <c r="M60" s="29">
        <v>72.7</v>
      </c>
      <c r="N60" s="29">
        <f t="shared" si="2"/>
        <v>51.519337016574589</v>
      </c>
      <c r="O60" s="260"/>
      <c r="P60" s="260"/>
      <c r="Q60" s="29">
        <v>525</v>
      </c>
      <c r="R60" s="260"/>
      <c r="S60" s="29">
        <v>2341</v>
      </c>
      <c r="T60" s="260"/>
      <c r="U60" s="29">
        <f t="shared" si="5"/>
        <v>32.200825309491059</v>
      </c>
      <c r="V60" s="260"/>
      <c r="W60" s="31">
        <f t="shared" si="7"/>
        <v>125.69620405897825</v>
      </c>
      <c r="X60" s="260"/>
      <c r="AA60" s="260"/>
      <c r="AF60" s="32">
        <v>55</v>
      </c>
      <c r="AG60" s="28" t="s">
        <v>256</v>
      </c>
      <c r="AH60" s="264"/>
      <c r="AI60" s="32">
        <v>22.6</v>
      </c>
      <c r="AK60" s="258"/>
      <c r="AL60" s="32">
        <v>5.9</v>
      </c>
      <c r="AM60" s="258"/>
      <c r="AN60" s="32">
        <v>830</v>
      </c>
      <c r="AO60" s="35">
        <f t="shared" si="3"/>
        <v>36.725663716814154</v>
      </c>
      <c r="AP60" s="258"/>
      <c r="AR60" s="29">
        <f t="shared" si="4"/>
        <v>143.35895047352895</v>
      </c>
      <c r="AS60" s="258"/>
    </row>
    <row r="61" spans="2:45" x14ac:dyDescent="0.3">
      <c r="B61" s="28">
        <v>56</v>
      </c>
      <c r="C61" s="28" t="s">
        <v>236</v>
      </c>
      <c r="D61" s="259"/>
      <c r="E61" s="28">
        <v>555.79999999999995</v>
      </c>
      <c r="F61" s="28">
        <v>551</v>
      </c>
      <c r="G61" s="28">
        <f t="shared" si="1"/>
        <v>4.7999999999999545</v>
      </c>
      <c r="H61" s="28">
        <v>7.68</v>
      </c>
      <c r="I61" s="260"/>
      <c r="J61" s="260"/>
      <c r="K61" s="260"/>
      <c r="L61" s="261"/>
      <c r="M61" s="29">
        <v>71.8</v>
      </c>
      <c r="N61" s="29">
        <f t="shared" si="2"/>
        <v>72.369791666666657</v>
      </c>
      <c r="O61" s="260"/>
      <c r="P61" s="260"/>
      <c r="Q61" s="29">
        <v>525</v>
      </c>
      <c r="R61" s="260"/>
      <c r="S61" s="29">
        <v>2276</v>
      </c>
      <c r="T61" s="260"/>
      <c r="U61" s="29">
        <f t="shared" si="5"/>
        <v>31.699164345403901</v>
      </c>
      <c r="V61" s="260"/>
      <c r="W61" s="31">
        <f t="shared" si="7"/>
        <v>123.73796608512927</v>
      </c>
      <c r="X61" s="260"/>
      <c r="AA61" s="260"/>
      <c r="AF61" s="28">
        <v>56</v>
      </c>
      <c r="AG61" s="28" t="s">
        <v>250</v>
      </c>
      <c r="AH61" s="262" t="s">
        <v>272</v>
      </c>
      <c r="AI61" s="28">
        <v>24.399999999895225</v>
      </c>
      <c r="AK61" s="265">
        <f>AVERAGE(AI61:AI63)</f>
        <v>29.499999999980599</v>
      </c>
      <c r="AL61" s="28">
        <v>2.2999999999999998</v>
      </c>
      <c r="AM61" s="265">
        <f>AVERAGE(AL61:AL63)</f>
        <v>2.8333333333333335</v>
      </c>
      <c r="AN61" s="28">
        <v>1651</v>
      </c>
      <c r="AO61" s="37">
        <f t="shared" si="3"/>
        <v>67.663934426520058</v>
      </c>
      <c r="AP61" s="265">
        <f>AVERAGE(AO61:AO63)</f>
        <v>53.873048399751191</v>
      </c>
      <c r="AR61" s="29">
        <f t="shared" si="4"/>
        <v>264.12676157720551</v>
      </c>
      <c r="AS61" s="265">
        <f>AVERAGE(AR61:AR63)</f>
        <v>210.29391699902877</v>
      </c>
    </row>
    <row r="62" spans="2:45" x14ac:dyDescent="0.3">
      <c r="B62" s="28">
        <v>57</v>
      </c>
      <c r="C62" s="28" t="s">
        <v>239</v>
      </c>
      <c r="D62" s="259"/>
      <c r="E62" s="28">
        <v>555.5</v>
      </c>
      <c r="F62" s="28">
        <v>551.5</v>
      </c>
      <c r="G62" s="28">
        <f t="shared" si="1"/>
        <v>4</v>
      </c>
      <c r="H62" s="28">
        <v>8.23</v>
      </c>
      <c r="I62" s="260"/>
      <c r="J62" s="260"/>
      <c r="K62" s="260"/>
      <c r="L62" s="261"/>
      <c r="M62" s="29">
        <v>66.900000000000006</v>
      </c>
      <c r="N62" s="29">
        <f t="shared" si="2"/>
        <v>67.496962332928305</v>
      </c>
      <c r="O62" s="260"/>
      <c r="P62" s="260"/>
      <c r="Q62" s="29">
        <v>525</v>
      </c>
      <c r="R62" s="260"/>
      <c r="S62" s="29">
        <v>2167</v>
      </c>
      <c r="T62" s="260"/>
      <c r="U62" s="29">
        <f t="shared" si="5"/>
        <v>32.391629297458891</v>
      </c>
      <c r="V62" s="260"/>
      <c r="W62" s="31">
        <f t="shared" si="7"/>
        <v>126.44100909972987</v>
      </c>
      <c r="X62" s="260"/>
      <c r="AA62" s="260"/>
      <c r="AF62" s="28">
        <v>57</v>
      </c>
      <c r="AG62" s="28" t="s">
        <v>251</v>
      </c>
      <c r="AH62" s="263"/>
      <c r="AI62" s="28">
        <v>30.500000000093131</v>
      </c>
      <c r="AK62" s="257"/>
      <c r="AL62" s="28">
        <v>3.6</v>
      </c>
      <c r="AM62" s="257"/>
      <c r="AN62" s="28">
        <v>1583</v>
      </c>
      <c r="AO62" s="37">
        <f t="shared" si="3"/>
        <v>51.901639344103813</v>
      </c>
      <c r="AP62" s="257"/>
      <c r="AR62" s="29">
        <f t="shared" si="4"/>
        <v>202.59850445724734</v>
      </c>
      <c r="AS62" s="257"/>
    </row>
    <row r="63" spans="2:45" x14ac:dyDescent="0.3">
      <c r="B63" s="28">
        <v>58</v>
      </c>
      <c r="C63" s="28" t="s">
        <v>239</v>
      </c>
      <c r="D63" s="259"/>
      <c r="E63" s="28">
        <v>545</v>
      </c>
      <c r="F63" s="28">
        <v>543</v>
      </c>
      <c r="G63" s="28">
        <f t="shared" si="1"/>
        <v>2</v>
      </c>
      <c r="H63" s="28">
        <v>7.29</v>
      </c>
      <c r="I63" s="260"/>
      <c r="J63" s="260"/>
      <c r="K63" s="260"/>
      <c r="L63" s="261"/>
      <c r="M63" s="29">
        <v>74.3</v>
      </c>
      <c r="N63" s="29">
        <f t="shared" si="2"/>
        <v>74.759945130315501</v>
      </c>
      <c r="O63" s="260"/>
      <c r="P63" s="260"/>
      <c r="Q63" s="29">
        <v>525</v>
      </c>
      <c r="R63" s="260"/>
      <c r="S63" s="29">
        <v>2458</v>
      </c>
      <c r="T63" s="260"/>
      <c r="U63" s="29">
        <f t="shared" si="5"/>
        <v>33.082099596231494</v>
      </c>
      <c r="V63" s="260"/>
      <c r="W63" s="31">
        <f t="shared" si="7"/>
        <v>129.13626596774574</v>
      </c>
      <c r="X63" s="260"/>
      <c r="AA63" s="260"/>
      <c r="AF63" s="28">
        <v>58</v>
      </c>
      <c r="AG63" s="28" t="s">
        <v>252</v>
      </c>
      <c r="AH63" s="264"/>
      <c r="AI63" s="28">
        <v>33.599999999953432</v>
      </c>
      <c r="AK63" s="258"/>
      <c r="AL63" s="28">
        <v>2.6</v>
      </c>
      <c r="AM63" s="258"/>
      <c r="AN63" s="28">
        <v>1413</v>
      </c>
      <c r="AO63" s="37">
        <f t="shared" si="3"/>
        <v>42.053571428629709</v>
      </c>
      <c r="AP63" s="258"/>
      <c r="AR63" s="29">
        <f t="shared" si="4"/>
        <v>164.1564849626335</v>
      </c>
      <c r="AS63" s="258"/>
    </row>
    <row r="64" spans="2:45" x14ac:dyDescent="0.3">
      <c r="B64" s="28">
        <v>59</v>
      </c>
      <c r="C64" s="28" t="s">
        <v>241</v>
      </c>
      <c r="D64" s="259"/>
      <c r="E64" s="28">
        <v>562</v>
      </c>
      <c r="F64" s="28">
        <v>554.5</v>
      </c>
      <c r="G64" s="28">
        <f t="shared" si="1"/>
        <v>7.5</v>
      </c>
      <c r="H64" s="28">
        <v>7.73</v>
      </c>
      <c r="I64" s="260"/>
      <c r="J64" s="260"/>
      <c r="K64" s="260"/>
      <c r="L64" s="261"/>
      <c r="M64" s="29">
        <v>71.400000000000006</v>
      </c>
      <c r="N64" s="29">
        <f t="shared" si="2"/>
        <v>72.703751617076321</v>
      </c>
      <c r="O64" s="260"/>
      <c r="P64" s="260"/>
      <c r="Q64" s="29">
        <v>500</v>
      </c>
      <c r="R64" s="260"/>
      <c r="S64" s="29">
        <v>2225</v>
      </c>
      <c r="T64" s="260"/>
      <c r="U64" s="29">
        <f t="shared" si="5"/>
        <v>31.162464985994394</v>
      </c>
      <c r="V64" s="260"/>
      <c r="W64" s="31">
        <f t="shared" si="7"/>
        <v>121.64295542778514</v>
      </c>
      <c r="X64" s="260"/>
      <c r="AA64" s="260"/>
      <c r="AF64" s="32">
        <v>59</v>
      </c>
      <c r="AG64" s="28" t="s">
        <v>233</v>
      </c>
      <c r="AH64" s="262" t="s">
        <v>273</v>
      </c>
      <c r="AI64" s="32">
        <v>28.000000000058208</v>
      </c>
      <c r="AK64" s="265">
        <f>AVERAGE(AI64:AI67)</f>
        <v>25.500000000046569</v>
      </c>
      <c r="AL64" s="32">
        <v>4</v>
      </c>
      <c r="AM64" s="265">
        <f>AVERAGE(AL64:AL67)</f>
        <v>3.1750000000000003</v>
      </c>
      <c r="AN64" s="32">
        <v>1232</v>
      </c>
      <c r="AO64" s="35">
        <f t="shared" si="3"/>
        <v>43.999999999908532</v>
      </c>
      <c r="AP64" s="265">
        <f>AVERAGE(AO64:AO67)</f>
        <v>35.341297317852963</v>
      </c>
      <c r="AR64" s="29">
        <f t="shared" si="4"/>
        <v>171.75438596455521</v>
      </c>
      <c r="AS64" s="265">
        <f>AVERAGE(AR64:AR67)</f>
        <v>137.95506409161902</v>
      </c>
    </row>
    <row r="65" spans="2:45" x14ac:dyDescent="0.3">
      <c r="B65" s="28">
        <v>60</v>
      </c>
      <c r="C65" s="28" t="s">
        <v>241</v>
      </c>
      <c r="D65" s="259"/>
      <c r="E65" s="28">
        <v>557</v>
      </c>
      <c r="F65" s="28">
        <v>551</v>
      </c>
      <c r="G65" s="28">
        <f t="shared" si="1"/>
        <v>6</v>
      </c>
      <c r="H65" s="28">
        <v>8.9600000000000009</v>
      </c>
      <c r="I65" s="260"/>
      <c r="J65" s="260"/>
      <c r="K65" s="260"/>
      <c r="L65" s="261"/>
      <c r="M65" s="29">
        <v>61</v>
      </c>
      <c r="N65" s="29">
        <f t="shared" si="2"/>
        <v>62.165178571428562</v>
      </c>
      <c r="O65" s="260"/>
      <c r="P65" s="260"/>
      <c r="Q65" s="29">
        <v>500</v>
      </c>
      <c r="R65" s="260"/>
      <c r="S65" s="29">
        <v>1984</v>
      </c>
      <c r="T65" s="260"/>
      <c r="U65" s="29">
        <f t="shared" si="5"/>
        <v>32.524590163934427</v>
      </c>
      <c r="V65" s="260"/>
      <c r="W65" s="31">
        <f t="shared" si="7"/>
        <v>126.96002300834053</v>
      </c>
      <c r="X65" s="260"/>
      <c r="AA65" s="260"/>
      <c r="AF65" s="32">
        <v>60</v>
      </c>
      <c r="AG65" s="28" t="s">
        <v>236</v>
      </c>
      <c r="AH65" s="263"/>
      <c r="AI65" s="32">
        <v>35.900000000069852</v>
      </c>
      <c r="AK65" s="257"/>
      <c r="AL65" s="32">
        <v>2.8</v>
      </c>
      <c r="AM65" s="257"/>
      <c r="AN65" s="32">
        <v>1162</v>
      </c>
      <c r="AO65" s="35">
        <f t="shared" si="3"/>
        <v>32.367688022221145</v>
      </c>
      <c r="AP65" s="257"/>
      <c r="AR65" s="29">
        <f t="shared" si="4"/>
        <v>126.34755412182817</v>
      </c>
      <c r="AS65" s="257"/>
    </row>
    <row r="66" spans="2:45" x14ac:dyDescent="0.3">
      <c r="B66" s="32">
        <v>61</v>
      </c>
      <c r="C66" s="28" t="s">
        <v>234</v>
      </c>
      <c r="D66" s="259" t="s">
        <v>274</v>
      </c>
      <c r="E66" s="32">
        <v>493.5</v>
      </c>
      <c r="F66" s="32">
        <v>489</v>
      </c>
      <c r="G66" s="32">
        <f t="shared" si="1"/>
        <v>4.5</v>
      </c>
      <c r="H66" s="32">
        <v>6.71</v>
      </c>
      <c r="I66" s="260">
        <f>AVERAGE(F66:F71)</f>
        <v>491.83333333333331</v>
      </c>
      <c r="J66" s="260">
        <f>AVERAGE(G66:G71)</f>
        <v>16</v>
      </c>
      <c r="K66" s="260">
        <f>AVERAGE(H66:H71)</f>
        <v>8.0483333333333338</v>
      </c>
      <c r="L66" s="261">
        <v>6</v>
      </c>
      <c r="M66" s="29">
        <v>74.5</v>
      </c>
      <c r="N66" s="29">
        <f t="shared" si="2"/>
        <v>73.546944858420275</v>
      </c>
      <c r="O66" s="260">
        <f>AVERAGE(M66:M71)</f>
        <v>61.366666666666667</v>
      </c>
      <c r="P66" s="260">
        <f>AVERAGE(N66:N71)</f>
        <v>63.544467875893012</v>
      </c>
      <c r="Q66" s="29">
        <v>525</v>
      </c>
      <c r="R66" s="260">
        <f>AVERAGE(Q66:Q71)</f>
        <v>525</v>
      </c>
      <c r="S66" s="29">
        <v>4695</v>
      </c>
      <c r="T66" s="260">
        <f>AVERAGE(S66:S71)</f>
        <v>3099.6666666666665</v>
      </c>
      <c r="U66" s="29">
        <f t="shared" si="5"/>
        <v>63.020134228187921</v>
      </c>
      <c r="V66" s="260">
        <f>AVERAGE(U66:U71)</f>
        <v>49.043997206480299</v>
      </c>
      <c r="W66" s="31">
        <f t="shared" si="7"/>
        <v>245.99964676792652</v>
      </c>
      <c r="X66" s="260">
        <f>AVERAGE(W66:W71)</f>
        <v>191.44367330599766</v>
      </c>
      <c r="AA66" s="260">
        <f>K66/AA3</f>
        <v>0.5832125603864734</v>
      </c>
      <c r="AF66" s="32">
        <v>61</v>
      </c>
      <c r="AG66" s="28" t="s">
        <v>239</v>
      </c>
      <c r="AH66" s="263"/>
      <c r="AI66" s="32">
        <v>17.400000000081491</v>
      </c>
      <c r="AK66" s="257"/>
      <c r="AL66" s="32">
        <v>2.5</v>
      </c>
      <c r="AM66" s="257"/>
      <c r="AN66" s="32">
        <v>498</v>
      </c>
      <c r="AO66" s="35">
        <f t="shared" si="3"/>
        <v>28.620689655038372</v>
      </c>
      <c r="AP66" s="257"/>
      <c r="AR66" s="29">
        <f t="shared" si="4"/>
        <v>111.72111312712347</v>
      </c>
      <c r="AS66" s="257"/>
    </row>
    <row r="67" spans="2:45" x14ac:dyDescent="0.3">
      <c r="B67" s="32">
        <v>62</v>
      </c>
      <c r="C67" s="28" t="s">
        <v>234</v>
      </c>
      <c r="D67" s="259"/>
      <c r="E67" s="32">
        <v>513</v>
      </c>
      <c r="F67" s="32">
        <v>491</v>
      </c>
      <c r="G67" s="32">
        <f t="shared" si="1"/>
        <v>22</v>
      </c>
      <c r="H67" s="32">
        <v>8.24</v>
      </c>
      <c r="I67" s="260"/>
      <c r="J67" s="260"/>
      <c r="K67" s="260"/>
      <c r="L67" s="261"/>
      <c r="M67" s="29">
        <v>56.5</v>
      </c>
      <c r="N67" s="29">
        <f t="shared" si="2"/>
        <v>62.257281553398059</v>
      </c>
      <c r="O67" s="260"/>
      <c r="P67" s="260"/>
      <c r="Q67" s="29">
        <v>525</v>
      </c>
      <c r="R67" s="260"/>
      <c r="S67" s="29">
        <v>1869</v>
      </c>
      <c r="T67" s="260"/>
      <c r="U67" s="29">
        <f t="shared" si="5"/>
        <v>33.079646017699112</v>
      </c>
      <c r="V67" s="260"/>
      <c r="W67" s="31">
        <f t="shared" si="7"/>
        <v>129.12668840242196</v>
      </c>
      <c r="X67" s="260"/>
      <c r="AA67" s="260"/>
      <c r="AF67" s="32">
        <v>62</v>
      </c>
      <c r="AG67" s="28" t="s">
        <v>241</v>
      </c>
      <c r="AH67" s="264"/>
      <c r="AI67" s="32">
        <v>20.699999999976718</v>
      </c>
      <c r="AK67" s="258"/>
      <c r="AL67" s="32">
        <v>3.4</v>
      </c>
      <c r="AM67" s="258"/>
      <c r="AN67" s="32">
        <v>753</v>
      </c>
      <c r="AO67" s="35">
        <f t="shared" si="3"/>
        <v>36.376811594243811</v>
      </c>
      <c r="AP67" s="258"/>
      <c r="AR67" s="29">
        <f t="shared" si="4"/>
        <v>141.99720315296926</v>
      </c>
      <c r="AS67" s="258"/>
    </row>
    <row r="68" spans="2:45" x14ac:dyDescent="0.3">
      <c r="B68" s="32">
        <v>63</v>
      </c>
      <c r="C68" s="28" t="s">
        <v>238</v>
      </c>
      <c r="D68" s="259"/>
      <c r="E68" s="32">
        <v>499</v>
      </c>
      <c r="F68" s="32">
        <v>495</v>
      </c>
      <c r="G68" s="32">
        <f t="shared" si="1"/>
        <v>4</v>
      </c>
      <c r="H68" s="32">
        <v>7.89</v>
      </c>
      <c r="I68" s="260"/>
      <c r="J68" s="260"/>
      <c r="K68" s="260"/>
      <c r="L68" s="261"/>
      <c r="M68" s="29">
        <v>63.7</v>
      </c>
      <c r="N68" s="29">
        <f t="shared" si="2"/>
        <v>63.244613434727505</v>
      </c>
      <c r="O68" s="260"/>
      <c r="P68" s="260"/>
      <c r="Q68" s="29">
        <v>525</v>
      </c>
      <c r="R68" s="260"/>
      <c r="S68" s="29">
        <v>4176</v>
      </c>
      <c r="T68" s="260"/>
      <c r="U68" s="29">
        <f t="shared" si="5"/>
        <v>65.557299843014121</v>
      </c>
      <c r="V68" s="260"/>
      <c r="W68" s="31">
        <f t="shared" si="7"/>
        <v>255.90349500123929</v>
      </c>
      <c r="X68" s="260"/>
      <c r="AA68" s="260"/>
      <c r="AF68" s="28">
        <v>63</v>
      </c>
      <c r="AG68" s="28" t="s">
        <v>234</v>
      </c>
      <c r="AH68" s="262" t="s">
        <v>275</v>
      </c>
      <c r="AI68" s="28">
        <v>14.699999999941792</v>
      </c>
      <c r="AK68" s="265">
        <f>AVERAGE(AI68:AI72)</f>
        <v>15.479999999958091</v>
      </c>
      <c r="AL68" s="28">
        <v>10.3</v>
      </c>
      <c r="AM68" s="265">
        <f>AVERAGE(AL68:AL72)</f>
        <v>11.7</v>
      </c>
      <c r="AN68" s="28">
        <v>1081</v>
      </c>
      <c r="AO68" s="37">
        <f t="shared" si="3"/>
        <v>73.537414966277581</v>
      </c>
      <c r="AP68" s="265">
        <f>AVERAGE(AO68:AO72)</f>
        <v>78.519535870830595</v>
      </c>
      <c r="AR68" s="29">
        <f t="shared" si="4"/>
        <v>287.0539443859081</v>
      </c>
      <c r="AS68" s="265">
        <f>AVERAGE(AR68:AR72)</f>
        <v>306.50169703964565</v>
      </c>
    </row>
    <row r="69" spans="2:45" x14ac:dyDescent="0.3">
      <c r="B69" s="32">
        <v>64</v>
      </c>
      <c r="C69" s="28" t="s">
        <v>238</v>
      </c>
      <c r="D69" s="259"/>
      <c r="E69" s="32">
        <v>530</v>
      </c>
      <c r="F69" s="32">
        <v>497.5</v>
      </c>
      <c r="G69" s="32">
        <f t="shared" si="1"/>
        <v>32.5</v>
      </c>
      <c r="H69" s="32">
        <v>8.73</v>
      </c>
      <c r="I69" s="260"/>
      <c r="J69" s="260"/>
      <c r="K69" s="260"/>
      <c r="L69" s="261"/>
      <c r="M69" s="29">
        <v>55.6</v>
      </c>
      <c r="N69" s="29">
        <f t="shared" si="2"/>
        <v>60.710194730813285</v>
      </c>
      <c r="O69" s="260"/>
      <c r="P69" s="260"/>
      <c r="Q69" s="29">
        <v>525</v>
      </c>
      <c r="R69" s="260"/>
      <c r="S69" s="29">
        <v>1858</v>
      </c>
      <c r="T69" s="260"/>
      <c r="U69" s="29">
        <f t="shared" si="5"/>
        <v>33.417266187050359</v>
      </c>
      <c r="V69" s="260"/>
      <c r="W69" s="31">
        <f t="shared" si="7"/>
        <v>130.44459169506501</v>
      </c>
      <c r="X69" s="260"/>
      <c r="AA69" s="260"/>
      <c r="AF69" s="28">
        <v>64</v>
      </c>
      <c r="AG69" s="28" t="s">
        <v>238</v>
      </c>
      <c r="AH69" s="263"/>
      <c r="AI69" s="28">
        <v>12.400000000046566</v>
      </c>
      <c r="AK69" s="257"/>
      <c r="AL69" s="28">
        <v>11.4</v>
      </c>
      <c r="AM69" s="257"/>
      <c r="AN69" s="28">
        <v>1019</v>
      </c>
      <c r="AO69" s="37">
        <f t="shared" si="3"/>
        <v>82.177419354530102</v>
      </c>
      <c r="AP69" s="257"/>
      <c r="AR69" s="29">
        <f t="shared" si="4"/>
        <v>320.78027730496399</v>
      </c>
      <c r="AS69" s="257"/>
    </row>
    <row r="70" spans="2:45" x14ac:dyDescent="0.3">
      <c r="B70" s="32">
        <v>65</v>
      </c>
      <c r="C70" s="28" t="s">
        <v>240</v>
      </c>
      <c r="D70" s="259"/>
      <c r="E70" s="32">
        <v>487</v>
      </c>
      <c r="F70" s="32">
        <v>482</v>
      </c>
      <c r="G70" s="32">
        <f t="shared" si="1"/>
        <v>5</v>
      </c>
      <c r="H70" s="32">
        <v>7.64</v>
      </c>
      <c r="I70" s="260"/>
      <c r="J70" s="260"/>
      <c r="K70" s="260"/>
      <c r="L70" s="261"/>
      <c r="M70" s="29">
        <v>64.3</v>
      </c>
      <c r="N70" s="29">
        <f t="shared" si="2"/>
        <v>63.7434554973822</v>
      </c>
      <c r="O70" s="260"/>
      <c r="P70" s="260"/>
      <c r="Q70" s="29">
        <v>525</v>
      </c>
      <c r="R70" s="260"/>
      <c r="S70" s="29">
        <v>4107</v>
      </c>
      <c r="T70" s="260"/>
      <c r="U70" s="29">
        <f t="shared" si="5"/>
        <v>63.87247278382582</v>
      </c>
      <c r="V70" s="260"/>
      <c r="W70" s="31">
        <f t="shared" si="7"/>
        <v>249.32675779651308</v>
      </c>
      <c r="X70" s="260"/>
      <c r="AA70" s="260"/>
      <c r="AF70" s="28">
        <v>65</v>
      </c>
      <c r="AG70" s="28" t="s">
        <v>240</v>
      </c>
      <c r="AH70" s="263"/>
      <c r="AI70" s="28">
        <v>9.0999999999767169</v>
      </c>
      <c r="AK70" s="257"/>
      <c r="AL70" s="28">
        <v>9</v>
      </c>
      <c r="AM70" s="257"/>
      <c r="AN70" s="28">
        <v>796</v>
      </c>
      <c r="AO70" s="37">
        <f t="shared" si="3"/>
        <v>87.472527472751281</v>
      </c>
      <c r="AP70" s="257"/>
      <c r="AR70" s="29">
        <f t="shared" si="4"/>
        <v>341.44977829275723</v>
      </c>
      <c r="AS70" s="257"/>
    </row>
    <row r="71" spans="2:45" x14ac:dyDescent="0.3">
      <c r="B71" s="32">
        <v>66</v>
      </c>
      <c r="C71" s="28" t="s">
        <v>240</v>
      </c>
      <c r="D71" s="259"/>
      <c r="E71" s="32">
        <v>524.5</v>
      </c>
      <c r="F71" s="32">
        <v>496.5</v>
      </c>
      <c r="G71" s="32">
        <f t="shared" ref="G71:G93" si="8">E71-F71</f>
        <v>28</v>
      </c>
      <c r="H71" s="32">
        <v>9.08</v>
      </c>
      <c r="I71" s="260"/>
      <c r="J71" s="260"/>
      <c r="K71" s="260"/>
      <c r="L71" s="261"/>
      <c r="M71" s="29">
        <v>53.6</v>
      </c>
      <c r="N71" s="29">
        <f t="shared" ref="N71:N93" si="9">E71/H71</f>
        <v>57.764317180616743</v>
      </c>
      <c r="O71" s="260"/>
      <c r="P71" s="260"/>
      <c r="Q71" s="29">
        <v>525</v>
      </c>
      <c r="R71" s="260"/>
      <c r="S71" s="29">
        <v>1893</v>
      </c>
      <c r="T71" s="260"/>
      <c r="U71" s="29">
        <f t="shared" si="5"/>
        <v>35.317164179104473</v>
      </c>
      <c r="V71" s="260"/>
      <c r="W71" s="31">
        <f t="shared" si="7"/>
        <v>137.86086017282008</v>
      </c>
      <c r="X71" s="260"/>
      <c r="AA71" s="260"/>
      <c r="AF71" s="28">
        <v>66</v>
      </c>
      <c r="AG71" s="28" t="s">
        <v>257</v>
      </c>
      <c r="AH71" s="263"/>
      <c r="AI71" s="28">
        <v>15.499999999883585</v>
      </c>
      <c r="AK71" s="257"/>
      <c r="AL71" s="28">
        <v>12</v>
      </c>
      <c r="AM71" s="257"/>
      <c r="AN71" s="28">
        <v>948</v>
      </c>
      <c r="AO71" s="37">
        <f t="shared" ref="AO71:AO75" si="10">AN71/AI71</f>
        <v>61.161290323040006</v>
      </c>
      <c r="AP71" s="257"/>
      <c r="AR71" s="29">
        <f t="shared" ref="AR71:AR75" si="11">((AO71/1000)*(890*1000))/$AU$3</f>
        <v>238.74363327853334</v>
      </c>
      <c r="AS71" s="257"/>
    </row>
    <row r="72" spans="2:45" x14ac:dyDescent="0.3">
      <c r="B72" s="28">
        <v>67</v>
      </c>
      <c r="C72" s="28" t="s">
        <v>257</v>
      </c>
      <c r="D72" s="259" t="s">
        <v>276</v>
      </c>
      <c r="E72" s="28">
        <v>240.5</v>
      </c>
      <c r="F72" s="28">
        <v>206.5</v>
      </c>
      <c r="G72" s="28">
        <f t="shared" si="8"/>
        <v>34</v>
      </c>
      <c r="H72" s="28">
        <v>8.07</v>
      </c>
      <c r="I72" s="260">
        <f>AVERAGE(F72:F87)</f>
        <v>207.36250000000001</v>
      </c>
      <c r="J72" s="260">
        <f>AVERAGE(G72:G87)</f>
        <v>27.587500000000002</v>
      </c>
      <c r="K72" s="260">
        <f>AVERAGE(H72:H87)</f>
        <v>9.2793750000000017</v>
      </c>
      <c r="L72" s="261">
        <v>16</v>
      </c>
      <c r="M72" s="29">
        <v>26.1</v>
      </c>
      <c r="N72" s="29">
        <f t="shared" si="9"/>
        <v>29.801734820322181</v>
      </c>
      <c r="O72" s="260">
        <f>AVERAGE(M72:M87)</f>
        <v>22.556249999999999</v>
      </c>
      <c r="P72" s="260">
        <f>AVERAGE(N72:N87)</f>
        <v>25.813416428569173</v>
      </c>
      <c r="Q72" s="29">
        <v>525</v>
      </c>
      <c r="R72" s="260">
        <f>AVERAGE(Q72:Q87)</f>
        <v>554.375</v>
      </c>
      <c r="S72" s="29">
        <v>1039</v>
      </c>
      <c r="T72" s="260">
        <f>AVERAGE(S72:S87)</f>
        <v>1125.75</v>
      </c>
      <c r="U72" s="29">
        <f t="shared" ref="U72:U93" si="12">S72/M72</f>
        <v>39.808429118773944</v>
      </c>
      <c r="V72" s="260">
        <f>AVERAGE(U72:U87)</f>
        <v>49.860699215481873</v>
      </c>
      <c r="W72" s="31">
        <f t="shared" si="7"/>
        <v>155.39255226188075</v>
      </c>
      <c r="X72" s="260">
        <f>AVERAGE(W72:W87)</f>
        <v>194.63167676218805</v>
      </c>
      <c r="AA72" s="260">
        <f>K72/AA3</f>
        <v>0.67241847826086965</v>
      </c>
      <c r="AF72" s="28">
        <v>67</v>
      </c>
      <c r="AG72" s="28" t="s">
        <v>261</v>
      </c>
      <c r="AH72" s="264"/>
      <c r="AI72" s="28">
        <v>25.699999999941792</v>
      </c>
      <c r="AK72" s="258"/>
      <c r="AL72" s="28">
        <v>15.8</v>
      </c>
      <c r="AM72" s="258"/>
      <c r="AN72" s="28">
        <v>2268</v>
      </c>
      <c r="AO72" s="37">
        <f t="shared" si="10"/>
        <v>88.24902723755396</v>
      </c>
      <c r="AP72" s="258"/>
      <c r="AR72" s="29">
        <f t="shared" si="11"/>
        <v>344.48085193606585</v>
      </c>
      <c r="AS72" s="258"/>
    </row>
    <row r="73" spans="2:45" x14ac:dyDescent="0.3">
      <c r="B73" s="28">
        <v>68</v>
      </c>
      <c r="C73" s="28" t="s">
        <v>257</v>
      </c>
      <c r="D73" s="259"/>
      <c r="E73" s="28">
        <v>236.3</v>
      </c>
      <c r="F73" s="28">
        <v>206</v>
      </c>
      <c r="G73" s="28">
        <f t="shared" si="8"/>
        <v>30.300000000000011</v>
      </c>
      <c r="H73" s="28">
        <v>8.3800000000000008</v>
      </c>
      <c r="I73" s="260"/>
      <c r="J73" s="260"/>
      <c r="K73" s="260"/>
      <c r="L73" s="261"/>
      <c r="M73" s="29">
        <v>23.3</v>
      </c>
      <c r="N73" s="29">
        <f t="shared" si="9"/>
        <v>28.198090692124104</v>
      </c>
      <c r="O73" s="260"/>
      <c r="P73" s="260"/>
      <c r="Q73" s="29">
        <v>525</v>
      </c>
      <c r="R73" s="260"/>
      <c r="S73" s="29">
        <v>880</v>
      </c>
      <c r="T73" s="260"/>
      <c r="U73" s="29">
        <f t="shared" si="12"/>
        <v>37.768240343347635</v>
      </c>
      <c r="V73" s="260"/>
      <c r="W73" s="31">
        <f t="shared" si="7"/>
        <v>147.42865748061141</v>
      </c>
      <c r="X73" s="260"/>
      <c r="AA73" s="260"/>
      <c r="AF73" s="32">
        <v>68</v>
      </c>
      <c r="AG73" s="28" t="s">
        <v>258</v>
      </c>
      <c r="AH73" s="262" t="s">
        <v>277</v>
      </c>
      <c r="AI73" s="32">
        <v>89.200000000058211</v>
      </c>
      <c r="AK73" s="265">
        <f>AVERAGE(AI73:AI75)</f>
        <v>71.566666666666677</v>
      </c>
      <c r="AL73" s="32">
        <v>14.8</v>
      </c>
      <c r="AM73" s="265">
        <f>AVERAGE(AL73:AL75)</f>
        <v>12.933333333333335</v>
      </c>
      <c r="AN73" s="32">
        <v>5613</v>
      </c>
      <c r="AO73" s="35">
        <f t="shared" si="10"/>
        <v>62.926008968568802</v>
      </c>
      <c r="AP73" s="265">
        <f>AVERAGE(AO73:AO75)</f>
        <v>59.618082032706049</v>
      </c>
      <c r="AR73" s="29">
        <f t="shared" si="11"/>
        <v>245.63222799134311</v>
      </c>
      <c r="AS73" s="265">
        <f>AVERAGE(AR73:AR75)</f>
        <v>232.71970618029994</v>
      </c>
    </row>
    <row r="74" spans="2:45" x14ac:dyDescent="0.3">
      <c r="B74" s="28">
        <v>69</v>
      </c>
      <c r="C74" s="28" t="s">
        <v>261</v>
      </c>
      <c r="D74" s="259"/>
      <c r="E74" s="28">
        <v>234.5</v>
      </c>
      <c r="F74" s="28">
        <v>205.2</v>
      </c>
      <c r="G74" s="28">
        <f t="shared" si="8"/>
        <v>29.300000000000011</v>
      </c>
      <c r="H74" s="28">
        <v>8.07</v>
      </c>
      <c r="I74" s="260"/>
      <c r="J74" s="260"/>
      <c r="K74" s="260"/>
      <c r="L74" s="261"/>
      <c r="M74" s="29">
        <v>25.7</v>
      </c>
      <c r="N74" s="29">
        <f t="shared" si="9"/>
        <v>29.058240396530358</v>
      </c>
      <c r="O74" s="260"/>
      <c r="P74" s="260"/>
      <c r="Q74" s="29">
        <v>570</v>
      </c>
      <c r="R74" s="260"/>
      <c r="S74" s="29">
        <v>1734</v>
      </c>
      <c r="T74" s="260"/>
      <c r="U74" s="29">
        <f t="shared" si="12"/>
        <v>67.47081712062257</v>
      </c>
      <c r="V74" s="260"/>
      <c r="W74" s="31">
        <f t="shared" si="7"/>
        <v>263.37292647962317</v>
      </c>
      <c r="X74" s="260"/>
      <c r="AA74" s="260"/>
      <c r="AF74" s="32">
        <v>69</v>
      </c>
      <c r="AG74" s="28" t="s">
        <v>259</v>
      </c>
      <c r="AH74" s="263"/>
      <c r="AI74" s="32">
        <v>61.399999999871945</v>
      </c>
      <c r="AK74" s="257"/>
      <c r="AL74" s="32">
        <v>11.9</v>
      </c>
      <c r="AM74" s="257"/>
      <c r="AN74" s="32">
        <v>3684</v>
      </c>
      <c r="AO74" s="35">
        <f t="shared" si="10"/>
        <v>60.000000000125134</v>
      </c>
      <c r="AP74" s="257"/>
      <c r="AR74" s="29">
        <f t="shared" si="11"/>
        <v>234.21052631627791</v>
      </c>
      <c r="AS74" s="257"/>
    </row>
    <row r="75" spans="2:45" x14ac:dyDescent="0.3">
      <c r="B75" s="28">
        <v>70</v>
      </c>
      <c r="C75" s="28" t="s">
        <v>261</v>
      </c>
      <c r="D75" s="259"/>
      <c r="E75" s="28">
        <v>218</v>
      </c>
      <c r="F75" s="28">
        <v>195</v>
      </c>
      <c r="G75" s="28">
        <f t="shared" si="8"/>
        <v>23</v>
      </c>
      <c r="H75" s="28">
        <v>7.18</v>
      </c>
      <c r="I75" s="260"/>
      <c r="J75" s="260"/>
      <c r="K75" s="260"/>
      <c r="L75" s="261"/>
      <c r="M75" s="29">
        <v>26.7</v>
      </c>
      <c r="N75" s="29">
        <f t="shared" si="9"/>
        <v>30.362116991643454</v>
      </c>
      <c r="O75" s="260"/>
      <c r="P75" s="260"/>
      <c r="Q75" s="29">
        <v>570</v>
      </c>
      <c r="R75" s="260"/>
      <c r="S75" s="29">
        <v>1614</v>
      </c>
      <c r="T75" s="260"/>
      <c r="U75" s="29">
        <f t="shared" si="12"/>
        <v>60.449438202247194</v>
      </c>
      <c r="V75" s="260"/>
      <c r="W75" s="31">
        <f t="shared" si="7"/>
        <v>235.96491228070175</v>
      </c>
      <c r="X75" s="260"/>
      <c r="AA75" s="260"/>
      <c r="AF75" s="32">
        <v>70</v>
      </c>
      <c r="AG75" s="28" t="s">
        <v>260</v>
      </c>
      <c r="AH75" s="264"/>
      <c r="AI75" s="32">
        <v>64.100000000069855</v>
      </c>
      <c r="AK75" s="258"/>
      <c r="AL75" s="32">
        <v>12.1</v>
      </c>
      <c r="AM75" s="258"/>
      <c r="AN75" s="32">
        <v>3585</v>
      </c>
      <c r="AO75" s="35">
        <f t="shared" si="10"/>
        <v>55.928237129424232</v>
      </c>
      <c r="AP75" s="258"/>
      <c r="AR75" s="29">
        <f t="shared" si="11"/>
        <v>218.31636423327882</v>
      </c>
      <c r="AS75" s="258"/>
    </row>
    <row r="76" spans="2:45" x14ac:dyDescent="0.3">
      <c r="B76" s="28">
        <v>71</v>
      </c>
      <c r="C76" s="38" t="s">
        <v>263</v>
      </c>
      <c r="D76" s="259"/>
      <c r="E76" s="28">
        <v>242.7</v>
      </c>
      <c r="F76" s="28">
        <v>218.2</v>
      </c>
      <c r="G76" s="28">
        <f t="shared" si="8"/>
        <v>24.5</v>
      </c>
      <c r="H76" s="28">
        <v>7.08</v>
      </c>
      <c r="I76" s="260"/>
      <c r="J76" s="260"/>
      <c r="K76" s="260"/>
      <c r="L76" s="261"/>
      <c r="M76" s="29">
        <v>29.3</v>
      </c>
      <c r="N76" s="29">
        <f t="shared" si="9"/>
        <v>34.279661016949149</v>
      </c>
      <c r="O76" s="260"/>
      <c r="P76" s="260"/>
      <c r="Q76" s="29">
        <v>570</v>
      </c>
      <c r="R76" s="260"/>
      <c r="S76" s="29">
        <v>1546</v>
      </c>
      <c r="T76" s="260"/>
      <c r="U76" s="29">
        <f t="shared" si="12"/>
        <v>52.764505119453922</v>
      </c>
      <c r="V76" s="260"/>
      <c r="W76" s="31">
        <f t="shared" si="7"/>
        <v>205.96670858032454</v>
      </c>
      <c r="X76" s="260"/>
      <c r="AA76" s="260"/>
      <c r="AO76" s="39"/>
    </row>
    <row r="77" spans="2:45" x14ac:dyDescent="0.3">
      <c r="B77" s="28">
        <v>72</v>
      </c>
      <c r="C77" s="38" t="s">
        <v>263</v>
      </c>
      <c r="D77" s="259"/>
      <c r="E77" s="28">
        <v>211.5</v>
      </c>
      <c r="F77" s="28">
        <v>210.5</v>
      </c>
      <c r="G77" s="28">
        <f t="shared" si="8"/>
        <v>1</v>
      </c>
      <c r="H77" s="28">
        <v>7.98</v>
      </c>
      <c r="I77" s="260"/>
      <c r="J77" s="260"/>
      <c r="K77" s="260"/>
      <c r="L77" s="261"/>
      <c r="M77" s="29">
        <v>25.4</v>
      </c>
      <c r="N77" s="29">
        <f t="shared" si="9"/>
        <v>26.503759398496239</v>
      </c>
      <c r="O77" s="260"/>
      <c r="P77" s="260"/>
      <c r="Q77" s="29">
        <v>570</v>
      </c>
      <c r="R77" s="260"/>
      <c r="S77" s="29">
        <v>1059</v>
      </c>
      <c r="T77" s="260"/>
      <c r="U77" s="29">
        <f t="shared" si="12"/>
        <v>41.692913385826778</v>
      </c>
      <c r="V77" s="260"/>
      <c r="W77" s="31">
        <f t="shared" si="7"/>
        <v>162.74865312888525</v>
      </c>
      <c r="X77" s="260"/>
      <c r="AA77" s="260"/>
      <c r="AO77" s="39"/>
    </row>
    <row r="78" spans="2:45" x14ac:dyDescent="0.3">
      <c r="B78" s="28">
        <v>73</v>
      </c>
      <c r="C78" s="38" t="s">
        <v>278</v>
      </c>
      <c r="D78" s="259"/>
      <c r="E78" s="28">
        <v>249</v>
      </c>
      <c r="F78" s="28">
        <v>221</v>
      </c>
      <c r="G78" s="28">
        <f t="shared" si="8"/>
        <v>28</v>
      </c>
      <c r="H78" s="28">
        <v>10.34</v>
      </c>
      <c r="I78" s="260"/>
      <c r="J78" s="260"/>
      <c r="K78" s="260"/>
      <c r="L78" s="261"/>
      <c r="M78" s="29">
        <v>21.6</v>
      </c>
      <c r="N78" s="29">
        <f t="shared" si="9"/>
        <v>24.081237911025145</v>
      </c>
      <c r="O78" s="260"/>
      <c r="P78" s="260"/>
      <c r="Q78" s="29">
        <v>560</v>
      </c>
      <c r="R78" s="260"/>
      <c r="S78" s="29">
        <v>1106</v>
      </c>
      <c r="T78" s="260"/>
      <c r="U78" s="29">
        <f t="shared" si="12"/>
        <v>51.203703703703702</v>
      </c>
      <c r="V78" s="260"/>
      <c r="W78" s="31">
        <f t="shared" si="7"/>
        <v>199.87410656270305</v>
      </c>
      <c r="X78" s="260"/>
      <c r="AA78" s="260"/>
      <c r="AO78" s="39"/>
    </row>
    <row r="79" spans="2:45" x14ac:dyDescent="0.3">
      <c r="B79" s="28">
        <v>74</v>
      </c>
      <c r="C79" s="38" t="s">
        <v>278</v>
      </c>
      <c r="D79" s="259"/>
      <c r="E79" s="28">
        <v>231.3</v>
      </c>
      <c r="F79" s="28">
        <v>204</v>
      </c>
      <c r="G79" s="28">
        <f t="shared" si="8"/>
        <v>27.300000000000011</v>
      </c>
      <c r="H79" s="28">
        <v>9.4</v>
      </c>
      <c r="I79" s="260"/>
      <c r="J79" s="260"/>
      <c r="K79" s="260"/>
      <c r="L79" s="261"/>
      <c r="M79" s="29">
        <v>20.3</v>
      </c>
      <c r="N79" s="29">
        <f t="shared" si="9"/>
        <v>24.606382978723406</v>
      </c>
      <c r="O79" s="260"/>
      <c r="P79" s="260"/>
      <c r="Q79" s="29">
        <v>560</v>
      </c>
      <c r="R79" s="260"/>
      <c r="S79" s="29">
        <v>1042</v>
      </c>
      <c r="T79" s="260"/>
      <c r="U79" s="29">
        <f t="shared" si="12"/>
        <v>51.330049261083744</v>
      </c>
      <c r="V79" s="260"/>
      <c r="W79" s="31">
        <f t="shared" si="7"/>
        <v>200.36729755423039</v>
      </c>
      <c r="X79" s="260"/>
      <c r="AA79" s="260"/>
      <c r="AG79" s="19" t="s">
        <v>197</v>
      </c>
      <c r="AH79" s="19">
        <v>2022</v>
      </c>
      <c r="AO79" s="39"/>
    </row>
    <row r="80" spans="2:45" x14ac:dyDescent="0.3">
      <c r="B80" s="28">
        <v>75</v>
      </c>
      <c r="C80" s="38" t="s">
        <v>279</v>
      </c>
      <c r="D80" s="259"/>
      <c r="E80" s="28">
        <v>222.8</v>
      </c>
      <c r="F80" s="28">
        <v>198.8</v>
      </c>
      <c r="G80" s="28">
        <f t="shared" si="8"/>
        <v>24</v>
      </c>
      <c r="H80" s="28">
        <v>10.199999999999999</v>
      </c>
      <c r="I80" s="260"/>
      <c r="J80" s="260"/>
      <c r="K80" s="260"/>
      <c r="L80" s="261"/>
      <c r="M80" s="29">
        <v>21.5</v>
      </c>
      <c r="N80" s="29">
        <f t="shared" si="9"/>
        <v>21.843137254901965</v>
      </c>
      <c r="O80" s="260"/>
      <c r="P80" s="260"/>
      <c r="Q80" s="29">
        <v>540</v>
      </c>
      <c r="R80" s="260"/>
      <c r="S80" s="29">
        <v>943</v>
      </c>
      <c r="T80" s="260"/>
      <c r="U80" s="29">
        <f t="shared" si="12"/>
        <v>43.860465116279073</v>
      </c>
      <c r="V80" s="260"/>
      <c r="W80" s="31">
        <f t="shared" si="7"/>
        <v>171.20971032231742</v>
      </c>
      <c r="X80" s="260"/>
      <c r="AA80" s="260"/>
      <c r="AF80" s="28" t="s">
        <v>198</v>
      </c>
      <c r="AG80" s="28" t="s">
        <v>199</v>
      </c>
      <c r="AH80" s="28" t="s">
        <v>219</v>
      </c>
      <c r="AI80" s="28" t="s">
        <v>280</v>
      </c>
      <c r="AO80" s="39"/>
    </row>
    <row r="81" spans="2:45" x14ac:dyDescent="0.3">
      <c r="B81" s="28">
        <v>76</v>
      </c>
      <c r="C81" s="38" t="s">
        <v>279</v>
      </c>
      <c r="D81" s="259"/>
      <c r="E81" s="28">
        <v>235.5</v>
      </c>
      <c r="F81" s="28">
        <v>209.5</v>
      </c>
      <c r="G81" s="28">
        <f t="shared" si="8"/>
        <v>26</v>
      </c>
      <c r="H81" s="28">
        <v>9.93</v>
      </c>
      <c r="I81" s="260"/>
      <c r="J81" s="260"/>
      <c r="K81" s="260"/>
      <c r="L81" s="261"/>
      <c r="M81" s="29">
        <v>20</v>
      </c>
      <c r="N81" s="29">
        <f t="shared" si="9"/>
        <v>23.716012084592144</v>
      </c>
      <c r="O81" s="260"/>
      <c r="P81" s="260"/>
      <c r="Q81" s="29">
        <v>540</v>
      </c>
      <c r="R81" s="260"/>
      <c r="S81" s="29">
        <v>1054</v>
      </c>
      <c r="T81" s="260"/>
      <c r="U81" s="29">
        <f t="shared" si="12"/>
        <v>52.7</v>
      </c>
      <c r="V81" s="260"/>
      <c r="W81" s="31">
        <f t="shared" si="7"/>
        <v>205.71491228070175</v>
      </c>
      <c r="X81" s="260"/>
      <c r="AA81" s="260"/>
      <c r="AF81" s="32">
        <v>1</v>
      </c>
      <c r="AG81" s="36" t="s">
        <v>73</v>
      </c>
      <c r="AH81" s="262" t="s">
        <v>243</v>
      </c>
      <c r="AI81" s="32">
        <v>626.5</v>
      </c>
      <c r="AK81" s="265">
        <f>AVERAGE(AI81:AI87)</f>
        <v>148.58571428572259</v>
      </c>
      <c r="AL81" s="40">
        <v>8</v>
      </c>
      <c r="AM81" s="265">
        <f>AVERAGE(AL81:AL87)</f>
        <v>10.271428571428572</v>
      </c>
      <c r="AN81" s="28">
        <v>24979</v>
      </c>
      <c r="AO81" s="37">
        <f t="shared" ref="AO81:AO95" si="13">AN81/AI81</f>
        <v>39.870710295291303</v>
      </c>
      <c r="AP81" s="265">
        <f>AVERAGE(AO81:AO87)</f>
        <v>49.533678874021348</v>
      </c>
      <c r="AR81" s="29">
        <f t="shared" ref="AR81:AR95" si="14">((AO81/1000)*(890*1000))/$AU$3</f>
        <v>155.63566738074235</v>
      </c>
      <c r="AS81" s="265">
        <f>AVERAGE(AR81:AR87)</f>
        <v>193.35514999069736</v>
      </c>
    </row>
    <row r="82" spans="2:45" x14ac:dyDescent="0.3">
      <c r="B82" s="28">
        <v>77</v>
      </c>
      <c r="C82" s="38" t="s">
        <v>281</v>
      </c>
      <c r="D82" s="259"/>
      <c r="E82" s="28">
        <v>240</v>
      </c>
      <c r="F82" s="28">
        <v>215</v>
      </c>
      <c r="G82" s="28">
        <f t="shared" si="8"/>
        <v>25</v>
      </c>
      <c r="H82" s="28">
        <v>10.98</v>
      </c>
      <c r="I82" s="260"/>
      <c r="J82" s="260"/>
      <c r="K82" s="260"/>
      <c r="L82" s="261"/>
      <c r="M82" s="29">
        <v>20.399999999999999</v>
      </c>
      <c r="N82" s="29">
        <f t="shared" si="9"/>
        <v>21.857923497267759</v>
      </c>
      <c r="O82" s="260"/>
      <c r="P82" s="260"/>
      <c r="Q82" s="29">
        <v>560</v>
      </c>
      <c r="R82" s="260"/>
      <c r="S82" s="29">
        <v>877</v>
      </c>
      <c r="T82" s="260"/>
      <c r="U82" s="29">
        <f t="shared" si="12"/>
        <v>42.990196078431374</v>
      </c>
      <c r="V82" s="260"/>
      <c r="W82" s="31">
        <f t="shared" si="7"/>
        <v>167.81260749914</v>
      </c>
      <c r="X82" s="260"/>
      <c r="AA82" s="260"/>
      <c r="AF82" s="32">
        <v>2</v>
      </c>
      <c r="AG82" s="36" t="s">
        <v>253</v>
      </c>
      <c r="AH82" s="263"/>
      <c r="AI82" s="32">
        <v>206.8000000000815</v>
      </c>
      <c r="AK82" s="257"/>
      <c r="AL82" s="40">
        <v>14.1</v>
      </c>
      <c r="AM82" s="257"/>
      <c r="AN82" s="28">
        <v>7321</v>
      </c>
      <c r="AO82" s="37">
        <f t="shared" si="13"/>
        <v>35.401353965169804</v>
      </c>
      <c r="AP82" s="257"/>
      <c r="AR82" s="29">
        <f t="shared" si="14"/>
        <v>138.189495741233</v>
      </c>
      <c r="AS82" s="257"/>
    </row>
    <row r="83" spans="2:45" x14ac:dyDescent="0.3">
      <c r="B83" s="28">
        <v>78</v>
      </c>
      <c r="C83" s="38" t="s">
        <v>281</v>
      </c>
      <c r="D83" s="259"/>
      <c r="E83" s="28">
        <v>231.3</v>
      </c>
      <c r="F83" s="28">
        <v>209.3</v>
      </c>
      <c r="G83" s="28">
        <f t="shared" si="8"/>
        <v>22</v>
      </c>
      <c r="H83" s="28">
        <v>10.53</v>
      </c>
      <c r="I83" s="260"/>
      <c r="J83" s="260"/>
      <c r="K83" s="260"/>
      <c r="L83" s="261"/>
      <c r="M83" s="29">
        <v>19</v>
      </c>
      <c r="N83" s="29">
        <f t="shared" si="9"/>
        <v>21.965811965811969</v>
      </c>
      <c r="O83" s="260"/>
      <c r="P83" s="260"/>
      <c r="Q83" s="29">
        <v>550</v>
      </c>
      <c r="R83" s="260"/>
      <c r="S83" s="29">
        <v>1095</v>
      </c>
      <c r="T83" s="260"/>
      <c r="U83" s="29">
        <f t="shared" si="12"/>
        <v>57.631578947368418</v>
      </c>
      <c r="V83" s="260"/>
      <c r="W83" s="31">
        <f t="shared" si="7"/>
        <v>224.96537396121883</v>
      </c>
      <c r="X83" s="260"/>
      <c r="AA83" s="260"/>
      <c r="AF83" s="32">
        <v>3</v>
      </c>
      <c r="AG83" s="28" t="s">
        <v>278</v>
      </c>
      <c r="AH83" s="263"/>
      <c r="AI83" s="32">
        <v>65.5</v>
      </c>
      <c r="AK83" s="257"/>
      <c r="AL83" s="40">
        <v>9.5</v>
      </c>
      <c r="AM83" s="257"/>
      <c r="AN83" s="28">
        <v>3437</v>
      </c>
      <c r="AO83" s="37">
        <f t="shared" si="13"/>
        <v>52.473282442748094</v>
      </c>
      <c r="AP83" s="257"/>
      <c r="AR83" s="29">
        <f t="shared" si="14"/>
        <v>204.82991830721843</v>
      </c>
      <c r="AS83" s="257"/>
    </row>
    <row r="84" spans="2:45" x14ac:dyDescent="0.3">
      <c r="B84" s="28">
        <v>79</v>
      </c>
      <c r="C84" s="38" t="s">
        <v>282</v>
      </c>
      <c r="D84" s="259"/>
      <c r="E84" s="28">
        <v>233</v>
      </c>
      <c r="F84" s="28">
        <v>201</v>
      </c>
      <c r="G84" s="28">
        <f t="shared" si="8"/>
        <v>32</v>
      </c>
      <c r="H84" s="28">
        <v>8.44</v>
      </c>
      <c r="I84" s="260"/>
      <c r="J84" s="260"/>
      <c r="K84" s="260"/>
      <c r="L84" s="261"/>
      <c r="M84" s="29">
        <v>25.2</v>
      </c>
      <c r="N84" s="29">
        <f t="shared" si="9"/>
        <v>27.60663507109005</v>
      </c>
      <c r="O84" s="260"/>
      <c r="P84" s="260"/>
      <c r="Q84" s="29">
        <v>550</v>
      </c>
      <c r="R84" s="260"/>
      <c r="S84" s="29">
        <v>1285</v>
      </c>
      <c r="T84" s="260"/>
      <c r="U84" s="29">
        <f t="shared" si="12"/>
        <v>50.992063492063494</v>
      </c>
      <c r="V84" s="260"/>
      <c r="W84" s="31">
        <f t="shared" si="7"/>
        <v>199.04796714007242</v>
      </c>
      <c r="X84" s="260"/>
      <c r="AA84" s="260"/>
      <c r="AF84" s="32">
        <v>4</v>
      </c>
      <c r="AG84" s="28" t="s">
        <v>279</v>
      </c>
      <c r="AH84" s="263"/>
      <c r="AI84" s="32">
        <v>56.500000000034923</v>
      </c>
      <c r="AK84" s="257"/>
      <c r="AL84" s="40">
        <v>8.6</v>
      </c>
      <c r="AM84" s="257"/>
      <c r="AN84" s="28">
        <v>2454</v>
      </c>
      <c r="AO84" s="37">
        <f t="shared" si="13"/>
        <v>43.433628318557226</v>
      </c>
      <c r="AP84" s="257"/>
      <c r="AR84" s="29">
        <f t="shared" si="14"/>
        <v>169.54354913822777</v>
      </c>
      <c r="AS84" s="257"/>
    </row>
    <row r="85" spans="2:45" x14ac:dyDescent="0.3">
      <c r="B85" s="28">
        <v>80</v>
      </c>
      <c r="C85" s="38" t="s">
        <v>282</v>
      </c>
      <c r="D85" s="259"/>
      <c r="E85" s="28">
        <v>244</v>
      </c>
      <c r="F85" s="28">
        <v>199</v>
      </c>
      <c r="G85" s="28">
        <f t="shared" si="8"/>
        <v>45</v>
      </c>
      <c r="H85" s="28">
        <v>9.86</v>
      </c>
      <c r="I85" s="260"/>
      <c r="J85" s="260"/>
      <c r="K85" s="260"/>
      <c r="L85" s="261"/>
      <c r="M85" s="29">
        <v>18.5</v>
      </c>
      <c r="N85" s="29">
        <f t="shared" si="9"/>
        <v>24.746450304259636</v>
      </c>
      <c r="O85" s="260"/>
      <c r="P85" s="260"/>
      <c r="Q85" s="29">
        <v>560</v>
      </c>
      <c r="R85" s="260"/>
      <c r="S85" s="29">
        <v>996</v>
      </c>
      <c r="T85" s="260"/>
      <c r="U85" s="29">
        <f t="shared" si="12"/>
        <v>53.837837837837839</v>
      </c>
      <c r="V85" s="260"/>
      <c r="W85" s="31">
        <f t="shared" si="7"/>
        <v>210.15647226173544</v>
      </c>
      <c r="X85" s="260"/>
      <c r="AA85" s="260"/>
      <c r="AF85" s="32">
        <v>5</v>
      </c>
      <c r="AG85" s="28" t="s">
        <v>281</v>
      </c>
      <c r="AH85" s="263"/>
      <c r="AI85" s="32">
        <v>36.699999999988357</v>
      </c>
      <c r="AK85" s="257"/>
      <c r="AL85" s="40">
        <v>13.6</v>
      </c>
      <c r="AM85" s="257"/>
      <c r="AN85" s="28">
        <v>2025</v>
      </c>
      <c r="AO85" s="37">
        <f t="shared" si="13"/>
        <v>55.177111716638755</v>
      </c>
      <c r="AP85" s="257"/>
      <c r="AR85" s="29">
        <f t="shared" si="14"/>
        <v>215.38433959565128</v>
      </c>
      <c r="AS85" s="257"/>
    </row>
    <row r="86" spans="2:45" x14ac:dyDescent="0.3">
      <c r="B86" s="28">
        <v>81</v>
      </c>
      <c r="C86" s="38" t="s">
        <v>283</v>
      </c>
      <c r="D86" s="259"/>
      <c r="E86" s="28">
        <v>235</v>
      </c>
      <c r="F86" s="28">
        <v>210</v>
      </c>
      <c r="G86" s="28">
        <f t="shared" si="8"/>
        <v>25</v>
      </c>
      <c r="H86" s="28">
        <v>11.08</v>
      </c>
      <c r="I86" s="260"/>
      <c r="J86" s="260"/>
      <c r="K86" s="260"/>
      <c r="L86" s="261"/>
      <c r="M86" s="29">
        <v>20</v>
      </c>
      <c r="N86" s="29">
        <f t="shared" si="9"/>
        <v>21.209386281588447</v>
      </c>
      <c r="O86" s="260"/>
      <c r="P86" s="260"/>
      <c r="Q86" s="29">
        <v>560</v>
      </c>
      <c r="R86" s="260"/>
      <c r="S86" s="29">
        <v>690</v>
      </c>
      <c r="T86" s="260"/>
      <c r="U86" s="29">
        <f t="shared" si="12"/>
        <v>34.5</v>
      </c>
      <c r="V86" s="260"/>
      <c r="W86" s="31">
        <f t="shared" si="7"/>
        <v>134.67105263157896</v>
      </c>
      <c r="X86" s="260"/>
      <c r="AA86" s="260"/>
      <c r="AF86" s="32">
        <v>6</v>
      </c>
      <c r="AG86" s="28" t="s">
        <v>282</v>
      </c>
      <c r="AH86" s="263"/>
      <c r="AI86" s="32">
        <v>22.200000000069849</v>
      </c>
      <c r="AK86" s="257"/>
      <c r="AL86" s="40">
        <v>9</v>
      </c>
      <c r="AM86" s="257"/>
      <c r="AN86" s="28">
        <v>1343</v>
      </c>
      <c r="AO86" s="37">
        <f t="shared" si="13"/>
        <v>60.495495495305157</v>
      </c>
      <c r="AP86" s="257"/>
      <c r="AR86" s="29">
        <f t="shared" si="14"/>
        <v>236.14469732816485</v>
      </c>
      <c r="AS86" s="257"/>
    </row>
    <row r="87" spans="2:45" x14ac:dyDescent="0.3">
      <c r="B87" s="28">
        <v>82</v>
      </c>
      <c r="C87" s="38" t="s">
        <v>283</v>
      </c>
      <c r="D87" s="259"/>
      <c r="E87" s="28">
        <v>253.8</v>
      </c>
      <c r="F87" s="28">
        <v>208.8</v>
      </c>
      <c r="G87" s="28">
        <f t="shared" si="8"/>
        <v>45</v>
      </c>
      <c r="H87" s="28">
        <v>10.95</v>
      </c>
      <c r="I87" s="260"/>
      <c r="J87" s="260"/>
      <c r="K87" s="260"/>
      <c r="L87" s="261"/>
      <c r="M87" s="29">
        <v>17.899999999999999</v>
      </c>
      <c r="N87" s="29">
        <f t="shared" si="9"/>
        <v>23.178082191780824</v>
      </c>
      <c r="O87" s="260"/>
      <c r="P87" s="260"/>
      <c r="Q87" s="29">
        <v>560</v>
      </c>
      <c r="R87" s="260"/>
      <c r="S87" s="29">
        <v>1052</v>
      </c>
      <c r="T87" s="260"/>
      <c r="U87" s="29">
        <f t="shared" si="12"/>
        <v>58.770949720670394</v>
      </c>
      <c r="V87" s="260"/>
      <c r="W87" s="31">
        <f t="shared" si="7"/>
        <v>229.41291776928355</v>
      </c>
      <c r="X87" s="260"/>
      <c r="AA87" s="260"/>
      <c r="AF87" s="32">
        <v>7</v>
      </c>
      <c r="AG87" s="28" t="s">
        <v>283</v>
      </c>
      <c r="AH87" s="264"/>
      <c r="AI87" s="32">
        <v>25.899999999883583</v>
      </c>
      <c r="AK87" s="258"/>
      <c r="AL87" s="40">
        <v>9.1</v>
      </c>
      <c r="AM87" s="258"/>
      <c r="AN87" s="28">
        <v>1551</v>
      </c>
      <c r="AO87" s="37">
        <f t="shared" si="13"/>
        <v>59.884169884439054</v>
      </c>
      <c r="AP87" s="258"/>
      <c r="AR87" s="29">
        <f t="shared" si="14"/>
        <v>233.75838244364365</v>
      </c>
      <c r="AS87" s="258"/>
    </row>
    <row r="88" spans="2:45" x14ac:dyDescent="0.3">
      <c r="B88" s="32">
        <v>83</v>
      </c>
      <c r="C88" s="28" t="s">
        <v>258</v>
      </c>
      <c r="D88" s="259" t="s">
        <v>284</v>
      </c>
      <c r="E88" s="32">
        <v>831</v>
      </c>
      <c r="F88" s="32">
        <v>793</v>
      </c>
      <c r="G88" s="32">
        <f t="shared" si="8"/>
        <v>38</v>
      </c>
      <c r="H88" s="32">
        <v>8.27</v>
      </c>
      <c r="I88" s="260">
        <f>AVERAGE(F88:F93)</f>
        <v>792.5</v>
      </c>
      <c r="J88" s="260">
        <f>AVERAGE(G88:G93)</f>
        <v>28.25</v>
      </c>
      <c r="K88" s="260">
        <f>AVERAGE(H88:H93)</f>
        <v>7.93</v>
      </c>
      <c r="L88" s="261">
        <v>6</v>
      </c>
      <c r="M88" s="29">
        <v>96.8</v>
      </c>
      <c r="N88" s="29">
        <f t="shared" si="9"/>
        <v>100.48367593712213</v>
      </c>
      <c r="O88" s="260">
        <f>AVERAGE(M88:M93)</f>
        <v>100.11666666666667</v>
      </c>
      <c r="P88" s="260">
        <f>AVERAGE(N88:N93)</f>
        <v>103.88998729070953</v>
      </c>
      <c r="Q88" s="29">
        <v>525</v>
      </c>
      <c r="R88" s="260">
        <f>AVERAGE(Q88:Q93)</f>
        <v>540</v>
      </c>
      <c r="S88" s="29">
        <v>4607</v>
      </c>
      <c r="T88" s="260">
        <f>AVERAGE(S88:S93)</f>
        <v>6513.666666666667</v>
      </c>
      <c r="U88" s="29">
        <f t="shared" si="12"/>
        <v>47.59297520661157</v>
      </c>
      <c r="V88" s="260">
        <f>AVERAGE(U88:U93)</f>
        <v>64.425453260930382</v>
      </c>
      <c r="W88" s="31">
        <f t="shared" si="7"/>
        <v>185.7795962012469</v>
      </c>
      <c r="X88" s="260">
        <f>AVERAGE(W88:W93)</f>
        <v>251.48532193959667</v>
      </c>
      <c r="AA88" s="260">
        <f>K88/AA3</f>
        <v>0.57463768115942027</v>
      </c>
      <c r="AF88" s="28">
        <v>8</v>
      </c>
      <c r="AG88" s="36" t="s">
        <v>263</v>
      </c>
      <c r="AH88" s="262" t="s">
        <v>275</v>
      </c>
      <c r="AI88" s="28">
        <v>97.200000000058211</v>
      </c>
      <c r="AK88" s="265">
        <f>AVERAGE(AI88:AI93)</f>
        <v>38.700000000009702</v>
      </c>
      <c r="AL88" s="40">
        <v>14.3</v>
      </c>
      <c r="AM88" s="265">
        <f>AVERAGE(AL88:AL93)</f>
        <v>11.383333333333333</v>
      </c>
      <c r="AN88" s="28">
        <v>3990</v>
      </c>
      <c r="AO88" s="37">
        <f t="shared" si="13"/>
        <v>41.049382716024802</v>
      </c>
      <c r="AP88" s="265">
        <f>AVERAGE(AO88:AO93)</f>
        <v>57.94892075039008</v>
      </c>
      <c r="AR88" s="29">
        <f t="shared" si="14"/>
        <v>160.23662551430735</v>
      </c>
      <c r="AS88" s="265">
        <f>AVERAGE(AR88:AR93)</f>
        <v>226.20412047301394</v>
      </c>
    </row>
    <row r="89" spans="2:45" x14ac:dyDescent="0.3">
      <c r="B89" s="32">
        <v>84</v>
      </c>
      <c r="C89" s="28" t="s">
        <v>258</v>
      </c>
      <c r="D89" s="259"/>
      <c r="E89" s="32">
        <v>815</v>
      </c>
      <c r="F89" s="32">
        <v>790</v>
      </c>
      <c r="G89" s="32">
        <f t="shared" si="8"/>
        <v>25</v>
      </c>
      <c r="H89" s="32">
        <v>7.92</v>
      </c>
      <c r="I89" s="260"/>
      <c r="J89" s="260"/>
      <c r="K89" s="260"/>
      <c r="L89" s="261"/>
      <c r="M89" s="29">
        <v>98.7</v>
      </c>
      <c r="N89" s="29">
        <f t="shared" si="9"/>
        <v>102.9040404040404</v>
      </c>
      <c r="O89" s="260"/>
      <c r="P89" s="260"/>
      <c r="Q89" s="29">
        <v>525</v>
      </c>
      <c r="R89" s="260"/>
      <c r="S89" s="29">
        <v>6431</v>
      </c>
      <c r="T89" s="260"/>
      <c r="U89" s="29">
        <f t="shared" si="12"/>
        <v>65.157041540020259</v>
      </c>
      <c r="V89" s="260"/>
      <c r="W89" s="31">
        <f t="shared" si="7"/>
        <v>254.34108320446504</v>
      </c>
      <c r="X89" s="260"/>
      <c r="AA89" s="260"/>
      <c r="AF89" s="28">
        <v>9</v>
      </c>
      <c r="AG89" s="28" t="s">
        <v>278</v>
      </c>
      <c r="AH89" s="263"/>
      <c r="AI89" s="28">
        <v>35.599999999941794</v>
      </c>
      <c r="AK89" s="257"/>
      <c r="AL89" s="40">
        <v>13.4</v>
      </c>
      <c r="AM89" s="257"/>
      <c r="AN89" s="28">
        <v>2116</v>
      </c>
      <c r="AO89" s="37">
        <f t="shared" si="13"/>
        <v>59.438202247288196</v>
      </c>
      <c r="AP89" s="257"/>
      <c r="AR89" s="29">
        <f t="shared" si="14"/>
        <v>232.01754386002847</v>
      </c>
      <c r="AS89" s="257"/>
    </row>
    <row r="90" spans="2:45" x14ac:dyDescent="0.3">
      <c r="B90" s="32">
        <v>85</v>
      </c>
      <c r="C90" s="28" t="s">
        <v>259</v>
      </c>
      <c r="D90" s="259"/>
      <c r="E90" s="32">
        <v>813.7</v>
      </c>
      <c r="F90" s="32">
        <v>791.7</v>
      </c>
      <c r="G90" s="32">
        <f t="shared" si="8"/>
        <v>22</v>
      </c>
      <c r="H90" s="32">
        <v>7.89</v>
      </c>
      <c r="I90" s="260"/>
      <c r="J90" s="260"/>
      <c r="K90" s="260"/>
      <c r="L90" s="261"/>
      <c r="M90" s="29">
        <v>101.2</v>
      </c>
      <c r="N90" s="29">
        <f t="shared" si="9"/>
        <v>103.13054499366288</v>
      </c>
      <c r="O90" s="260"/>
      <c r="P90" s="260"/>
      <c r="Q90" s="29">
        <v>525</v>
      </c>
      <c r="R90" s="260"/>
      <c r="S90" s="29">
        <v>4925</v>
      </c>
      <c r="T90" s="260"/>
      <c r="U90" s="29">
        <f t="shared" si="12"/>
        <v>48.666007905138336</v>
      </c>
      <c r="V90" s="260"/>
      <c r="W90" s="31">
        <f t="shared" si="7"/>
        <v>189.9681887525137</v>
      </c>
      <c r="X90" s="260"/>
      <c r="AA90" s="260"/>
      <c r="AF90" s="28">
        <v>10</v>
      </c>
      <c r="AG90" s="28" t="s">
        <v>279</v>
      </c>
      <c r="AH90" s="263"/>
      <c r="AI90" s="28">
        <v>13.600000000034925</v>
      </c>
      <c r="AK90" s="257"/>
      <c r="AL90" s="40">
        <v>9.5</v>
      </c>
      <c r="AM90" s="257"/>
      <c r="AN90" s="28">
        <v>974</v>
      </c>
      <c r="AO90" s="37">
        <f t="shared" si="13"/>
        <v>71.617647058639619</v>
      </c>
      <c r="AP90" s="257"/>
      <c r="AR90" s="29">
        <f t="shared" si="14"/>
        <v>279.56011351837395</v>
      </c>
      <c r="AS90" s="257"/>
    </row>
    <row r="91" spans="2:45" x14ac:dyDescent="0.3">
      <c r="B91" s="32">
        <v>86</v>
      </c>
      <c r="C91" s="28" t="s">
        <v>259</v>
      </c>
      <c r="D91" s="259"/>
      <c r="E91" s="32">
        <v>810.5</v>
      </c>
      <c r="F91" s="32">
        <v>788</v>
      </c>
      <c r="G91" s="32">
        <f t="shared" si="8"/>
        <v>22.5</v>
      </c>
      <c r="H91" s="32">
        <v>7.87</v>
      </c>
      <c r="I91" s="260"/>
      <c r="J91" s="260"/>
      <c r="K91" s="260"/>
      <c r="L91" s="261"/>
      <c r="M91" s="29">
        <v>99.3</v>
      </c>
      <c r="N91" s="29">
        <f t="shared" si="9"/>
        <v>102.98602287166455</v>
      </c>
      <c r="O91" s="260"/>
      <c r="P91" s="260"/>
      <c r="Q91" s="29">
        <v>525</v>
      </c>
      <c r="R91" s="260"/>
      <c r="S91" s="29">
        <v>8105</v>
      </c>
      <c r="T91" s="260"/>
      <c r="U91" s="29">
        <f t="shared" si="12"/>
        <v>81.621349446122863</v>
      </c>
      <c r="V91" s="260"/>
      <c r="W91" s="31">
        <f t="shared" si="7"/>
        <v>318.6096535396901</v>
      </c>
      <c r="X91" s="260"/>
      <c r="AA91" s="260"/>
      <c r="AF91" s="28">
        <v>11</v>
      </c>
      <c r="AG91" s="28" t="s">
        <v>281</v>
      </c>
      <c r="AH91" s="263"/>
      <c r="AI91" s="28">
        <v>15.499999999988358</v>
      </c>
      <c r="AK91" s="257"/>
      <c r="AL91" s="40">
        <v>10.8</v>
      </c>
      <c r="AM91" s="257"/>
      <c r="AN91" s="28">
        <v>1148</v>
      </c>
      <c r="AO91" s="37">
        <f t="shared" si="13"/>
        <v>74.064516129087892</v>
      </c>
      <c r="AP91" s="257"/>
      <c r="AR91" s="29">
        <f t="shared" si="14"/>
        <v>289.11148839863256</v>
      </c>
      <c r="AS91" s="257"/>
    </row>
    <row r="92" spans="2:45" x14ac:dyDescent="0.3">
      <c r="B92" s="32">
        <v>87</v>
      </c>
      <c r="C92" s="28" t="s">
        <v>260</v>
      </c>
      <c r="D92" s="259"/>
      <c r="E92" s="32">
        <v>823</v>
      </c>
      <c r="F92" s="32">
        <v>800</v>
      </c>
      <c r="G92" s="32">
        <f t="shared" si="8"/>
        <v>23</v>
      </c>
      <c r="H92" s="32">
        <v>8.58</v>
      </c>
      <c r="I92" s="260"/>
      <c r="J92" s="260"/>
      <c r="K92" s="260"/>
      <c r="L92" s="261"/>
      <c r="M92" s="29">
        <v>93.8</v>
      </c>
      <c r="N92" s="29">
        <f t="shared" si="9"/>
        <v>95.920745920745915</v>
      </c>
      <c r="O92" s="260"/>
      <c r="P92" s="260"/>
      <c r="Q92" s="29">
        <v>570</v>
      </c>
      <c r="R92" s="260"/>
      <c r="S92" s="29">
        <v>4947</v>
      </c>
      <c r="T92" s="260"/>
      <c r="U92" s="29">
        <f t="shared" si="12"/>
        <v>52.739872068230277</v>
      </c>
      <c r="V92" s="260"/>
      <c r="W92" s="31">
        <f t="shared" si="7"/>
        <v>205.87055324879364</v>
      </c>
      <c r="X92" s="260"/>
      <c r="AA92" s="260"/>
      <c r="AF92" s="28">
        <v>12</v>
      </c>
      <c r="AG92" s="28" t="s">
        <v>282</v>
      </c>
      <c r="AH92" s="263"/>
      <c r="AI92" s="28">
        <v>29.700000000034926</v>
      </c>
      <c r="AK92" s="257"/>
      <c r="AL92" s="40">
        <v>9.9</v>
      </c>
      <c r="AM92" s="257"/>
      <c r="AN92" s="28">
        <v>1580</v>
      </c>
      <c r="AO92" s="37">
        <f t="shared" si="13"/>
        <v>53.198653198590641</v>
      </c>
      <c r="AP92" s="257"/>
      <c r="AR92" s="29">
        <f t="shared" si="14"/>
        <v>207.66140941555119</v>
      </c>
      <c r="AS92" s="257"/>
    </row>
    <row r="93" spans="2:45" x14ac:dyDescent="0.3">
      <c r="B93" s="32">
        <v>88</v>
      </c>
      <c r="C93" s="28" t="s">
        <v>260</v>
      </c>
      <c r="D93" s="259"/>
      <c r="E93" s="32">
        <v>831.3</v>
      </c>
      <c r="F93" s="32">
        <v>792.3</v>
      </c>
      <c r="G93" s="32">
        <f t="shared" si="8"/>
        <v>39</v>
      </c>
      <c r="H93" s="32">
        <v>7.05</v>
      </c>
      <c r="I93" s="260"/>
      <c r="J93" s="260"/>
      <c r="K93" s="260"/>
      <c r="L93" s="261"/>
      <c r="M93" s="29">
        <v>110.9</v>
      </c>
      <c r="N93" s="29">
        <f t="shared" si="9"/>
        <v>117.91489361702128</v>
      </c>
      <c r="O93" s="260"/>
      <c r="P93" s="260"/>
      <c r="Q93" s="29">
        <v>570</v>
      </c>
      <c r="R93" s="260"/>
      <c r="S93" s="29">
        <v>10067</v>
      </c>
      <c r="T93" s="260"/>
      <c r="U93" s="29">
        <f t="shared" si="12"/>
        <v>90.775473399458974</v>
      </c>
      <c r="V93" s="260"/>
      <c r="W93" s="31">
        <f t="shared" si="7"/>
        <v>354.34285669087058</v>
      </c>
      <c r="X93" s="260"/>
      <c r="AA93" s="260"/>
      <c r="AF93" s="28">
        <v>13</v>
      </c>
      <c r="AG93" s="28" t="s">
        <v>283</v>
      </c>
      <c r="AH93" s="264"/>
      <c r="AI93" s="28">
        <v>40.6</v>
      </c>
      <c r="AK93" s="258"/>
      <c r="AL93" s="40">
        <v>10.4</v>
      </c>
      <c r="AM93" s="258"/>
      <c r="AN93" s="28">
        <v>1962</v>
      </c>
      <c r="AO93" s="37">
        <f t="shared" si="13"/>
        <v>48.325123152709359</v>
      </c>
      <c r="AP93" s="258"/>
      <c r="AR93" s="29">
        <f t="shared" si="14"/>
        <v>188.63754213119003</v>
      </c>
      <c r="AS93" s="258"/>
    </row>
    <row r="94" spans="2:45" x14ac:dyDescent="0.3">
      <c r="AF94" s="32">
        <v>14</v>
      </c>
      <c r="AG94" s="28" t="s">
        <v>253</v>
      </c>
      <c r="AH94" s="28" t="s">
        <v>268</v>
      </c>
      <c r="AI94" s="32">
        <v>21.299999999930151</v>
      </c>
      <c r="AK94" s="29">
        <f>AVERAGE(AI94)</f>
        <v>21.299999999930151</v>
      </c>
      <c r="AL94" s="40">
        <v>4.5</v>
      </c>
      <c r="AM94" s="29">
        <f>AVERAGE(AL94)</f>
        <v>4.5</v>
      </c>
      <c r="AN94" s="28">
        <v>1401</v>
      </c>
      <c r="AO94" s="37">
        <f t="shared" si="13"/>
        <v>65.774647887539643</v>
      </c>
      <c r="AP94" s="29">
        <f>AVERAGE(AO94)</f>
        <v>65.774647887539643</v>
      </c>
      <c r="AR94" s="29">
        <f t="shared" si="14"/>
        <v>256.75191499960647</v>
      </c>
      <c r="AS94" s="29">
        <f>AVERAGE(AR94)</f>
        <v>256.75191499960647</v>
      </c>
    </row>
    <row r="95" spans="2:45" x14ac:dyDescent="0.3">
      <c r="AF95" s="28">
        <v>15</v>
      </c>
      <c r="AG95" s="28" t="s">
        <v>253</v>
      </c>
      <c r="AH95" s="28" t="s">
        <v>272</v>
      </c>
      <c r="AI95" s="28">
        <v>46.799999999895228</v>
      </c>
      <c r="AK95" s="29">
        <f>AVERAGE(AI95)</f>
        <v>46.799999999895228</v>
      </c>
      <c r="AL95" s="40">
        <v>5.4</v>
      </c>
      <c r="AM95" s="29">
        <f>AVERAGE(AL95)</f>
        <v>5.4</v>
      </c>
      <c r="AN95" s="28">
        <v>3458</v>
      </c>
      <c r="AO95" s="37">
        <f t="shared" si="13"/>
        <v>73.8888888890543</v>
      </c>
      <c r="AP95" s="29">
        <f>AVERAGE(AO95)</f>
        <v>73.8888888890543</v>
      </c>
      <c r="AR95" s="29">
        <f t="shared" si="14"/>
        <v>288.42592592657161</v>
      </c>
      <c r="AS95" s="29">
        <f>AVERAGE(AR95)</f>
        <v>288.42592592657161</v>
      </c>
    </row>
    <row r="96" spans="2:45" x14ac:dyDescent="0.3">
      <c r="AO96" s="39"/>
    </row>
    <row r="97" spans="2:45" ht="13.8" customHeight="1" x14ac:dyDescent="0.3">
      <c r="AO97" s="39"/>
    </row>
    <row r="98" spans="2:45" x14ac:dyDescent="0.3">
      <c r="C98" s="19" t="s">
        <v>196</v>
      </c>
      <c r="D98" s="19">
        <v>2023</v>
      </c>
      <c r="AO98" s="39"/>
    </row>
    <row r="99" spans="2:45" x14ac:dyDescent="0.3">
      <c r="B99" s="28" t="s">
        <v>198</v>
      </c>
      <c r="C99" s="28" t="s">
        <v>199</v>
      </c>
      <c r="D99" s="28" t="s">
        <v>191</v>
      </c>
      <c r="E99" s="28" t="s">
        <v>179</v>
      </c>
      <c r="F99" s="28" t="s">
        <v>200</v>
      </c>
      <c r="G99" s="28" t="s">
        <v>201</v>
      </c>
      <c r="H99" s="28" t="s">
        <v>202</v>
      </c>
      <c r="I99" s="28" t="s">
        <v>203</v>
      </c>
      <c r="J99" s="28" t="s">
        <v>204</v>
      </c>
      <c r="K99" s="28" t="s">
        <v>205</v>
      </c>
      <c r="L99" s="28" t="s">
        <v>206</v>
      </c>
      <c r="AH99" s="28" t="s">
        <v>243</v>
      </c>
      <c r="AK99" s="29">
        <f>AVERAGE(AK81,AK15)</f>
        <v>104.69910714286493</v>
      </c>
      <c r="AM99" s="29">
        <f>AVERAGE(AM81,AM15)</f>
        <v>10.737797619047619</v>
      </c>
      <c r="AO99" s="39"/>
      <c r="AP99" s="29">
        <f>AVERAGE(AP81,AP15)</f>
        <v>51.836272090069485</v>
      </c>
      <c r="AS99" s="29">
        <f>AVERAGE(AS81,AS15)</f>
        <v>202.34334280772734</v>
      </c>
    </row>
    <row r="100" spans="2:45" x14ac:dyDescent="0.3">
      <c r="B100" s="28">
        <v>1</v>
      </c>
      <c r="C100" s="28" t="s">
        <v>253</v>
      </c>
      <c r="D100" s="28" t="s">
        <v>248</v>
      </c>
      <c r="E100" s="28">
        <v>607.5</v>
      </c>
      <c r="F100" s="28">
        <v>577</v>
      </c>
      <c r="G100" s="28">
        <v>10.07</v>
      </c>
      <c r="H100" s="28">
        <v>11.28</v>
      </c>
      <c r="I100" s="29">
        <f>F100</f>
        <v>577</v>
      </c>
      <c r="J100" s="29"/>
      <c r="K100" s="29">
        <f>H100</f>
        <v>11.28</v>
      </c>
      <c r="L100" s="30">
        <v>1</v>
      </c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AH100" s="28" t="s">
        <v>275</v>
      </c>
      <c r="AK100" s="29">
        <f>AVERAGE(AK88,AK68)</f>
        <v>27.089999999983895</v>
      </c>
      <c r="AM100" s="29">
        <f>AVERAGE(AM88,AM68)</f>
        <v>11.541666666666666</v>
      </c>
      <c r="AO100" s="39"/>
      <c r="AP100" s="29">
        <f>AVERAGE(AP88,AP68)</f>
        <v>68.234228310610334</v>
      </c>
      <c r="AS100" s="29">
        <f>AVERAGE(AS88,AS68)</f>
        <v>266.35290875632978</v>
      </c>
    </row>
    <row r="101" spans="2:45" x14ac:dyDescent="0.3">
      <c r="B101" s="28">
        <v>2</v>
      </c>
      <c r="C101" s="28" t="s">
        <v>253</v>
      </c>
      <c r="D101" s="28" t="s">
        <v>285</v>
      </c>
      <c r="E101" s="28">
        <v>163.19999999999999</v>
      </c>
      <c r="F101" s="28">
        <v>160.19999999999999</v>
      </c>
      <c r="G101" s="28">
        <f>E101-F101</f>
        <v>3</v>
      </c>
      <c r="H101" s="28">
        <v>8.4</v>
      </c>
      <c r="I101" s="29">
        <f t="shared" ref="I101:I102" si="15">F101</f>
        <v>160.19999999999999</v>
      </c>
      <c r="J101" s="42"/>
      <c r="K101" s="29">
        <f t="shared" ref="K101:K102" si="16">H101</f>
        <v>8.4</v>
      </c>
      <c r="L101" s="28">
        <v>1</v>
      </c>
      <c r="AH101" s="28" t="s">
        <v>268</v>
      </c>
      <c r="AK101" s="29">
        <f>AVERAGE(AK94,AK49)</f>
        <v>35.249999999982535</v>
      </c>
      <c r="AM101" s="29">
        <f>AVERAGE(AM94,AM49)</f>
        <v>5.0625</v>
      </c>
      <c r="AO101" s="39"/>
      <c r="AP101" s="29">
        <f>AVERAGE(AP94,AP49)</f>
        <v>54.731716355402114</v>
      </c>
      <c r="AS101" s="29">
        <f>AVERAGE(AS94,AS49)</f>
        <v>213.64573489608716</v>
      </c>
    </row>
    <row r="102" spans="2:45" x14ac:dyDescent="0.3">
      <c r="B102" s="28">
        <v>3</v>
      </c>
      <c r="C102" s="28" t="s">
        <v>253</v>
      </c>
      <c r="D102" s="28" t="s">
        <v>262</v>
      </c>
      <c r="E102" s="28">
        <v>717.1</v>
      </c>
      <c r="F102" s="28">
        <v>713.6</v>
      </c>
      <c r="G102" s="28">
        <f t="shared" ref="G102:G112" si="17">E102-F102</f>
        <v>3.5</v>
      </c>
      <c r="H102" s="28">
        <v>9.18</v>
      </c>
      <c r="I102" s="29">
        <f t="shared" si="15"/>
        <v>713.6</v>
      </c>
      <c r="J102" s="42"/>
      <c r="K102" s="29">
        <f t="shared" si="16"/>
        <v>9.18</v>
      </c>
      <c r="L102" s="28">
        <v>1</v>
      </c>
      <c r="AH102" s="28" t="s">
        <v>272</v>
      </c>
      <c r="AK102" s="29">
        <f>AVERAGE(AK95,AK61)</f>
        <v>38.149999999937911</v>
      </c>
      <c r="AM102" s="29">
        <f>AVERAGE(AM95,AM61)</f>
        <v>4.1166666666666671</v>
      </c>
      <c r="AO102" s="39"/>
      <c r="AP102" s="29">
        <f>AVERAGE(AP95,AP61)</f>
        <v>63.880968644402742</v>
      </c>
      <c r="AS102" s="29">
        <f>AVERAGE(AS95,AS61)</f>
        <v>249.35992146280017</v>
      </c>
    </row>
    <row r="103" spans="2:45" x14ac:dyDescent="0.3">
      <c r="B103" s="28">
        <v>4</v>
      </c>
      <c r="C103" s="28" t="s">
        <v>278</v>
      </c>
      <c r="D103" s="259" t="s">
        <v>276</v>
      </c>
      <c r="E103" s="28">
        <v>242.7</v>
      </c>
      <c r="F103" s="28">
        <v>221</v>
      </c>
      <c r="G103" s="28">
        <f t="shared" si="17"/>
        <v>21.699999999999989</v>
      </c>
      <c r="H103" s="28">
        <v>10.34</v>
      </c>
      <c r="I103" s="259">
        <f>AVERAGE(F103:F112)</f>
        <v>207.34</v>
      </c>
      <c r="J103" s="259">
        <f>AVERAGE(G103:G112)</f>
        <v>25.919999999999998</v>
      </c>
      <c r="K103" s="260">
        <f>AVERAGE(H103:H112)</f>
        <v>10.171000000000001</v>
      </c>
      <c r="L103" s="259">
        <v>10</v>
      </c>
      <c r="AO103" s="39"/>
    </row>
    <row r="104" spans="2:45" x14ac:dyDescent="0.3">
      <c r="B104" s="28">
        <v>5</v>
      </c>
      <c r="C104" s="28" t="s">
        <v>278</v>
      </c>
      <c r="D104" s="259"/>
      <c r="E104" s="28">
        <v>211.5</v>
      </c>
      <c r="F104" s="28">
        <v>201</v>
      </c>
      <c r="G104" s="28">
        <f t="shared" si="17"/>
        <v>10.5</v>
      </c>
      <c r="H104" s="28">
        <v>9.4</v>
      </c>
      <c r="I104" s="259"/>
      <c r="J104" s="259"/>
      <c r="K104" s="260"/>
      <c r="L104" s="259"/>
      <c r="AO104" s="39"/>
    </row>
    <row r="105" spans="2:45" x14ac:dyDescent="0.3">
      <c r="B105" s="28">
        <v>6</v>
      </c>
      <c r="C105" s="28" t="s">
        <v>279</v>
      </c>
      <c r="D105" s="259"/>
      <c r="E105" s="28">
        <v>222.8</v>
      </c>
      <c r="F105" s="28">
        <v>198.8</v>
      </c>
      <c r="G105" s="28">
        <f t="shared" si="17"/>
        <v>24</v>
      </c>
      <c r="H105" s="28">
        <v>10.199999999999999</v>
      </c>
      <c r="I105" s="259"/>
      <c r="J105" s="259"/>
      <c r="K105" s="260"/>
      <c r="L105" s="259"/>
      <c r="AE105" s="24" t="s">
        <v>198</v>
      </c>
      <c r="AF105" s="28" t="s">
        <v>191</v>
      </c>
      <c r="AG105" s="24" t="s">
        <v>199</v>
      </c>
      <c r="AH105" s="24" t="s">
        <v>219</v>
      </c>
      <c r="AI105" s="26" t="s">
        <v>220</v>
      </c>
      <c r="AJ105" s="24" t="s">
        <v>221</v>
      </c>
      <c r="AK105" s="27" t="s">
        <v>222</v>
      </c>
      <c r="AL105" s="24" t="s">
        <v>223</v>
      </c>
      <c r="AM105" s="24" t="s">
        <v>224</v>
      </c>
      <c r="AN105" s="24" t="s">
        <v>225</v>
      </c>
      <c r="AO105" s="24" t="s">
        <v>226</v>
      </c>
      <c r="AP105" s="24" t="s">
        <v>227</v>
      </c>
      <c r="AR105" s="24" t="s">
        <v>228</v>
      </c>
      <c r="AS105" s="24" t="s">
        <v>229</v>
      </c>
    </row>
    <row r="106" spans="2:45" x14ac:dyDescent="0.3">
      <c r="B106" s="28">
        <v>7</v>
      </c>
      <c r="C106" s="28" t="s">
        <v>279</v>
      </c>
      <c r="D106" s="259"/>
      <c r="E106" s="28">
        <v>235.5</v>
      </c>
      <c r="F106" s="28">
        <v>209.5</v>
      </c>
      <c r="G106" s="28">
        <f t="shared" si="17"/>
        <v>26</v>
      </c>
      <c r="H106" s="28">
        <v>9.93</v>
      </c>
      <c r="I106" s="259"/>
      <c r="J106" s="259"/>
      <c r="K106" s="260"/>
      <c r="L106" s="259"/>
      <c r="AE106" s="28">
        <v>1</v>
      </c>
      <c r="AF106" s="42" t="s">
        <v>232</v>
      </c>
      <c r="AG106" s="28">
        <v>2201</v>
      </c>
      <c r="AH106" s="273" t="s">
        <v>231</v>
      </c>
      <c r="AI106" s="28">
        <v>51.099999999976717</v>
      </c>
      <c r="AK106" s="29">
        <f>AVERAGE(AI106)</f>
        <v>51.099999999976717</v>
      </c>
      <c r="AL106" s="28">
        <v>3.3</v>
      </c>
      <c r="AM106" s="29">
        <f>AVERAGE(AL106)</f>
        <v>3.3</v>
      </c>
      <c r="AN106" s="28">
        <v>1916</v>
      </c>
      <c r="AO106" s="37">
        <f t="shared" ref="AO106:AO169" si="18">AN106/AI106</f>
        <v>37.495107632111015</v>
      </c>
      <c r="AP106" s="29">
        <f>AVERAGE(AO106)</f>
        <v>37.495107632111015</v>
      </c>
      <c r="AR106" s="31">
        <f t="shared" ref="AR106:AR169" si="19">((AO106/1000)*(890*1000))/$AU$3</f>
        <v>146.36248154639827</v>
      </c>
      <c r="AS106" s="31">
        <f>AVERAGE(AR106)</f>
        <v>146.36248154639827</v>
      </c>
    </row>
    <row r="107" spans="2:45" x14ac:dyDescent="0.3">
      <c r="B107" s="28">
        <v>8</v>
      </c>
      <c r="C107" s="28" t="s">
        <v>281</v>
      </c>
      <c r="D107" s="259"/>
      <c r="E107" s="28">
        <v>240</v>
      </c>
      <c r="F107" s="28">
        <v>215</v>
      </c>
      <c r="G107" s="28">
        <f t="shared" si="17"/>
        <v>25</v>
      </c>
      <c r="H107" s="28">
        <v>10.98</v>
      </c>
      <c r="I107" s="259"/>
      <c r="J107" s="259"/>
      <c r="K107" s="260"/>
      <c r="L107" s="259"/>
      <c r="AE107" s="28">
        <v>3</v>
      </c>
      <c r="AF107" s="276" t="s">
        <v>274</v>
      </c>
      <c r="AG107" s="28" t="s">
        <v>234</v>
      </c>
      <c r="AH107" s="274"/>
      <c r="AI107" s="28">
        <v>24.299999999988358</v>
      </c>
      <c r="AK107" s="259">
        <f>AVERAGE(AI107:AI109)</f>
        <v>39.266666666612338</v>
      </c>
      <c r="AL107" s="28">
        <v>6.5</v>
      </c>
      <c r="AM107" s="259">
        <f>AVERAGE(AL107:AL109)</f>
        <v>5.4666666666666659</v>
      </c>
      <c r="AN107" s="28">
        <v>1207</v>
      </c>
      <c r="AO107" s="37">
        <f t="shared" si="18"/>
        <v>49.670781893027915</v>
      </c>
      <c r="AP107" s="266">
        <f>AVERAGE(AO107:AO109)</f>
        <v>39.541657302963358</v>
      </c>
      <c r="AR107" s="29">
        <f t="shared" si="19"/>
        <v>193.89033282804755</v>
      </c>
      <c r="AS107" s="266">
        <f>AVERAGE(AR107:AR109)</f>
        <v>154.35120613876049</v>
      </c>
    </row>
    <row r="108" spans="2:45" x14ac:dyDescent="0.3">
      <c r="B108" s="28">
        <v>9</v>
      </c>
      <c r="C108" s="28" t="s">
        <v>281</v>
      </c>
      <c r="D108" s="259"/>
      <c r="E108" s="28">
        <v>234.3</v>
      </c>
      <c r="F108" s="28">
        <v>209.3</v>
      </c>
      <c r="G108" s="28">
        <f t="shared" si="17"/>
        <v>25</v>
      </c>
      <c r="H108" s="28">
        <v>10.53</v>
      </c>
      <c r="I108" s="259"/>
      <c r="J108" s="259"/>
      <c r="K108" s="260"/>
      <c r="L108" s="259"/>
      <c r="AE108" s="28">
        <v>5</v>
      </c>
      <c r="AF108" s="276"/>
      <c r="AG108" s="28" t="s">
        <v>238</v>
      </c>
      <c r="AH108" s="274"/>
      <c r="AI108" s="28">
        <v>47.899999999930152</v>
      </c>
      <c r="AK108" s="259"/>
      <c r="AL108" s="28">
        <v>4.9000000000000004</v>
      </c>
      <c r="AM108" s="259"/>
      <c r="AN108" s="28">
        <v>1493</v>
      </c>
      <c r="AO108" s="37">
        <f t="shared" si="18"/>
        <v>31.169102296496391</v>
      </c>
      <c r="AP108" s="259"/>
      <c r="AR108" s="29">
        <f t="shared" si="19"/>
        <v>121.66886422755171</v>
      </c>
      <c r="AS108" s="259"/>
    </row>
    <row r="109" spans="2:45" x14ac:dyDescent="0.3">
      <c r="B109" s="28">
        <v>10</v>
      </c>
      <c r="C109" s="28" t="s">
        <v>282</v>
      </c>
      <c r="D109" s="259"/>
      <c r="E109" s="28">
        <v>233</v>
      </c>
      <c r="F109" s="28">
        <v>201</v>
      </c>
      <c r="G109" s="28">
        <f t="shared" si="17"/>
        <v>32</v>
      </c>
      <c r="H109" s="28">
        <v>8.44</v>
      </c>
      <c r="I109" s="259"/>
      <c r="J109" s="259"/>
      <c r="K109" s="260"/>
      <c r="L109" s="259"/>
      <c r="AE109" s="28">
        <v>7</v>
      </c>
      <c r="AF109" s="276"/>
      <c r="AG109" s="28" t="s">
        <v>240</v>
      </c>
      <c r="AH109" s="274"/>
      <c r="AI109" s="28">
        <v>45.599999999918509</v>
      </c>
      <c r="AK109" s="259"/>
      <c r="AL109" s="28">
        <v>5</v>
      </c>
      <c r="AM109" s="259"/>
      <c r="AN109" s="28">
        <v>1723</v>
      </c>
      <c r="AO109" s="37">
        <f t="shared" si="18"/>
        <v>37.785087719365769</v>
      </c>
      <c r="AP109" s="259"/>
      <c r="AR109" s="29">
        <f t="shared" si="19"/>
        <v>147.49442136068217</v>
      </c>
      <c r="AS109" s="259"/>
    </row>
    <row r="110" spans="2:45" x14ac:dyDescent="0.3">
      <c r="B110" s="28">
        <v>11</v>
      </c>
      <c r="C110" s="28" t="s">
        <v>282</v>
      </c>
      <c r="D110" s="259"/>
      <c r="E110" s="28">
        <v>224</v>
      </c>
      <c r="F110" s="28">
        <v>199</v>
      </c>
      <c r="G110" s="28">
        <f t="shared" si="17"/>
        <v>25</v>
      </c>
      <c r="H110" s="28">
        <v>9.86</v>
      </c>
      <c r="I110" s="259"/>
      <c r="J110" s="259"/>
      <c r="K110" s="260"/>
      <c r="L110" s="259"/>
      <c r="AE110" s="28">
        <v>2</v>
      </c>
      <c r="AF110" s="259" t="s">
        <v>271</v>
      </c>
      <c r="AG110" s="28" t="s">
        <v>233</v>
      </c>
      <c r="AH110" s="274"/>
      <c r="AI110" s="28">
        <v>21.499999999883585</v>
      </c>
      <c r="AK110" s="259">
        <f>AVERAGE(AI110:AI113)</f>
        <v>39.199999999915597</v>
      </c>
      <c r="AL110" s="28">
        <v>4.5</v>
      </c>
      <c r="AM110" s="259">
        <f>AVERAGE(AL110:AL113)</f>
        <v>5.9749999999999996</v>
      </c>
      <c r="AN110" s="28">
        <v>919</v>
      </c>
      <c r="AO110" s="37">
        <f t="shared" si="18"/>
        <v>42.744186046743074</v>
      </c>
      <c r="AP110" s="266">
        <f>AVERAGE(AO110:AO113)</f>
        <v>39.421965350489657</v>
      </c>
      <c r="AR110" s="29">
        <f t="shared" si="19"/>
        <v>166.85230518246198</v>
      </c>
      <c r="AS110" s="266">
        <f>AVERAGE(AR110:AR113)</f>
        <v>153.88398755234999</v>
      </c>
    </row>
    <row r="111" spans="2:45" x14ac:dyDescent="0.3">
      <c r="B111" s="28">
        <v>12</v>
      </c>
      <c r="C111" s="28" t="s">
        <v>283</v>
      </c>
      <c r="D111" s="259"/>
      <c r="E111" s="28">
        <v>235</v>
      </c>
      <c r="F111" s="28">
        <v>210</v>
      </c>
      <c r="G111" s="28">
        <f t="shared" si="17"/>
        <v>25</v>
      </c>
      <c r="H111" s="28">
        <v>11.08</v>
      </c>
      <c r="I111" s="259"/>
      <c r="J111" s="259"/>
      <c r="K111" s="260"/>
      <c r="L111" s="259"/>
      <c r="AE111" s="28">
        <v>4</v>
      </c>
      <c r="AF111" s="259"/>
      <c r="AG111" s="28" t="s">
        <v>236</v>
      </c>
      <c r="AH111" s="274"/>
      <c r="AI111" s="28">
        <v>49.199999999871942</v>
      </c>
      <c r="AK111" s="259"/>
      <c r="AL111" s="28">
        <v>9.1</v>
      </c>
      <c r="AM111" s="259"/>
      <c r="AN111" s="28">
        <v>2249</v>
      </c>
      <c r="AO111" s="37">
        <f t="shared" si="18"/>
        <v>45.711382113940118</v>
      </c>
      <c r="AP111" s="259"/>
      <c r="AR111" s="29">
        <f t="shared" si="19"/>
        <v>178.43478105880132</v>
      </c>
      <c r="AS111" s="259"/>
    </row>
    <row r="112" spans="2:45" x14ac:dyDescent="0.3">
      <c r="B112" s="28">
        <v>13</v>
      </c>
      <c r="C112" s="28" t="s">
        <v>283</v>
      </c>
      <c r="D112" s="259"/>
      <c r="E112" s="28">
        <v>253.8</v>
      </c>
      <c r="F112" s="28">
        <v>208.8</v>
      </c>
      <c r="G112" s="28">
        <f t="shared" si="17"/>
        <v>45</v>
      </c>
      <c r="H112" s="28">
        <v>10.95</v>
      </c>
      <c r="I112" s="259"/>
      <c r="J112" s="259"/>
      <c r="K112" s="260"/>
      <c r="L112" s="259"/>
      <c r="AE112" s="28">
        <v>6</v>
      </c>
      <c r="AF112" s="259"/>
      <c r="AG112" s="28" t="s">
        <v>239</v>
      </c>
      <c r="AH112" s="274"/>
      <c r="AI112" s="28">
        <v>43.999999999965077</v>
      </c>
      <c r="AK112" s="259"/>
      <c r="AL112" s="28">
        <v>4.9000000000000004</v>
      </c>
      <c r="AM112" s="259"/>
      <c r="AN112" s="28">
        <v>1559</v>
      </c>
      <c r="AO112" s="37">
        <f t="shared" si="18"/>
        <v>35.431818181846303</v>
      </c>
      <c r="AP112" s="259"/>
      <c r="AR112" s="29">
        <f t="shared" si="19"/>
        <v>138.30841307825972</v>
      </c>
      <c r="AS112" s="259"/>
    </row>
    <row r="113" spans="1:45" x14ac:dyDescent="0.3">
      <c r="I113" s="19"/>
      <c r="J113" s="19"/>
      <c r="K113" s="43"/>
      <c r="N113" s="28" t="s">
        <v>191</v>
      </c>
      <c r="O113" s="24" t="s">
        <v>216</v>
      </c>
      <c r="P113" s="28" t="s">
        <v>286</v>
      </c>
      <c r="AE113" s="28">
        <v>8</v>
      </c>
      <c r="AF113" s="259"/>
      <c r="AG113" s="28" t="s">
        <v>241</v>
      </c>
      <c r="AH113" s="274"/>
      <c r="AI113" s="28">
        <v>42.099999999941794</v>
      </c>
      <c r="AK113" s="259"/>
      <c r="AL113" s="28">
        <v>5.4</v>
      </c>
      <c r="AM113" s="259"/>
      <c r="AN113" s="28">
        <v>1423</v>
      </c>
      <c r="AO113" s="37">
        <f t="shared" si="18"/>
        <v>33.800475059429154</v>
      </c>
      <c r="AP113" s="259"/>
      <c r="AR113" s="29">
        <f t="shared" si="19"/>
        <v>131.94045088987696</v>
      </c>
      <c r="AS113" s="259"/>
    </row>
    <row r="114" spans="1:45" x14ac:dyDescent="0.3">
      <c r="N114" s="28" t="s">
        <v>287</v>
      </c>
      <c r="O114" s="29">
        <f>V6</f>
        <v>56</v>
      </c>
      <c r="P114" s="28"/>
      <c r="AE114" s="28">
        <v>9</v>
      </c>
      <c r="AF114" s="38" t="s">
        <v>288</v>
      </c>
      <c r="AG114" s="28" t="s">
        <v>235</v>
      </c>
      <c r="AH114" s="275"/>
      <c r="AI114" s="28">
        <v>97.699999999941795</v>
      </c>
      <c r="AK114" s="29">
        <f>AVERAGE(AI114)</f>
        <v>97.699999999941795</v>
      </c>
      <c r="AL114" s="28">
        <v>3.8</v>
      </c>
      <c r="AM114" s="29">
        <f>AVERAGE(AL114)</f>
        <v>3.8</v>
      </c>
      <c r="AN114" s="28">
        <v>3114</v>
      </c>
      <c r="AO114" s="37">
        <f t="shared" si="18"/>
        <v>31.873080859793809</v>
      </c>
      <c r="AP114" s="29">
        <f>AVERAGE(AO114)</f>
        <v>31.873080859793809</v>
      </c>
      <c r="AR114" s="29">
        <f t="shared" si="19"/>
        <v>124.41685072463375</v>
      </c>
      <c r="AS114" s="31">
        <f>AVERAGE(AR114)</f>
        <v>124.41685072463375</v>
      </c>
    </row>
    <row r="115" spans="1:45" x14ac:dyDescent="0.3">
      <c r="C115" s="19" t="s">
        <v>191</v>
      </c>
      <c r="D115" s="19" t="s">
        <v>289</v>
      </c>
      <c r="E115" s="19" t="s">
        <v>290</v>
      </c>
      <c r="F115" s="19" t="s">
        <v>286</v>
      </c>
      <c r="G115" s="19" t="s">
        <v>291</v>
      </c>
      <c r="N115" s="28" t="s">
        <v>292</v>
      </c>
      <c r="O115" s="29">
        <f>O114</f>
        <v>56</v>
      </c>
      <c r="P115" s="28"/>
      <c r="AE115" s="28">
        <v>10</v>
      </c>
      <c r="AF115" s="267" t="s">
        <v>293</v>
      </c>
      <c r="AG115" s="28">
        <v>2202</v>
      </c>
      <c r="AH115" s="270" t="s">
        <v>243</v>
      </c>
      <c r="AI115" s="28">
        <v>115.7</v>
      </c>
      <c r="AK115" s="259">
        <f>AVERAGE(AI115:AI119)</f>
        <v>78.040000000037253</v>
      </c>
      <c r="AL115" s="28">
        <v>9.6999999999999993</v>
      </c>
      <c r="AM115" s="259">
        <f>AVERAGE(AL115:AL119)</f>
        <v>9.379999999999999</v>
      </c>
      <c r="AN115" s="28">
        <v>4930</v>
      </c>
      <c r="AO115" s="37">
        <f t="shared" si="18"/>
        <v>42.610198789974071</v>
      </c>
      <c r="AP115" s="266">
        <f>AVERAGE(AO115:AO119)</f>
        <v>46.048610987640458</v>
      </c>
      <c r="AR115" s="29">
        <f t="shared" si="19"/>
        <v>166.32928475033737</v>
      </c>
      <c r="AS115" s="266">
        <f>AVERAGE(AR115:AR119)</f>
        <v>179.75115692543858</v>
      </c>
    </row>
    <row r="116" spans="1:45" x14ac:dyDescent="0.3">
      <c r="C116" s="19" t="s">
        <v>287</v>
      </c>
      <c r="D116" s="19" t="s">
        <v>294</v>
      </c>
      <c r="F116" s="19">
        <v>56</v>
      </c>
      <c r="N116" s="28" t="s">
        <v>232</v>
      </c>
      <c r="O116" s="29">
        <f>V7</f>
        <v>35.928929349563674</v>
      </c>
      <c r="P116" s="28">
        <v>371.5</v>
      </c>
      <c r="AE116" s="28">
        <v>12</v>
      </c>
      <c r="AF116" s="268"/>
      <c r="AG116" s="28">
        <v>2204</v>
      </c>
      <c r="AH116" s="271"/>
      <c r="AI116" s="28">
        <v>52.8</v>
      </c>
      <c r="AK116" s="259"/>
      <c r="AL116" s="28">
        <v>9.1999999999999993</v>
      </c>
      <c r="AM116" s="259"/>
      <c r="AN116" s="28">
        <v>2669</v>
      </c>
      <c r="AO116" s="37">
        <f t="shared" si="18"/>
        <v>50.549242424242429</v>
      </c>
      <c r="AP116" s="259"/>
      <c r="AR116" s="29">
        <f t="shared" si="19"/>
        <v>197.31941121743753</v>
      </c>
      <c r="AS116" s="259"/>
    </row>
    <row r="117" spans="1:45" x14ac:dyDescent="0.3">
      <c r="A117" s="21">
        <v>1</v>
      </c>
      <c r="C117" s="19" t="s">
        <v>232</v>
      </c>
      <c r="D117" s="19" t="s">
        <v>294</v>
      </c>
      <c r="E117" s="19" t="s">
        <v>295</v>
      </c>
      <c r="F117" s="19">
        <v>371.5</v>
      </c>
      <c r="G117" s="19">
        <v>11.166666666666666</v>
      </c>
      <c r="N117" s="28" t="s">
        <v>296</v>
      </c>
      <c r="O117" s="29">
        <f>O116</f>
        <v>35.928929349563674</v>
      </c>
      <c r="P117" s="28">
        <v>371.5</v>
      </c>
      <c r="AE117" s="28">
        <v>13</v>
      </c>
      <c r="AF117" s="268"/>
      <c r="AG117" s="28">
        <v>2205</v>
      </c>
      <c r="AH117" s="271"/>
      <c r="AI117" s="28">
        <v>87.700000000058211</v>
      </c>
      <c r="AK117" s="259"/>
      <c r="AL117" s="28">
        <v>7.3</v>
      </c>
      <c r="AM117" s="259"/>
      <c r="AN117" s="28">
        <v>3459</v>
      </c>
      <c r="AO117" s="37">
        <f t="shared" si="18"/>
        <v>39.441277080931634</v>
      </c>
      <c r="AP117" s="259"/>
      <c r="AR117" s="29">
        <f t="shared" si="19"/>
        <v>153.95937106153136</v>
      </c>
      <c r="AS117" s="259"/>
    </row>
    <row r="118" spans="1:45" x14ac:dyDescent="0.3">
      <c r="A118" s="21">
        <v>2</v>
      </c>
      <c r="C118" s="19" t="s">
        <v>237</v>
      </c>
      <c r="D118" s="19" t="s">
        <v>295</v>
      </c>
      <c r="E118" s="19" t="s">
        <v>297</v>
      </c>
      <c r="F118" s="19">
        <v>760.6</v>
      </c>
      <c r="G118" s="19">
        <v>18.399999999999999</v>
      </c>
      <c r="N118" s="28" t="s">
        <v>237</v>
      </c>
      <c r="O118" s="29">
        <f>V10</f>
        <v>42.341731536777566</v>
      </c>
      <c r="P118" s="28">
        <v>760.6</v>
      </c>
      <c r="AE118" s="28">
        <v>15</v>
      </c>
      <c r="AF118" s="268"/>
      <c r="AG118" s="28">
        <v>2207</v>
      </c>
      <c r="AH118" s="271"/>
      <c r="AI118" s="28">
        <v>44.800000000081489</v>
      </c>
      <c r="AK118" s="259"/>
      <c r="AL118" s="28">
        <v>14.1</v>
      </c>
      <c r="AM118" s="259"/>
      <c r="AN118" s="28">
        <v>2498</v>
      </c>
      <c r="AO118" s="37">
        <f t="shared" si="18"/>
        <v>55.758928571327147</v>
      </c>
      <c r="AP118" s="259"/>
      <c r="AR118" s="29">
        <f t="shared" si="19"/>
        <v>217.65546679158405</v>
      </c>
      <c r="AS118" s="259"/>
    </row>
    <row r="119" spans="1:45" x14ac:dyDescent="0.3">
      <c r="A119" s="21">
        <v>3</v>
      </c>
      <c r="C119" s="19" t="s">
        <v>242</v>
      </c>
      <c r="D119" s="19" t="s">
        <v>297</v>
      </c>
      <c r="E119" s="19" t="s">
        <v>298</v>
      </c>
      <c r="F119" s="19">
        <v>75.8</v>
      </c>
      <c r="G119" s="19">
        <v>2.1</v>
      </c>
      <c r="N119" s="28" t="s">
        <v>299</v>
      </c>
      <c r="O119" s="29">
        <f>O118</f>
        <v>42.341731536777566</v>
      </c>
      <c r="P119" s="28">
        <v>760.6</v>
      </c>
      <c r="AE119" s="28">
        <v>16</v>
      </c>
      <c r="AF119" s="269"/>
      <c r="AG119" s="28">
        <v>2208</v>
      </c>
      <c r="AH119" s="271"/>
      <c r="AI119" s="28">
        <v>89.200000000046572</v>
      </c>
      <c r="AK119" s="259"/>
      <c r="AL119" s="28">
        <v>6.6</v>
      </c>
      <c r="AM119" s="259"/>
      <c r="AN119" s="28">
        <v>3736</v>
      </c>
      <c r="AO119" s="37">
        <f t="shared" si="18"/>
        <v>41.883408071727011</v>
      </c>
      <c r="AP119" s="259"/>
      <c r="AR119" s="29">
        <f t="shared" si="19"/>
        <v>163.49225080630279</v>
      </c>
      <c r="AS119" s="259"/>
    </row>
    <row r="120" spans="1:45" x14ac:dyDescent="0.3">
      <c r="A120" s="21">
        <v>4</v>
      </c>
      <c r="C120" s="19" t="s">
        <v>244</v>
      </c>
      <c r="D120" s="19" t="s">
        <v>295</v>
      </c>
      <c r="E120" s="19" t="s">
        <v>298</v>
      </c>
      <c r="F120" s="19">
        <v>793.4</v>
      </c>
      <c r="G120" s="19">
        <v>1</v>
      </c>
      <c r="N120" s="28" t="s">
        <v>242</v>
      </c>
      <c r="O120" s="29">
        <f>V15</f>
        <v>37.618458177524232</v>
      </c>
      <c r="P120" s="28">
        <v>75.8</v>
      </c>
      <c r="AE120" s="28">
        <v>11</v>
      </c>
      <c r="AF120" s="28" t="s">
        <v>248</v>
      </c>
      <c r="AG120" s="28">
        <v>2203</v>
      </c>
      <c r="AH120" s="271"/>
      <c r="AI120" s="28">
        <v>65.7</v>
      </c>
      <c r="AK120" s="29">
        <f>AVERAGE(AI120)</f>
        <v>65.7</v>
      </c>
      <c r="AL120" s="28">
        <v>18.8</v>
      </c>
      <c r="AM120" s="29">
        <f>AVERAGE(AL120)</f>
        <v>18.8</v>
      </c>
      <c r="AN120" s="28">
        <v>3533</v>
      </c>
      <c r="AO120" s="37">
        <f t="shared" si="18"/>
        <v>53.774733637747332</v>
      </c>
      <c r="AP120" s="29">
        <f>AVERAGE(AO120)</f>
        <v>53.774733637747332</v>
      </c>
      <c r="AR120" s="29">
        <f t="shared" si="19"/>
        <v>209.91014446313653</v>
      </c>
      <c r="AS120" s="29">
        <f>AVERAGE(AR120)</f>
        <v>209.91014446313653</v>
      </c>
    </row>
    <row r="121" spans="1:45" x14ac:dyDescent="0.3">
      <c r="A121" s="21">
        <v>5</v>
      </c>
      <c r="C121" s="19" t="s">
        <v>248</v>
      </c>
      <c r="D121" s="19" t="s">
        <v>295</v>
      </c>
      <c r="E121" s="19" t="s">
        <v>300</v>
      </c>
      <c r="F121" s="19">
        <v>588.57142857142856</v>
      </c>
      <c r="G121" s="19">
        <v>10.428571428571429</v>
      </c>
      <c r="N121" s="28" t="s">
        <v>301</v>
      </c>
      <c r="O121" s="29">
        <f t="shared" ref="O121" si="20">O120</f>
        <v>37.618458177524232</v>
      </c>
      <c r="P121" s="28">
        <v>75.8</v>
      </c>
      <c r="AE121" s="28">
        <v>21</v>
      </c>
      <c r="AF121" s="267" t="s">
        <v>302</v>
      </c>
      <c r="AG121" s="28" t="s">
        <v>250</v>
      </c>
      <c r="AH121" s="271"/>
      <c r="AI121" s="28">
        <v>38.000000000046569</v>
      </c>
      <c r="AK121" s="260">
        <f>AVERAGE(AI121:AI123)</f>
        <v>35.80000000003492</v>
      </c>
      <c r="AL121" s="28">
        <v>9.8000000000000007</v>
      </c>
      <c r="AM121" s="260">
        <f>AVERAGE(AL121:AL123)</f>
        <v>10.299999999999999</v>
      </c>
      <c r="AN121" s="28">
        <v>1980</v>
      </c>
      <c r="AO121" s="37">
        <f t="shared" si="18"/>
        <v>52.105263157830883</v>
      </c>
      <c r="AP121" s="260">
        <f>AVERAGE(AO121:AO123)</f>
        <v>44.200833881515656</v>
      </c>
      <c r="AR121" s="29">
        <f t="shared" si="19"/>
        <v>203.39335180030477</v>
      </c>
      <c r="AS121" s="260">
        <f>AVERAGE(AR121:AR123)</f>
        <v>172.53834278310933</v>
      </c>
    </row>
    <row r="122" spans="1:45" x14ac:dyDescent="0.3">
      <c r="A122" s="21">
        <v>6</v>
      </c>
      <c r="C122" s="19" t="s">
        <v>255</v>
      </c>
      <c r="D122" s="19" t="s">
        <v>295</v>
      </c>
      <c r="E122" s="19" t="s">
        <v>303</v>
      </c>
      <c r="F122" s="19">
        <v>411.83333333333331</v>
      </c>
      <c r="G122" s="19">
        <v>15.283333333333331</v>
      </c>
      <c r="N122" s="28" t="s">
        <v>244</v>
      </c>
      <c r="O122" s="29">
        <f>V20</f>
        <v>37.070088701315242</v>
      </c>
      <c r="P122" s="28">
        <v>793.4</v>
      </c>
      <c r="AE122" s="28">
        <v>22</v>
      </c>
      <c r="AF122" s="268"/>
      <c r="AG122" s="28" t="s">
        <v>251</v>
      </c>
      <c r="AH122" s="271"/>
      <c r="AI122" s="28">
        <v>34.5</v>
      </c>
      <c r="AK122" s="260"/>
      <c r="AL122" s="28">
        <v>10.5</v>
      </c>
      <c r="AM122" s="260"/>
      <c r="AN122" s="28">
        <v>1583</v>
      </c>
      <c r="AO122" s="37">
        <f t="shared" si="18"/>
        <v>45.884057971014492</v>
      </c>
      <c r="AP122" s="260"/>
      <c r="AR122" s="29">
        <f t="shared" si="19"/>
        <v>179.10882278159164</v>
      </c>
      <c r="AS122" s="260"/>
    </row>
    <row r="123" spans="1:45" x14ac:dyDescent="0.3">
      <c r="A123" s="21">
        <v>7</v>
      </c>
      <c r="C123" s="19" t="s">
        <v>262</v>
      </c>
      <c r="D123" s="19" t="s">
        <v>295</v>
      </c>
      <c r="E123" s="19" t="s">
        <v>304</v>
      </c>
      <c r="F123" s="19">
        <v>718.42</v>
      </c>
      <c r="G123" s="19">
        <v>10.3</v>
      </c>
      <c r="N123" s="28" t="s">
        <v>305</v>
      </c>
      <c r="O123" s="29">
        <f t="shared" ref="O123" si="21">O122</f>
        <v>37.070088701315242</v>
      </c>
      <c r="P123" s="28">
        <v>793.4</v>
      </c>
      <c r="AE123" s="28">
        <v>23</v>
      </c>
      <c r="AF123" s="269"/>
      <c r="AG123" s="28" t="s">
        <v>252</v>
      </c>
      <c r="AH123" s="271"/>
      <c r="AI123" s="28">
        <v>34.900000000058206</v>
      </c>
      <c r="AK123" s="260"/>
      <c r="AL123" s="28">
        <v>10.6</v>
      </c>
      <c r="AM123" s="260"/>
      <c r="AN123" s="28">
        <v>1208</v>
      </c>
      <c r="AO123" s="37">
        <f t="shared" si="18"/>
        <v>34.613180515701586</v>
      </c>
      <c r="AP123" s="260"/>
      <c r="AR123" s="29">
        <f t="shared" si="19"/>
        <v>135.11285376743163</v>
      </c>
      <c r="AS123" s="260"/>
    </row>
    <row r="124" spans="1:45" x14ac:dyDescent="0.3">
      <c r="A124" s="21">
        <v>8</v>
      </c>
      <c r="C124" s="19" t="s">
        <v>265</v>
      </c>
      <c r="D124" s="19" t="s">
        <v>304</v>
      </c>
      <c r="E124" s="19" t="s">
        <v>300</v>
      </c>
      <c r="F124" s="19">
        <v>161.94</v>
      </c>
      <c r="G124" s="19">
        <v>2.4</v>
      </c>
      <c r="N124" s="28" t="s">
        <v>248</v>
      </c>
      <c r="O124" s="29">
        <f>V25</f>
        <v>48.440197037753848</v>
      </c>
      <c r="P124" s="28">
        <v>588.57142857142856</v>
      </c>
      <c r="AE124" s="28">
        <v>26</v>
      </c>
      <c r="AF124" s="262" t="s">
        <v>255</v>
      </c>
      <c r="AG124" s="28" t="s">
        <v>254</v>
      </c>
      <c r="AH124" s="271"/>
      <c r="AI124" s="28">
        <v>35.799999999965074</v>
      </c>
      <c r="AK124" s="260">
        <f>AVERAGE(AI124:AI125)</f>
        <v>39.699999999953434</v>
      </c>
      <c r="AL124" s="28">
        <v>10.1</v>
      </c>
      <c r="AM124" s="260">
        <f>AVERAGE(AL124:AL125)</f>
        <v>13</v>
      </c>
      <c r="AN124" s="28">
        <v>1942</v>
      </c>
      <c r="AO124" s="37">
        <f t="shared" si="18"/>
        <v>54.245810055918845</v>
      </c>
      <c r="AP124" s="260">
        <f>AVERAGE(AO124:AO125)</f>
        <v>55.070152734418755</v>
      </c>
      <c r="AR124" s="29">
        <f t="shared" si="19"/>
        <v>211.7489953937183</v>
      </c>
      <c r="AS124" s="260">
        <f>AVERAGE(AR124:AR125)</f>
        <v>214.9668242703188</v>
      </c>
    </row>
    <row r="125" spans="1:45" x14ac:dyDescent="0.3">
      <c r="A125" s="21">
        <v>9</v>
      </c>
      <c r="C125" s="19" t="s">
        <v>267</v>
      </c>
      <c r="D125" s="19" t="s">
        <v>295</v>
      </c>
      <c r="E125" s="19" t="s">
        <v>306</v>
      </c>
      <c r="F125" s="19">
        <v>455.45</v>
      </c>
      <c r="G125" s="19">
        <v>13.969999999999999</v>
      </c>
      <c r="N125" s="28" t="s">
        <v>307</v>
      </c>
      <c r="O125" s="29">
        <f t="shared" ref="O125" si="22">O124</f>
        <v>48.440197037753848</v>
      </c>
      <c r="P125" s="28">
        <v>588.57142857142856</v>
      </c>
      <c r="AE125" s="28">
        <v>14</v>
      </c>
      <c r="AF125" s="264"/>
      <c r="AG125" s="28">
        <v>2206</v>
      </c>
      <c r="AH125" s="271"/>
      <c r="AI125" s="28">
        <v>43.599999999941794</v>
      </c>
      <c r="AK125" s="260"/>
      <c r="AL125" s="28">
        <v>15.9</v>
      </c>
      <c r="AM125" s="260"/>
      <c r="AN125" s="28">
        <v>2437</v>
      </c>
      <c r="AO125" s="37">
        <f t="shared" si="18"/>
        <v>55.894495412918658</v>
      </c>
      <c r="AP125" s="260"/>
      <c r="AR125" s="29">
        <f t="shared" si="19"/>
        <v>218.18465314691932</v>
      </c>
      <c r="AS125" s="260"/>
    </row>
    <row r="126" spans="1:45" x14ac:dyDescent="0.3">
      <c r="A126" s="21">
        <v>10</v>
      </c>
      <c r="C126" s="19" t="s">
        <v>271</v>
      </c>
      <c r="D126" s="19" t="s">
        <v>294</v>
      </c>
      <c r="E126" s="19" t="s">
        <v>308</v>
      </c>
      <c r="F126" s="19">
        <v>549.8125</v>
      </c>
      <c r="G126" s="19">
        <v>5.5749999999999886</v>
      </c>
      <c r="N126" s="28" t="s">
        <v>255</v>
      </c>
      <c r="O126" s="29">
        <f>V32</f>
        <v>46.725196113911899</v>
      </c>
      <c r="P126" s="28">
        <v>411.83333333333331</v>
      </c>
      <c r="AE126" s="28">
        <v>25</v>
      </c>
      <c r="AF126" s="44" t="s">
        <v>288</v>
      </c>
      <c r="AG126" s="28" t="s">
        <v>235</v>
      </c>
      <c r="AH126" s="271"/>
      <c r="AI126" s="28">
        <v>67.799999999988358</v>
      </c>
      <c r="AK126" s="29">
        <f>AVERAGE(AI126)</f>
        <v>67.799999999988358</v>
      </c>
      <c r="AL126" s="28">
        <v>11</v>
      </c>
      <c r="AM126" s="29">
        <f>AVERAGE(AL126)</f>
        <v>11</v>
      </c>
      <c r="AN126" s="28">
        <v>2406</v>
      </c>
      <c r="AO126" s="37">
        <f t="shared" si="18"/>
        <v>35.486725663722908</v>
      </c>
      <c r="AP126" s="29">
        <f>AVERAGE(AO126)</f>
        <v>35.486725663722908</v>
      </c>
      <c r="AR126" s="29">
        <f t="shared" si="19"/>
        <v>138.52274491540959</v>
      </c>
      <c r="AS126" s="29">
        <f>AVERAGE(AR126)</f>
        <v>138.52274491540959</v>
      </c>
    </row>
    <row r="127" spans="1:45" x14ac:dyDescent="0.3">
      <c r="A127" s="21">
        <v>11</v>
      </c>
      <c r="C127" s="19" t="s">
        <v>274</v>
      </c>
      <c r="D127" s="19" t="s">
        <v>294</v>
      </c>
      <c r="E127" s="19" t="s">
        <v>309</v>
      </c>
      <c r="F127" s="19">
        <v>491.83333333333331</v>
      </c>
      <c r="G127" s="19">
        <v>16</v>
      </c>
      <c r="N127" s="28" t="s">
        <v>310</v>
      </c>
      <c r="O127" s="29">
        <f t="shared" ref="O127" si="23">O126</f>
        <v>46.725196113911899</v>
      </c>
      <c r="P127" s="28">
        <v>411.83333333333331</v>
      </c>
      <c r="AE127" s="28">
        <v>32</v>
      </c>
      <c r="AF127" s="262" t="s">
        <v>276</v>
      </c>
      <c r="AG127" s="28" t="s">
        <v>261</v>
      </c>
      <c r="AH127" s="271"/>
      <c r="AI127" s="28">
        <v>24.899999999965075</v>
      </c>
      <c r="AK127" s="260">
        <f>AVERAGE(AI127:AI129)</f>
        <v>34.733333333279006</v>
      </c>
      <c r="AL127" s="28">
        <v>10.5</v>
      </c>
      <c r="AM127" s="260">
        <f>AVERAGE(AL127:AL129)</f>
        <v>11.5</v>
      </c>
      <c r="AN127" s="28">
        <v>2922</v>
      </c>
      <c r="AO127" s="37">
        <f t="shared" si="18"/>
        <v>117.34939759052604</v>
      </c>
      <c r="AP127" s="260">
        <f>AVERAGE(AO127:AO129)</f>
        <v>79.310758516911179</v>
      </c>
      <c r="AR127" s="29">
        <f t="shared" si="19"/>
        <v>458.07440287529903</v>
      </c>
      <c r="AS127" s="260">
        <f>AVERAGE(AR127:AR129)</f>
        <v>309.59024157917082</v>
      </c>
    </row>
    <row r="128" spans="1:45" x14ac:dyDescent="0.3">
      <c r="A128" s="21">
        <v>12</v>
      </c>
      <c r="C128" s="19" t="s">
        <v>276</v>
      </c>
      <c r="D128" s="19" t="s">
        <v>295</v>
      </c>
      <c r="E128" s="19" t="s">
        <v>309</v>
      </c>
      <c r="F128" s="19">
        <v>207.36250000000001</v>
      </c>
      <c r="G128" s="19">
        <v>27.587500000000002</v>
      </c>
      <c r="N128" s="28" t="s">
        <v>262</v>
      </c>
      <c r="O128" s="29">
        <f>V38</f>
        <v>42.314723623012817</v>
      </c>
      <c r="P128" s="28">
        <v>718.42</v>
      </c>
      <c r="AE128" s="28">
        <v>33</v>
      </c>
      <c r="AF128" s="263"/>
      <c r="AG128" s="28" t="s">
        <v>263</v>
      </c>
      <c r="AH128" s="271"/>
      <c r="AI128" s="28">
        <v>24.39999999991851</v>
      </c>
      <c r="AK128" s="260"/>
      <c r="AL128" s="28">
        <v>12.7</v>
      </c>
      <c r="AM128" s="260"/>
      <c r="AN128" s="28">
        <v>1744</v>
      </c>
      <c r="AO128" s="37">
        <f t="shared" si="18"/>
        <v>71.47540983630428</v>
      </c>
      <c r="AP128" s="260"/>
      <c r="AR128" s="29">
        <f t="shared" si="19"/>
        <v>279.00488927329303</v>
      </c>
      <c r="AS128" s="260"/>
    </row>
    <row r="129" spans="1:45" x14ac:dyDescent="0.3">
      <c r="A129" s="21">
        <v>13</v>
      </c>
      <c r="C129" s="19" t="s">
        <v>284</v>
      </c>
      <c r="D129" s="19" t="s">
        <v>295</v>
      </c>
      <c r="E129" s="19" t="s">
        <v>311</v>
      </c>
      <c r="F129" s="19">
        <v>792.5</v>
      </c>
      <c r="G129" s="19">
        <v>28.25</v>
      </c>
      <c r="N129" s="28" t="s">
        <v>312</v>
      </c>
      <c r="O129" s="29">
        <f t="shared" ref="O129" si="24">O128</f>
        <v>42.314723623012817</v>
      </c>
      <c r="P129" s="28">
        <v>718.42</v>
      </c>
      <c r="AE129" s="28">
        <v>28</v>
      </c>
      <c r="AF129" s="264"/>
      <c r="AG129" s="28" t="s">
        <v>257</v>
      </c>
      <c r="AH129" s="271"/>
      <c r="AI129" s="28">
        <v>54.899999999953437</v>
      </c>
      <c r="AK129" s="260"/>
      <c r="AL129" s="28">
        <v>11.3</v>
      </c>
      <c r="AM129" s="260"/>
      <c r="AN129" s="28">
        <v>2696</v>
      </c>
      <c r="AO129" s="37">
        <f t="shared" si="18"/>
        <v>49.107468123903217</v>
      </c>
      <c r="AP129" s="260"/>
      <c r="AR129" s="29">
        <f t="shared" si="19"/>
        <v>191.69143258892046</v>
      </c>
      <c r="AS129" s="260"/>
    </row>
    <row r="130" spans="1:45" x14ac:dyDescent="0.3">
      <c r="N130" s="28" t="s">
        <v>265</v>
      </c>
      <c r="O130" s="29">
        <f>V43</f>
        <v>37.063102092762101</v>
      </c>
      <c r="P130" s="28">
        <v>161.94</v>
      </c>
      <c r="AE130" s="28">
        <v>24</v>
      </c>
      <c r="AF130" s="44" t="s">
        <v>313</v>
      </c>
      <c r="AG130" s="28" t="s">
        <v>233</v>
      </c>
      <c r="AH130" s="271"/>
      <c r="AI130" s="28">
        <v>21.200000000058207</v>
      </c>
      <c r="AK130" s="29">
        <f>AVERAGE(AI130)</f>
        <v>21.200000000058207</v>
      </c>
      <c r="AL130" s="28">
        <v>9.3000000000000007</v>
      </c>
      <c r="AM130" s="29">
        <f>AVERAGE(AL130)</f>
        <v>9.3000000000000007</v>
      </c>
      <c r="AN130" s="28">
        <v>1070</v>
      </c>
      <c r="AO130" s="37">
        <f t="shared" si="18"/>
        <v>50.471698113068975</v>
      </c>
      <c r="AP130" s="29">
        <f>AVERAGE(AO130)</f>
        <v>50.471698113068975</v>
      </c>
      <c r="AR130" s="29">
        <f t="shared" si="19"/>
        <v>197.01671631855871</v>
      </c>
      <c r="AS130" s="29">
        <f>AVERAGE(AR130)</f>
        <v>197.01671631855871</v>
      </c>
    </row>
    <row r="131" spans="1:45" ht="28.8" x14ac:dyDescent="0.3">
      <c r="C131" s="28" t="s">
        <v>219</v>
      </c>
      <c r="D131" s="28" t="s">
        <v>314</v>
      </c>
      <c r="E131" s="28" t="s">
        <v>315</v>
      </c>
      <c r="F131" s="45" t="s">
        <v>316</v>
      </c>
      <c r="H131" s="28" t="s">
        <v>219</v>
      </c>
      <c r="I131" s="28" t="s">
        <v>314</v>
      </c>
      <c r="J131" s="28" t="s">
        <v>315</v>
      </c>
      <c r="K131" s="45" t="s">
        <v>316</v>
      </c>
      <c r="N131" s="28" t="s">
        <v>285</v>
      </c>
      <c r="O131" s="29">
        <f t="shared" ref="O131" si="25">O130</f>
        <v>37.063102092762101</v>
      </c>
      <c r="P131" s="28">
        <v>161.94</v>
      </c>
      <c r="AE131" s="28">
        <v>29</v>
      </c>
      <c r="AF131" s="262" t="s">
        <v>284</v>
      </c>
      <c r="AG131" s="28" t="s">
        <v>258</v>
      </c>
      <c r="AH131" s="271"/>
      <c r="AI131" s="28">
        <v>59.400000000023283</v>
      </c>
      <c r="AK131" s="260">
        <f>AVERAGE(AI131:AI133)</f>
        <v>50.466666666655023</v>
      </c>
      <c r="AL131" s="28">
        <v>20</v>
      </c>
      <c r="AM131" s="260">
        <f>AVERAGE(AL131:AL133)</f>
        <v>12.833333333333334</v>
      </c>
      <c r="AN131" s="28">
        <v>2903</v>
      </c>
      <c r="AO131" s="37">
        <f t="shared" si="18"/>
        <v>48.872053872034712</v>
      </c>
      <c r="AP131" s="260">
        <f>AVERAGE(AO131:AO133)</f>
        <v>62.680102772486862</v>
      </c>
      <c r="AR131" s="29">
        <f t="shared" si="19"/>
        <v>190.77249099171445</v>
      </c>
      <c r="AS131" s="260">
        <f>AVERAGE(AR131:AR133)</f>
        <v>244.6723309978654</v>
      </c>
    </row>
    <row r="132" spans="1:45" x14ac:dyDescent="0.3">
      <c r="C132" s="28" t="s">
        <v>294</v>
      </c>
      <c r="D132" s="28">
        <v>47.044444444379771</v>
      </c>
      <c r="E132" s="28">
        <v>5.2666666666666657</v>
      </c>
      <c r="F132" s="29">
        <f>AP6</f>
        <v>38.409002422528175</v>
      </c>
      <c r="H132" s="28" t="s">
        <v>231</v>
      </c>
      <c r="I132" s="28">
        <v>47.044444444379771</v>
      </c>
      <c r="J132" s="28">
        <v>5.2666666666666657</v>
      </c>
      <c r="K132" s="29">
        <v>38.409002422528175</v>
      </c>
      <c r="N132" s="28" t="s">
        <v>267</v>
      </c>
      <c r="O132" s="29">
        <f>V48</f>
        <v>57.729048654636678</v>
      </c>
      <c r="P132" s="28">
        <v>455.45</v>
      </c>
      <c r="AE132" s="28">
        <v>30</v>
      </c>
      <c r="AF132" s="263"/>
      <c r="AG132" s="28" t="s">
        <v>259</v>
      </c>
      <c r="AH132" s="271"/>
      <c r="AI132" s="28">
        <v>30.099999999976717</v>
      </c>
      <c r="AK132" s="260"/>
      <c r="AL132" s="28">
        <v>9</v>
      </c>
      <c r="AM132" s="260"/>
      <c r="AN132" s="28">
        <v>2063</v>
      </c>
      <c r="AO132" s="37">
        <f t="shared" si="18"/>
        <v>68.538205980119457</v>
      </c>
      <c r="AP132" s="260"/>
      <c r="AR132" s="29">
        <f t="shared" si="19"/>
        <v>267.53948825572951</v>
      </c>
      <c r="AS132" s="260"/>
    </row>
    <row r="133" spans="1:45" x14ac:dyDescent="0.3">
      <c r="C133" s="28" t="s">
        <v>295</v>
      </c>
      <c r="D133" s="28">
        <v>104.69910714286493</v>
      </c>
      <c r="E133" s="28">
        <v>10.737797619047619</v>
      </c>
      <c r="F133" s="29">
        <f>AP99</f>
        <v>51.836272090069485</v>
      </c>
      <c r="H133" s="28" t="s">
        <v>243</v>
      </c>
      <c r="I133" s="28">
        <v>104.69910714286493</v>
      </c>
      <c r="J133" s="28">
        <v>10.737797619047619</v>
      </c>
      <c r="K133" s="29">
        <v>51.836272090069485</v>
      </c>
      <c r="N133" s="28" t="s">
        <v>317</v>
      </c>
      <c r="O133" s="29">
        <f t="shared" ref="O133" si="26">O132</f>
        <v>57.729048654636678</v>
      </c>
      <c r="P133" s="28">
        <v>455.45</v>
      </c>
      <c r="AE133" s="28">
        <v>31</v>
      </c>
      <c r="AF133" s="264"/>
      <c r="AG133" s="28" t="s">
        <v>260</v>
      </c>
      <c r="AH133" s="271"/>
      <c r="AI133" s="28">
        <v>61.899999999965075</v>
      </c>
      <c r="AK133" s="260"/>
      <c r="AL133" s="28">
        <v>9.5</v>
      </c>
      <c r="AM133" s="260"/>
      <c r="AN133" s="28">
        <v>4372</v>
      </c>
      <c r="AO133" s="37">
        <f t="shared" si="18"/>
        <v>70.630048465306416</v>
      </c>
      <c r="AP133" s="260"/>
      <c r="AR133" s="29">
        <f t="shared" si="19"/>
        <v>275.70501374615225</v>
      </c>
      <c r="AS133" s="260"/>
    </row>
    <row r="134" spans="1:45" x14ac:dyDescent="0.3">
      <c r="C134" s="28" t="s">
        <v>309</v>
      </c>
      <c r="D134" s="28">
        <v>27.089999999983895</v>
      </c>
      <c r="E134" s="28">
        <v>11.541666666666666</v>
      </c>
      <c r="F134" s="29">
        <f>AP68</f>
        <v>78.519535870830595</v>
      </c>
      <c r="H134" s="28" t="s">
        <v>275</v>
      </c>
      <c r="I134" s="28">
        <v>27.089999999983895</v>
      </c>
      <c r="J134" s="28">
        <v>11.541666666666666</v>
      </c>
      <c r="K134" s="29">
        <v>78.519535870830595</v>
      </c>
      <c r="N134" s="28" t="s">
        <v>271</v>
      </c>
      <c r="O134" s="29">
        <f>V58</f>
        <v>33.479956926694015</v>
      </c>
      <c r="P134" s="28">
        <v>549.8125</v>
      </c>
      <c r="AE134" s="28">
        <v>17</v>
      </c>
      <c r="AF134" s="267" t="s">
        <v>267</v>
      </c>
      <c r="AG134" s="28" t="s">
        <v>245</v>
      </c>
      <c r="AH134" s="271"/>
      <c r="AI134" s="28">
        <v>241.8000000001397</v>
      </c>
      <c r="AK134" s="259">
        <f>AVERAGE(AI134:AI138)</f>
        <v>94.440000000025606</v>
      </c>
      <c r="AL134" s="28">
        <v>14.1</v>
      </c>
      <c r="AM134" s="259">
        <f>AVERAGE(AL134:AL138)</f>
        <v>10.6</v>
      </c>
      <c r="AN134" s="28">
        <v>9012</v>
      </c>
      <c r="AO134" s="37">
        <f t="shared" si="18"/>
        <v>37.270471463998319</v>
      </c>
      <c r="AP134" s="259">
        <f>AVERAGE(AO134:AO138)</f>
        <v>52.128232802500541</v>
      </c>
      <c r="AR134" s="29">
        <f t="shared" si="19"/>
        <v>145.48561229367763</v>
      </c>
      <c r="AS134" s="259">
        <f>AVERAGE(AR134:AR138)</f>
        <v>203.48301400976089</v>
      </c>
    </row>
    <row r="135" spans="1:45" x14ac:dyDescent="0.3">
      <c r="C135" s="28" t="s">
        <v>300</v>
      </c>
      <c r="D135" s="28">
        <v>35.249999999982535</v>
      </c>
      <c r="E135" s="28">
        <v>5.0625</v>
      </c>
      <c r="F135" s="29">
        <f>AP101</f>
        <v>54.731716355402114</v>
      </c>
      <c r="H135" s="28" t="s">
        <v>268</v>
      </c>
      <c r="I135" s="28">
        <v>35.249999999982535</v>
      </c>
      <c r="J135" s="28">
        <v>5.0625</v>
      </c>
      <c r="K135" s="29">
        <v>54.731716355402114</v>
      </c>
      <c r="N135" s="28" t="s">
        <v>318</v>
      </c>
      <c r="O135" s="29">
        <f t="shared" ref="O135" si="27">O134</f>
        <v>33.479956926694015</v>
      </c>
      <c r="P135" s="28">
        <v>549.8125</v>
      </c>
      <c r="AE135" s="28">
        <v>18</v>
      </c>
      <c r="AF135" s="268"/>
      <c r="AG135" s="28" t="s">
        <v>246</v>
      </c>
      <c r="AH135" s="271"/>
      <c r="AI135" s="28">
        <v>36.800000000069851</v>
      </c>
      <c r="AK135" s="259"/>
      <c r="AL135" s="28">
        <v>10.9</v>
      </c>
      <c r="AM135" s="259"/>
      <c r="AN135" s="28">
        <v>2835</v>
      </c>
      <c r="AO135" s="37">
        <f t="shared" si="18"/>
        <v>77.038043478114645</v>
      </c>
      <c r="AP135" s="259"/>
      <c r="AR135" s="29">
        <f t="shared" si="19"/>
        <v>300.71867848913172</v>
      </c>
      <c r="AS135" s="259"/>
    </row>
    <row r="136" spans="1:45" x14ac:dyDescent="0.3">
      <c r="C136" s="28" t="s">
        <v>304</v>
      </c>
      <c r="D136" s="28">
        <v>38.149999999937911</v>
      </c>
      <c r="E136" s="28">
        <v>4.1166666666666671</v>
      </c>
      <c r="F136" s="29">
        <f>AP102</f>
        <v>63.880968644402742</v>
      </c>
      <c r="H136" s="28" t="s">
        <v>272</v>
      </c>
      <c r="I136" s="28">
        <v>38.149999999937911</v>
      </c>
      <c r="J136" s="28">
        <v>4.1166666666666671</v>
      </c>
      <c r="K136" s="29">
        <v>63.880968644402742</v>
      </c>
      <c r="N136" s="28" t="s">
        <v>274</v>
      </c>
      <c r="O136" s="29">
        <f>V66</f>
        <v>49.043997206480299</v>
      </c>
      <c r="P136" s="28">
        <v>491.83333333333331</v>
      </c>
      <c r="AE136" s="28">
        <v>19</v>
      </c>
      <c r="AF136" s="268"/>
      <c r="AG136" s="28" t="s">
        <v>247</v>
      </c>
      <c r="AH136" s="271"/>
      <c r="AI136" s="28">
        <v>92.399999999965075</v>
      </c>
      <c r="AK136" s="259"/>
      <c r="AL136" s="28">
        <v>9</v>
      </c>
      <c r="AM136" s="259"/>
      <c r="AN136" s="28">
        <v>4202</v>
      </c>
      <c r="AO136" s="37">
        <f t="shared" si="18"/>
        <v>45.476190476207663</v>
      </c>
      <c r="AP136" s="259"/>
      <c r="AR136" s="29">
        <f t="shared" si="19"/>
        <v>177.51670843782816</v>
      </c>
      <c r="AS136" s="259"/>
    </row>
    <row r="137" spans="1:45" x14ac:dyDescent="0.3">
      <c r="C137" s="28" t="s">
        <v>297</v>
      </c>
      <c r="D137" s="28">
        <v>32.040000000009314</v>
      </c>
      <c r="E137" s="28">
        <v>2.3400000000000003</v>
      </c>
      <c r="F137" s="29">
        <f>AP39</f>
        <v>68.572277301325443</v>
      </c>
      <c r="H137" s="28" t="s">
        <v>264</v>
      </c>
      <c r="I137" s="28">
        <v>32.040000000009314</v>
      </c>
      <c r="J137" s="28">
        <v>2.3400000000000003</v>
      </c>
      <c r="K137" s="29">
        <v>68.572277301325443</v>
      </c>
      <c r="N137" s="28" t="s">
        <v>319</v>
      </c>
      <c r="O137" s="29">
        <f t="shared" ref="O137" si="28">O136</f>
        <v>49.043997206480299</v>
      </c>
      <c r="P137" s="28">
        <v>491.83333333333331</v>
      </c>
      <c r="AE137" s="28">
        <v>20</v>
      </c>
      <c r="AF137" s="268"/>
      <c r="AG137" s="28" t="s">
        <v>249</v>
      </c>
      <c r="AH137" s="271"/>
      <c r="AI137" s="28">
        <v>77.799999999906873</v>
      </c>
      <c r="AK137" s="259"/>
      <c r="AL137" s="28">
        <v>9.6</v>
      </c>
      <c r="AM137" s="259"/>
      <c r="AN137" s="28">
        <v>3295</v>
      </c>
      <c r="AO137" s="37">
        <f t="shared" si="18"/>
        <v>42.352185090024989</v>
      </c>
      <c r="AP137" s="259"/>
      <c r="AR137" s="29">
        <f t="shared" si="19"/>
        <v>165.32212600930808</v>
      </c>
      <c r="AS137" s="259"/>
    </row>
    <row r="138" spans="1:45" x14ac:dyDescent="0.3">
      <c r="C138" s="28" t="s">
        <v>298</v>
      </c>
      <c r="D138" s="28">
        <v>48.939999999955759</v>
      </c>
      <c r="E138" s="28">
        <v>2.56</v>
      </c>
      <c r="F138" s="29">
        <f>AP44</f>
        <v>70.556219189727685</v>
      </c>
      <c r="H138" s="28" t="s">
        <v>266</v>
      </c>
      <c r="I138" s="28">
        <v>48.939999999955759</v>
      </c>
      <c r="J138" s="28">
        <v>2.56</v>
      </c>
      <c r="K138" s="29">
        <v>70.556219189727685</v>
      </c>
      <c r="N138" s="28" t="s">
        <v>276</v>
      </c>
      <c r="O138" s="29">
        <f>V72</f>
        <v>49.860699215481873</v>
      </c>
      <c r="P138" s="28">
        <v>207.36250000000001</v>
      </c>
      <c r="AE138" s="28">
        <v>27</v>
      </c>
      <c r="AF138" s="269"/>
      <c r="AG138" s="28" t="s">
        <v>256</v>
      </c>
      <c r="AH138" s="272"/>
      <c r="AI138" s="28">
        <v>23.400000000046568</v>
      </c>
      <c r="AK138" s="259"/>
      <c r="AL138" s="28">
        <v>9.4</v>
      </c>
      <c r="AM138" s="259"/>
      <c r="AN138" s="28">
        <v>1369</v>
      </c>
      <c r="AO138" s="37">
        <f t="shared" si="18"/>
        <v>58.504273504157077</v>
      </c>
      <c r="AP138" s="259"/>
      <c r="AR138" s="29">
        <f t="shared" si="19"/>
        <v>228.37194481885876</v>
      </c>
      <c r="AS138" s="259"/>
    </row>
    <row r="139" spans="1:45" x14ac:dyDescent="0.3">
      <c r="C139" s="28" t="s">
        <v>303</v>
      </c>
      <c r="D139" s="28">
        <v>27.533333333344974</v>
      </c>
      <c r="E139" s="28">
        <v>4.166666666666667</v>
      </c>
      <c r="F139" s="29">
        <f>AP53</f>
        <v>44.273942346060267</v>
      </c>
      <c r="H139" s="28" t="s">
        <v>269</v>
      </c>
      <c r="I139" s="28">
        <v>27.533333333344974</v>
      </c>
      <c r="J139" s="28">
        <v>4.166666666666667</v>
      </c>
      <c r="K139" s="29">
        <v>44.273942346060267</v>
      </c>
      <c r="N139" s="28" t="s">
        <v>320</v>
      </c>
      <c r="O139" s="29">
        <f t="shared" ref="O139:O141" si="29">O138</f>
        <v>49.860699215481873</v>
      </c>
      <c r="P139" s="28">
        <v>207.36250000000001</v>
      </c>
      <c r="AE139" s="28">
        <v>34</v>
      </c>
      <c r="AF139" s="277" t="s">
        <v>293</v>
      </c>
      <c r="AG139" s="28">
        <v>2202</v>
      </c>
      <c r="AH139" s="273" t="s">
        <v>264</v>
      </c>
      <c r="AI139" s="28">
        <v>25.4</v>
      </c>
      <c r="AK139" s="262">
        <f>AVERAGE(AI139:AI143)</f>
        <v>32.040000000009314</v>
      </c>
      <c r="AL139" s="28">
        <v>3.5</v>
      </c>
      <c r="AM139" s="262">
        <f>AVERAGE(AL139:AL143)</f>
        <v>2.3400000000000003</v>
      </c>
      <c r="AN139" s="28">
        <v>1953</v>
      </c>
      <c r="AO139" s="37">
        <f t="shared" si="18"/>
        <v>76.88976377952757</v>
      </c>
      <c r="AP139" s="262">
        <f>AVERAGE(AO139:AO143)</f>
        <v>68.572277301325443</v>
      </c>
      <c r="AR139" s="29">
        <f t="shared" si="19"/>
        <v>300.13986738499796</v>
      </c>
      <c r="AS139" s="262">
        <f>AVERAGE(AR139:AR143)</f>
        <v>267.67248595692826</v>
      </c>
    </row>
    <row r="140" spans="1:45" x14ac:dyDescent="0.3">
      <c r="C140" s="28" t="s">
        <v>306</v>
      </c>
      <c r="D140" s="28">
        <v>27.040000000016295</v>
      </c>
      <c r="E140" s="28">
        <v>6.339999999999999</v>
      </c>
      <c r="F140" s="29">
        <f>AP56</f>
        <v>52.771720478950421</v>
      </c>
      <c r="H140" s="28" t="s">
        <v>270</v>
      </c>
      <c r="I140" s="28">
        <v>27.040000000016295</v>
      </c>
      <c r="J140" s="28">
        <v>6.339999999999999</v>
      </c>
      <c r="K140" s="29">
        <v>52.771720478950421</v>
      </c>
      <c r="N140" s="28" t="s">
        <v>284</v>
      </c>
      <c r="O140" s="29">
        <f>V88</f>
        <v>64.425453260930382</v>
      </c>
      <c r="P140" s="28">
        <v>792.5</v>
      </c>
      <c r="AE140" s="28">
        <v>35</v>
      </c>
      <c r="AF140" s="278"/>
      <c r="AG140" s="28">
        <v>2204</v>
      </c>
      <c r="AH140" s="274"/>
      <c r="AI140" s="28">
        <v>32.4</v>
      </c>
      <c r="AK140" s="263"/>
      <c r="AL140" s="28">
        <v>2.8</v>
      </c>
      <c r="AM140" s="263"/>
      <c r="AN140" s="28">
        <v>1876</v>
      </c>
      <c r="AO140" s="37">
        <f t="shared" si="18"/>
        <v>57.901234567901234</v>
      </c>
      <c r="AP140" s="263"/>
      <c r="AR140" s="29">
        <f t="shared" si="19"/>
        <v>226.01797704136885</v>
      </c>
      <c r="AS140" s="263"/>
    </row>
    <row r="141" spans="1:45" x14ac:dyDescent="0.3">
      <c r="C141" s="28" t="s">
        <v>308</v>
      </c>
      <c r="D141" s="28">
        <v>25.500000000046569</v>
      </c>
      <c r="E141" s="28">
        <v>3.1750000000000003</v>
      </c>
      <c r="F141" s="29">
        <f>AP64</f>
        <v>35.341297317852963</v>
      </c>
      <c r="H141" s="28" t="s">
        <v>273</v>
      </c>
      <c r="I141" s="28">
        <v>25.500000000046569</v>
      </c>
      <c r="J141" s="28">
        <v>3.1750000000000003</v>
      </c>
      <c r="K141" s="29">
        <v>35.341297317852963</v>
      </c>
      <c r="N141" s="28" t="s">
        <v>321</v>
      </c>
      <c r="O141" s="29">
        <f t="shared" si="29"/>
        <v>64.425453260930382</v>
      </c>
      <c r="P141" s="28">
        <v>792.5</v>
      </c>
      <c r="AE141" s="28">
        <v>36</v>
      </c>
      <c r="AF141" s="278"/>
      <c r="AG141" s="28">
        <v>2205</v>
      </c>
      <c r="AH141" s="274"/>
      <c r="AI141" s="28">
        <v>11.799999999976716</v>
      </c>
      <c r="AK141" s="263"/>
      <c r="AL141" s="28">
        <v>1.8</v>
      </c>
      <c r="AM141" s="263"/>
      <c r="AN141" s="28">
        <v>1072</v>
      </c>
      <c r="AO141" s="37">
        <f t="shared" si="18"/>
        <v>90.847457627297899</v>
      </c>
      <c r="AP141" s="263"/>
      <c r="AR141" s="29">
        <f t="shared" si="19"/>
        <v>354.6238477556804</v>
      </c>
      <c r="AS141" s="263"/>
    </row>
    <row r="142" spans="1:45" x14ac:dyDescent="0.3">
      <c r="C142" s="28" t="s">
        <v>311</v>
      </c>
      <c r="D142" s="28">
        <v>71.566666666666677</v>
      </c>
      <c r="E142" s="28">
        <v>12.933333333333335</v>
      </c>
      <c r="F142" s="29">
        <f>AP73</f>
        <v>59.618082032706049</v>
      </c>
      <c r="H142" s="28" t="s">
        <v>277</v>
      </c>
      <c r="I142" s="28">
        <v>71.566666666666677</v>
      </c>
      <c r="J142" s="28">
        <v>12.933333333333335</v>
      </c>
      <c r="K142" s="29">
        <v>59.618082032706049</v>
      </c>
      <c r="AE142" s="28">
        <v>37</v>
      </c>
      <c r="AF142" s="278"/>
      <c r="AG142" s="28">
        <v>2207</v>
      </c>
      <c r="AH142" s="274"/>
      <c r="AI142" s="28">
        <v>10.700000000058207</v>
      </c>
      <c r="AK142" s="263"/>
      <c r="AL142" s="28">
        <v>1.8</v>
      </c>
      <c r="AM142" s="263"/>
      <c r="AN142" s="28">
        <v>822</v>
      </c>
      <c r="AO142" s="37">
        <f t="shared" si="18"/>
        <v>76.822429906124157</v>
      </c>
      <c r="AP142" s="263"/>
      <c r="AR142" s="29">
        <f t="shared" si="19"/>
        <v>299.87702901951974</v>
      </c>
      <c r="AS142" s="263"/>
    </row>
    <row r="143" spans="1:45" x14ac:dyDescent="0.3">
      <c r="AE143" s="28">
        <v>38</v>
      </c>
      <c r="AF143" s="279"/>
      <c r="AG143" s="28">
        <v>2208</v>
      </c>
      <c r="AH143" s="275"/>
      <c r="AI143" s="28">
        <v>79.900000000011644</v>
      </c>
      <c r="AK143" s="264"/>
      <c r="AL143" s="28">
        <v>1.8</v>
      </c>
      <c r="AM143" s="264"/>
      <c r="AN143" s="28">
        <v>3228</v>
      </c>
      <c r="AO143" s="37">
        <f t="shared" si="18"/>
        <v>40.400500625776338</v>
      </c>
      <c r="AP143" s="264"/>
      <c r="AR143" s="29">
        <f t="shared" si="19"/>
        <v>157.7037085830743</v>
      </c>
      <c r="AS143" s="264"/>
    </row>
    <row r="144" spans="1:45" x14ac:dyDescent="0.3">
      <c r="AE144" s="28">
        <v>39</v>
      </c>
      <c r="AF144" s="267" t="s">
        <v>293</v>
      </c>
      <c r="AG144" s="28">
        <v>2202</v>
      </c>
      <c r="AH144" s="270" t="s">
        <v>266</v>
      </c>
      <c r="AI144" s="28">
        <v>54.8</v>
      </c>
      <c r="AK144" s="262">
        <f>AVERAGE(AI144:AI148)</f>
        <v>48.939999999955759</v>
      </c>
      <c r="AL144" s="28">
        <v>2.6</v>
      </c>
      <c r="AM144" s="262">
        <f>AVERAGE(AL144:AL148)</f>
        <v>2.56</v>
      </c>
      <c r="AN144" s="28">
        <v>3867</v>
      </c>
      <c r="AO144" s="37">
        <f t="shared" si="18"/>
        <v>70.565693430656935</v>
      </c>
      <c r="AP144" s="262">
        <f>AVERAGE(AO144:AO148)</f>
        <v>70.556219189727685</v>
      </c>
      <c r="AR144" s="29">
        <f t="shared" si="19"/>
        <v>275.45380330388014</v>
      </c>
      <c r="AS144" s="262">
        <f>AVERAGE(AR144:AR148)</f>
        <v>275.41682052130534</v>
      </c>
    </row>
    <row r="145" spans="3:45" x14ac:dyDescent="0.3">
      <c r="AE145" s="28">
        <v>40</v>
      </c>
      <c r="AF145" s="268"/>
      <c r="AG145" s="28">
        <v>2204</v>
      </c>
      <c r="AH145" s="271"/>
      <c r="AI145" s="28">
        <v>36.9</v>
      </c>
      <c r="AK145" s="263"/>
      <c r="AL145" s="28">
        <v>2.5</v>
      </c>
      <c r="AM145" s="263"/>
      <c r="AN145" s="28">
        <v>2809</v>
      </c>
      <c r="AO145" s="37">
        <f t="shared" si="18"/>
        <v>76.124661246612476</v>
      </c>
      <c r="AP145" s="263"/>
      <c r="AR145" s="29">
        <f t="shared" si="19"/>
        <v>297.15328293633814</v>
      </c>
      <c r="AS145" s="263"/>
    </row>
    <row r="146" spans="3:45" x14ac:dyDescent="0.3">
      <c r="C146" s="28" t="s">
        <v>191</v>
      </c>
      <c r="D146" s="28" t="s">
        <v>289</v>
      </c>
      <c r="E146" s="28" t="s">
        <v>290</v>
      </c>
      <c r="F146" s="28" t="s">
        <v>322</v>
      </c>
      <c r="G146" s="28" t="s">
        <v>323</v>
      </c>
      <c r="H146" s="28" t="s">
        <v>324</v>
      </c>
      <c r="I146" s="28" t="s">
        <v>325</v>
      </c>
      <c r="J146" s="28" t="s">
        <v>326</v>
      </c>
      <c r="K146" s="28" t="s">
        <v>327</v>
      </c>
      <c r="L146" s="28" t="s">
        <v>328</v>
      </c>
      <c r="M146" s="28" t="s">
        <v>286</v>
      </c>
      <c r="N146" s="28" t="s">
        <v>291</v>
      </c>
      <c r="AE146" s="28">
        <v>41</v>
      </c>
      <c r="AF146" s="268"/>
      <c r="AG146" s="28">
        <v>2205</v>
      </c>
      <c r="AH146" s="271"/>
      <c r="AI146" s="28">
        <v>25.099999999883586</v>
      </c>
      <c r="AK146" s="263"/>
      <c r="AL146" s="28">
        <v>2.4</v>
      </c>
      <c r="AM146" s="263"/>
      <c r="AN146" s="28">
        <v>2337</v>
      </c>
      <c r="AO146" s="37">
        <f t="shared" si="18"/>
        <v>93.107569721547378</v>
      </c>
      <c r="AP146" s="263"/>
      <c r="AR146" s="29">
        <f t="shared" si="19"/>
        <v>363.44621514112794</v>
      </c>
      <c r="AS146" s="263"/>
    </row>
    <row r="147" spans="3:45" x14ac:dyDescent="0.3">
      <c r="C147" s="28" t="s">
        <v>293</v>
      </c>
      <c r="D147" s="28" t="s">
        <v>295</v>
      </c>
      <c r="E147" s="28" t="s">
        <v>297</v>
      </c>
      <c r="F147" s="28" t="s">
        <v>298</v>
      </c>
      <c r="G147" s="28">
        <f>AK115</f>
        <v>78.040000000037253</v>
      </c>
      <c r="H147" s="28">
        <f>AK139</f>
        <v>32.040000000009314</v>
      </c>
      <c r="I147" s="28">
        <f>AK144</f>
        <v>48.939999999955759</v>
      </c>
      <c r="J147" s="28">
        <f>AM115</f>
        <v>9.379999999999999</v>
      </c>
      <c r="K147" s="28">
        <f>AM139</f>
        <v>2.3400000000000003</v>
      </c>
      <c r="L147" s="28">
        <f>AM144</f>
        <v>2.56</v>
      </c>
      <c r="M147" s="29">
        <f>I10+I15+I20</f>
        <v>1629.8</v>
      </c>
      <c r="N147" s="29">
        <f>J10+J15+J20</f>
        <v>21.5</v>
      </c>
      <c r="AE147" s="28">
        <v>42</v>
      </c>
      <c r="AF147" s="268"/>
      <c r="AG147" s="28">
        <v>2207</v>
      </c>
      <c r="AH147" s="271"/>
      <c r="AI147" s="28">
        <v>58.599999999918509</v>
      </c>
      <c r="AK147" s="263"/>
      <c r="AL147" s="28">
        <v>2.5</v>
      </c>
      <c r="AM147" s="263"/>
      <c r="AN147" s="28">
        <v>3290</v>
      </c>
      <c r="AO147" s="37">
        <f t="shared" si="18"/>
        <v>56.143344709975686</v>
      </c>
      <c r="AP147" s="263"/>
      <c r="AR147" s="29">
        <f t="shared" si="19"/>
        <v>219.15603856087</v>
      </c>
      <c r="AS147" s="263"/>
    </row>
    <row r="148" spans="3:45" x14ac:dyDescent="0.3">
      <c r="C148" s="28" t="s">
        <v>329</v>
      </c>
      <c r="D148" s="28" t="s">
        <v>295</v>
      </c>
      <c r="E148" s="28" t="s">
        <v>300</v>
      </c>
      <c r="F148" s="28" t="s">
        <v>73</v>
      </c>
      <c r="G148" s="29">
        <f>AK120</f>
        <v>65.7</v>
      </c>
      <c r="H148" s="29">
        <f>AK149</f>
        <v>53.3</v>
      </c>
      <c r="I148" s="28">
        <v>0</v>
      </c>
      <c r="J148" s="29">
        <f>AM120</f>
        <v>18.8</v>
      </c>
      <c r="K148" s="29">
        <f>AM149</f>
        <v>4.5999999999999996</v>
      </c>
      <c r="L148" s="28">
        <v>0</v>
      </c>
      <c r="M148" s="29">
        <f>I25*2</f>
        <v>1177.1428571428571</v>
      </c>
      <c r="N148" s="29">
        <f>J25*2</f>
        <v>20.857142857142858</v>
      </c>
      <c r="AE148" s="28">
        <v>43</v>
      </c>
      <c r="AF148" s="269"/>
      <c r="AG148" s="28">
        <v>2208</v>
      </c>
      <c r="AH148" s="272"/>
      <c r="AI148" s="28">
        <v>69.29999999997672</v>
      </c>
      <c r="AK148" s="264"/>
      <c r="AL148" s="28">
        <v>2.8</v>
      </c>
      <c r="AM148" s="264"/>
      <c r="AN148" s="28">
        <v>3939</v>
      </c>
      <c r="AO148" s="37">
        <f t="shared" si="18"/>
        <v>56.839826839845934</v>
      </c>
      <c r="AP148" s="264"/>
      <c r="AR148" s="29">
        <f t="shared" si="19"/>
        <v>221.87476266431085</v>
      </c>
      <c r="AS148" s="264"/>
    </row>
    <row r="149" spans="3:45" x14ac:dyDescent="0.3">
      <c r="C149" s="28" t="s">
        <v>330</v>
      </c>
      <c r="D149" s="28" t="s">
        <v>294</v>
      </c>
      <c r="E149" s="28" t="s">
        <v>295</v>
      </c>
      <c r="F149" s="28" t="s">
        <v>73</v>
      </c>
      <c r="G149" s="29">
        <f>AK121</f>
        <v>35.80000000003492</v>
      </c>
      <c r="H149" s="29">
        <f>AK106</f>
        <v>51.099999999976717</v>
      </c>
      <c r="I149" s="28">
        <v>0</v>
      </c>
      <c r="J149" s="29">
        <f>AM121</f>
        <v>10.299999999999999</v>
      </c>
      <c r="K149" s="29">
        <f>AM106</f>
        <v>3.3</v>
      </c>
      <c r="L149" s="28">
        <v>0</v>
      </c>
      <c r="M149" s="29">
        <f>I7*2</f>
        <v>743</v>
      </c>
      <c r="N149" s="29">
        <f>J7*2</f>
        <v>22.333333333333332</v>
      </c>
      <c r="AE149" s="28">
        <v>44</v>
      </c>
      <c r="AF149" s="38" t="s">
        <v>248</v>
      </c>
      <c r="AG149" s="28">
        <v>2203</v>
      </c>
      <c r="AH149" s="273" t="s">
        <v>268</v>
      </c>
      <c r="AI149" s="28">
        <v>53.3</v>
      </c>
      <c r="AK149" s="31">
        <f>AVERAGE(AI149)</f>
        <v>53.3</v>
      </c>
      <c r="AL149" s="28">
        <v>4.5999999999999996</v>
      </c>
      <c r="AM149" s="31">
        <f>AVERAGE(AL149)</f>
        <v>4.5999999999999996</v>
      </c>
      <c r="AN149" s="28">
        <v>2693</v>
      </c>
      <c r="AO149" s="37">
        <f t="shared" si="18"/>
        <v>50.525328330206385</v>
      </c>
      <c r="AP149" s="31">
        <f>AVERAGE(AO149)</f>
        <v>50.525328330206385</v>
      </c>
      <c r="AR149" s="29">
        <f t="shared" si="19"/>
        <v>197.22606234159508</v>
      </c>
      <c r="AS149" s="31">
        <f>AVERAGE(AR149)</f>
        <v>197.22606234159508</v>
      </c>
    </row>
    <row r="150" spans="3:45" x14ac:dyDescent="0.3">
      <c r="C150" s="28" t="s">
        <v>331</v>
      </c>
      <c r="D150" s="28" t="s">
        <v>295</v>
      </c>
      <c r="E150" s="28" t="s">
        <v>303</v>
      </c>
      <c r="F150" s="28" t="s">
        <v>73</v>
      </c>
      <c r="G150" s="29">
        <f>AK124</f>
        <v>39.699999999953434</v>
      </c>
      <c r="H150" s="28">
        <f>AK153</f>
        <v>27.533333333344974</v>
      </c>
      <c r="I150" s="28">
        <v>0</v>
      </c>
      <c r="J150" s="29">
        <f>AM124</f>
        <v>13</v>
      </c>
      <c r="K150" s="28">
        <f>AM153</f>
        <v>4.166666666666667</v>
      </c>
      <c r="L150" s="28">
        <v>0</v>
      </c>
      <c r="M150" s="29">
        <f>I32*2</f>
        <v>823.66666666666663</v>
      </c>
      <c r="N150" s="29">
        <f>J32*2</f>
        <v>30.566666666666663</v>
      </c>
      <c r="AE150" s="28">
        <v>45</v>
      </c>
      <c r="AF150" s="262" t="s">
        <v>302</v>
      </c>
      <c r="AG150" s="28" t="s">
        <v>250</v>
      </c>
      <c r="AH150" s="274"/>
      <c r="AI150" s="28">
        <v>69.000000000046569</v>
      </c>
      <c r="AK150" s="259">
        <f>AVERAGE(AI150:AI152)</f>
        <v>47.833333333379905</v>
      </c>
      <c r="AL150" s="28">
        <v>5.8</v>
      </c>
      <c r="AM150" s="259">
        <f>AVERAGE(AL150:AL152)</f>
        <v>5.9666666666666659</v>
      </c>
      <c r="AN150" s="28">
        <v>3084</v>
      </c>
      <c r="AO150" s="37">
        <f t="shared" si="18"/>
        <v>44.695652173882877</v>
      </c>
      <c r="AP150" s="266">
        <f>AVERAGE(AO150:AO152)</f>
        <v>41.409936987617314</v>
      </c>
      <c r="AR150" s="29">
        <f t="shared" si="19"/>
        <v>174.46987032787615</v>
      </c>
      <c r="AS150" s="266">
        <f>AVERAGE(AR150:AR152)</f>
        <v>161.64405227622549</v>
      </c>
    </row>
    <row r="151" spans="3:45" x14ac:dyDescent="0.3">
      <c r="C151" s="28" t="s">
        <v>332</v>
      </c>
      <c r="D151" s="28" t="s">
        <v>295</v>
      </c>
      <c r="E151" s="28" t="s">
        <v>306</v>
      </c>
      <c r="F151" s="28" t="s">
        <v>73</v>
      </c>
      <c r="G151" s="28">
        <f>AK134</f>
        <v>94.440000000025606</v>
      </c>
      <c r="H151" s="28">
        <f>AK156</f>
        <v>27.040000000016295</v>
      </c>
      <c r="I151" s="28">
        <v>0</v>
      </c>
      <c r="J151" s="28">
        <f>AM134</f>
        <v>10.6</v>
      </c>
      <c r="K151" s="28">
        <f>AM156</f>
        <v>6.339999999999999</v>
      </c>
      <c r="L151" s="28">
        <v>0</v>
      </c>
      <c r="M151" s="29">
        <f>I48*2</f>
        <v>910.9</v>
      </c>
      <c r="N151" s="29">
        <f>J48*2</f>
        <v>41.739999999999995</v>
      </c>
      <c r="AE151" s="28">
        <v>46</v>
      </c>
      <c r="AF151" s="263"/>
      <c r="AG151" s="28" t="s">
        <v>251</v>
      </c>
      <c r="AH151" s="274"/>
      <c r="AI151" s="28">
        <v>40.100000000023286</v>
      </c>
      <c r="AK151" s="259"/>
      <c r="AL151" s="28">
        <v>6.3</v>
      </c>
      <c r="AM151" s="259"/>
      <c r="AN151" s="28">
        <v>1569</v>
      </c>
      <c r="AO151" s="37">
        <f t="shared" si="18"/>
        <v>39.127182044865059</v>
      </c>
      <c r="AP151" s="259"/>
      <c r="AR151" s="29">
        <f t="shared" si="19"/>
        <v>152.73329833302591</v>
      </c>
      <c r="AS151" s="259"/>
    </row>
    <row r="152" spans="3:45" x14ac:dyDescent="0.3">
      <c r="C152" s="28" t="s">
        <v>333</v>
      </c>
      <c r="D152" s="28" t="s">
        <v>294</v>
      </c>
      <c r="E152" s="28" t="s">
        <v>308</v>
      </c>
      <c r="F152" s="28" t="s">
        <v>73</v>
      </c>
      <c r="G152" s="28">
        <f>AK110</f>
        <v>39.199999999915597</v>
      </c>
      <c r="H152" s="28">
        <f>AK164</f>
        <v>25.500000000046569</v>
      </c>
      <c r="I152" s="28">
        <v>0</v>
      </c>
      <c r="J152" s="28">
        <f>AM110</f>
        <v>5.9749999999999996</v>
      </c>
      <c r="K152" s="28">
        <f>AM164</f>
        <v>3.1750000000000003</v>
      </c>
      <c r="L152" s="28">
        <v>0</v>
      </c>
      <c r="M152" s="29">
        <f>I58*2</f>
        <v>1099.625</v>
      </c>
      <c r="N152" s="29">
        <f>J58*2</f>
        <v>11.149999999999977</v>
      </c>
      <c r="AE152" s="28">
        <v>47</v>
      </c>
      <c r="AF152" s="264"/>
      <c r="AG152" s="28" t="s">
        <v>252</v>
      </c>
      <c r="AH152" s="275"/>
      <c r="AI152" s="28">
        <v>34.400000000069852</v>
      </c>
      <c r="AK152" s="259"/>
      <c r="AL152" s="28">
        <v>5.8</v>
      </c>
      <c r="AM152" s="259"/>
      <c r="AN152" s="28">
        <v>1390</v>
      </c>
      <c r="AO152" s="37">
        <f t="shared" si="18"/>
        <v>40.406976744104</v>
      </c>
      <c r="AP152" s="259"/>
      <c r="AR152" s="29">
        <f t="shared" si="19"/>
        <v>157.72898816777439</v>
      </c>
      <c r="AS152" s="259"/>
    </row>
    <row r="153" spans="3:45" x14ac:dyDescent="0.3">
      <c r="C153" s="28" t="s">
        <v>192</v>
      </c>
      <c r="D153" s="28" t="s">
        <v>294</v>
      </c>
      <c r="E153" s="28" t="s">
        <v>309</v>
      </c>
      <c r="F153" s="28" t="s">
        <v>73</v>
      </c>
      <c r="G153" s="28">
        <f>AK107</f>
        <v>39.266666666612338</v>
      </c>
      <c r="H153" s="29">
        <f>AK168*2.3</f>
        <v>27.753333333306553</v>
      </c>
      <c r="I153" s="28">
        <v>0</v>
      </c>
      <c r="J153" s="28">
        <f>AM107</f>
        <v>5.4666666666666659</v>
      </c>
      <c r="K153" s="29">
        <f>AM168</f>
        <v>10.233333333333334</v>
      </c>
      <c r="L153" s="28">
        <v>0</v>
      </c>
      <c r="M153" s="29">
        <f>I66*2</f>
        <v>983.66666666666663</v>
      </c>
      <c r="N153" s="29">
        <f>J66*2</f>
        <v>32</v>
      </c>
      <c r="AE153" s="28">
        <v>48</v>
      </c>
      <c r="AF153" s="267" t="s">
        <v>255</v>
      </c>
      <c r="AG153" s="28">
        <v>2206</v>
      </c>
      <c r="AH153" s="270" t="s">
        <v>269</v>
      </c>
      <c r="AI153" s="28">
        <v>34.499999999941792</v>
      </c>
      <c r="AK153" s="259">
        <f>AVERAGE(AI153:AI155)</f>
        <v>27.533333333344974</v>
      </c>
      <c r="AL153" s="28">
        <v>2.5</v>
      </c>
      <c r="AM153" s="259">
        <f>AVERAGE(AL153:AL155)</f>
        <v>4.166666666666667</v>
      </c>
      <c r="AN153" s="28">
        <v>1360</v>
      </c>
      <c r="AO153" s="37">
        <f t="shared" si="18"/>
        <v>39.420289855138975</v>
      </c>
      <c r="AP153" s="266">
        <f>AVERAGE(AO153:AO155)</f>
        <v>44.273942346060267</v>
      </c>
      <c r="AR153" s="29">
        <f t="shared" si="19"/>
        <v>153.87744724155129</v>
      </c>
      <c r="AS153" s="266">
        <f>AVERAGE(AR153:AR155)</f>
        <v>172.82372231576156</v>
      </c>
    </row>
    <row r="154" spans="3:45" x14ac:dyDescent="0.3">
      <c r="C154" s="28" t="s">
        <v>334</v>
      </c>
      <c r="D154" s="28" t="s">
        <v>295</v>
      </c>
      <c r="E154" s="28" t="s">
        <v>309</v>
      </c>
      <c r="F154" s="28" t="s">
        <v>73</v>
      </c>
      <c r="G154" s="29">
        <f>AK199</f>
        <v>38.046666666637179</v>
      </c>
      <c r="H154" s="29">
        <f>AK201</f>
        <v>36.716666666644358</v>
      </c>
      <c r="I154" s="28">
        <v>0</v>
      </c>
      <c r="J154" s="29">
        <f>AM199</f>
        <v>10.73</v>
      </c>
      <c r="K154" s="29">
        <f>AM201</f>
        <v>11.441666666666666</v>
      </c>
      <c r="L154" s="28">
        <v>0</v>
      </c>
      <c r="M154" s="29">
        <f>I72*2</f>
        <v>414.72500000000002</v>
      </c>
      <c r="N154" s="29">
        <f>J72*2</f>
        <v>55.175000000000004</v>
      </c>
      <c r="AE154" s="28">
        <v>49</v>
      </c>
      <c r="AF154" s="268"/>
      <c r="AG154" s="28" t="s">
        <v>235</v>
      </c>
      <c r="AH154" s="271"/>
      <c r="AI154" s="28">
        <v>23.199999999976718</v>
      </c>
      <c r="AK154" s="259"/>
      <c r="AL154" s="28">
        <v>5.4</v>
      </c>
      <c r="AM154" s="259"/>
      <c r="AN154" s="28">
        <v>1074</v>
      </c>
      <c r="AO154" s="37">
        <f t="shared" si="18"/>
        <v>46.29310344832232</v>
      </c>
      <c r="AP154" s="259"/>
      <c r="AR154" s="29">
        <f t="shared" si="19"/>
        <v>180.70553539038099</v>
      </c>
      <c r="AS154" s="259"/>
    </row>
    <row r="155" spans="3:45" x14ac:dyDescent="0.3">
      <c r="C155" s="28" t="s">
        <v>335</v>
      </c>
      <c r="D155" s="28" t="s">
        <v>295</v>
      </c>
      <c r="E155" s="28" t="s">
        <v>311</v>
      </c>
      <c r="F155" s="28" t="s">
        <v>73</v>
      </c>
      <c r="G155" s="29">
        <f>AK131</f>
        <v>50.466666666655023</v>
      </c>
      <c r="H155" s="29">
        <f>AK173</f>
        <v>71.566666666666677</v>
      </c>
      <c r="I155" s="28">
        <v>0</v>
      </c>
      <c r="J155" s="29">
        <f>AM131</f>
        <v>12.833333333333334</v>
      </c>
      <c r="K155" s="29">
        <f>AM173</f>
        <v>12.933333333333335</v>
      </c>
      <c r="L155" s="28">
        <v>0</v>
      </c>
      <c r="M155" s="29">
        <f>I88*2</f>
        <v>1585</v>
      </c>
      <c r="N155" s="29">
        <f>J88*2</f>
        <v>56.5</v>
      </c>
      <c r="AE155" s="28">
        <v>50</v>
      </c>
      <c r="AF155" s="269"/>
      <c r="AG155" s="28" t="s">
        <v>254</v>
      </c>
      <c r="AH155" s="272"/>
      <c r="AI155" s="28">
        <v>24.900000000116414</v>
      </c>
      <c r="AK155" s="259"/>
      <c r="AL155" s="28">
        <v>4.5999999999999996</v>
      </c>
      <c r="AM155" s="259"/>
      <c r="AN155" s="28">
        <v>1173</v>
      </c>
      <c r="AO155" s="37">
        <f t="shared" si="18"/>
        <v>47.108433734719512</v>
      </c>
      <c r="AP155" s="259"/>
      <c r="AR155" s="29">
        <f t="shared" si="19"/>
        <v>183.88818431535248</v>
      </c>
      <c r="AS155" s="259"/>
    </row>
    <row r="156" spans="3:45" x14ac:dyDescent="0.3">
      <c r="C156" s="28" t="s">
        <v>336</v>
      </c>
      <c r="D156" s="28" t="s">
        <v>295</v>
      </c>
      <c r="E156" s="28" t="s">
        <v>304</v>
      </c>
      <c r="F156" s="28" t="s">
        <v>300</v>
      </c>
      <c r="G156" s="29">
        <f>AK200</f>
        <v>27.90000000001746</v>
      </c>
      <c r="H156" s="29">
        <f>AK203</f>
        <v>38.149999999937911</v>
      </c>
      <c r="I156" s="29">
        <f>AK202</f>
        <v>34.566666666655024</v>
      </c>
      <c r="J156" s="29">
        <f>AM199</f>
        <v>10.73</v>
      </c>
      <c r="K156" s="29">
        <f>AM203</f>
        <v>4.1166666666666671</v>
      </c>
      <c r="L156" s="29">
        <f>AM202</f>
        <v>5.2333333333333325</v>
      </c>
      <c r="M156" s="29">
        <f>I38+I43+I25</f>
        <v>1468.9314285714286</v>
      </c>
      <c r="N156" s="29">
        <f>J38+J43+J25</f>
        <v>23.12857142857143</v>
      </c>
      <c r="AE156" s="28">
        <v>51</v>
      </c>
      <c r="AF156" s="277" t="s">
        <v>267</v>
      </c>
      <c r="AG156" s="28" t="s">
        <v>245</v>
      </c>
      <c r="AH156" s="273" t="s">
        <v>270</v>
      </c>
      <c r="AI156" s="28">
        <v>25.799999999871943</v>
      </c>
      <c r="AK156" s="259">
        <f>AVERAGE(AI156:AI160)</f>
        <v>27.040000000016295</v>
      </c>
      <c r="AL156" s="28">
        <v>7</v>
      </c>
      <c r="AM156" s="259">
        <f>AVERAGE(AL156:AL160)</f>
        <v>6.339999999999999</v>
      </c>
      <c r="AN156" s="28">
        <v>1659</v>
      </c>
      <c r="AO156" s="37">
        <f t="shared" si="18"/>
        <v>64.302325581714513</v>
      </c>
      <c r="AP156" s="259">
        <f>AVERAGE(AO156:AO160)</f>
        <v>52.771720478950421</v>
      </c>
      <c r="AR156" s="29">
        <f t="shared" si="19"/>
        <v>251.0046919637102</v>
      </c>
      <c r="AS156" s="259">
        <f>AVERAGE(AR156:AR160)</f>
        <v>205.99487379941178</v>
      </c>
    </row>
    <row r="157" spans="3:45" x14ac:dyDescent="0.3">
      <c r="C157" s="28" t="s">
        <v>337</v>
      </c>
      <c r="D157" s="28" t="s">
        <v>295</v>
      </c>
      <c r="E157" s="28" t="s">
        <v>297</v>
      </c>
      <c r="F157" s="28" t="s">
        <v>73</v>
      </c>
      <c r="G157" s="28">
        <f>AK115</f>
        <v>78.040000000037253</v>
      </c>
      <c r="H157" s="28">
        <f>AK139</f>
        <v>32.040000000009314</v>
      </c>
      <c r="I157" s="28">
        <v>0</v>
      </c>
      <c r="J157" s="28">
        <f>AM115</f>
        <v>9.379999999999999</v>
      </c>
      <c r="K157" s="28">
        <f>AM139</f>
        <v>2.3400000000000003</v>
      </c>
      <c r="L157" s="28">
        <v>0</v>
      </c>
      <c r="M157" s="29">
        <f>I10*2</f>
        <v>1521.2</v>
      </c>
      <c r="N157" s="29">
        <f>J10*2</f>
        <v>36.799999999999997</v>
      </c>
      <c r="AE157" s="28">
        <v>52</v>
      </c>
      <c r="AF157" s="278"/>
      <c r="AG157" s="28" t="s">
        <v>246</v>
      </c>
      <c r="AH157" s="274"/>
      <c r="AI157" s="28">
        <v>37.500000000081492</v>
      </c>
      <c r="AK157" s="259"/>
      <c r="AL157" s="28">
        <v>6.4</v>
      </c>
      <c r="AM157" s="259"/>
      <c r="AN157" s="28">
        <v>2454</v>
      </c>
      <c r="AO157" s="37">
        <f t="shared" si="18"/>
        <v>65.43999999985779</v>
      </c>
      <c r="AP157" s="259"/>
      <c r="AR157" s="29">
        <f t="shared" si="19"/>
        <v>255.44561403453261</v>
      </c>
      <c r="AS157" s="259"/>
    </row>
    <row r="158" spans="3:45" x14ac:dyDescent="0.3">
      <c r="C158" s="28" t="s">
        <v>338</v>
      </c>
      <c r="D158" s="28" t="s">
        <v>295</v>
      </c>
      <c r="E158" s="28" t="s">
        <v>298</v>
      </c>
      <c r="F158" s="28" t="s">
        <v>73</v>
      </c>
      <c r="G158" s="28">
        <f>AK115</f>
        <v>78.040000000037253</v>
      </c>
      <c r="H158" s="28">
        <f>AK144</f>
        <v>48.939999999955759</v>
      </c>
      <c r="I158" s="28">
        <v>0</v>
      </c>
      <c r="J158" s="28">
        <f>AM115</f>
        <v>9.379999999999999</v>
      </c>
      <c r="K158" s="28">
        <f>AM144</f>
        <v>2.56</v>
      </c>
      <c r="L158" s="28">
        <v>0</v>
      </c>
      <c r="M158" s="29">
        <f>I20*2</f>
        <v>1586.8</v>
      </c>
      <c r="N158" s="29">
        <f>J20*2</f>
        <v>2</v>
      </c>
      <c r="AE158" s="28">
        <v>53</v>
      </c>
      <c r="AF158" s="278"/>
      <c r="AG158" s="28" t="s">
        <v>247</v>
      </c>
      <c r="AH158" s="274"/>
      <c r="AI158" s="28">
        <v>22.700000000058207</v>
      </c>
      <c r="AK158" s="259"/>
      <c r="AL158" s="28">
        <v>6.3</v>
      </c>
      <c r="AM158" s="259"/>
      <c r="AN158" s="28">
        <v>1185</v>
      </c>
      <c r="AO158" s="37">
        <f t="shared" si="18"/>
        <v>52.202643171672314</v>
      </c>
      <c r="AP158" s="259"/>
      <c r="AR158" s="29">
        <f t="shared" si="19"/>
        <v>203.77347553854545</v>
      </c>
      <c r="AS158" s="259"/>
    </row>
    <row r="159" spans="3:45" x14ac:dyDescent="0.3">
      <c r="C159" s="28" t="s">
        <v>339</v>
      </c>
      <c r="D159" s="28" t="s">
        <v>295</v>
      </c>
      <c r="E159" s="28" t="s">
        <v>304</v>
      </c>
      <c r="F159" s="28" t="s">
        <v>73</v>
      </c>
      <c r="G159" s="29">
        <f>AK200</f>
        <v>27.90000000001746</v>
      </c>
      <c r="H159" s="29">
        <f>AK203</f>
        <v>38.149999999937911</v>
      </c>
      <c r="I159" s="28">
        <v>0</v>
      </c>
      <c r="J159" s="29">
        <f>AM200</f>
        <v>12.2</v>
      </c>
      <c r="K159" s="29">
        <f>AM203</f>
        <v>4.1166666666666671</v>
      </c>
      <c r="L159" s="28">
        <v>0</v>
      </c>
      <c r="M159" s="29">
        <f>I38*2</f>
        <v>1436.84</v>
      </c>
      <c r="N159" s="29">
        <f>J38*2</f>
        <v>20.6</v>
      </c>
      <c r="AE159" s="28">
        <v>54</v>
      </c>
      <c r="AF159" s="278"/>
      <c r="AG159" s="28" t="s">
        <v>249</v>
      </c>
      <c r="AH159" s="274"/>
      <c r="AI159" s="28">
        <v>26.600000000069848</v>
      </c>
      <c r="AK159" s="259"/>
      <c r="AL159" s="28">
        <v>6.1</v>
      </c>
      <c r="AM159" s="259"/>
      <c r="AN159" s="28">
        <v>1202</v>
      </c>
      <c r="AO159" s="37">
        <f t="shared" si="18"/>
        <v>45.18796992469337</v>
      </c>
      <c r="AP159" s="259"/>
      <c r="AR159" s="29">
        <f t="shared" si="19"/>
        <v>176.39163698674167</v>
      </c>
      <c r="AS159" s="259"/>
    </row>
    <row r="160" spans="3:45" x14ac:dyDescent="0.3">
      <c r="AE160" s="28">
        <v>55</v>
      </c>
      <c r="AF160" s="279"/>
      <c r="AG160" s="28" t="s">
        <v>256</v>
      </c>
      <c r="AH160" s="275"/>
      <c r="AI160" s="28">
        <v>22.6</v>
      </c>
      <c r="AK160" s="259"/>
      <c r="AL160" s="28">
        <v>5.9</v>
      </c>
      <c r="AM160" s="259"/>
      <c r="AN160" s="28">
        <v>830</v>
      </c>
      <c r="AO160" s="37">
        <f t="shared" si="18"/>
        <v>36.725663716814154</v>
      </c>
      <c r="AP160" s="259"/>
      <c r="AR160" s="29">
        <f t="shared" si="19"/>
        <v>143.35895047352895</v>
      </c>
      <c r="AS160" s="259"/>
    </row>
    <row r="161" spans="3:45" x14ac:dyDescent="0.3">
      <c r="AE161" s="28">
        <v>56</v>
      </c>
      <c r="AF161" s="267" t="s">
        <v>302</v>
      </c>
      <c r="AG161" s="28" t="s">
        <v>250</v>
      </c>
      <c r="AH161" s="270" t="s">
        <v>272</v>
      </c>
      <c r="AI161" s="28">
        <v>24.399999999895225</v>
      </c>
      <c r="AK161" s="259">
        <f>AVERAGE(AI161:AI163)</f>
        <v>29.499999999980599</v>
      </c>
      <c r="AL161" s="28">
        <v>2.2999999999999998</v>
      </c>
      <c r="AM161" s="259">
        <f>AVERAGE(AL161:AL163)</f>
        <v>2.8333333333333335</v>
      </c>
      <c r="AN161" s="28">
        <v>1651</v>
      </c>
      <c r="AO161" s="37">
        <f t="shared" si="18"/>
        <v>67.663934426520058</v>
      </c>
      <c r="AP161" s="259">
        <f>AVERAGE(AO161:AO163)</f>
        <v>53.873048399751191</v>
      </c>
      <c r="AR161" s="29">
        <f t="shared" si="19"/>
        <v>264.12676157720551</v>
      </c>
      <c r="AS161" s="259">
        <f>AVERAGE(AR161:AR163)</f>
        <v>210.29391699902877</v>
      </c>
    </row>
    <row r="162" spans="3:45" x14ac:dyDescent="0.3">
      <c r="C162" s="28" t="s">
        <v>191</v>
      </c>
      <c r="D162" s="28" t="s">
        <v>219</v>
      </c>
      <c r="E162" s="28" t="s">
        <v>340</v>
      </c>
      <c r="AE162" s="28">
        <v>57</v>
      </c>
      <c r="AF162" s="268"/>
      <c r="AG162" s="28" t="s">
        <v>251</v>
      </c>
      <c r="AH162" s="271"/>
      <c r="AI162" s="28">
        <v>30.500000000093131</v>
      </c>
      <c r="AK162" s="259"/>
      <c r="AL162" s="28">
        <v>3.6</v>
      </c>
      <c r="AM162" s="259"/>
      <c r="AN162" s="28">
        <v>1583</v>
      </c>
      <c r="AO162" s="37">
        <f t="shared" si="18"/>
        <v>51.901639344103813</v>
      </c>
      <c r="AP162" s="259"/>
      <c r="AR162" s="29">
        <f t="shared" si="19"/>
        <v>202.59850445724734</v>
      </c>
      <c r="AS162" s="259"/>
    </row>
    <row r="163" spans="3:45" x14ac:dyDescent="0.3">
      <c r="C163" s="28" t="s">
        <v>232</v>
      </c>
      <c r="D163" s="28" t="s">
        <v>294</v>
      </c>
      <c r="E163" s="28">
        <v>37.495107632111015</v>
      </c>
      <c r="AE163" s="28">
        <v>58</v>
      </c>
      <c r="AF163" s="269"/>
      <c r="AG163" s="28" t="s">
        <v>252</v>
      </c>
      <c r="AH163" s="272"/>
      <c r="AI163" s="28">
        <v>33.599999999953432</v>
      </c>
      <c r="AK163" s="259"/>
      <c r="AL163" s="28">
        <v>2.6</v>
      </c>
      <c r="AM163" s="259"/>
      <c r="AN163" s="28">
        <v>1413</v>
      </c>
      <c r="AO163" s="37">
        <f t="shared" si="18"/>
        <v>42.053571428629709</v>
      </c>
      <c r="AP163" s="259"/>
      <c r="AR163" s="29">
        <f t="shared" si="19"/>
        <v>164.1564849626335</v>
      </c>
      <c r="AS163" s="259"/>
    </row>
    <row r="164" spans="3:45" x14ac:dyDescent="0.3">
      <c r="C164" s="28" t="s">
        <v>274</v>
      </c>
      <c r="D164" s="28" t="s">
        <v>294</v>
      </c>
      <c r="E164" s="28">
        <v>39.541657302963358</v>
      </c>
      <c r="AE164" s="28">
        <v>59</v>
      </c>
      <c r="AF164" s="276" t="s">
        <v>271</v>
      </c>
      <c r="AG164" s="28" t="s">
        <v>233</v>
      </c>
      <c r="AH164" s="273" t="s">
        <v>273</v>
      </c>
      <c r="AI164" s="28">
        <v>28.000000000058208</v>
      </c>
      <c r="AK164" s="259">
        <f>AVERAGE(AI164:AI167)</f>
        <v>25.500000000046569</v>
      </c>
      <c r="AL164" s="28">
        <v>4</v>
      </c>
      <c r="AM164" s="259">
        <f>AVERAGE(AL164:AL167)</f>
        <v>3.1750000000000003</v>
      </c>
      <c r="AN164" s="28">
        <v>1232</v>
      </c>
      <c r="AO164" s="37">
        <f t="shared" si="18"/>
        <v>43.999999999908532</v>
      </c>
      <c r="AP164" s="259">
        <f>AVERAGE(AO164:AO167)</f>
        <v>35.341297317852963</v>
      </c>
      <c r="AR164" s="29">
        <f t="shared" si="19"/>
        <v>171.75438596455521</v>
      </c>
      <c r="AS164" s="259">
        <f>AVERAGE(AR164:AR167)</f>
        <v>137.95506409161902</v>
      </c>
    </row>
    <row r="165" spans="3:45" x14ac:dyDescent="0.3">
      <c r="C165" s="28" t="s">
        <v>271</v>
      </c>
      <c r="D165" s="28" t="s">
        <v>294</v>
      </c>
      <c r="E165" s="28">
        <v>39.421965350489657</v>
      </c>
      <c r="AE165" s="28">
        <v>60</v>
      </c>
      <c r="AF165" s="276"/>
      <c r="AG165" s="28" t="s">
        <v>236</v>
      </c>
      <c r="AH165" s="274"/>
      <c r="AI165" s="28">
        <v>35.900000000069852</v>
      </c>
      <c r="AK165" s="259"/>
      <c r="AL165" s="28">
        <v>2.8</v>
      </c>
      <c r="AM165" s="259"/>
      <c r="AN165" s="28">
        <v>1162</v>
      </c>
      <c r="AO165" s="37">
        <f t="shared" si="18"/>
        <v>32.367688022221145</v>
      </c>
      <c r="AP165" s="259"/>
      <c r="AR165" s="29">
        <f t="shared" si="19"/>
        <v>126.34755412182817</v>
      </c>
      <c r="AS165" s="259"/>
    </row>
    <row r="166" spans="3:45" x14ac:dyDescent="0.3">
      <c r="C166" s="28" t="s">
        <v>288</v>
      </c>
      <c r="D166" s="28" t="s">
        <v>294</v>
      </c>
      <c r="E166" s="28">
        <v>31.873080859793809</v>
      </c>
      <c r="AE166" s="28">
        <v>61</v>
      </c>
      <c r="AF166" s="276"/>
      <c r="AG166" s="28" t="s">
        <v>239</v>
      </c>
      <c r="AH166" s="274"/>
      <c r="AI166" s="28">
        <v>17.400000000081491</v>
      </c>
      <c r="AK166" s="259"/>
      <c r="AL166" s="28">
        <v>2.5</v>
      </c>
      <c r="AM166" s="259"/>
      <c r="AN166" s="28">
        <v>498</v>
      </c>
      <c r="AO166" s="37">
        <f t="shared" si="18"/>
        <v>28.620689655038372</v>
      </c>
      <c r="AP166" s="259"/>
      <c r="AR166" s="29">
        <f t="shared" si="19"/>
        <v>111.72111312712347</v>
      </c>
      <c r="AS166" s="259"/>
    </row>
    <row r="167" spans="3:45" x14ac:dyDescent="0.3">
      <c r="C167" s="28" t="s">
        <v>293</v>
      </c>
      <c r="D167" s="28" t="s">
        <v>295</v>
      </c>
      <c r="E167" s="28">
        <v>46.048610987640458</v>
      </c>
      <c r="AE167" s="28">
        <v>62</v>
      </c>
      <c r="AF167" s="276"/>
      <c r="AG167" s="28" t="s">
        <v>241</v>
      </c>
      <c r="AH167" s="275"/>
      <c r="AI167" s="28">
        <v>20.699999999976718</v>
      </c>
      <c r="AK167" s="259"/>
      <c r="AL167" s="28">
        <v>3.4</v>
      </c>
      <c r="AM167" s="259"/>
      <c r="AN167" s="28">
        <v>753</v>
      </c>
      <c r="AO167" s="37">
        <f t="shared" si="18"/>
        <v>36.376811594243811</v>
      </c>
      <c r="AP167" s="259"/>
      <c r="AR167" s="29">
        <f t="shared" si="19"/>
        <v>141.99720315296926</v>
      </c>
      <c r="AS167" s="259"/>
    </row>
    <row r="168" spans="3:45" x14ac:dyDescent="0.3">
      <c r="C168" s="28" t="s">
        <v>248</v>
      </c>
      <c r="D168" s="28" t="s">
        <v>295</v>
      </c>
      <c r="E168" s="28">
        <v>53.774733637747332</v>
      </c>
      <c r="AE168" s="28">
        <v>63</v>
      </c>
      <c r="AF168" s="267" t="s">
        <v>274</v>
      </c>
      <c r="AG168" s="28" t="s">
        <v>234</v>
      </c>
      <c r="AH168" s="270" t="s">
        <v>275</v>
      </c>
      <c r="AI168" s="28">
        <v>14.699999999941792</v>
      </c>
      <c r="AK168" s="260">
        <f>AVERAGE(AI168:AI170)</f>
        <v>12.066666666655024</v>
      </c>
      <c r="AL168" s="28">
        <v>10.3</v>
      </c>
      <c r="AM168" s="260">
        <f>AVERAGE(AL168:AL170)</f>
        <v>10.233333333333334</v>
      </c>
      <c r="AN168" s="28">
        <v>1081</v>
      </c>
      <c r="AO168" s="37">
        <f t="shared" si="18"/>
        <v>73.537414966277581</v>
      </c>
      <c r="AP168" s="260">
        <f>AVERAGE(AO168:AO170)</f>
        <v>81.062453931186326</v>
      </c>
      <c r="AR168" s="29">
        <f t="shared" si="19"/>
        <v>287.0539443859081</v>
      </c>
      <c r="AS168" s="260">
        <f>AVERAGE(AR168:AR170)</f>
        <v>316.42799999454309</v>
      </c>
    </row>
    <row r="169" spans="3:45" x14ac:dyDescent="0.3">
      <c r="C169" s="28" t="s">
        <v>302</v>
      </c>
      <c r="D169" s="28" t="s">
        <v>295</v>
      </c>
      <c r="E169" s="28">
        <v>205.12541694075784</v>
      </c>
      <c r="AE169" s="28">
        <v>64</v>
      </c>
      <c r="AF169" s="268"/>
      <c r="AG169" s="28" t="s">
        <v>238</v>
      </c>
      <c r="AH169" s="271"/>
      <c r="AI169" s="28">
        <v>12.400000000046566</v>
      </c>
      <c r="AK169" s="260"/>
      <c r="AL169" s="28">
        <v>11.4</v>
      </c>
      <c r="AM169" s="260"/>
      <c r="AN169" s="28">
        <v>1019</v>
      </c>
      <c r="AO169" s="37">
        <f t="shared" si="18"/>
        <v>82.177419354530102</v>
      </c>
      <c r="AP169" s="260"/>
      <c r="AR169" s="29">
        <f t="shared" si="19"/>
        <v>320.78027730496399</v>
      </c>
      <c r="AS169" s="260"/>
    </row>
    <row r="170" spans="3:45" x14ac:dyDescent="0.3">
      <c r="C170" s="28" t="s">
        <v>255</v>
      </c>
      <c r="D170" s="28" t="s">
        <v>295</v>
      </c>
      <c r="E170" s="28">
        <v>55.070152734418755</v>
      </c>
      <c r="AE170" s="28">
        <v>65</v>
      </c>
      <c r="AF170" s="269"/>
      <c r="AG170" s="28" t="s">
        <v>240</v>
      </c>
      <c r="AH170" s="271"/>
      <c r="AI170" s="28">
        <v>9.0999999999767169</v>
      </c>
      <c r="AK170" s="260"/>
      <c r="AL170" s="28">
        <v>9</v>
      </c>
      <c r="AM170" s="260"/>
      <c r="AN170" s="28">
        <v>796</v>
      </c>
      <c r="AO170" s="37">
        <f t="shared" ref="AO170:AO175" si="30">AN170/AI170</f>
        <v>87.472527472751281</v>
      </c>
      <c r="AP170" s="260"/>
      <c r="AR170" s="29">
        <f t="shared" ref="AR170:AR175" si="31">((AO170/1000)*(890*1000))/$AU$3</f>
        <v>341.44977829275723</v>
      </c>
      <c r="AS170" s="260"/>
    </row>
    <row r="171" spans="3:45" x14ac:dyDescent="0.3">
      <c r="C171" s="28" t="s">
        <v>288</v>
      </c>
      <c r="D171" s="28" t="s">
        <v>295</v>
      </c>
      <c r="E171" s="28">
        <v>35.486725663722908</v>
      </c>
      <c r="AE171" s="28">
        <v>66</v>
      </c>
      <c r="AF171" s="262" t="s">
        <v>276</v>
      </c>
      <c r="AG171" s="28" t="s">
        <v>257</v>
      </c>
      <c r="AH171" s="271"/>
      <c r="AI171" s="28">
        <v>15.499999999883585</v>
      </c>
      <c r="AK171" s="260">
        <f>AVERAGE(AI171:AI172)</f>
        <v>20.59999999991269</v>
      </c>
      <c r="AL171" s="28">
        <v>12</v>
      </c>
      <c r="AM171" s="260">
        <f>AVERAGE(AL171:AL172)</f>
        <v>13.9</v>
      </c>
      <c r="AN171" s="28">
        <v>948</v>
      </c>
      <c r="AO171" s="37">
        <f t="shared" si="30"/>
        <v>61.161290323040006</v>
      </c>
      <c r="AP171" s="260">
        <f>AVERAGE(AO171:AO172)</f>
        <v>74.705158780296983</v>
      </c>
      <c r="AR171" s="29">
        <f t="shared" si="31"/>
        <v>238.74363327853334</v>
      </c>
      <c r="AS171" s="260">
        <f>AVERAGE(AR171:AR172)</f>
        <v>291.61224260729961</v>
      </c>
    </row>
    <row r="172" spans="3:45" x14ac:dyDescent="0.3">
      <c r="C172" s="28" t="s">
        <v>276</v>
      </c>
      <c r="D172" s="28" t="s">
        <v>295</v>
      </c>
      <c r="E172" s="28">
        <v>66.801748044224411</v>
      </c>
      <c r="AE172" s="28">
        <v>67</v>
      </c>
      <c r="AF172" s="264"/>
      <c r="AG172" s="28" t="s">
        <v>261</v>
      </c>
      <c r="AH172" s="272"/>
      <c r="AI172" s="28">
        <v>25.699999999941792</v>
      </c>
      <c r="AK172" s="260"/>
      <c r="AL172" s="28">
        <v>15.8</v>
      </c>
      <c r="AM172" s="260"/>
      <c r="AN172" s="28">
        <v>2268</v>
      </c>
      <c r="AO172" s="37">
        <f t="shared" si="30"/>
        <v>88.24902723755396</v>
      </c>
      <c r="AP172" s="260"/>
      <c r="AR172" s="29">
        <f t="shared" si="31"/>
        <v>344.48085193606585</v>
      </c>
      <c r="AS172" s="260"/>
    </row>
    <row r="173" spans="3:45" x14ac:dyDescent="0.3">
      <c r="C173" s="28" t="s">
        <v>313</v>
      </c>
      <c r="D173" s="28" t="s">
        <v>295</v>
      </c>
      <c r="E173" s="28">
        <v>50.471698113068975</v>
      </c>
      <c r="AE173" s="28">
        <v>68</v>
      </c>
      <c r="AF173" s="277" t="s">
        <v>284</v>
      </c>
      <c r="AG173" s="28" t="s">
        <v>258</v>
      </c>
      <c r="AH173" s="273" t="s">
        <v>277</v>
      </c>
      <c r="AI173" s="28">
        <v>89.200000000058211</v>
      </c>
      <c r="AK173" s="260">
        <f>AVERAGE(AI173:AI175)</f>
        <v>71.566666666666677</v>
      </c>
      <c r="AL173" s="28">
        <v>14.8</v>
      </c>
      <c r="AM173" s="260">
        <f>AVERAGE(AL173:AL175)</f>
        <v>12.933333333333335</v>
      </c>
      <c r="AN173" s="28">
        <v>5613</v>
      </c>
      <c r="AO173" s="37">
        <f t="shared" si="30"/>
        <v>62.926008968568802</v>
      </c>
      <c r="AP173" s="260">
        <f>AVERAGE(AO173:AO175)</f>
        <v>59.618082032706049</v>
      </c>
      <c r="AR173" s="29">
        <f t="shared" si="31"/>
        <v>245.63222799134311</v>
      </c>
      <c r="AS173" s="260">
        <f>AVERAGE(AR173:AR175)</f>
        <v>232.71970618029994</v>
      </c>
    </row>
    <row r="174" spans="3:45" x14ac:dyDescent="0.3">
      <c r="C174" s="28" t="s">
        <v>284</v>
      </c>
      <c r="D174" s="28" t="s">
        <v>295</v>
      </c>
      <c r="E174" s="28">
        <v>62.680102772486862</v>
      </c>
      <c r="AE174" s="28">
        <v>69</v>
      </c>
      <c r="AF174" s="278"/>
      <c r="AG174" s="28" t="s">
        <v>259</v>
      </c>
      <c r="AH174" s="274"/>
      <c r="AI174" s="28">
        <v>61.399999999871945</v>
      </c>
      <c r="AK174" s="260"/>
      <c r="AL174" s="28">
        <v>11.9</v>
      </c>
      <c r="AM174" s="260"/>
      <c r="AN174" s="28">
        <v>3684</v>
      </c>
      <c r="AO174" s="37">
        <f t="shared" si="30"/>
        <v>60.000000000125134</v>
      </c>
      <c r="AP174" s="260"/>
      <c r="AR174" s="29">
        <f t="shared" si="31"/>
        <v>234.21052631627791</v>
      </c>
      <c r="AS174" s="260"/>
    </row>
    <row r="175" spans="3:45" x14ac:dyDescent="0.3">
      <c r="C175" s="28" t="s">
        <v>267</v>
      </c>
      <c r="D175" s="28" t="s">
        <v>295</v>
      </c>
      <c r="E175" s="28">
        <v>52.128232802500541</v>
      </c>
      <c r="AE175" s="28">
        <v>70</v>
      </c>
      <c r="AF175" s="279"/>
      <c r="AG175" s="28" t="s">
        <v>260</v>
      </c>
      <c r="AH175" s="275"/>
      <c r="AI175" s="28">
        <v>64.100000000069855</v>
      </c>
      <c r="AK175" s="260"/>
      <c r="AL175" s="28">
        <v>12.1</v>
      </c>
      <c r="AM175" s="260"/>
      <c r="AN175" s="28">
        <v>3585</v>
      </c>
      <c r="AO175" s="37">
        <f t="shared" si="30"/>
        <v>55.928237129424232</v>
      </c>
      <c r="AP175" s="260"/>
      <c r="AR175" s="29">
        <f t="shared" si="31"/>
        <v>218.31636423327882</v>
      </c>
      <c r="AS175" s="260"/>
    </row>
    <row r="176" spans="3:45" x14ac:dyDescent="0.3">
      <c r="C176" s="28" t="s">
        <v>293</v>
      </c>
      <c r="D176" s="28" t="s">
        <v>297</v>
      </c>
      <c r="E176" s="28">
        <v>68.572277301325443</v>
      </c>
      <c r="AO176" s="39"/>
    </row>
    <row r="177" spans="3:45" x14ac:dyDescent="0.3">
      <c r="C177" s="28" t="s">
        <v>293</v>
      </c>
      <c r="D177" s="28" t="s">
        <v>298</v>
      </c>
      <c r="E177" s="28">
        <v>70.556219189727685</v>
      </c>
      <c r="AO177" s="39"/>
    </row>
    <row r="178" spans="3:45" x14ac:dyDescent="0.3">
      <c r="C178" s="28" t="s">
        <v>248</v>
      </c>
      <c r="D178" s="28" t="s">
        <v>300</v>
      </c>
      <c r="E178" s="28">
        <v>50.525328330206385</v>
      </c>
      <c r="AO178" s="39"/>
    </row>
    <row r="179" spans="3:45" x14ac:dyDescent="0.3">
      <c r="C179" s="28" t="s">
        <v>302</v>
      </c>
      <c r="D179" s="28" t="s">
        <v>300</v>
      </c>
      <c r="E179" s="28">
        <v>53.592292437578479</v>
      </c>
      <c r="AG179" s="19" t="s">
        <v>197</v>
      </c>
      <c r="AH179" s="19">
        <v>2023</v>
      </c>
      <c r="AO179" s="39"/>
    </row>
    <row r="180" spans="3:45" x14ac:dyDescent="0.3">
      <c r="C180" s="28" t="s">
        <v>255</v>
      </c>
      <c r="D180" s="28" t="s">
        <v>303</v>
      </c>
      <c r="E180" s="28">
        <v>44.273942346060267</v>
      </c>
      <c r="AE180" s="28" t="s">
        <v>198</v>
      </c>
      <c r="AF180" s="28" t="s">
        <v>191</v>
      </c>
      <c r="AG180" s="28" t="s">
        <v>199</v>
      </c>
      <c r="AH180" s="28" t="s">
        <v>219</v>
      </c>
      <c r="AI180" s="28" t="s">
        <v>280</v>
      </c>
      <c r="AO180" s="39"/>
    </row>
    <row r="181" spans="3:45" x14ac:dyDescent="0.3">
      <c r="C181" s="28" t="s">
        <v>267</v>
      </c>
      <c r="D181" s="28" t="s">
        <v>306</v>
      </c>
      <c r="E181" s="28">
        <v>52.771720478950421</v>
      </c>
      <c r="AE181" s="28">
        <v>1</v>
      </c>
      <c r="AF181" s="38" t="s">
        <v>302</v>
      </c>
      <c r="AG181" s="28" t="s">
        <v>73</v>
      </c>
      <c r="AH181" s="273" t="s">
        <v>243</v>
      </c>
      <c r="AI181" s="28">
        <v>626.5</v>
      </c>
      <c r="AK181" s="29">
        <f>AVERAGE(AI181)</f>
        <v>626.5</v>
      </c>
      <c r="AL181" s="40">
        <v>8</v>
      </c>
      <c r="AM181" s="29">
        <f>AVERAGE(AL181)</f>
        <v>8</v>
      </c>
      <c r="AN181" s="28">
        <v>24979</v>
      </c>
      <c r="AO181" s="37">
        <f t="shared" ref="AO181:AO195" si="32">AN181/AI181</f>
        <v>39.870710295291303</v>
      </c>
      <c r="AP181" s="29">
        <f>AVERAGE(AO181)</f>
        <v>39.870710295291303</v>
      </c>
      <c r="AR181" s="29">
        <f t="shared" ref="AR181:AR195" si="33">((AO181/1000)*(890*1000))/$AU$3</f>
        <v>155.63566738074235</v>
      </c>
      <c r="AS181" s="29">
        <f>AVERAGE(AR181)</f>
        <v>155.63566738074235</v>
      </c>
    </row>
    <row r="182" spans="3:45" x14ac:dyDescent="0.3">
      <c r="C182" s="28" t="s">
        <v>302</v>
      </c>
      <c r="D182" s="28" t="s">
        <v>304</v>
      </c>
      <c r="E182" s="28">
        <v>63.880968644402742</v>
      </c>
      <c r="AE182" s="28">
        <v>2</v>
      </c>
      <c r="AF182" s="28" t="s">
        <v>302</v>
      </c>
      <c r="AG182" s="36" t="s">
        <v>253</v>
      </c>
      <c r="AH182" s="274"/>
      <c r="AI182" s="36">
        <v>20</v>
      </c>
      <c r="AK182" s="29">
        <f>AVERAGE(AI182)</f>
        <v>20</v>
      </c>
      <c r="AL182" s="40">
        <v>14.1</v>
      </c>
      <c r="AM182" s="29">
        <f>AVERAGE(AL182)</f>
        <v>14.1</v>
      </c>
      <c r="AN182" s="28">
        <v>7321</v>
      </c>
      <c r="AO182" s="37">
        <f t="shared" si="32"/>
        <v>366.05</v>
      </c>
      <c r="AP182" s="29">
        <f>AVERAGE(AO182)</f>
        <v>366.05</v>
      </c>
      <c r="AR182" s="29">
        <f t="shared" si="33"/>
        <v>1428.8793859649122</v>
      </c>
      <c r="AS182" s="29">
        <f>AVERAGE(AR182)</f>
        <v>1428.8793859649122</v>
      </c>
    </row>
    <row r="183" spans="3:45" x14ac:dyDescent="0.3">
      <c r="C183" s="28" t="s">
        <v>271</v>
      </c>
      <c r="D183" s="28" t="s">
        <v>308</v>
      </c>
      <c r="E183" s="28">
        <v>35.341297317852963</v>
      </c>
      <c r="AE183" s="28">
        <v>3</v>
      </c>
      <c r="AF183" s="276" t="s">
        <v>276</v>
      </c>
      <c r="AG183" s="28" t="s">
        <v>278</v>
      </c>
      <c r="AH183" s="274"/>
      <c r="AI183" s="28">
        <v>65.5</v>
      </c>
      <c r="AK183" s="265">
        <f>AVERAGE(AI183:AI187)</f>
        <v>41.359999999995345</v>
      </c>
      <c r="AL183" s="40">
        <v>9.5</v>
      </c>
      <c r="AM183" s="265">
        <f>AVERAGE(AL183:AL187)</f>
        <v>9.9600000000000009</v>
      </c>
      <c r="AN183" s="28">
        <v>3437</v>
      </c>
      <c r="AO183" s="37">
        <f t="shared" si="32"/>
        <v>52.473282442748094</v>
      </c>
      <c r="AP183" s="265">
        <f>AVERAGE(AO183:AO187)</f>
        <v>54.292737571537657</v>
      </c>
      <c r="AR183" s="29">
        <f t="shared" si="33"/>
        <v>204.82991830721843</v>
      </c>
      <c r="AS183" s="265">
        <f>AVERAGE(AR183:AR187)</f>
        <v>211.9321773625812</v>
      </c>
    </row>
    <row r="184" spans="3:45" x14ac:dyDescent="0.3">
      <c r="C184" s="28" t="s">
        <v>274</v>
      </c>
      <c r="D184" s="28" t="s">
        <v>309</v>
      </c>
      <c r="E184" s="28">
        <v>81.062453931186326</v>
      </c>
      <c r="AE184" s="28">
        <v>4</v>
      </c>
      <c r="AF184" s="276"/>
      <c r="AG184" s="28" t="s">
        <v>279</v>
      </c>
      <c r="AH184" s="274"/>
      <c r="AI184" s="28">
        <v>56.500000000034923</v>
      </c>
      <c r="AK184" s="257"/>
      <c r="AL184" s="40">
        <v>8.6</v>
      </c>
      <c r="AM184" s="257"/>
      <c r="AN184" s="28">
        <v>2454</v>
      </c>
      <c r="AO184" s="37">
        <f t="shared" si="32"/>
        <v>43.433628318557226</v>
      </c>
      <c r="AP184" s="257"/>
      <c r="AR184" s="29">
        <f t="shared" si="33"/>
        <v>169.54354913822777</v>
      </c>
      <c r="AS184" s="257"/>
    </row>
    <row r="185" spans="3:45" x14ac:dyDescent="0.3">
      <c r="C185" s="28" t="s">
        <v>276</v>
      </c>
      <c r="D185" s="28" t="s">
        <v>309</v>
      </c>
      <c r="E185" s="28">
        <v>68.629839633650633</v>
      </c>
      <c r="AE185" s="28">
        <v>5</v>
      </c>
      <c r="AF185" s="276"/>
      <c r="AG185" s="28" t="s">
        <v>281</v>
      </c>
      <c r="AH185" s="274"/>
      <c r="AI185" s="28">
        <v>36.699999999988357</v>
      </c>
      <c r="AK185" s="257"/>
      <c r="AL185" s="40">
        <v>13.6</v>
      </c>
      <c r="AM185" s="257"/>
      <c r="AN185" s="28">
        <v>2025</v>
      </c>
      <c r="AO185" s="37">
        <f t="shared" si="32"/>
        <v>55.177111716638755</v>
      </c>
      <c r="AP185" s="257"/>
      <c r="AR185" s="29">
        <f t="shared" si="33"/>
        <v>215.38433959565128</v>
      </c>
      <c r="AS185" s="257"/>
    </row>
    <row r="186" spans="3:45" x14ac:dyDescent="0.3">
      <c r="C186" s="28" t="s">
        <v>284</v>
      </c>
      <c r="D186" s="28" t="s">
        <v>311</v>
      </c>
      <c r="E186" s="28">
        <v>59.618082032706049</v>
      </c>
      <c r="AE186" s="28">
        <v>6</v>
      </c>
      <c r="AF186" s="276"/>
      <c r="AG186" s="28" t="s">
        <v>282</v>
      </c>
      <c r="AH186" s="274"/>
      <c r="AI186" s="28">
        <v>22.200000000069849</v>
      </c>
      <c r="AK186" s="257"/>
      <c r="AL186" s="40">
        <v>9</v>
      </c>
      <c r="AM186" s="257"/>
      <c r="AN186" s="28">
        <v>1343</v>
      </c>
      <c r="AO186" s="37">
        <f t="shared" si="32"/>
        <v>60.495495495305157</v>
      </c>
      <c r="AP186" s="257"/>
      <c r="AR186" s="29">
        <f t="shared" si="33"/>
        <v>236.14469732816485</v>
      </c>
      <c r="AS186" s="257"/>
    </row>
    <row r="187" spans="3:45" x14ac:dyDescent="0.3">
      <c r="AE187" s="28">
        <v>7</v>
      </c>
      <c r="AF187" s="276"/>
      <c r="AG187" s="28" t="s">
        <v>283</v>
      </c>
      <c r="AH187" s="275"/>
      <c r="AI187" s="28">
        <v>25.899999999883583</v>
      </c>
      <c r="AK187" s="258"/>
      <c r="AL187" s="40">
        <v>9.1</v>
      </c>
      <c r="AM187" s="258"/>
      <c r="AN187" s="28">
        <v>1551</v>
      </c>
      <c r="AO187" s="37">
        <f t="shared" si="32"/>
        <v>59.884169884439054</v>
      </c>
      <c r="AP187" s="258"/>
      <c r="AR187" s="29">
        <f t="shared" si="33"/>
        <v>233.75838244364365</v>
      </c>
      <c r="AS187" s="258"/>
    </row>
    <row r="188" spans="3:45" x14ac:dyDescent="0.3">
      <c r="D188" s="46">
        <v>1</v>
      </c>
      <c r="E188" s="46">
        <v>0.85</v>
      </c>
      <c r="F188" s="46">
        <v>0.75</v>
      </c>
      <c r="G188" s="46">
        <v>0.6</v>
      </c>
      <c r="H188" s="46">
        <v>0.5</v>
      </c>
      <c r="AE188" s="28">
        <v>8</v>
      </c>
      <c r="AF188" s="282" t="s">
        <v>276</v>
      </c>
      <c r="AG188" s="28" t="s">
        <v>263</v>
      </c>
      <c r="AH188" s="270" t="s">
        <v>275</v>
      </c>
      <c r="AI188" s="28">
        <v>97.200000000058211</v>
      </c>
      <c r="AK188" s="265">
        <f>AVERAGE(AI188:AI193)</f>
        <v>38.700000000009702</v>
      </c>
      <c r="AL188" s="40">
        <v>14.3</v>
      </c>
      <c r="AM188" s="265">
        <f>AVERAGE(AL188:AL193)</f>
        <v>11.383333333333333</v>
      </c>
      <c r="AN188" s="28">
        <v>3990</v>
      </c>
      <c r="AO188" s="37">
        <f t="shared" si="32"/>
        <v>41.049382716024802</v>
      </c>
      <c r="AP188" s="265">
        <f>AVERAGE(AO188:AO193)</f>
        <v>57.94892075039008</v>
      </c>
      <c r="AR188" s="29">
        <f t="shared" si="33"/>
        <v>160.23662551430735</v>
      </c>
      <c r="AS188" s="265">
        <f>AVERAGE(AR188:AR193)</f>
        <v>226.20412047301394</v>
      </c>
    </row>
    <row r="189" spans="3:45" x14ac:dyDescent="0.3">
      <c r="C189" s="19" t="s">
        <v>341</v>
      </c>
      <c r="D189" s="19">
        <v>2</v>
      </c>
      <c r="E189" s="19">
        <v>3</v>
      </c>
      <c r="F189" s="19">
        <v>4</v>
      </c>
      <c r="G189" s="19">
        <v>5</v>
      </c>
      <c r="H189" s="19">
        <v>6</v>
      </c>
      <c r="AE189" s="28">
        <v>9</v>
      </c>
      <c r="AF189" s="282"/>
      <c r="AG189" s="28" t="s">
        <v>278</v>
      </c>
      <c r="AH189" s="271"/>
      <c r="AI189" s="28">
        <v>35.599999999941794</v>
      </c>
      <c r="AK189" s="257"/>
      <c r="AL189" s="40">
        <v>13.4</v>
      </c>
      <c r="AM189" s="257"/>
      <c r="AN189" s="28">
        <v>2116</v>
      </c>
      <c r="AO189" s="37">
        <f t="shared" si="32"/>
        <v>59.438202247288196</v>
      </c>
      <c r="AP189" s="257"/>
      <c r="AR189" s="29">
        <f t="shared" si="33"/>
        <v>232.01754386002847</v>
      </c>
      <c r="AS189" s="257"/>
    </row>
    <row r="190" spans="3:45" x14ac:dyDescent="0.3">
      <c r="C190" s="19" t="s">
        <v>308</v>
      </c>
      <c r="D190" s="19">
        <v>43.5</v>
      </c>
      <c r="E190" s="19">
        <v>37.25</v>
      </c>
      <c r="F190" s="19">
        <v>33.083333333333329</v>
      </c>
      <c r="G190" s="19">
        <v>26.833333333333332</v>
      </c>
      <c r="H190" s="19">
        <v>22.75</v>
      </c>
      <c r="AE190" s="28">
        <v>10</v>
      </c>
      <c r="AF190" s="282"/>
      <c r="AG190" s="28" t="s">
        <v>279</v>
      </c>
      <c r="AH190" s="271"/>
      <c r="AI190" s="28">
        <v>13.600000000034925</v>
      </c>
      <c r="AK190" s="257"/>
      <c r="AL190" s="40">
        <v>9.5</v>
      </c>
      <c r="AM190" s="257"/>
      <c r="AN190" s="28">
        <v>974</v>
      </c>
      <c r="AO190" s="37">
        <f t="shared" si="32"/>
        <v>71.617647058639619</v>
      </c>
      <c r="AP190" s="257"/>
      <c r="AR190" s="29">
        <f t="shared" si="33"/>
        <v>279.56011351837395</v>
      </c>
      <c r="AS190" s="257"/>
    </row>
    <row r="191" spans="3:45" x14ac:dyDescent="0.3">
      <c r="C191" s="19" t="s">
        <v>311</v>
      </c>
      <c r="D191" s="19">
        <v>52.3</v>
      </c>
      <c r="E191" s="19">
        <v>44.8</v>
      </c>
      <c r="F191" s="19">
        <v>39.799999999999997</v>
      </c>
      <c r="G191" s="19">
        <v>32.299999999999997</v>
      </c>
      <c r="H191" s="19">
        <v>27.4</v>
      </c>
      <c r="AE191" s="28">
        <v>11</v>
      </c>
      <c r="AF191" s="282"/>
      <c r="AG191" s="28" t="s">
        <v>281</v>
      </c>
      <c r="AH191" s="271"/>
      <c r="AI191" s="28">
        <v>15.499999999988358</v>
      </c>
      <c r="AK191" s="257"/>
      <c r="AL191" s="40">
        <v>10.8</v>
      </c>
      <c r="AM191" s="257"/>
      <c r="AN191" s="28">
        <v>1148</v>
      </c>
      <c r="AO191" s="37">
        <f t="shared" si="32"/>
        <v>74.064516129087892</v>
      </c>
      <c r="AP191" s="257"/>
      <c r="AR191" s="29">
        <f t="shared" si="33"/>
        <v>289.11148839863256</v>
      </c>
      <c r="AS191" s="257"/>
    </row>
    <row r="192" spans="3:45" x14ac:dyDescent="0.3">
      <c r="C192" s="19" t="s">
        <v>295</v>
      </c>
      <c r="D192" s="19">
        <v>30.9</v>
      </c>
      <c r="E192" s="19">
        <v>27.15</v>
      </c>
      <c r="F192" s="19">
        <v>24.65</v>
      </c>
      <c r="G192" s="19">
        <v>20.9</v>
      </c>
      <c r="H192" s="19">
        <v>18.45</v>
      </c>
      <c r="AE192" s="28">
        <v>12</v>
      </c>
      <c r="AF192" s="282"/>
      <c r="AG192" s="28" t="s">
        <v>282</v>
      </c>
      <c r="AH192" s="271"/>
      <c r="AI192" s="28">
        <v>29.700000000034926</v>
      </c>
      <c r="AK192" s="257"/>
      <c r="AL192" s="40">
        <v>9.9</v>
      </c>
      <c r="AM192" s="257"/>
      <c r="AN192" s="28">
        <v>1580</v>
      </c>
      <c r="AO192" s="37">
        <f t="shared" si="32"/>
        <v>53.198653198590641</v>
      </c>
      <c r="AP192" s="257"/>
      <c r="AR192" s="29">
        <f t="shared" si="33"/>
        <v>207.66140941555119</v>
      </c>
      <c r="AS192" s="257"/>
    </row>
    <row r="193" spans="3:45" x14ac:dyDescent="0.3">
      <c r="C193" s="19" t="s">
        <v>303</v>
      </c>
      <c r="D193" s="19">
        <v>28.710526315789473</v>
      </c>
      <c r="E193" s="19">
        <v>24.763157894736842</v>
      </c>
      <c r="F193" s="19">
        <v>22.131578947368421</v>
      </c>
      <c r="G193" s="19">
        <v>18.184210526315788</v>
      </c>
      <c r="H193" s="19">
        <v>15.605263157894736</v>
      </c>
      <c r="AE193" s="28">
        <v>13</v>
      </c>
      <c r="AF193" s="282"/>
      <c r="AG193" s="28" t="s">
        <v>283</v>
      </c>
      <c r="AH193" s="272"/>
      <c r="AI193" s="28">
        <v>40.6</v>
      </c>
      <c r="AK193" s="258"/>
      <c r="AL193" s="40">
        <v>10.4</v>
      </c>
      <c r="AM193" s="258"/>
      <c r="AN193" s="28">
        <v>1962</v>
      </c>
      <c r="AO193" s="37">
        <f t="shared" si="32"/>
        <v>48.325123152709359</v>
      </c>
      <c r="AP193" s="258"/>
      <c r="AR193" s="29">
        <f t="shared" si="33"/>
        <v>188.63754213119003</v>
      </c>
      <c r="AS193" s="258"/>
    </row>
    <row r="194" spans="3:45" x14ac:dyDescent="0.3">
      <c r="C194" s="19" t="s">
        <v>309</v>
      </c>
      <c r="D194" s="19">
        <v>45.84</v>
      </c>
      <c r="E194" s="19">
        <v>39.840000000000003</v>
      </c>
      <c r="F194" s="19">
        <v>35.840000000000003</v>
      </c>
      <c r="G194" s="19">
        <v>29.84</v>
      </c>
      <c r="H194" s="19">
        <v>25.92</v>
      </c>
      <c r="AE194" s="28">
        <v>14</v>
      </c>
      <c r="AF194" s="38" t="s">
        <v>302</v>
      </c>
      <c r="AG194" s="28" t="s">
        <v>253</v>
      </c>
      <c r="AH194" s="32" t="s">
        <v>268</v>
      </c>
      <c r="AI194" s="28">
        <v>21.299999999930151</v>
      </c>
      <c r="AK194" s="29">
        <f>AVERAGE(AI194)</f>
        <v>21.299999999930151</v>
      </c>
      <c r="AL194" s="40">
        <v>4.5</v>
      </c>
      <c r="AM194" s="29">
        <f>AVERAGE(AL194)</f>
        <v>4.5</v>
      </c>
      <c r="AN194" s="28">
        <v>1401</v>
      </c>
      <c r="AO194" s="37">
        <f t="shared" si="32"/>
        <v>65.774647887539643</v>
      </c>
      <c r="AP194" s="29">
        <f>AVERAGE(AO194)</f>
        <v>65.774647887539643</v>
      </c>
      <c r="AR194" s="29">
        <f t="shared" si="33"/>
        <v>256.75191499960647</v>
      </c>
      <c r="AS194" s="29">
        <f>AVERAGE(AR194)</f>
        <v>256.75191499960647</v>
      </c>
    </row>
    <row r="195" spans="3:45" x14ac:dyDescent="0.3">
      <c r="C195" s="19" t="s">
        <v>300</v>
      </c>
      <c r="D195" s="19">
        <v>51.8</v>
      </c>
      <c r="E195" s="19">
        <v>44.3</v>
      </c>
      <c r="F195" s="19">
        <v>39.299999999999997</v>
      </c>
      <c r="G195" s="19">
        <v>31.8</v>
      </c>
      <c r="H195" s="19">
        <v>26.9</v>
      </c>
      <c r="AE195" s="28">
        <v>15</v>
      </c>
      <c r="AF195" s="44" t="s">
        <v>302</v>
      </c>
      <c r="AG195" s="28" t="s">
        <v>253</v>
      </c>
      <c r="AH195" s="47" t="s">
        <v>272</v>
      </c>
      <c r="AI195" s="28">
        <v>46.799999999895228</v>
      </c>
      <c r="AK195" s="29">
        <f>AVERAGE(AI195)</f>
        <v>46.799999999895228</v>
      </c>
      <c r="AL195" s="40">
        <v>5.4</v>
      </c>
      <c r="AM195" s="29">
        <f>AVERAGE(AL195)</f>
        <v>5.4</v>
      </c>
      <c r="AN195" s="28">
        <v>3458</v>
      </c>
      <c r="AO195" s="37">
        <f t="shared" si="32"/>
        <v>73.8888888890543</v>
      </c>
      <c r="AP195" s="29">
        <f>AVERAGE(AO195)</f>
        <v>73.8888888890543</v>
      </c>
      <c r="AR195" s="29">
        <f t="shared" si="33"/>
        <v>288.42592592657161</v>
      </c>
      <c r="AS195" s="29">
        <f>AVERAGE(AR195)</f>
        <v>288.42592592657161</v>
      </c>
    </row>
    <row r="196" spans="3:45" x14ac:dyDescent="0.3">
      <c r="C196" s="19" t="s">
        <v>304</v>
      </c>
      <c r="D196" s="19">
        <v>85</v>
      </c>
      <c r="E196" s="19">
        <v>72.5</v>
      </c>
      <c r="F196" s="19">
        <v>64.166666666666657</v>
      </c>
      <c r="G196" s="19">
        <v>51.666666666666664</v>
      </c>
      <c r="H196" s="19">
        <v>43.5</v>
      </c>
      <c r="AO196" s="39"/>
    </row>
    <row r="197" spans="3:45" x14ac:dyDescent="0.3">
      <c r="C197" s="19" t="s">
        <v>306</v>
      </c>
      <c r="D197" s="19">
        <v>49.272727272727273</v>
      </c>
      <c r="E197" s="19">
        <v>42.454545454545453</v>
      </c>
      <c r="F197" s="19">
        <v>37.909090909090907</v>
      </c>
      <c r="G197" s="19">
        <v>31.09090909090909</v>
      </c>
      <c r="H197" s="19">
        <v>26.636363636363637</v>
      </c>
      <c r="AO197" s="39"/>
    </row>
    <row r="198" spans="3:45" x14ac:dyDescent="0.3">
      <c r="C198" s="19" t="s">
        <v>297</v>
      </c>
      <c r="D198" s="19">
        <v>51.8</v>
      </c>
      <c r="E198" s="19">
        <v>44.3</v>
      </c>
      <c r="F198" s="19">
        <v>39.299999999999997</v>
      </c>
      <c r="G198" s="19">
        <v>31.8</v>
      </c>
      <c r="H198" s="19">
        <v>26.9</v>
      </c>
      <c r="AO198" s="39"/>
    </row>
    <row r="199" spans="3:45" x14ac:dyDescent="0.3">
      <c r="C199" s="19" t="s">
        <v>298</v>
      </c>
      <c r="D199" s="19">
        <v>41.84</v>
      </c>
      <c r="E199" s="19">
        <v>35.840000000000003</v>
      </c>
      <c r="F199" s="19">
        <v>31.84</v>
      </c>
      <c r="G199" s="19">
        <v>25.84</v>
      </c>
      <c r="H199" s="19">
        <v>21.92</v>
      </c>
      <c r="AF199" s="19" t="s">
        <v>276</v>
      </c>
      <c r="AH199" s="280" t="s">
        <v>243</v>
      </c>
      <c r="AK199" s="29">
        <f>AVERAGE(AK183,AK127)</f>
        <v>38.046666666637179</v>
      </c>
      <c r="AM199" s="29">
        <f>AVERAGE(AM183,AM127)</f>
        <v>10.73</v>
      </c>
      <c r="AO199" s="39"/>
      <c r="AP199" s="29">
        <f>AVERAGE(AP183,AP127)</f>
        <v>66.801748044224411</v>
      </c>
      <c r="AS199" s="29">
        <f>AVERAGE(AS183,AS127)</f>
        <v>260.761209470876</v>
      </c>
    </row>
    <row r="200" spans="3:45" x14ac:dyDescent="0.3">
      <c r="C200" s="19" t="s">
        <v>294</v>
      </c>
      <c r="D200" s="19">
        <v>27.9</v>
      </c>
      <c r="E200" s="19">
        <v>24.15</v>
      </c>
      <c r="F200" s="19">
        <v>21.65</v>
      </c>
      <c r="G200" s="19">
        <v>17.899999999999999</v>
      </c>
      <c r="H200" s="19">
        <v>15.45</v>
      </c>
      <c r="AF200" s="19" t="s">
        <v>302</v>
      </c>
      <c r="AH200" s="281"/>
      <c r="AK200" s="29">
        <f>AVERAGE(AK182,AK121)</f>
        <v>27.90000000001746</v>
      </c>
      <c r="AM200" s="29">
        <f>AVERAGE(AM182,AM121)</f>
        <v>12.2</v>
      </c>
      <c r="AO200" s="39"/>
      <c r="AP200" s="29">
        <f>AVERAGE(AP182,AP121)</f>
        <v>205.12541694075784</v>
      </c>
      <c r="AS200" s="29">
        <f>AVERAGE(AS182,AS121)</f>
        <v>800.70886437401077</v>
      </c>
    </row>
    <row r="201" spans="3:45" x14ac:dyDescent="0.3">
      <c r="AF201" s="19" t="s">
        <v>276</v>
      </c>
      <c r="AH201" s="28" t="s">
        <v>275</v>
      </c>
      <c r="AK201" s="29">
        <f>AVERAGE(AK188,AK127)</f>
        <v>36.716666666644358</v>
      </c>
      <c r="AM201" s="29">
        <f>AVERAGE(AM188,AM127)</f>
        <v>11.441666666666666</v>
      </c>
      <c r="AO201" s="39"/>
      <c r="AP201" s="29">
        <f>AVERAGE(AP188,AP127)</f>
        <v>68.629839633650633</v>
      </c>
      <c r="AS201" s="29">
        <f>AVERAGE(AS188,AS127)</f>
        <v>267.89718102609237</v>
      </c>
    </row>
    <row r="202" spans="3:45" x14ac:dyDescent="0.3">
      <c r="AF202" s="19" t="s">
        <v>302</v>
      </c>
      <c r="AH202" s="28" t="s">
        <v>268</v>
      </c>
      <c r="AK202" s="29">
        <f>AVERAGE(AK194,AK150)</f>
        <v>34.566666666655024</v>
      </c>
      <c r="AM202" s="29">
        <f>AVERAGE(AM194,AM150)</f>
        <v>5.2333333333333325</v>
      </c>
      <c r="AO202" s="39"/>
      <c r="AP202" s="29">
        <f>AVERAGE(AP194,AP150)</f>
        <v>53.592292437578479</v>
      </c>
      <c r="AS202" s="29">
        <f>AVERAGE(AS194,AS150)</f>
        <v>209.19798363791597</v>
      </c>
    </row>
    <row r="203" spans="3:45" x14ac:dyDescent="0.3">
      <c r="AF203" s="19" t="s">
        <v>302</v>
      </c>
      <c r="AH203" s="28" t="s">
        <v>272</v>
      </c>
      <c r="AK203" s="29">
        <f>AVERAGE(AK195,AK161)</f>
        <v>38.149999999937911</v>
      </c>
      <c r="AM203" s="29">
        <f>AVERAGE(AM195,AM161)</f>
        <v>4.1166666666666671</v>
      </c>
      <c r="AP203" s="29">
        <f>AVERAGE(AP195,AP161)</f>
        <v>63.880968644402742</v>
      </c>
      <c r="AS203" s="29">
        <f>AVERAGE(AS195,AS161)</f>
        <v>249.35992146280017</v>
      </c>
    </row>
  </sheetData>
  <mergeCells count="340">
    <mergeCell ref="AH199:AH200"/>
    <mergeCell ref="AF188:AF193"/>
    <mergeCell ref="AH188:AH193"/>
    <mergeCell ref="AK188:AK193"/>
    <mergeCell ref="AM188:AM193"/>
    <mergeCell ref="AP188:AP193"/>
    <mergeCell ref="AS188:AS193"/>
    <mergeCell ref="AH181:AH187"/>
    <mergeCell ref="AF183:AF187"/>
    <mergeCell ref="AK183:AK187"/>
    <mergeCell ref="AM183:AM187"/>
    <mergeCell ref="AP183:AP187"/>
    <mergeCell ref="AS183:AS187"/>
    <mergeCell ref="AS171:AS172"/>
    <mergeCell ref="AF173:AF175"/>
    <mergeCell ref="AH173:AH175"/>
    <mergeCell ref="AK173:AK175"/>
    <mergeCell ref="AM173:AM175"/>
    <mergeCell ref="AP173:AP175"/>
    <mergeCell ref="AS173:AS175"/>
    <mergeCell ref="AF168:AF170"/>
    <mergeCell ref="AH168:AH172"/>
    <mergeCell ref="AK168:AK170"/>
    <mergeCell ref="AM168:AM170"/>
    <mergeCell ref="AP168:AP170"/>
    <mergeCell ref="AS168:AS170"/>
    <mergeCell ref="AF171:AF172"/>
    <mergeCell ref="AK171:AK172"/>
    <mergeCell ref="AM171:AM172"/>
    <mergeCell ref="AP171:AP172"/>
    <mergeCell ref="AF164:AF167"/>
    <mergeCell ref="AH164:AH167"/>
    <mergeCell ref="AK164:AK167"/>
    <mergeCell ref="AM164:AM167"/>
    <mergeCell ref="AP164:AP167"/>
    <mergeCell ref="AS164:AS167"/>
    <mergeCell ref="AF161:AF163"/>
    <mergeCell ref="AH161:AH163"/>
    <mergeCell ref="AK161:AK163"/>
    <mergeCell ref="AM161:AM163"/>
    <mergeCell ref="AP161:AP163"/>
    <mergeCell ref="AS161:AS163"/>
    <mergeCell ref="AF156:AF160"/>
    <mergeCell ref="AH156:AH160"/>
    <mergeCell ref="AK156:AK160"/>
    <mergeCell ref="AM156:AM160"/>
    <mergeCell ref="AP156:AP160"/>
    <mergeCell ref="AS156:AS160"/>
    <mergeCell ref="AF153:AF155"/>
    <mergeCell ref="AH153:AH155"/>
    <mergeCell ref="AK153:AK155"/>
    <mergeCell ref="AM153:AM155"/>
    <mergeCell ref="AP153:AP155"/>
    <mergeCell ref="AS153:AS155"/>
    <mergeCell ref="AH149:AH152"/>
    <mergeCell ref="AF150:AF152"/>
    <mergeCell ref="AK150:AK152"/>
    <mergeCell ref="AM150:AM152"/>
    <mergeCell ref="AP150:AP152"/>
    <mergeCell ref="AS150:AS152"/>
    <mergeCell ref="AS139:AS143"/>
    <mergeCell ref="AF144:AF148"/>
    <mergeCell ref="AH144:AH148"/>
    <mergeCell ref="AK144:AK148"/>
    <mergeCell ref="AM144:AM148"/>
    <mergeCell ref="AP144:AP148"/>
    <mergeCell ref="AS144:AS148"/>
    <mergeCell ref="AF134:AF138"/>
    <mergeCell ref="AK134:AK138"/>
    <mergeCell ref="AM134:AM138"/>
    <mergeCell ref="AP134:AP138"/>
    <mergeCell ref="AS134:AS138"/>
    <mergeCell ref="AF139:AF143"/>
    <mergeCell ref="AH139:AH143"/>
    <mergeCell ref="AK139:AK143"/>
    <mergeCell ref="AM139:AM143"/>
    <mergeCell ref="AP139:AP143"/>
    <mergeCell ref="AF127:AF129"/>
    <mergeCell ref="AK127:AK129"/>
    <mergeCell ref="AM127:AM129"/>
    <mergeCell ref="AP127:AP129"/>
    <mergeCell ref="AS127:AS129"/>
    <mergeCell ref="AF131:AF133"/>
    <mergeCell ref="AK131:AK133"/>
    <mergeCell ref="AM131:AM133"/>
    <mergeCell ref="AP131:AP133"/>
    <mergeCell ref="AS131:AS133"/>
    <mergeCell ref="AP121:AP123"/>
    <mergeCell ref="AS121:AS123"/>
    <mergeCell ref="AF124:AF125"/>
    <mergeCell ref="AK124:AK125"/>
    <mergeCell ref="AM124:AM125"/>
    <mergeCell ref="AP124:AP125"/>
    <mergeCell ref="AS124:AS125"/>
    <mergeCell ref="AS110:AS113"/>
    <mergeCell ref="AF115:AF119"/>
    <mergeCell ref="AH115:AH138"/>
    <mergeCell ref="AK115:AK119"/>
    <mergeCell ref="AM115:AM119"/>
    <mergeCell ref="AP115:AP119"/>
    <mergeCell ref="AS115:AS119"/>
    <mergeCell ref="AF121:AF123"/>
    <mergeCell ref="AK121:AK123"/>
    <mergeCell ref="AM121:AM123"/>
    <mergeCell ref="AH106:AH114"/>
    <mergeCell ref="AF107:AF109"/>
    <mergeCell ref="AK107:AK109"/>
    <mergeCell ref="AM107:AM109"/>
    <mergeCell ref="AP107:AP109"/>
    <mergeCell ref="AS107:AS109"/>
    <mergeCell ref="AF110:AF113"/>
    <mergeCell ref="AK110:AK113"/>
    <mergeCell ref="AM110:AM113"/>
    <mergeCell ref="AP110:AP113"/>
    <mergeCell ref="AH88:AH93"/>
    <mergeCell ref="AK88:AK93"/>
    <mergeCell ref="AM88:AM93"/>
    <mergeCell ref="AP88:AP93"/>
    <mergeCell ref="AS88:AS93"/>
    <mergeCell ref="D103:D112"/>
    <mergeCell ref="I103:I112"/>
    <mergeCell ref="J103:J112"/>
    <mergeCell ref="K103:K112"/>
    <mergeCell ref="L103:L112"/>
    <mergeCell ref="P88:P93"/>
    <mergeCell ref="R88:R93"/>
    <mergeCell ref="T88:T93"/>
    <mergeCell ref="V88:V93"/>
    <mergeCell ref="X88:X93"/>
    <mergeCell ref="AA88:AA93"/>
    <mergeCell ref="D88:D93"/>
    <mergeCell ref="I88:I93"/>
    <mergeCell ref="J88:J93"/>
    <mergeCell ref="K88:K93"/>
    <mergeCell ref="L88:L93"/>
    <mergeCell ref="O88:O93"/>
    <mergeCell ref="AM73:AM75"/>
    <mergeCell ref="AP73:AP75"/>
    <mergeCell ref="AS73:AS75"/>
    <mergeCell ref="AH81:AH87"/>
    <mergeCell ref="AK81:AK87"/>
    <mergeCell ref="AM81:AM87"/>
    <mergeCell ref="AP81:AP87"/>
    <mergeCell ref="AS81:AS87"/>
    <mergeCell ref="T72:T87"/>
    <mergeCell ref="V72:V87"/>
    <mergeCell ref="X72:X87"/>
    <mergeCell ref="AA72:AA87"/>
    <mergeCell ref="AH73:AH75"/>
    <mergeCell ref="AK73:AK75"/>
    <mergeCell ref="AP68:AP72"/>
    <mergeCell ref="AS68:AS72"/>
    <mergeCell ref="X66:X71"/>
    <mergeCell ref="AA66:AA71"/>
    <mergeCell ref="AH68:AH72"/>
    <mergeCell ref="AK68:AK72"/>
    <mergeCell ref="AM68:AM72"/>
    <mergeCell ref="AS64:AS67"/>
    <mergeCell ref="AA58:AA65"/>
    <mergeCell ref="AS61:AS63"/>
    <mergeCell ref="AH64:AH67"/>
    <mergeCell ref="AK64:AK67"/>
    <mergeCell ref="AM64:AM67"/>
    <mergeCell ref="AP64:AP67"/>
    <mergeCell ref="AS56:AS60"/>
    <mergeCell ref="D72:D87"/>
    <mergeCell ref="I72:I87"/>
    <mergeCell ref="J72:J87"/>
    <mergeCell ref="K72:K87"/>
    <mergeCell ref="L72:L87"/>
    <mergeCell ref="O72:O87"/>
    <mergeCell ref="P72:P87"/>
    <mergeCell ref="R72:R87"/>
    <mergeCell ref="V66:V71"/>
    <mergeCell ref="D66:D71"/>
    <mergeCell ref="I66:I71"/>
    <mergeCell ref="J66:J71"/>
    <mergeCell ref="K66:K71"/>
    <mergeCell ref="L66:L71"/>
    <mergeCell ref="O66:O71"/>
    <mergeCell ref="P66:P71"/>
    <mergeCell ref="R66:R71"/>
    <mergeCell ref="T66:T71"/>
    <mergeCell ref="D58:D65"/>
    <mergeCell ref="I58:I65"/>
    <mergeCell ref="J58:J65"/>
    <mergeCell ref="K58:K65"/>
    <mergeCell ref="L58:L65"/>
    <mergeCell ref="AH49:AH52"/>
    <mergeCell ref="AK49:AK52"/>
    <mergeCell ref="AM49:AM52"/>
    <mergeCell ref="AP49:AP52"/>
    <mergeCell ref="D48:D57"/>
    <mergeCell ref="O58:O65"/>
    <mergeCell ref="AM56:AM60"/>
    <mergeCell ref="AH61:AH63"/>
    <mergeCell ref="AK61:AK63"/>
    <mergeCell ref="AM61:AM63"/>
    <mergeCell ref="AP61:AP63"/>
    <mergeCell ref="AS49:AS52"/>
    <mergeCell ref="AH53:AH55"/>
    <mergeCell ref="AK53:AK55"/>
    <mergeCell ref="AM53:AM55"/>
    <mergeCell ref="AP53:AP55"/>
    <mergeCell ref="AS53:AS55"/>
    <mergeCell ref="P48:P57"/>
    <mergeCell ref="R48:R57"/>
    <mergeCell ref="T48:T57"/>
    <mergeCell ref="V48:V57"/>
    <mergeCell ref="X48:X57"/>
    <mergeCell ref="AA48:AA57"/>
    <mergeCell ref="AA20:AA24"/>
    <mergeCell ref="AK15:AK38"/>
    <mergeCell ref="AM15:AM38"/>
    <mergeCell ref="AP15:AP38"/>
    <mergeCell ref="X15:X19"/>
    <mergeCell ref="AA15:AA19"/>
    <mergeCell ref="AH15:AH38"/>
    <mergeCell ref="I48:I57"/>
    <mergeCell ref="J48:J57"/>
    <mergeCell ref="K48:K57"/>
    <mergeCell ref="L48:L57"/>
    <mergeCell ref="O48:O57"/>
    <mergeCell ref="AA43:AA47"/>
    <mergeCell ref="AH44:AH48"/>
    <mergeCell ref="AK44:AK48"/>
    <mergeCell ref="AM44:AM48"/>
    <mergeCell ref="AP56:AP60"/>
    <mergeCell ref="P58:P65"/>
    <mergeCell ref="R58:R65"/>
    <mergeCell ref="T58:T65"/>
    <mergeCell ref="V58:V65"/>
    <mergeCell ref="X58:X65"/>
    <mergeCell ref="AH56:AH60"/>
    <mergeCell ref="AK56:AK60"/>
    <mergeCell ref="V38:V42"/>
    <mergeCell ref="D38:D42"/>
    <mergeCell ref="I38:I42"/>
    <mergeCell ref="J38:J42"/>
    <mergeCell ref="K38:K42"/>
    <mergeCell ref="L38:L42"/>
    <mergeCell ref="O38:O42"/>
    <mergeCell ref="AP44:AP48"/>
    <mergeCell ref="AS44:AS48"/>
    <mergeCell ref="O43:O47"/>
    <mergeCell ref="P43:P47"/>
    <mergeCell ref="R43:R47"/>
    <mergeCell ref="T43:T47"/>
    <mergeCell ref="V43:V47"/>
    <mergeCell ref="X43:X47"/>
    <mergeCell ref="AH39:AH43"/>
    <mergeCell ref="AK39:AK43"/>
    <mergeCell ref="AM39:AM43"/>
    <mergeCell ref="AP39:AP43"/>
    <mergeCell ref="AS39:AS43"/>
    <mergeCell ref="X38:X42"/>
    <mergeCell ref="AA38:AA42"/>
    <mergeCell ref="AS15:AS38"/>
    <mergeCell ref="X20:X24"/>
    <mergeCell ref="O32:O37"/>
    <mergeCell ref="P25:P31"/>
    <mergeCell ref="R25:R31"/>
    <mergeCell ref="T25:T31"/>
    <mergeCell ref="D43:D47"/>
    <mergeCell ref="I43:I47"/>
    <mergeCell ref="J43:J47"/>
    <mergeCell ref="K43:K47"/>
    <mergeCell ref="L43:L47"/>
    <mergeCell ref="P38:P42"/>
    <mergeCell ref="R38:R42"/>
    <mergeCell ref="T38:T42"/>
    <mergeCell ref="AA25:AA31"/>
    <mergeCell ref="V32:V37"/>
    <mergeCell ref="X32:X37"/>
    <mergeCell ref="AA32:AA37"/>
    <mergeCell ref="D20:D24"/>
    <mergeCell ref="I20:I24"/>
    <mergeCell ref="J20:J24"/>
    <mergeCell ref="K20:K24"/>
    <mergeCell ref="L20:L24"/>
    <mergeCell ref="O20:O24"/>
    <mergeCell ref="D25:D31"/>
    <mergeCell ref="I25:I31"/>
    <mergeCell ref="J25:J31"/>
    <mergeCell ref="K25:K31"/>
    <mergeCell ref="L25:L31"/>
    <mergeCell ref="O25:O31"/>
    <mergeCell ref="P32:P37"/>
    <mergeCell ref="R32:R37"/>
    <mergeCell ref="T32:T37"/>
    <mergeCell ref="D32:D37"/>
    <mergeCell ref="I32:I37"/>
    <mergeCell ref="J32:J37"/>
    <mergeCell ref="K32:K37"/>
    <mergeCell ref="L32:L37"/>
    <mergeCell ref="P20:P24"/>
    <mergeCell ref="R20:R24"/>
    <mergeCell ref="T20:T24"/>
    <mergeCell ref="V20:V24"/>
    <mergeCell ref="V7:V9"/>
    <mergeCell ref="X7:X9"/>
    <mergeCell ref="V10:V14"/>
    <mergeCell ref="X10:X14"/>
    <mergeCell ref="V25:V31"/>
    <mergeCell ref="X25:X31"/>
    <mergeCell ref="D15:D19"/>
    <mergeCell ref="I15:I19"/>
    <mergeCell ref="J15:J19"/>
    <mergeCell ref="K15:K19"/>
    <mergeCell ref="L15:L19"/>
    <mergeCell ref="O15:O19"/>
    <mergeCell ref="P15:P19"/>
    <mergeCell ref="AH6:AH14"/>
    <mergeCell ref="R15:R19"/>
    <mergeCell ref="T15:T19"/>
    <mergeCell ref="V15:V19"/>
    <mergeCell ref="AK6:AK14"/>
    <mergeCell ref="AM6:AM14"/>
    <mergeCell ref="AP6:AP14"/>
    <mergeCell ref="AS6:AS14"/>
    <mergeCell ref="D7:D9"/>
    <mergeCell ref="I7:I9"/>
    <mergeCell ref="J7:J9"/>
    <mergeCell ref="K7:K9"/>
    <mergeCell ref="L7:L9"/>
    <mergeCell ref="AA7:AA9"/>
    <mergeCell ref="D10:D14"/>
    <mergeCell ref="I10:I14"/>
    <mergeCell ref="J10:J14"/>
    <mergeCell ref="K10:K14"/>
    <mergeCell ref="L10:L14"/>
    <mergeCell ref="O10:O14"/>
    <mergeCell ref="P10:P14"/>
    <mergeCell ref="R10:R14"/>
    <mergeCell ref="T10:T14"/>
    <mergeCell ref="O7:O9"/>
    <mergeCell ref="P7:P9"/>
    <mergeCell ref="R7:R9"/>
    <mergeCell ref="T7:T9"/>
    <mergeCell ref="AA10:AA14"/>
  </mergeCells>
  <dataValidations count="1">
    <dataValidation type="list" allowBlank="1" showInputMessage="1" showErrorMessage="1" prompt="Pilih Rute_x000a_" sqref="D1" xr:uid="{46089A53-A079-4E1A-86B7-48FDB4C38BE3}">
      <formula1>$C$147:$C$159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W 9 M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Z W 9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V v T F g o i k e 4 D g A A A B E A A A A T A B w A R m 9 y b X V s Y X M v U 2 V j d G l v b j E u b S C i G A A o o B Q A A A A A A A A A A A A A A A A A A A A A A A A A A A A r T k 0 u y c z P U w i G 0 I b W A F B L A Q I t A B Q A A g A I A G V v T F j 0 d A 9 2 p A A A A P Y A A A A S A A A A A A A A A A A A A A A A A A A A A A B D b 2 5 m a W c v U G F j a 2 F n Z S 5 4 b W x Q S w E C L Q A U A A I A C A B l b 0 x Y D 8 r p q 6 Q A A A D p A A A A E w A A A A A A A A A A A A A A A A D w A A A A W 0 N v b n R l b n R f V H l w Z X N d L n h t b F B L A Q I t A B Q A A g A I A G V v T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7 d p Q j z 6 q 2 Q Y 6 2 K 9 8 8 9 G O Y A A A A A A I A A A A A A B B m A A A A A Q A A I A A A A F R W k z l Y 9 V T t i C 7 n f l o U h F R 8 A a u r S P + q y y F e q 1 p U m 6 b b A A A A A A 6 A A A A A A g A A I A A A A N q v z t 8 v H F 2 X t U V 5 G f i p i 8 H l 6 m n z E k + z K 2 H L c M y y v 4 l 4 U A A A A I 1 N h Q 4 2 M O 8 u m q 3 W J k 6 4 w d Q 7 t 8 U P v p g v e A W S E U M 5 7 Z 7 p + a q P f S R 6 6 J B E v Q a T g r X M x U f 4 r T m s 7 E L 9 s X G 8 z H V V t c O Q c C j y s + V / 0 E 2 W w L Q 4 S m L T Q A A A A A 8 D i c S 6 y c L P F c u K s I y S 7 1 Q 9 T N k s D J P 1 b A / Q r 0 s T u Z 8 x B W C i 5 Z w + M u C Q U b P D k k v s z 2 N t T f i k k + Q X g h j b Y g g I I 0 0 = < / D a t a M a s h u p > 
</file>

<file path=customXml/itemProps1.xml><?xml version="1.0" encoding="utf-8"?>
<ds:datastoreItem xmlns:ds="http://schemas.openxmlformats.org/officeDocument/2006/customXml" ds:itemID="{1CCC753E-2AEE-4468-8D7F-8C20847B78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External Input</vt:lpstr>
      <vt:lpstr>Calculation</vt:lpstr>
      <vt:lpstr>Results</vt:lpstr>
      <vt:lpstr>Sheet1</vt:lpstr>
      <vt:lpstr>data, etc</vt:lpstr>
      <vt:lpstr>Route 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DARMA TEGAR HUKAMA</dc:creator>
  <cp:lastModifiedBy>Muhammad Azka Bintang Pramudya</cp:lastModifiedBy>
  <dcterms:created xsi:type="dcterms:W3CDTF">2024-02-12T06:28:10Z</dcterms:created>
  <dcterms:modified xsi:type="dcterms:W3CDTF">2024-07-04T14:15:36Z</dcterms:modified>
</cp:coreProperties>
</file>