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KUU\smt 7\Final boss part 4\"/>
    </mc:Choice>
  </mc:AlternateContent>
  <xr:revisionPtr revIDLastSave="0" documentId="13_ncr:1_{5135E0E2-9CFC-451F-A7CC-CFA4A015C195}" xr6:coauthVersionLast="47" xr6:coauthVersionMax="47" xr10:uidLastSave="{00000000-0000-0000-0000-000000000000}"/>
  <bookViews>
    <workbookView xWindow="-108" yWindow="-108" windowWidth="23256" windowHeight="12456" xr2:uid="{C389CCFE-06E1-4C6D-B4D8-61E5808D4579}"/>
  </bookViews>
  <sheets>
    <sheet name="Sheet1" sheetId="1" r:id="rId1"/>
    <sheet name="data, etc" sheetId="2" r:id="rId2"/>
    <sheet name="Route Dist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" i="1" l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M214" i="1"/>
  <c r="L214" i="1"/>
  <c r="K214" i="1"/>
  <c r="J214" i="1"/>
  <c r="I214" i="1"/>
  <c r="H214" i="1"/>
  <c r="G215" i="1"/>
  <c r="G216" i="1"/>
  <c r="G217" i="1"/>
  <c r="G218" i="1"/>
  <c r="G219" i="1"/>
  <c r="G220" i="1"/>
  <c r="G221" i="1"/>
  <c r="G222" i="1"/>
  <c r="G223" i="1"/>
  <c r="G214" i="1"/>
  <c r="F215" i="1"/>
  <c r="F216" i="1"/>
  <c r="F217" i="1"/>
  <c r="F218" i="1"/>
  <c r="F219" i="1"/>
  <c r="F220" i="1"/>
  <c r="F221" i="1"/>
  <c r="F222" i="1"/>
  <c r="F223" i="1"/>
  <c r="F214" i="1"/>
  <c r="I176" i="1"/>
  <c r="I177" i="1"/>
  <c r="I178" i="1"/>
  <c r="I179" i="1"/>
  <c r="I180" i="1"/>
  <c r="I181" i="1"/>
  <c r="I182" i="1"/>
  <c r="I183" i="1"/>
  <c r="I184" i="1"/>
  <c r="I189" i="1"/>
  <c r="I190" i="1"/>
  <c r="I191" i="1"/>
  <c r="I192" i="1"/>
  <c r="I193" i="1"/>
  <c r="I194" i="1"/>
  <c r="I195" i="1"/>
  <c r="I196" i="1"/>
  <c r="I197" i="1"/>
  <c r="D189" i="1"/>
  <c r="D190" i="1"/>
  <c r="D191" i="1"/>
  <c r="D192" i="1"/>
  <c r="D193" i="1"/>
  <c r="D194" i="1"/>
  <c r="D195" i="1"/>
  <c r="D196" i="1"/>
  <c r="D197" i="1"/>
  <c r="I202" i="1"/>
  <c r="I203" i="1"/>
  <c r="I204" i="1"/>
  <c r="I205" i="1"/>
  <c r="I206" i="1"/>
  <c r="I207" i="1"/>
  <c r="I208" i="1"/>
  <c r="I209" i="1"/>
  <c r="I210" i="1"/>
  <c r="D202" i="1"/>
  <c r="D203" i="1"/>
  <c r="D204" i="1"/>
  <c r="D205" i="1"/>
  <c r="D206" i="1"/>
  <c r="D207" i="1"/>
  <c r="D208" i="1"/>
  <c r="D209" i="1"/>
  <c r="D210" i="1"/>
  <c r="D215" i="1"/>
  <c r="D216" i="1"/>
  <c r="D217" i="1"/>
  <c r="D218" i="1"/>
  <c r="D219" i="1"/>
  <c r="D220" i="1"/>
  <c r="D221" i="1"/>
  <c r="D222" i="1"/>
  <c r="D223" i="1"/>
  <c r="D21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I20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D20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I18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C188" i="1"/>
  <c r="A188" i="1"/>
  <c r="F184" i="1"/>
  <c r="H184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H175" i="1"/>
  <c r="F175" i="1"/>
  <c r="A175" i="1"/>
  <c r="C175" i="1"/>
  <c r="C176" i="1" s="1"/>
  <c r="C177" i="1" s="1"/>
  <c r="C178" i="1" s="1"/>
  <c r="C179" i="1" s="1"/>
  <c r="C180" i="1" s="1"/>
  <c r="C181" i="1" s="1"/>
  <c r="C182" i="1" s="1"/>
  <c r="C183" i="1" s="1"/>
  <c r="C184" i="1" s="1"/>
  <c r="A176" i="1"/>
  <c r="A177" i="1"/>
  <c r="A178" i="1"/>
  <c r="A179" i="1"/>
  <c r="A180" i="1"/>
  <c r="A181" i="1"/>
  <c r="A182" i="1"/>
  <c r="A183" i="1"/>
  <c r="A184" i="1"/>
  <c r="R48" i="1"/>
  <c r="H38" i="1"/>
  <c r="A162" i="1" l="1"/>
  <c r="A163" i="1"/>
  <c r="A164" i="1"/>
  <c r="A165" i="1"/>
  <c r="A166" i="1"/>
  <c r="A167" i="1"/>
  <c r="A168" i="1"/>
  <c r="A169" i="1"/>
  <c r="A170" i="1"/>
  <c r="A171" i="1"/>
  <c r="A161" i="1"/>
  <c r="H158" i="1"/>
  <c r="H156" i="1"/>
  <c r="H157" i="1"/>
  <c r="H155" i="1"/>
  <c r="C132" i="1"/>
  <c r="C131" i="1"/>
  <c r="C127" i="1"/>
  <c r="C130" i="1" s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F104" i="1"/>
  <c r="AE104" i="1"/>
  <c r="C134" i="1" l="1"/>
  <c r="C138" i="1" s="1"/>
  <c r="E143" i="1" s="1"/>
  <c r="E151" i="1"/>
  <c r="B171" i="1" s="1"/>
  <c r="E141" i="1"/>
  <c r="B161" i="1" s="1"/>
  <c r="E149" i="1"/>
  <c r="B169" i="1" s="1"/>
  <c r="E150" i="1"/>
  <c r="B170" i="1" s="1"/>
  <c r="E145" i="1"/>
  <c r="B165" i="1" s="1"/>
  <c r="E142" i="1"/>
  <c r="B162" i="1" s="1"/>
  <c r="S10" i="1"/>
  <c r="Q10" i="1" s="1"/>
  <c r="S9" i="1"/>
  <c r="Q9" i="1" s="1"/>
  <c r="S8" i="1"/>
  <c r="Q8" i="1" s="1"/>
  <c r="F5" i="2"/>
  <c r="E147" i="1" l="1"/>
  <c r="B167" i="1" s="1"/>
  <c r="E146" i="1"/>
  <c r="B166" i="1" s="1"/>
  <c r="E166" i="1" s="1"/>
  <c r="E148" i="1"/>
  <c r="B168" i="1" s="1"/>
  <c r="E144" i="1"/>
  <c r="B164" i="1" s="1"/>
  <c r="F164" i="1" s="1"/>
  <c r="F170" i="1"/>
  <c r="C170" i="1"/>
  <c r="D170" i="1"/>
  <c r="E170" i="1"/>
  <c r="C168" i="1"/>
  <c r="E168" i="1"/>
  <c r="F168" i="1"/>
  <c r="D168" i="1"/>
  <c r="F167" i="1"/>
  <c r="C167" i="1"/>
  <c r="D167" i="1"/>
  <c r="E167" i="1"/>
  <c r="C165" i="1"/>
  <c r="E165" i="1"/>
  <c r="F165" i="1"/>
  <c r="D165" i="1"/>
  <c r="F161" i="1"/>
  <c r="E161" i="1"/>
  <c r="D161" i="1"/>
  <c r="C161" i="1"/>
  <c r="C162" i="1"/>
  <c r="E162" i="1"/>
  <c r="F162" i="1"/>
  <c r="D162" i="1"/>
  <c r="C169" i="1"/>
  <c r="D169" i="1"/>
  <c r="E169" i="1"/>
  <c r="F169" i="1"/>
  <c r="C171" i="1"/>
  <c r="E171" i="1"/>
  <c r="F171" i="1"/>
  <c r="D171" i="1"/>
  <c r="B163" i="1"/>
  <c r="A104" i="1"/>
  <c r="G5" i="2"/>
  <c r="C92" i="1"/>
  <c r="C93" i="1" s="1"/>
  <c r="Q13" i="1"/>
  <c r="Q12" i="1"/>
  <c r="Q11" i="1"/>
  <c r="Q6" i="1"/>
  <c r="AK115" i="3"/>
  <c r="AO195" i="3"/>
  <c r="AR195" i="3" s="1"/>
  <c r="AS195" i="3" s="1"/>
  <c r="AM195" i="3"/>
  <c r="AK195" i="3"/>
  <c r="AK203" i="3" s="1"/>
  <c r="AO194" i="3"/>
  <c r="AR194" i="3" s="1"/>
  <c r="AS194" i="3" s="1"/>
  <c r="AM194" i="3"/>
  <c r="AM202" i="3" s="1"/>
  <c r="L156" i="3" s="1"/>
  <c r="AK194" i="3"/>
  <c r="AK202" i="3" s="1"/>
  <c r="I156" i="3" s="1"/>
  <c r="AR193" i="3"/>
  <c r="AO193" i="3"/>
  <c r="AO192" i="3"/>
  <c r="AP188" i="3" s="1"/>
  <c r="AP201" i="3" s="1"/>
  <c r="AO191" i="3"/>
  <c r="AR191" i="3" s="1"/>
  <c r="AR190" i="3"/>
  <c r="AO190" i="3"/>
  <c r="AO189" i="3"/>
  <c r="AR189" i="3" s="1"/>
  <c r="AR188" i="3"/>
  <c r="AO188" i="3"/>
  <c r="AM188" i="3"/>
  <c r="AM201" i="3" s="1"/>
  <c r="K154" i="3" s="1"/>
  <c r="AK188" i="3"/>
  <c r="AK201" i="3" s="1"/>
  <c r="H154" i="3" s="1"/>
  <c r="AO187" i="3"/>
  <c r="AR187" i="3" s="1"/>
  <c r="AR186" i="3"/>
  <c r="AO186" i="3"/>
  <c r="AO185" i="3"/>
  <c r="AR185" i="3" s="1"/>
  <c r="AO184" i="3"/>
  <c r="AR184" i="3" s="1"/>
  <c r="AO183" i="3"/>
  <c r="AR183" i="3" s="1"/>
  <c r="AM183" i="3"/>
  <c r="AM199" i="3" s="1"/>
  <c r="AK183" i="3"/>
  <c r="AO182" i="3"/>
  <c r="AR182" i="3" s="1"/>
  <c r="AS182" i="3" s="1"/>
  <c r="AM182" i="3"/>
  <c r="AK182" i="3"/>
  <c r="AK200" i="3" s="1"/>
  <c r="AO181" i="3"/>
  <c r="AR181" i="3" s="1"/>
  <c r="AS181" i="3" s="1"/>
  <c r="AM181" i="3"/>
  <c r="AK181" i="3"/>
  <c r="AR175" i="3"/>
  <c r="AO175" i="3"/>
  <c r="AO174" i="3"/>
  <c r="AR174" i="3" s="1"/>
  <c r="AR173" i="3"/>
  <c r="AS173" i="3" s="1"/>
  <c r="AP173" i="3"/>
  <c r="AO173" i="3"/>
  <c r="AM173" i="3"/>
  <c r="K155" i="3" s="1"/>
  <c r="AK173" i="3"/>
  <c r="H155" i="3" s="1"/>
  <c r="AO172" i="3"/>
  <c r="AR172" i="3" s="1"/>
  <c r="AO171" i="3"/>
  <c r="AR171" i="3" s="1"/>
  <c r="AS171" i="3" s="1"/>
  <c r="AM171" i="3"/>
  <c r="AK171" i="3"/>
  <c r="AR170" i="3"/>
  <c r="AO170" i="3"/>
  <c r="AO169" i="3"/>
  <c r="AP168" i="3" s="1"/>
  <c r="AR168" i="3"/>
  <c r="AO168" i="3"/>
  <c r="AM168" i="3"/>
  <c r="AK168" i="3"/>
  <c r="AO167" i="3"/>
  <c r="AR167" i="3" s="1"/>
  <c r="AR166" i="3"/>
  <c r="AO166" i="3"/>
  <c r="AO165" i="3"/>
  <c r="AP164" i="3" s="1"/>
  <c r="AR164" i="3"/>
  <c r="AO164" i="3"/>
  <c r="AM164" i="3"/>
  <c r="AK164" i="3"/>
  <c r="AO163" i="3"/>
  <c r="AR163" i="3" s="1"/>
  <c r="AR162" i="3"/>
  <c r="AO162" i="3"/>
  <c r="AR161" i="3"/>
  <c r="AS161" i="3" s="1"/>
  <c r="AO161" i="3"/>
  <c r="AP161" i="3" s="1"/>
  <c r="AM161" i="3"/>
  <c r="AM203" i="3" s="1"/>
  <c r="AK161" i="3"/>
  <c r="AR160" i="3"/>
  <c r="AO160" i="3"/>
  <c r="AO159" i="3"/>
  <c r="AR159" i="3" s="1"/>
  <c r="AR158" i="3"/>
  <c r="AO158" i="3"/>
  <c r="J158" i="3"/>
  <c r="AO157" i="3"/>
  <c r="AP156" i="3" s="1"/>
  <c r="AR156" i="3"/>
  <c r="AO156" i="3"/>
  <c r="AM156" i="3"/>
  <c r="K151" i="3" s="1"/>
  <c r="AK156" i="3"/>
  <c r="H151" i="3" s="1"/>
  <c r="AR155" i="3"/>
  <c r="AO155" i="3"/>
  <c r="M155" i="3"/>
  <c r="J155" i="3"/>
  <c r="AR154" i="3"/>
  <c r="AO154" i="3"/>
  <c r="AR153" i="3"/>
  <c r="AS153" i="3" s="1"/>
  <c r="AP153" i="3"/>
  <c r="AO153" i="3"/>
  <c r="AM153" i="3"/>
  <c r="K150" i="3" s="1"/>
  <c r="AK153" i="3"/>
  <c r="M153" i="3"/>
  <c r="K153" i="3"/>
  <c r="H153" i="3"/>
  <c r="G153" i="3"/>
  <c r="AO152" i="3"/>
  <c r="AR152" i="3" s="1"/>
  <c r="K152" i="3"/>
  <c r="H152" i="3"/>
  <c r="AR151" i="3"/>
  <c r="AO151" i="3"/>
  <c r="M151" i="3"/>
  <c r="AO150" i="3"/>
  <c r="AR150" i="3" s="1"/>
  <c r="AS150" i="3" s="1"/>
  <c r="AM150" i="3"/>
  <c r="AK150" i="3"/>
  <c r="J150" i="3"/>
  <c r="H150" i="3"/>
  <c r="AO149" i="3"/>
  <c r="AR149" i="3" s="1"/>
  <c r="AS149" i="3" s="1"/>
  <c r="AM149" i="3"/>
  <c r="AK149" i="3"/>
  <c r="M149" i="3"/>
  <c r="H149" i="3"/>
  <c r="AR148" i="3"/>
  <c r="AO148" i="3"/>
  <c r="K148" i="3"/>
  <c r="H148" i="3"/>
  <c r="G148" i="3"/>
  <c r="AO147" i="3"/>
  <c r="AR147" i="3" s="1"/>
  <c r="L147" i="3"/>
  <c r="AO146" i="3"/>
  <c r="AR146" i="3" s="1"/>
  <c r="AO145" i="3"/>
  <c r="AR145" i="3" s="1"/>
  <c r="AS144" i="3" s="1"/>
  <c r="AR144" i="3"/>
  <c r="AO144" i="3"/>
  <c r="AM144" i="3"/>
  <c r="K158" i="3" s="1"/>
  <c r="AK144" i="3"/>
  <c r="I147" i="3" s="1"/>
  <c r="AR143" i="3"/>
  <c r="AO143" i="3"/>
  <c r="AO142" i="3"/>
  <c r="AR142" i="3" s="1"/>
  <c r="AO141" i="3"/>
  <c r="AR141" i="3" s="1"/>
  <c r="AO140" i="3"/>
  <c r="AR140" i="3" s="1"/>
  <c r="O140" i="3"/>
  <c r="O141" i="3" s="1"/>
  <c r="AR139" i="3"/>
  <c r="AP139" i="3"/>
  <c r="AO139" i="3"/>
  <c r="AM139" i="3"/>
  <c r="K157" i="3" s="1"/>
  <c r="AK139" i="3"/>
  <c r="H157" i="3" s="1"/>
  <c r="AO138" i="3"/>
  <c r="AR138" i="3" s="1"/>
  <c r="AO137" i="3"/>
  <c r="AR137" i="3" s="1"/>
  <c r="AO136" i="3"/>
  <c r="AR136" i="3" s="1"/>
  <c r="AO135" i="3"/>
  <c r="AR135" i="3" s="1"/>
  <c r="AR134" i="3"/>
  <c r="AP134" i="3"/>
  <c r="AO134" i="3"/>
  <c r="AM134" i="3"/>
  <c r="J151" i="3" s="1"/>
  <c r="AK134" i="3"/>
  <c r="G151" i="3" s="1"/>
  <c r="AO133" i="3"/>
  <c r="AR133" i="3" s="1"/>
  <c r="AO132" i="3"/>
  <c r="AR132" i="3" s="1"/>
  <c r="AR131" i="3"/>
  <c r="AO131" i="3"/>
  <c r="AP131" i="3" s="1"/>
  <c r="AM131" i="3"/>
  <c r="AK131" i="3"/>
  <c r="G155" i="3" s="1"/>
  <c r="AO130" i="3"/>
  <c r="AR130" i="3" s="1"/>
  <c r="AS130" i="3" s="1"/>
  <c r="AM130" i="3"/>
  <c r="AK130" i="3"/>
  <c r="AO129" i="3"/>
  <c r="AR129" i="3" s="1"/>
  <c r="AO128" i="3"/>
  <c r="AR128" i="3" s="1"/>
  <c r="AR127" i="3"/>
  <c r="AS127" i="3" s="1"/>
  <c r="AP127" i="3"/>
  <c r="AO127" i="3"/>
  <c r="AM127" i="3"/>
  <c r="AK127" i="3"/>
  <c r="AK199" i="3" s="1"/>
  <c r="G154" i="3" s="1"/>
  <c r="AO126" i="3"/>
  <c r="AR126" i="3" s="1"/>
  <c r="AS126" i="3" s="1"/>
  <c r="AM126" i="3"/>
  <c r="AK126" i="3"/>
  <c r="AR125" i="3"/>
  <c r="AS124" i="3" s="1"/>
  <c r="AO125" i="3"/>
  <c r="AR124" i="3"/>
  <c r="AP124" i="3"/>
  <c r="AO124" i="3"/>
  <c r="AM124" i="3"/>
  <c r="AK124" i="3"/>
  <c r="G150" i="3" s="1"/>
  <c r="AO123" i="3"/>
  <c r="AR123" i="3" s="1"/>
  <c r="AO122" i="3"/>
  <c r="AR122" i="3" s="1"/>
  <c r="AR121" i="3"/>
  <c r="AO121" i="3"/>
  <c r="AP121" i="3" s="1"/>
  <c r="AM121" i="3"/>
  <c r="J149" i="3" s="1"/>
  <c r="AK121" i="3"/>
  <c r="G149" i="3" s="1"/>
  <c r="AR120" i="3"/>
  <c r="AS120" i="3" s="1"/>
  <c r="AO120" i="3"/>
  <c r="AP120" i="3" s="1"/>
  <c r="AM120" i="3"/>
  <c r="J148" i="3" s="1"/>
  <c r="AK120" i="3"/>
  <c r="AO119" i="3"/>
  <c r="AR119" i="3" s="1"/>
  <c r="AR118" i="3"/>
  <c r="AO118" i="3"/>
  <c r="AR117" i="3"/>
  <c r="AO117" i="3"/>
  <c r="AR116" i="3"/>
  <c r="AO116" i="3"/>
  <c r="AP115" i="3"/>
  <c r="AO115" i="3"/>
  <c r="AR115" i="3" s="1"/>
  <c r="AM115" i="3"/>
  <c r="J157" i="3" s="1"/>
  <c r="G157" i="3"/>
  <c r="O115" i="3"/>
  <c r="AR114" i="3"/>
  <c r="AS114" i="3" s="1"/>
  <c r="AP114" i="3"/>
  <c r="AO114" i="3"/>
  <c r="AM114" i="3"/>
  <c r="AK114" i="3"/>
  <c r="O114" i="3"/>
  <c r="AR113" i="3"/>
  <c r="AO113" i="3"/>
  <c r="AO112" i="3"/>
  <c r="AR112" i="3" s="1"/>
  <c r="G112" i="3"/>
  <c r="AO111" i="3"/>
  <c r="AR111" i="3" s="1"/>
  <c r="G111" i="3"/>
  <c r="AR110" i="3"/>
  <c r="AS110" i="3" s="1"/>
  <c r="AO110" i="3"/>
  <c r="AP110" i="3" s="1"/>
  <c r="AM110" i="3"/>
  <c r="J152" i="3" s="1"/>
  <c r="AK110" i="3"/>
  <c r="G152" i="3" s="1"/>
  <c r="G110" i="3"/>
  <c r="AO109" i="3"/>
  <c r="AR109" i="3" s="1"/>
  <c r="G109" i="3"/>
  <c r="AO108" i="3"/>
  <c r="AR108" i="3" s="1"/>
  <c r="G108" i="3"/>
  <c r="AO107" i="3"/>
  <c r="AR107" i="3" s="1"/>
  <c r="AM107" i="3"/>
  <c r="J153" i="3" s="1"/>
  <c r="AK107" i="3"/>
  <c r="G107" i="3"/>
  <c r="AO106" i="3"/>
  <c r="AR106" i="3" s="1"/>
  <c r="AS106" i="3" s="1"/>
  <c r="AM106" i="3"/>
  <c r="K149" i="3" s="1"/>
  <c r="AK106" i="3"/>
  <c r="G106" i="3"/>
  <c r="G105" i="3"/>
  <c r="G104" i="3"/>
  <c r="K103" i="3"/>
  <c r="I103" i="3"/>
  <c r="G103" i="3"/>
  <c r="J103" i="3" s="1"/>
  <c r="K102" i="3"/>
  <c r="I102" i="3"/>
  <c r="G102" i="3"/>
  <c r="K101" i="3"/>
  <c r="I101" i="3"/>
  <c r="G101" i="3"/>
  <c r="K100" i="3"/>
  <c r="I100" i="3"/>
  <c r="AK99" i="3"/>
  <c r="AR95" i="3"/>
  <c r="AS95" i="3" s="1"/>
  <c r="AP95" i="3"/>
  <c r="AO95" i="3"/>
  <c r="AM95" i="3"/>
  <c r="AK95" i="3"/>
  <c r="AR94" i="3"/>
  <c r="AS94" i="3" s="1"/>
  <c r="AP94" i="3"/>
  <c r="AO94" i="3"/>
  <c r="AM94" i="3"/>
  <c r="AM101" i="3" s="1"/>
  <c r="AK94" i="3"/>
  <c r="AK101" i="3" s="1"/>
  <c r="AO93" i="3"/>
  <c r="AR93" i="3" s="1"/>
  <c r="W93" i="3"/>
  <c r="U93" i="3"/>
  <c r="N93" i="3"/>
  <c r="G93" i="3"/>
  <c r="AO92" i="3"/>
  <c r="AR92" i="3" s="1"/>
  <c r="W92" i="3"/>
  <c r="U92" i="3"/>
  <c r="N92" i="3"/>
  <c r="G92" i="3"/>
  <c r="AO91" i="3"/>
  <c r="AR91" i="3" s="1"/>
  <c r="W91" i="3"/>
  <c r="U91" i="3"/>
  <c r="N91" i="3"/>
  <c r="G91" i="3"/>
  <c r="AO90" i="3"/>
  <c r="AR90" i="3" s="1"/>
  <c r="W90" i="3"/>
  <c r="U90" i="3"/>
  <c r="N90" i="3"/>
  <c r="G90" i="3"/>
  <c r="AO89" i="3"/>
  <c r="AR89" i="3" s="1"/>
  <c r="W89" i="3"/>
  <c r="U89" i="3"/>
  <c r="N89" i="3"/>
  <c r="G89" i="3"/>
  <c r="AR88" i="3"/>
  <c r="AS88" i="3" s="1"/>
  <c r="AP88" i="3"/>
  <c r="AO88" i="3"/>
  <c r="AM88" i="3"/>
  <c r="AM100" i="3" s="1"/>
  <c r="AK88" i="3"/>
  <c r="AK100" i="3" s="1"/>
  <c r="W88" i="3"/>
  <c r="X88" i="3" s="1"/>
  <c r="V88" i="3"/>
  <c r="U88" i="3"/>
  <c r="T88" i="3"/>
  <c r="R88" i="3"/>
  <c r="P88" i="3"/>
  <c r="O88" i="3"/>
  <c r="N88" i="3"/>
  <c r="K88" i="3"/>
  <c r="AA88" i="3" s="1"/>
  <c r="J88" i="3"/>
  <c r="N155" i="3" s="1"/>
  <c r="I88" i="3"/>
  <c r="G88" i="3"/>
  <c r="AR87" i="3"/>
  <c r="AO87" i="3"/>
  <c r="W87" i="3"/>
  <c r="U87" i="3"/>
  <c r="N87" i="3"/>
  <c r="G87" i="3"/>
  <c r="AR86" i="3"/>
  <c r="AO86" i="3"/>
  <c r="W86" i="3"/>
  <c r="U86" i="3"/>
  <c r="N86" i="3"/>
  <c r="G86" i="3"/>
  <c r="AR85" i="3"/>
  <c r="AO85" i="3"/>
  <c r="W85" i="3"/>
  <c r="U85" i="3"/>
  <c r="N85" i="3"/>
  <c r="G85" i="3"/>
  <c r="AR84" i="3"/>
  <c r="AO84" i="3"/>
  <c r="W84" i="3"/>
  <c r="U84" i="3"/>
  <c r="V72" i="3" s="1"/>
  <c r="O138" i="3" s="1"/>
  <c r="O139" i="3" s="1"/>
  <c r="N84" i="3"/>
  <c r="G84" i="3"/>
  <c r="AR83" i="3"/>
  <c r="AO83" i="3"/>
  <c r="W83" i="3"/>
  <c r="U83" i="3"/>
  <c r="N83" i="3"/>
  <c r="G83" i="3"/>
  <c r="AR82" i="3"/>
  <c r="AS81" i="3" s="1"/>
  <c r="AO82" i="3"/>
  <c r="W82" i="3"/>
  <c r="U82" i="3"/>
  <c r="N82" i="3"/>
  <c r="G82" i="3"/>
  <c r="AR81" i="3"/>
  <c r="AP81" i="3"/>
  <c r="AP99" i="3" s="1"/>
  <c r="F133" i="3" s="1"/>
  <c r="AO81" i="3"/>
  <c r="AM81" i="3"/>
  <c r="AK81" i="3"/>
  <c r="W81" i="3"/>
  <c r="U81" i="3"/>
  <c r="N81" i="3"/>
  <c r="G81" i="3"/>
  <c r="W80" i="3"/>
  <c r="U80" i="3"/>
  <c r="N80" i="3"/>
  <c r="G80" i="3"/>
  <c r="W79" i="3"/>
  <c r="U79" i="3"/>
  <c r="N79" i="3"/>
  <c r="G79" i="3"/>
  <c r="W78" i="3"/>
  <c r="U78" i="3"/>
  <c r="N78" i="3"/>
  <c r="G78" i="3"/>
  <c r="W77" i="3"/>
  <c r="U77" i="3"/>
  <c r="N77" i="3"/>
  <c r="G77" i="3"/>
  <c r="W76" i="3"/>
  <c r="U76" i="3"/>
  <c r="N76" i="3"/>
  <c r="G76" i="3"/>
  <c r="J72" i="3" s="1"/>
  <c r="N154" i="3" s="1"/>
  <c r="AR75" i="3"/>
  <c r="AO75" i="3"/>
  <c r="W75" i="3"/>
  <c r="U75" i="3"/>
  <c r="N75" i="3"/>
  <c r="G75" i="3"/>
  <c r="AR74" i="3"/>
  <c r="AO74" i="3"/>
  <c r="W74" i="3"/>
  <c r="U74" i="3"/>
  <c r="N74" i="3"/>
  <c r="G74" i="3"/>
  <c r="AO73" i="3"/>
  <c r="AR73" i="3" s="1"/>
  <c r="AS73" i="3" s="1"/>
  <c r="AM73" i="3"/>
  <c r="AK73" i="3"/>
  <c r="W73" i="3"/>
  <c r="U73" i="3"/>
  <c r="N73" i="3"/>
  <c r="P72" i="3" s="1"/>
  <c r="G73" i="3"/>
  <c r="AO72" i="3"/>
  <c r="AR72" i="3" s="1"/>
  <c r="AA72" i="3"/>
  <c r="W72" i="3"/>
  <c r="X72" i="3" s="1"/>
  <c r="U72" i="3"/>
  <c r="T72" i="3"/>
  <c r="R72" i="3"/>
  <c r="O72" i="3"/>
  <c r="N72" i="3"/>
  <c r="K72" i="3"/>
  <c r="I72" i="3"/>
  <c r="M154" i="3" s="1"/>
  <c r="G72" i="3"/>
  <c r="AO71" i="3"/>
  <c r="AR71" i="3" s="1"/>
  <c r="W71" i="3"/>
  <c r="U71" i="3"/>
  <c r="N71" i="3"/>
  <c r="G71" i="3"/>
  <c r="AR70" i="3"/>
  <c r="AO70" i="3"/>
  <c r="W70" i="3"/>
  <c r="U70" i="3"/>
  <c r="N70" i="3"/>
  <c r="G70" i="3"/>
  <c r="AO69" i="3"/>
  <c r="AR69" i="3" s="1"/>
  <c r="W69" i="3"/>
  <c r="U69" i="3"/>
  <c r="N69" i="3"/>
  <c r="G69" i="3"/>
  <c r="AO68" i="3"/>
  <c r="AR68" i="3" s="1"/>
  <c r="AM68" i="3"/>
  <c r="AK68" i="3"/>
  <c r="W68" i="3"/>
  <c r="U68" i="3"/>
  <c r="N68" i="3"/>
  <c r="G68" i="3"/>
  <c r="AR67" i="3"/>
  <c r="AO67" i="3"/>
  <c r="W67" i="3"/>
  <c r="U67" i="3"/>
  <c r="N67" i="3"/>
  <c r="G67" i="3"/>
  <c r="AR66" i="3"/>
  <c r="AO66" i="3"/>
  <c r="X66" i="3"/>
  <c r="W66" i="3"/>
  <c r="U66" i="3"/>
  <c r="V66" i="3" s="1"/>
  <c r="O136" i="3" s="1"/>
  <c r="O137" i="3" s="1"/>
  <c r="T66" i="3"/>
  <c r="R66" i="3"/>
  <c r="O66" i="3"/>
  <c r="N66" i="3"/>
  <c r="P66" i="3" s="1"/>
  <c r="K66" i="3"/>
  <c r="AA66" i="3" s="1"/>
  <c r="I66" i="3"/>
  <c r="G66" i="3"/>
  <c r="J66" i="3" s="1"/>
  <c r="N153" i="3" s="1"/>
  <c r="AO65" i="3"/>
  <c r="AR65" i="3" s="1"/>
  <c r="W65" i="3"/>
  <c r="U65" i="3"/>
  <c r="N65" i="3"/>
  <c r="G65" i="3"/>
  <c r="AR64" i="3"/>
  <c r="AP64" i="3"/>
  <c r="F141" i="3" s="1"/>
  <c r="AO64" i="3"/>
  <c r="AM64" i="3"/>
  <c r="AK64" i="3"/>
  <c r="W64" i="3"/>
  <c r="U64" i="3"/>
  <c r="N64" i="3"/>
  <c r="G64" i="3"/>
  <c r="AR63" i="3"/>
  <c r="AO63" i="3"/>
  <c r="W63" i="3"/>
  <c r="U63" i="3"/>
  <c r="N63" i="3"/>
  <c r="G63" i="3"/>
  <c r="AO62" i="3"/>
  <c r="AR62" i="3" s="1"/>
  <c r="W62" i="3"/>
  <c r="U62" i="3"/>
  <c r="N62" i="3"/>
  <c r="G62" i="3"/>
  <c r="AO61" i="3"/>
  <c r="AR61" i="3" s="1"/>
  <c r="AM61" i="3"/>
  <c r="AM102" i="3" s="1"/>
  <c r="AK61" i="3"/>
  <c r="AK102" i="3" s="1"/>
  <c r="W61" i="3"/>
  <c r="U61" i="3"/>
  <c r="N61" i="3"/>
  <c r="G61" i="3"/>
  <c r="AR60" i="3"/>
  <c r="AO60" i="3"/>
  <c r="W60" i="3"/>
  <c r="U60" i="3"/>
  <c r="N60" i="3"/>
  <c r="G60" i="3"/>
  <c r="AR59" i="3"/>
  <c r="AO59" i="3"/>
  <c r="W59" i="3"/>
  <c r="U59" i="3"/>
  <c r="N59" i="3"/>
  <c r="G59" i="3"/>
  <c r="AR58" i="3"/>
  <c r="AO58" i="3"/>
  <c r="W58" i="3"/>
  <c r="X58" i="3" s="1"/>
  <c r="U58" i="3"/>
  <c r="V58" i="3" s="1"/>
  <c r="O134" i="3" s="1"/>
  <c r="O135" i="3" s="1"/>
  <c r="T58" i="3"/>
  <c r="R58" i="3"/>
  <c r="P58" i="3"/>
  <c r="O58" i="3"/>
  <c r="N58" i="3"/>
  <c r="K58" i="3"/>
  <c r="AA58" i="3" s="1"/>
  <c r="I58" i="3"/>
  <c r="M152" i="3" s="1"/>
  <c r="G58" i="3"/>
  <c r="J58" i="3" s="1"/>
  <c r="N152" i="3" s="1"/>
  <c r="AO57" i="3"/>
  <c r="AR57" i="3" s="1"/>
  <c r="W57" i="3"/>
  <c r="U57" i="3"/>
  <c r="N57" i="3"/>
  <c r="G57" i="3"/>
  <c r="AR56" i="3"/>
  <c r="AP56" i="3"/>
  <c r="F140" i="3" s="1"/>
  <c r="AO56" i="3"/>
  <c r="AM56" i="3"/>
  <c r="AK56" i="3"/>
  <c r="W56" i="3"/>
  <c r="U56" i="3"/>
  <c r="N56" i="3"/>
  <c r="G56" i="3"/>
  <c r="AO55" i="3"/>
  <c r="AP53" i="3" s="1"/>
  <c r="F139" i="3" s="1"/>
  <c r="W55" i="3"/>
  <c r="U55" i="3"/>
  <c r="N55" i="3"/>
  <c r="G55" i="3"/>
  <c r="AR54" i="3"/>
  <c r="AO54" i="3"/>
  <c r="W54" i="3"/>
  <c r="U54" i="3"/>
  <c r="N54" i="3"/>
  <c r="AR53" i="3"/>
  <c r="AO53" i="3"/>
  <c r="AM53" i="3"/>
  <c r="AK53" i="3"/>
  <c r="W53" i="3"/>
  <c r="U53" i="3"/>
  <c r="N53" i="3"/>
  <c r="G53" i="3"/>
  <c r="AO52" i="3"/>
  <c r="AR52" i="3" s="1"/>
  <c r="W52" i="3"/>
  <c r="U52" i="3"/>
  <c r="N52" i="3"/>
  <c r="G52" i="3"/>
  <c r="AO51" i="3"/>
  <c r="AR51" i="3" s="1"/>
  <c r="W51" i="3"/>
  <c r="U51" i="3"/>
  <c r="N51" i="3"/>
  <c r="G51" i="3"/>
  <c r="AO50" i="3"/>
  <c r="AR50" i="3" s="1"/>
  <c r="W50" i="3"/>
  <c r="U50" i="3"/>
  <c r="N50" i="3"/>
  <c r="P48" i="3" s="1"/>
  <c r="G50" i="3"/>
  <c r="AR49" i="3"/>
  <c r="AO49" i="3"/>
  <c r="AP49" i="3" s="1"/>
  <c r="AM49" i="3"/>
  <c r="AK49" i="3"/>
  <c r="W49" i="3"/>
  <c r="U49" i="3"/>
  <c r="V48" i="3" s="1"/>
  <c r="O132" i="3" s="1"/>
  <c r="O133" i="3" s="1"/>
  <c r="N49" i="3"/>
  <c r="G49" i="3"/>
  <c r="AR48" i="3"/>
  <c r="AO48" i="3"/>
  <c r="X48" i="3"/>
  <c r="W48" i="3"/>
  <c r="U48" i="3"/>
  <c r="T48" i="3"/>
  <c r="R48" i="3"/>
  <c r="O48" i="3"/>
  <c r="N48" i="3"/>
  <c r="K48" i="3"/>
  <c r="AA48" i="3" s="1"/>
  <c r="I48" i="3"/>
  <c r="G48" i="3"/>
  <c r="J48" i="3" s="1"/>
  <c r="N151" i="3" s="1"/>
  <c r="AO47" i="3"/>
  <c r="AR47" i="3" s="1"/>
  <c r="W47" i="3"/>
  <c r="U47" i="3"/>
  <c r="N47" i="3"/>
  <c r="G47" i="3"/>
  <c r="AO46" i="3"/>
  <c r="AR46" i="3" s="1"/>
  <c r="W46" i="3"/>
  <c r="X43" i="3" s="1"/>
  <c r="U46" i="3"/>
  <c r="N46" i="3"/>
  <c r="G46" i="3"/>
  <c r="AO45" i="3"/>
  <c r="AR45" i="3" s="1"/>
  <c r="W45" i="3"/>
  <c r="U45" i="3"/>
  <c r="N45" i="3"/>
  <c r="G45" i="3"/>
  <c r="AR44" i="3"/>
  <c r="AP44" i="3"/>
  <c r="F138" i="3" s="1"/>
  <c r="AO44" i="3"/>
  <c r="AM44" i="3"/>
  <c r="AK44" i="3"/>
  <c r="W44" i="3"/>
  <c r="U44" i="3"/>
  <c r="N44" i="3"/>
  <c r="G44" i="3"/>
  <c r="AO43" i="3"/>
  <c r="AR43" i="3" s="1"/>
  <c r="V43" i="3"/>
  <c r="O130" i="3" s="1"/>
  <c r="O131" i="3" s="1"/>
  <c r="T43" i="3"/>
  <c r="R43" i="3"/>
  <c r="P43" i="3"/>
  <c r="O43" i="3"/>
  <c r="N43" i="3"/>
  <c r="K43" i="3"/>
  <c r="AA43" i="3" s="1"/>
  <c r="I43" i="3"/>
  <c r="G43" i="3"/>
  <c r="J43" i="3" s="1"/>
  <c r="AO42" i="3"/>
  <c r="AR42" i="3" s="1"/>
  <c r="W42" i="3"/>
  <c r="U42" i="3"/>
  <c r="N42" i="3"/>
  <c r="G42" i="3"/>
  <c r="AO41" i="3"/>
  <c r="AR41" i="3" s="1"/>
  <c r="W41" i="3"/>
  <c r="U41" i="3"/>
  <c r="N41" i="3"/>
  <c r="G41" i="3"/>
  <c r="AO40" i="3"/>
  <c r="AP39" i="3" s="1"/>
  <c r="F137" i="3" s="1"/>
  <c r="W40" i="3"/>
  <c r="X38" i="3" s="1"/>
  <c r="U40" i="3"/>
  <c r="N40" i="3"/>
  <c r="G40" i="3"/>
  <c r="AR39" i="3"/>
  <c r="AO39" i="3"/>
  <c r="AM39" i="3"/>
  <c r="AK39" i="3"/>
  <c r="W39" i="3"/>
  <c r="U39" i="3"/>
  <c r="V38" i="3" s="1"/>
  <c r="O128" i="3" s="1"/>
  <c r="O129" i="3" s="1"/>
  <c r="N39" i="3"/>
  <c r="P38" i="3" s="1"/>
  <c r="G39" i="3"/>
  <c r="AO38" i="3"/>
  <c r="AR38" i="3" s="1"/>
  <c r="T38" i="3"/>
  <c r="R38" i="3"/>
  <c r="O38" i="3"/>
  <c r="N38" i="3"/>
  <c r="K38" i="3"/>
  <c r="AA38" i="3" s="1"/>
  <c r="I38" i="3"/>
  <c r="M156" i="3" s="1"/>
  <c r="G38" i="3"/>
  <c r="J38" i="3" s="1"/>
  <c r="AO37" i="3"/>
  <c r="AR37" i="3" s="1"/>
  <c r="W37" i="3"/>
  <c r="U37" i="3"/>
  <c r="N37" i="3"/>
  <c r="G37" i="3"/>
  <c r="AO36" i="3"/>
  <c r="AR36" i="3" s="1"/>
  <c r="W36" i="3"/>
  <c r="U36" i="3"/>
  <c r="N36" i="3"/>
  <c r="G36" i="3"/>
  <c r="AO35" i="3"/>
  <c r="AR35" i="3" s="1"/>
  <c r="W35" i="3"/>
  <c r="U35" i="3"/>
  <c r="N35" i="3"/>
  <c r="G35" i="3"/>
  <c r="AO34" i="3"/>
  <c r="AR34" i="3" s="1"/>
  <c r="W34" i="3"/>
  <c r="U34" i="3"/>
  <c r="N34" i="3"/>
  <c r="G34" i="3"/>
  <c r="AO33" i="3"/>
  <c r="AR33" i="3" s="1"/>
  <c r="W33" i="3"/>
  <c r="U33" i="3"/>
  <c r="N33" i="3"/>
  <c r="G33" i="3"/>
  <c r="J32" i="3" s="1"/>
  <c r="N150" i="3" s="1"/>
  <c r="AO32" i="3"/>
  <c r="AR32" i="3" s="1"/>
  <c r="AA32" i="3"/>
  <c r="W32" i="3"/>
  <c r="X32" i="3" s="1"/>
  <c r="V32" i="3"/>
  <c r="O126" i="3" s="1"/>
  <c r="O127" i="3" s="1"/>
  <c r="U32" i="3"/>
  <c r="T32" i="3"/>
  <c r="R32" i="3"/>
  <c r="O32" i="3"/>
  <c r="N32" i="3"/>
  <c r="P32" i="3" s="1"/>
  <c r="K32" i="3"/>
  <c r="I32" i="3"/>
  <c r="M150" i="3" s="1"/>
  <c r="G32" i="3"/>
  <c r="AO31" i="3"/>
  <c r="AR31" i="3" s="1"/>
  <c r="W31" i="3"/>
  <c r="U31" i="3"/>
  <c r="N31" i="3"/>
  <c r="G31" i="3"/>
  <c r="AO30" i="3"/>
  <c r="AR30" i="3" s="1"/>
  <c r="W30" i="3"/>
  <c r="U30" i="3"/>
  <c r="N30" i="3"/>
  <c r="G30" i="3"/>
  <c r="AO29" i="3"/>
  <c r="AR29" i="3" s="1"/>
  <c r="W29" i="3"/>
  <c r="U29" i="3"/>
  <c r="N29" i="3"/>
  <c r="G29" i="3"/>
  <c r="AO28" i="3"/>
  <c r="AR28" i="3" s="1"/>
  <c r="W28" i="3"/>
  <c r="U28" i="3"/>
  <c r="N28" i="3"/>
  <c r="P25" i="3" s="1"/>
  <c r="G28" i="3"/>
  <c r="AO27" i="3"/>
  <c r="AR27" i="3" s="1"/>
  <c r="N27" i="3"/>
  <c r="G27" i="3"/>
  <c r="AR26" i="3"/>
  <c r="AO26" i="3"/>
  <c r="W26" i="3"/>
  <c r="U26" i="3"/>
  <c r="N26" i="3"/>
  <c r="G26" i="3"/>
  <c r="AR25" i="3"/>
  <c r="AO25" i="3"/>
  <c r="X25" i="3"/>
  <c r="W25" i="3"/>
  <c r="U25" i="3"/>
  <c r="V25" i="3" s="1"/>
  <c r="O124" i="3" s="1"/>
  <c r="O125" i="3" s="1"/>
  <c r="T25" i="3"/>
  <c r="R25" i="3"/>
  <c r="O25" i="3"/>
  <c r="N25" i="3"/>
  <c r="K25" i="3"/>
  <c r="AA25" i="3" s="1"/>
  <c r="I25" i="3"/>
  <c r="M148" i="3" s="1"/>
  <c r="G25" i="3"/>
  <c r="J25" i="3" s="1"/>
  <c r="N148" i="3" s="1"/>
  <c r="AO24" i="3"/>
  <c r="AR24" i="3" s="1"/>
  <c r="W24" i="3"/>
  <c r="U24" i="3"/>
  <c r="N24" i="3"/>
  <c r="G24" i="3"/>
  <c r="AO23" i="3"/>
  <c r="AR23" i="3" s="1"/>
  <c r="W23" i="3"/>
  <c r="U23" i="3"/>
  <c r="N23" i="3"/>
  <c r="G23" i="3"/>
  <c r="AO22" i="3"/>
  <c r="AR22" i="3" s="1"/>
  <c r="W22" i="3"/>
  <c r="U22" i="3"/>
  <c r="N22" i="3"/>
  <c r="G22" i="3"/>
  <c r="AO21" i="3"/>
  <c r="AR21" i="3" s="1"/>
  <c r="W21" i="3"/>
  <c r="U21" i="3"/>
  <c r="N21" i="3"/>
  <c r="G21" i="3"/>
  <c r="J20" i="3" s="1"/>
  <c r="N158" i="3" s="1"/>
  <c r="AO20" i="3"/>
  <c r="AR20" i="3" s="1"/>
  <c r="AA20" i="3"/>
  <c r="W20" i="3"/>
  <c r="X20" i="3" s="1"/>
  <c r="V20" i="3"/>
  <c r="O122" i="3" s="1"/>
  <c r="O123" i="3" s="1"/>
  <c r="U20" i="3"/>
  <c r="T20" i="3"/>
  <c r="R20" i="3"/>
  <c r="O20" i="3"/>
  <c r="N20" i="3"/>
  <c r="P20" i="3" s="1"/>
  <c r="K20" i="3"/>
  <c r="I20" i="3"/>
  <c r="M158" i="3" s="1"/>
  <c r="G20" i="3"/>
  <c r="AO19" i="3"/>
  <c r="AR19" i="3" s="1"/>
  <c r="W19" i="3"/>
  <c r="U19" i="3"/>
  <c r="N19" i="3"/>
  <c r="G19" i="3"/>
  <c r="AO18" i="3"/>
  <c r="AR18" i="3" s="1"/>
  <c r="W18" i="3"/>
  <c r="U18" i="3"/>
  <c r="N18" i="3"/>
  <c r="G18" i="3"/>
  <c r="AO17" i="3"/>
  <c r="AR17" i="3" s="1"/>
  <c r="W17" i="3"/>
  <c r="U17" i="3"/>
  <c r="N17" i="3"/>
  <c r="P15" i="3" s="1"/>
  <c r="G17" i="3"/>
  <c r="AO16" i="3"/>
  <c r="AR16" i="3" s="1"/>
  <c r="W16" i="3"/>
  <c r="U16" i="3"/>
  <c r="N16" i="3"/>
  <c r="G16" i="3"/>
  <c r="AR15" i="3"/>
  <c r="AO15" i="3"/>
  <c r="AP15" i="3" s="1"/>
  <c r="AM15" i="3"/>
  <c r="AM99" i="3" s="1"/>
  <c r="AK15" i="3"/>
  <c r="X15" i="3"/>
  <c r="W15" i="3"/>
  <c r="U15" i="3"/>
  <c r="V15" i="3" s="1"/>
  <c r="O120" i="3" s="1"/>
  <c r="O121" i="3" s="1"/>
  <c r="T15" i="3"/>
  <c r="R15" i="3"/>
  <c r="O15" i="3"/>
  <c r="N15" i="3"/>
  <c r="K15" i="3"/>
  <c r="AA15" i="3" s="1"/>
  <c r="I15" i="3"/>
  <c r="G15" i="3"/>
  <c r="J15" i="3" s="1"/>
  <c r="AO14" i="3"/>
  <c r="AR14" i="3" s="1"/>
  <c r="N14" i="3"/>
  <c r="M14" i="3"/>
  <c r="O10" i="3" s="1"/>
  <c r="G14" i="3"/>
  <c r="AO13" i="3"/>
  <c r="AR13" i="3" s="1"/>
  <c r="W13" i="3"/>
  <c r="U13" i="3"/>
  <c r="N13" i="3"/>
  <c r="G13" i="3"/>
  <c r="AO12" i="3"/>
  <c r="AR12" i="3" s="1"/>
  <c r="U12" i="3"/>
  <c r="N12" i="3"/>
  <c r="M12" i="3"/>
  <c r="W12" i="3" s="1"/>
  <c r="G12" i="3"/>
  <c r="AR11" i="3"/>
  <c r="AO11" i="3"/>
  <c r="W11" i="3"/>
  <c r="U11" i="3"/>
  <c r="N11" i="3"/>
  <c r="M11" i="3"/>
  <c r="G11" i="3"/>
  <c r="AO10" i="3"/>
  <c r="AR10" i="3" s="1"/>
  <c r="AA10" i="3"/>
  <c r="W10" i="3"/>
  <c r="U10" i="3"/>
  <c r="T10" i="3"/>
  <c r="R10" i="3"/>
  <c r="N10" i="3"/>
  <c r="P10" i="3" s="1"/>
  <c r="K10" i="3"/>
  <c r="J10" i="3"/>
  <c r="N157" i="3" s="1"/>
  <c r="I10" i="3"/>
  <c r="M157" i="3" s="1"/>
  <c r="G10" i="3"/>
  <c r="AO9" i="3"/>
  <c r="AR9" i="3" s="1"/>
  <c r="W9" i="3"/>
  <c r="U9" i="3"/>
  <c r="N9" i="3"/>
  <c r="G9" i="3"/>
  <c r="AO8" i="3"/>
  <c r="AR8" i="3" s="1"/>
  <c r="W8" i="3"/>
  <c r="U8" i="3"/>
  <c r="N8" i="3"/>
  <c r="P7" i="3" s="1"/>
  <c r="G8" i="3"/>
  <c r="AO7" i="3"/>
  <c r="AR7" i="3" s="1"/>
  <c r="W7" i="3"/>
  <c r="X7" i="3" s="1"/>
  <c r="U7" i="3"/>
  <c r="V7" i="3" s="1"/>
  <c r="O116" i="3" s="1"/>
  <c r="O117" i="3" s="1"/>
  <c r="T7" i="3"/>
  <c r="R7" i="3"/>
  <c r="O7" i="3"/>
  <c r="N7" i="3"/>
  <c r="K7" i="3"/>
  <c r="AA7" i="3" s="1"/>
  <c r="J7" i="3"/>
  <c r="N149" i="3" s="1"/>
  <c r="I7" i="3"/>
  <c r="G7" i="3"/>
  <c r="AO6" i="3"/>
  <c r="AR6" i="3" s="1"/>
  <c r="AM6" i="3"/>
  <c r="AK6" i="3"/>
  <c r="AA6" i="3"/>
  <c r="W6" i="3"/>
  <c r="U6" i="3"/>
  <c r="N6" i="3"/>
  <c r="K6" i="3"/>
  <c r="G6" i="3"/>
  <c r="Q17" i="1"/>
  <c r="M63" i="1"/>
  <c r="M80" i="1"/>
  <c r="R86" i="1"/>
  <c r="H86" i="1"/>
  <c r="H87" i="1"/>
  <c r="C86" i="1"/>
  <c r="M79" i="1"/>
  <c r="I79" i="1"/>
  <c r="M72" i="1"/>
  <c r="M71" i="1"/>
  <c r="M59" i="1"/>
  <c r="M61" i="1"/>
  <c r="M62" i="1"/>
  <c r="M60" i="1"/>
  <c r="H48" i="1"/>
  <c r="H49" i="1"/>
  <c r="H50" i="1"/>
  <c r="H51" i="1"/>
  <c r="H52" i="1"/>
  <c r="H53" i="1"/>
  <c r="H54" i="1"/>
  <c r="H55" i="1"/>
  <c r="H47" i="1"/>
  <c r="D166" i="1" l="1"/>
  <c r="E164" i="1"/>
  <c r="C166" i="1"/>
  <c r="C164" i="1"/>
  <c r="D164" i="1"/>
  <c r="F166" i="1"/>
  <c r="A105" i="1"/>
  <c r="F118" i="1"/>
  <c r="C163" i="1"/>
  <c r="D163" i="1"/>
  <c r="E163" i="1"/>
  <c r="F163" i="1"/>
  <c r="AM110" i="1"/>
  <c r="AO110" i="1" s="1"/>
  <c r="AM105" i="1"/>
  <c r="AO105" i="1" s="1"/>
  <c r="AM112" i="1"/>
  <c r="AO112" i="1" s="1"/>
  <c r="AM106" i="1"/>
  <c r="AO106" i="1" s="1"/>
  <c r="AM107" i="1"/>
  <c r="AO107" i="1" s="1"/>
  <c r="AM111" i="1"/>
  <c r="AO111" i="1" s="1"/>
  <c r="AM108" i="1"/>
  <c r="AO108" i="1" s="1"/>
  <c r="AM109" i="1"/>
  <c r="AO109" i="1" s="1"/>
  <c r="AM113" i="1"/>
  <c r="AO113" i="1" s="1"/>
  <c r="AM104" i="1"/>
  <c r="AO104" i="1" s="1"/>
  <c r="AK108" i="1"/>
  <c r="AK109" i="1"/>
  <c r="AK111" i="1"/>
  <c r="AK112" i="1"/>
  <c r="AK113" i="1"/>
  <c r="AK104" i="1"/>
  <c r="AK106" i="1"/>
  <c r="AK105" i="1"/>
  <c r="AK107" i="1"/>
  <c r="AK110" i="1"/>
  <c r="Q7" i="1"/>
  <c r="Q14" i="1" s="1"/>
  <c r="Q18" i="1" s="1"/>
  <c r="H5" i="2"/>
  <c r="AQ104" i="1" s="1"/>
  <c r="AR104" i="1" s="1"/>
  <c r="M82" i="1"/>
  <c r="R80" i="1" s="1"/>
  <c r="F6" i="2"/>
  <c r="G6" i="2" s="1"/>
  <c r="AS68" i="3"/>
  <c r="AS100" i="3" s="1"/>
  <c r="AS131" i="3"/>
  <c r="AS168" i="3"/>
  <c r="AS183" i="3"/>
  <c r="AS199" i="3" s="1"/>
  <c r="H159" i="3"/>
  <c r="H156" i="3"/>
  <c r="J156" i="3"/>
  <c r="J154" i="3"/>
  <c r="AP101" i="3"/>
  <c r="F135" i="3" s="1"/>
  <c r="AS101" i="3"/>
  <c r="AS53" i="3"/>
  <c r="X10" i="3"/>
  <c r="N156" i="3"/>
  <c r="N159" i="3"/>
  <c r="AS49" i="3"/>
  <c r="AS139" i="3"/>
  <c r="AS44" i="3"/>
  <c r="AS107" i="3"/>
  <c r="AS15" i="3"/>
  <c r="AS64" i="3"/>
  <c r="AS115" i="3"/>
  <c r="AS39" i="3"/>
  <c r="AP100" i="3"/>
  <c r="AS134" i="3"/>
  <c r="K156" i="3"/>
  <c r="K159" i="3"/>
  <c r="G159" i="3"/>
  <c r="G156" i="3"/>
  <c r="AS202" i="3"/>
  <c r="AS99" i="3"/>
  <c r="AS200" i="3"/>
  <c r="AS6" i="3"/>
  <c r="AS56" i="3"/>
  <c r="AS61" i="3"/>
  <c r="AS102" i="3" s="1"/>
  <c r="AS121" i="3"/>
  <c r="AS203" i="3"/>
  <c r="AR55" i="3"/>
  <c r="AP73" i="3"/>
  <c r="F142" i="3" s="1"/>
  <c r="AP130" i="3"/>
  <c r="AR157" i="3"/>
  <c r="AS156" i="3" s="1"/>
  <c r="AR165" i="3"/>
  <c r="AS164" i="3" s="1"/>
  <c r="AR169" i="3"/>
  <c r="AP181" i="3"/>
  <c r="AP183" i="3"/>
  <c r="AP199" i="3" s="1"/>
  <c r="AR192" i="3"/>
  <c r="AS188" i="3" s="1"/>
  <c r="AS201" i="3" s="1"/>
  <c r="AP195" i="3"/>
  <c r="AP203" i="3" s="1"/>
  <c r="AR40" i="3"/>
  <c r="G147" i="3"/>
  <c r="G158" i="3"/>
  <c r="M159" i="3"/>
  <c r="H147" i="3"/>
  <c r="H158" i="3"/>
  <c r="U14" i="3"/>
  <c r="V10" i="3" s="1"/>
  <c r="O118" i="3" s="1"/>
  <c r="O119" i="3" s="1"/>
  <c r="AP61" i="3"/>
  <c r="AP102" i="3" s="1"/>
  <c r="F136" i="3" s="1"/>
  <c r="AP68" i="3"/>
  <c r="F134" i="3" s="1"/>
  <c r="AP107" i="3"/>
  <c r="AP126" i="3"/>
  <c r="J147" i="3"/>
  <c r="AP149" i="3"/>
  <c r="AP150" i="3"/>
  <c r="W14" i="3"/>
  <c r="K147" i="3"/>
  <c r="AP6" i="3"/>
  <c r="F132" i="3" s="1"/>
  <c r="AP144" i="3"/>
  <c r="AP171" i="3"/>
  <c r="AP182" i="3"/>
  <c r="AP200" i="3" s="1"/>
  <c r="AP194" i="3"/>
  <c r="AP202" i="3" s="1"/>
  <c r="M147" i="3"/>
  <c r="N147" i="3"/>
  <c r="AM200" i="3"/>
  <c r="J159" i="3" s="1"/>
  <c r="AP106" i="3"/>
  <c r="R70" i="1"/>
  <c r="R69" i="1"/>
  <c r="R61" i="1"/>
  <c r="R64" i="1"/>
  <c r="H28" i="1"/>
  <c r="D104" i="1" s="1"/>
  <c r="E104" i="1" s="1"/>
  <c r="C8" i="1"/>
  <c r="R55" i="1" s="1"/>
  <c r="R56" i="1"/>
  <c r="R54" i="1"/>
  <c r="R47" i="1"/>
  <c r="R42" i="1"/>
  <c r="R41" i="1"/>
  <c r="R40" i="1"/>
  <c r="R33" i="1"/>
  <c r="R35" i="1"/>
  <c r="R34" i="1"/>
  <c r="R28" i="1"/>
  <c r="R27" i="1"/>
  <c r="R26" i="1"/>
  <c r="M42" i="1"/>
  <c r="M43" i="1"/>
  <c r="M41" i="1"/>
  <c r="M29" i="1"/>
  <c r="M30" i="1"/>
  <c r="M31" i="1"/>
  <c r="M32" i="1"/>
  <c r="M33" i="1"/>
  <c r="M34" i="1"/>
  <c r="M35" i="1"/>
  <c r="M36" i="1"/>
  <c r="M28" i="1"/>
  <c r="C40" i="1"/>
  <c r="H46" i="1"/>
  <c r="H43" i="1"/>
  <c r="A106" i="1" l="1"/>
  <c r="B106" i="1" s="1"/>
  <c r="C106" i="1" s="1"/>
  <c r="F119" i="1"/>
  <c r="AS104" i="1"/>
  <c r="AT104" i="1" s="1"/>
  <c r="AL110" i="1"/>
  <c r="AL105" i="1"/>
  <c r="AL106" i="1"/>
  <c r="AL107" i="1"/>
  <c r="AL113" i="1"/>
  <c r="AL112" i="1"/>
  <c r="AL111" i="1"/>
  <c r="AL109" i="1"/>
  <c r="AL108" i="1"/>
  <c r="AL104" i="1"/>
  <c r="W108" i="1"/>
  <c r="I5" i="2"/>
  <c r="F7" i="2"/>
  <c r="G7" i="2" s="1"/>
  <c r="W110" i="1"/>
  <c r="W111" i="1"/>
  <c r="W106" i="1"/>
  <c r="W107" i="1"/>
  <c r="B104" i="1"/>
  <c r="C104" i="1" s="1"/>
  <c r="H6" i="2"/>
  <c r="AQ105" i="1" s="1"/>
  <c r="AR105" i="1" s="1"/>
  <c r="H104" i="1"/>
  <c r="R37" i="1"/>
  <c r="M108" i="1" s="1"/>
  <c r="W109" i="1"/>
  <c r="W112" i="1"/>
  <c r="W104" i="1"/>
  <c r="R30" i="1"/>
  <c r="D105" i="1"/>
  <c r="E105" i="1" s="1"/>
  <c r="H105" i="1" s="1"/>
  <c r="W113" i="1"/>
  <c r="B105" i="1"/>
  <c r="C105" i="1" s="1"/>
  <c r="W105" i="1"/>
  <c r="I104" i="1"/>
  <c r="R58" i="1"/>
  <c r="R44" i="1"/>
  <c r="R49" i="1"/>
  <c r="R51" i="1" s="1"/>
  <c r="D106" i="1" l="1"/>
  <c r="E106" i="1" s="1"/>
  <c r="H106" i="1" s="1"/>
  <c r="F120" i="1"/>
  <c r="A107" i="1"/>
  <c r="J5" i="2"/>
  <c r="H7" i="2"/>
  <c r="AQ106" i="1" s="1"/>
  <c r="AS105" i="1"/>
  <c r="AT105" i="1" s="1"/>
  <c r="I6" i="2"/>
  <c r="J6" i="2" s="1"/>
  <c r="K6" i="2" s="1"/>
  <c r="N119" i="1" s="1"/>
  <c r="F8" i="2"/>
  <c r="G8" i="2" s="1"/>
  <c r="M109" i="1"/>
  <c r="M111" i="1"/>
  <c r="M107" i="1"/>
  <c r="M110" i="1"/>
  <c r="M105" i="1"/>
  <c r="M112" i="1"/>
  <c r="M113" i="1"/>
  <c r="M104" i="1"/>
  <c r="M106" i="1"/>
  <c r="O108" i="1"/>
  <c r="O110" i="1"/>
  <c r="O105" i="1"/>
  <c r="O112" i="1"/>
  <c r="O107" i="1"/>
  <c r="O104" i="1"/>
  <c r="O109" i="1"/>
  <c r="O111" i="1"/>
  <c r="O106" i="1"/>
  <c r="O113" i="1"/>
  <c r="N110" i="1"/>
  <c r="N105" i="1"/>
  <c r="N112" i="1"/>
  <c r="N107" i="1"/>
  <c r="N109" i="1"/>
  <c r="N104" i="1"/>
  <c r="N111" i="1"/>
  <c r="N106" i="1"/>
  <c r="N113" i="1"/>
  <c r="N108" i="1"/>
  <c r="P113" i="1"/>
  <c r="P108" i="1"/>
  <c r="P110" i="1"/>
  <c r="P105" i="1"/>
  <c r="P112" i="1"/>
  <c r="P104" i="1"/>
  <c r="P107" i="1"/>
  <c r="P109" i="1"/>
  <c r="P111" i="1"/>
  <c r="P106" i="1"/>
  <c r="L105" i="1"/>
  <c r="L112" i="1"/>
  <c r="L107" i="1"/>
  <c r="L109" i="1"/>
  <c r="L111" i="1"/>
  <c r="L106" i="1"/>
  <c r="L113" i="1"/>
  <c r="L108" i="1"/>
  <c r="L104" i="1"/>
  <c r="L110" i="1"/>
  <c r="I105" i="1"/>
  <c r="J104" i="1"/>
  <c r="K104" i="1" s="1"/>
  <c r="C39" i="1"/>
  <c r="C38" i="1"/>
  <c r="H45" i="1"/>
  <c r="R63" i="1" s="1"/>
  <c r="H42" i="1"/>
  <c r="H56" i="1"/>
  <c r="I7" i="2" l="1"/>
  <c r="J7" i="2" s="1"/>
  <c r="K7" i="2" s="1"/>
  <c r="N120" i="1" s="1"/>
  <c r="I106" i="1"/>
  <c r="F121" i="1"/>
  <c r="B107" i="1"/>
  <c r="C107" i="1" s="1"/>
  <c r="A108" i="1"/>
  <c r="D107" i="1"/>
  <c r="E107" i="1" s="1"/>
  <c r="H107" i="1" s="1"/>
  <c r="K5" i="2"/>
  <c r="AW105" i="1"/>
  <c r="AW104" i="1"/>
  <c r="AR106" i="1"/>
  <c r="AS106" i="1"/>
  <c r="AT106" i="1" s="1"/>
  <c r="H8" i="2"/>
  <c r="AQ107" i="1" s="1"/>
  <c r="F9" i="2"/>
  <c r="F10" i="2" s="1"/>
  <c r="J105" i="1"/>
  <c r="K105" i="1" s="1"/>
  <c r="H57" i="1"/>
  <c r="M56" i="1"/>
  <c r="H59" i="1"/>
  <c r="H44" i="1"/>
  <c r="H58" i="1"/>
  <c r="H40" i="1"/>
  <c r="H39" i="1"/>
  <c r="C27" i="1"/>
  <c r="C18" i="1"/>
  <c r="J106" i="1" l="1"/>
  <c r="K106" i="1" s="1"/>
  <c r="I107" i="1"/>
  <c r="F122" i="1"/>
  <c r="A109" i="1"/>
  <c r="D108" i="1"/>
  <c r="E108" i="1" s="1"/>
  <c r="H108" i="1" s="1"/>
  <c r="B108" i="1"/>
  <c r="C108" i="1" s="1"/>
  <c r="C125" i="1"/>
  <c r="N118" i="1"/>
  <c r="H9" i="2"/>
  <c r="AQ108" i="1" s="1"/>
  <c r="AR108" i="1" s="1"/>
  <c r="AX104" i="1"/>
  <c r="J118" i="1" s="1"/>
  <c r="L118" i="1" s="1"/>
  <c r="I118" i="1"/>
  <c r="AX105" i="1"/>
  <c r="J119" i="1" s="1"/>
  <c r="L119" i="1" s="1"/>
  <c r="I119" i="1"/>
  <c r="AR107" i="1"/>
  <c r="AS107" i="1"/>
  <c r="AT107" i="1" s="1"/>
  <c r="AW106" i="1"/>
  <c r="G9" i="2"/>
  <c r="I8" i="2"/>
  <c r="J8" i="2" s="1"/>
  <c r="K8" i="2" s="1"/>
  <c r="N121" i="1" s="1"/>
  <c r="G10" i="2"/>
  <c r="H10" i="2"/>
  <c r="AQ109" i="1" s="1"/>
  <c r="J107" i="1"/>
  <c r="K107" i="1"/>
  <c r="F11" i="2"/>
  <c r="R71" i="1"/>
  <c r="R73" i="1" s="1"/>
  <c r="R62" i="1"/>
  <c r="R66" i="1" s="1"/>
  <c r="H80" i="1"/>
  <c r="M70" i="1"/>
  <c r="M58" i="1"/>
  <c r="H61" i="1"/>
  <c r="M57" i="1"/>
  <c r="H60" i="1"/>
  <c r="H26" i="1"/>
  <c r="H30" i="1" s="1"/>
  <c r="C49" i="1"/>
  <c r="C26" i="1"/>
  <c r="C30" i="1" s="1"/>
  <c r="C33" i="1" s="1"/>
  <c r="C35" i="1" s="1"/>
  <c r="C46" i="1" s="1"/>
  <c r="F108" i="1" l="1"/>
  <c r="F123" i="1"/>
  <c r="D109" i="1"/>
  <c r="E109" i="1" s="1"/>
  <c r="H109" i="1" s="1"/>
  <c r="A110" i="1"/>
  <c r="B109" i="1"/>
  <c r="C109" i="1" s="1"/>
  <c r="I108" i="1"/>
  <c r="K108" i="1" s="1"/>
  <c r="AS108" i="1"/>
  <c r="AT108" i="1" s="1"/>
  <c r="I9" i="2"/>
  <c r="J9" i="2" s="1"/>
  <c r="K9" i="2" s="1"/>
  <c r="N122" i="1" s="1"/>
  <c r="AX106" i="1"/>
  <c r="J120" i="1" s="1"/>
  <c r="L120" i="1" s="1"/>
  <c r="I120" i="1"/>
  <c r="AW107" i="1"/>
  <c r="AR109" i="1"/>
  <c r="AS109" i="1"/>
  <c r="AT109" i="1" s="1"/>
  <c r="F104" i="1"/>
  <c r="I10" i="2"/>
  <c r="J10" i="2" s="1"/>
  <c r="K10" i="2" s="1"/>
  <c r="N123" i="1" s="1"/>
  <c r="G11" i="2"/>
  <c r="H11" i="2"/>
  <c r="AQ110" i="1" s="1"/>
  <c r="F107" i="1"/>
  <c r="Q106" i="1"/>
  <c r="Q113" i="1"/>
  <c r="Q108" i="1"/>
  <c r="Q110" i="1"/>
  <c r="Q104" i="1"/>
  <c r="Q105" i="1"/>
  <c r="Q112" i="1"/>
  <c r="Q107" i="1"/>
  <c r="Q109" i="1"/>
  <c r="Q111" i="1"/>
  <c r="R111" i="1"/>
  <c r="R106" i="1"/>
  <c r="R113" i="1"/>
  <c r="R108" i="1"/>
  <c r="R104" i="1"/>
  <c r="R110" i="1"/>
  <c r="R105" i="1"/>
  <c r="R112" i="1"/>
  <c r="R107" i="1"/>
  <c r="R109" i="1"/>
  <c r="F105" i="1"/>
  <c r="F106" i="1"/>
  <c r="F109" i="1"/>
  <c r="I109" i="1"/>
  <c r="F12" i="2"/>
  <c r="H33" i="1"/>
  <c r="H35" i="1" s="1"/>
  <c r="H41" i="1" s="1"/>
  <c r="H63" i="1" s="1"/>
  <c r="C41" i="1" s="1"/>
  <c r="C43" i="1" s="1"/>
  <c r="C48" i="1" s="1"/>
  <c r="M26" i="1"/>
  <c r="M50" i="1"/>
  <c r="J108" i="1" l="1"/>
  <c r="F124" i="1"/>
  <c r="A111" i="1"/>
  <c r="D110" i="1"/>
  <c r="E110" i="1" s="1"/>
  <c r="H110" i="1" s="1"/>
  <c r="B110" i="1"/>
  <c r="C110" i="1" s="1"/>
  <c r="AW108" i="1"/>
  <c r="AX107" i="1"/>
  <c r="J121" i="1" s="1"/>
  <c r="L121" i="1" s="1"/>
  <c r="I121" i="1"/>
  <c r="AX108" i="1"/>
  <c r="J122" i="1" s="1"/>
  <c r="L122" i="1" s="1"/>
  <c r="I122" i="1"/>
  <c r="AW109" i="1"/>
  <c r="AR110" i="1"/>
  <c r="AS110" i="1"/>
  <c r="AT110" i="1" s="1"/>
  <c r="I11" i="2"/>
  <c r="J11" i="2" s="1"/>
  <c r="K11" i="2" s="1"/>
  <c r="N124" i="1" s="1"/>
  <c r="G12" i="2"/>
  <c r="H12" i="2"/>
  <c r="AQ111" i="1" s="1"/>
  <c r="G104" i="1"/>
  <c r="G105" i="1"/>
  <c r="G106" i="1"/>
  <c r="G107" i="1"/>
  <c r="G108" i="1"/>
  <c r="G109" i="1"/>
  <c r="G110" i="1"/>
  <c r="C51" i="1"/>
  <c r="C52" i="1" s="1"/>
  <c r="C79" i="1" s="1"/>
  <c r="J109" i="1"/>
  <c r="K109" i="1"/>
  <c r="S105" i="1"/>
  <c r="T105" i="1" s="1"/>
  <c r="S106" i="1"/>
  <c r="T106" i="1" s="1"/>
  <c r="S107" i="1"/>
  <c r="T107" i="1" s="1"/>
  <c r="S108" i="1"/>
  <c r="T108" i="1" s="1"/>
  <c r="I110" i="1"/>
  <c r="F110" i="1"/>
  <c r="F13" i="2"/>
  <c r="M44" i="1"/>
  <c r="M46" i="1" s="1"/>
  <c r="M49" i="1" s="1"/>
  <c r="M51" i="1" s="1"/>
  <c r="M27" i="1"/>
  <c r="U106" i="1" l="1"/>
  <c r="V106" i="1" s="1"/>
  <c r="X106" i="1" s="1"/>
  <c r="U108" i="1"/>
  <c r="V108" i="1" s="1"/>
  <c r="X108" i="1" s="1"/>
  <c r="Y108" i="1" s="1"/>
  <c r="Z108" i="1" s="1"/>
  <c r="AA108" i="1" s="1"/>
  <c r="AB108" i="1" s="1"/>
  <c r="AC108" i="1" s="1"/>
  <c r="AD108" i="1" s="1"/>
  <c r="U107" i="1"/>
  <c r="V107" i="1" s="1"/>
  <c r="X107" i="1" s="1"/>
  <c r="F125" i="1"/>
  <c r="B111" i="1"/>
  <c r="C111" i="1" s="1"/>
  <c r="G111" i="1" s="1"/>
  <c r="D111" i="1"/>
  <c r="E111" i="1" s="1"/>
  <c r="H111" i="1" s="1"/>
  <c r="A112" i="1"/>
  <c r="AX109" i="1"/>
  <c r="J123" i="1" s="1"/>
  <c r="L123" i="1" s="1"/>
  <c r="I123" i="1"/>
  <c r="AW110" i="1"/>
  <c r="AR111" i="1"/>
  <c r="AS111" i="1"/>
  <c r="AT111" i="1" s="1"/>
  <c r="I12" i="2"/>
  <c r="J12" i="2" s="1"/>
  <c r="K12" i="2" s="1"/>
  <c r="N125" i="1" s="1"/>
  <c r="G13" i="2"/>
  <c r="H13" i="2"/>
  <c r="AQ112" i="1" s="1"/>
  <c r="U105" i="1"/>
  <c r="V105" i="1" s="1"/>
  <c r="X105" i="1" s="1"/>
  <c r="Y106" i="1"/>
  <c r="Z106" i="1" s="1"/>
  <c r="AA106" i="1" s="1"/>
  <c r="AB106" i="1" s="1"/>
  <c r="AC106" i="1" s="1"/>
  <c r="AD106" i="1" s="1"/>
  <c r="Y105" i="1"/>
  <c r="Z105" i="1" s="1"/>
  <c r="AA105" i="1" s="1"/>
  <c r="AB105" i="1" s="1"/>
  <c r="AC105" i="1" s="1"/>
  <c r="AD105" i="1" s="1"/>
  <c r="Y107" i="1"/>
  <c r="Z107" i="1" s="1"/>
  <c r="AA107" i="1" s="1"/>
  <c r="AB107" i="1" s="1"/>
  <c r="AC107" i="1" s="1"/>
  <c r="AD107" i="1" s="1"/>
  <c r="M38" i="1"/>
  <c r="S104" i="1"/>
  <c r="T104" i="1" s="1"/>
  <c r="U104" i="1" s="1"/>
  <c r="V104" i="1" s="1"/>
  <c r="X104" i="1" s="1"/>
  <c r="F111" i="1"/>
  <c r="I111" i="1"/>
  <c r="J110" i="1"/>
  <c r="K110" i="1"/>
  <c r="S109" i="1"/>
  <c r="T109" i="1" s="1"/>
  <c r="U109" i="1" s="1"/>
  <c r="V109" i="1" s="1"/>
  <c r="X109" i="1" s="1"/>
  <c r="F14" i="2"/>
  <c r="M53" i="1"/>
  <c r="F126" i="1" l="1"/>
  <c r="D112" i="1"/>
  <c r="B112" i="1"/>
  <c r="C112" i="1" s="1"/>
  <c r="G112" i="1" s="1"/>
  <c r="A113" i="1"/>
  <c r="AX110" i="1"/>
  <c r="J124" i="1" s="1"/>
  <c r="L124" i="1" s="1"/>
  <c r="I124" i="1"/>
  <c r="AW111" i="1"/>
  <c r="AR112" i="1"/>
  <c r="AS112" i="1"/>
  <c r="AT112" i="1" s="1"/>
  <c r="AH105" i="1"/>
  <c r="AG105" i="1"/>
  <c r="AH108" i="1"/>
  <c r="AG108" i="1"/>
  <c r="AG106" i="1"/>
  <c r="AH106" i="1"/>
  <c r="AH107" i="1"/>
  <c r="AG107" i="1"/>
  <c r="I13" i="2"/>
  <c r="J13" i="2" s="1"/>
  <c r="K13" i="2" s="1"/>
  <c r="N126" i="1" s="1"/>
  <c r="G14" i="2"/>
  <c r="H14" i="2"/>
  <c r="Y109" i="1"/>
  <c r="Z109" i="1" s="1"/>
  <c r="AA109" i="1" s="1"/>
  <c r="AB109" i="1" s="1"/>
  <c r="AC109" i="1" s="1"/>
  <c r="AD109" i="1" s="1"/>
  <c r="M65" i="1"/>
  <c r="M68" i="1" s="1"/>
  <c r="M74" i="1" s="1"/>
  <c r="M75" i="1" s="1"/>
  <c r="C80" i="1" s="1"/>
  <c r="C82" i="1" s="1"/>
  <c r="H79" i="1" s="1"/>
  <c r="H82" i="1" s="1"/>
  <c r="U89" i="1" s="1"/>
  <c r="Y104" i="1"/>
  <c r="Z104" i="1" s="1"/>
  <c r="AA104" i="1" s="1"/>
  <c r="AB104" i="1" s="1"/>
  <c r="AC104" i="1" s="1"/>
  <c r="AD104" i="1" s="1"/>
  <c r="S110" i="1"/>
  <c r="T110" i="1" s="1"/>
  <c r="U110" i="1" s="1"/>
  <c r="V110" i="1" s="1"/>
  <c r="X110" i="1" s="1"/>
  <c r="K111" i="1"/>
  <c r="S111" i="1" s="1"/>
  <c r="T111" i="1" s="1"/>
  <c r="U111" i="1" s="1"/>
  <c r="V111" i="1" s="1"/>
  <c r="X111" i="1" s="1"/>
  <c r="J111" i="1"/>
  <c r="F127" i="1" l="1"/>
  <c r="B113" i="1"/>
  <c r="C113" i="1" s="1"/>
  <c r="G113" i="1" s="1"/>
  <c r="D113" i="1"/>
  <c r="E113" i="1" s="1"/>
  <c r="H113" i="1" s="1"/>
  <c r="E112" i="1"/>
  <c r="H112" i="1"/>
  <c r="AX111" i="1"/>
  <c r="J125" i="1" s="1"/>
  <c r="L125" i="1" s="1"/>
  <c r="I125" i="1"/>
  <c r="AI105" i="1"/>
  <c r="AY105" i="1"/>
  <c r="AZ105" i="1" s="1"/>
  <c r="AI107" i="1"/>
  <c r="AY107" i="1"/>
  <c r="AZ107" i="1" s="1"/>
  <c r="AI108" i="1"/>
  <c r="AY108" i="1"/>
  <c r="AZ108" i="1" s="1"/>
  <c r="AI106" i="1"/>
  <c r="AY106" i="1"/>
  <c r="AZ106" i="1" s="1"/>
  <c r="AW112" i="1"/>
  <c r="I14" i="2"/>
  <c r="J14" i="2" s="1"/>
  <c r="AQ113" i="1"/>
  <c r="AJ106" i="1"/>
  <c r="AU106" i="1"/>
  <c r="AJ107" i="1"/>
  <c r="AU107" i="1"/>
  <c r="AJ108" i="1"/>
  <c r="AU108" i="1"/>
  <c r="AJ105" i="1"/>
  <c r="AU105" i="1"/>
  <c r="AH109" i="1"/>
  <c r="AG109" i="1"/>
  <c r="AG104" i="1"/>
  <c r="AH104" i="1"/>
  <c r="Y110" i="1"/>
  <c r="Z110" i="1" s="1"/>
  <c r="AA110" i="1" s="1"/>
  <c r="AB110" i="1" s="1"/>
  <c r="AC110" i="1" s="1"/>
  <c r="AD110" i="1" s="1"/>
  <c r="R79" i="1"/>
  <c r="R82" i="1" s="1"/>
  <c r="C85" i="1" s="1"/>
  <c r="Y111" i="1"/>
  <c r="Z111" i="1" s="1"/>
  <c r="AA111" i="1" s="1"/>
  <c r="AB111" i="1" s="1"/>
  <c r="AC111" i="1" s="1"/>
  <c r="AD111" i="1" s="1"/>
  <c r="F113" i="1"/>
  <c r="I112" i="1" l="1"/>
  <c r="F112" i="1"/>
  <c r="H85" i="1"/>
  <c r="H89" i="1" s="1"/>
  <c r="M85" i="1" s="1"/>
  <c r="M87" i="1" s="1"/>
  <c r="R85" i="1" s="1"/>
  <c r="R88" i="1" s="1"/>
  <c r="C95" i="1" s="1"/>
  <c r="I113" i="1"/>
  <c r="AX112" i="1"/>
  <c r="J126" i="1" s="1"/>
  <c r="L126" i="1" s="1"/>
  <c r="I126" i="1"/>
  <c r="AI104" i="1"/>
  <c r="AY104" i="1"/>
  <c r="K14" i="2"/>
  <c r="N127" i="1" s="1"/>
  <c r="AI109" i="1"/>
  <c r="AY109" i="1"/>
  <c r="AZ109" i="1" s="1"/>
  <c r="AR113" i="1"/>
  <c r="AS113" i="1"/>
  <c r="AT113" i="1" s="1"/>
  <c r="AJ104" i="1"/>
  <c r="AU104" i="1"/>
  <c r="AJ109" i="1"/>
  <c r="AU109" i="1"/>
  <c r="AV105" i="1"/>
  <c r="BA105" i="1"/>
  <c r="AV108" i="1"/>
  <c r="BA108" i="1"/>
  <c r="AV107" i="1"/>
  <c r="BA107" i="1"/>
  <c r="AV106" i="1"/>
  <c r="BA106" i="1"/>
  <c r="AG111" i="1"/>
  <c r="AH111" i="1"/>
  <c r="AG110" i="1"/>
  <c r="AH110" i="1"/>
  <c r="C88" i="1"/>
  <c r="C89" i="1" s="1"/>
  <c r="J113" i="1"/>
  <c r="K113" i="1"/>
  <c r="S113" i="1" s="1"/>
  <c r="T113" i="1" s="1"/>
  <c r="U113" i="1" s="1"/>
  <c r="V113" i="1" s="1"/>
  <c r="X113" i="1" s="1"/>
  <c r="C97" i="1"/>
  <c r="C98" i="1" s="1"/>
  <c r="C96" i="1"/>
  <c r="J112" i="1" l="1"/>
  <c r="K112" i="1"/>
  <c r="S112" i="1" s="1"/>
  <c r="T112" i="1" s="1"/>
  <c r="U112" i="1" s="1"/>
  <c r="V112" i="1" s="1"/>
  <c r="X112" i="1" s="1"/>
  <c r="Y112" i="1" s="1"/>
  <c r="Z112" i="1" s="1"/>
  <c r="AA112" i="1" s="1"/>
  <c r="AB112" i="1" s="1"/>
  <c r="AC112" i="1" s="1"/>
  <c r="AD112" i="1" s="1"/>
  <c r="AG112" i="1" s="1"/>
  <c r="AW113" i="1"/>
  <c r="BB108" i="1"/>
  <c r="H122" i="1" s="1"/>
  <c r="K122" i="1" s="1"/>
  <c r="M122" i="1" s="1"/>
  <c r="O122" i="1" s="1"/>
  <c r="B179" i="1" s="1"/>
  <c r="G122" i="1"/>
  <c r="BB107" i="1"/>
  <c r="H121" i="1" s="1"/>
  <c r="K121" i="1" s="1"/>
  <c r="M121" i="1" s="1"/>
  <c r="O121" i="1" s="1"/>
  <c r="B178" i="1" s="1"/>
  <c r="G121" i="1"/>
  <c r="BB106" i="1"/>
  <c r="H120" i="1" s="1"/>
  <c r="K120" i="1" s="1"/>
  <c r="M120" i="1" s="1"/>
  <c r="O120" i="1" s="1"/>
  <c r="B177" i="1" s="1"/>
  <c r="G120" i="1"/>
  <c r="BB105" i="1"/>
  <c r="H119" i="1" s="1"/>
  <c r="K119" i="1" s="1"/>
  <c r="M119" i="1" s="1"/>
  <c r="O119" i="1" s="1"/>
  <c r="B176" i="1" s="1"/>
  <c r="G119" i="1"/>
  <c r="AI111" i="1"/>
  <c r="AY111" i="1"/>
  <c r="AZ111" i="1" s="1"/>
  <c r="AI110" i="1"/>
  <c r="AY110" i="1"/>
  <c r="AZ110" i="1" s="1"/>
  <c r="AZ104" i="1"/>
  <c r="C120" i="1"/>
  <c r="C121" i="1" s="1"/>
  <c r="C122" i="1" s="1"/>
  <c r="C124" i="1" s="1"/>
  <c r="C99" i="1"/>
  <c r="AJ110" i="1"/>
  <c r="AU110" i="1"/>
  <c r="AJ111" i="1"/>
  <c r="AU111" i="1"/>
  <c r="AV104" i="1"/>
  <c r="BA104" i="1"/>
  <c r="G118" i="1" s="1"/>
  <c r="BA109" i="1"/>
  <c r="AV109" i="1"/>
  <c r="Y113" i="1"/>
  <c r="Z113" i="1" s="1"/>
  <c r="AA113" i="1" s="1"/>
  <c r="AB113" i="1" s="1"/>
  <c r="AC113" i="1" s="1"/>
  <c r="AD113" i="1" s="1"/>
  <c r="D177" i="1" l="1"/>
  <c r="G177" i="1"/>
  <c r="D176" i="1"/>
  <c r="G176" i="1"/>
  <c r="D178" i="1"/>
  <c r="G178" i="1"/>
  <c r="G179" i="1"/>
  <c r="D179" i="1"/>
  <c r="AH112" i="1"/>
  <c r="AJ112" i="1" s="1"/>
  <c r="BB109" i="1"/>
  <c r="H123" i="1" s="1"/>
  <c r="K123" i="1" s="1"/>
  <c r="M123" i="1" s="1"/>
  <c r="O123" i="1" s="1"/>
  <c r="B180" i="1" s="1"/>
  <c r="G123" i="1"/>
  <c r="AX113" i="1"/>
  <c r="J127" i="1" s="1"/>
  <c r="L127" i="1" s="1"/>
  <c r="I127" i="1"/>
  <c r="AI112" i="1"/>
  <c r="AY112" i="1"/>
  <c r="AZ112" i="1" s="1"/>
  <c r="BB104" i="1"/>
  <c r="H118" i="1" s="1"/>
  <c r="K118" i="1" s="1"/>
  <c r="M118" i="1" s="1"/>
  <c r="O118" i="1" s="1"/>
  <c r="B175" i="1" s="1"/>
  <c r="C118" i="1"/>
  <c r="C119" i="1" s="1"/>
  <c r="AV110" i="1"/>
  <c r="BA110" i="1"/>
  <c r="AV111" i="1"/>
  <c r="BA111" i="1"/>
  <c r="AG113" i="1"/>
  <c r="AH113" i="1"/>
  <c r="AU112" i="1" l="1"/>
  <c r="B191" i="1"/>
  <c r="B189" i="1"/>
  <c r="B192" i="1"/>
  <c r="B190" i="1"/>
  <c r="D180" i="1"/>
  <c r="G180" i="1"/>
  <c r="G175" i="1"/>
  <c r="D175" i="1"/>
  <c r="BB110" i="1"/>
  <c r="H124" i="1" s="1"/>
  <c r="K124" i="1" s="1"/>
  <c r="M124" i="1" s="1"/>
  <c r="O124" i="1" s="1"/>
  <c r="B181" i="1" s="1"/>
  <c r="G124" i="1"/>
  <c r="BB111" i="1"/>
  <c r="H125" i="1" s="1"/>
  <c r="K125" i="1" s="1"/>
  <c r="M125" i="1" s="1"/>
  <c r="O125" i="1" s="1"/>
  <c r="B182" i="1" s="1"/>
  <c r="G125" i="1"/>
  <c r="AI113" i="1"/>
  <c r="AY113" i="1"/>
  <c r="AZ113" i="1" s="1"/>
  <c r="AJ113" i="1"/>
  <c r="AU113" i="1"/>
  <c r="AV112" i="1"/>
  <c r="BA112" i="1"/>
  <c r="I175" i="1" l="1"/>
  <c r="B188" i="1"/>
  <c r="D188" i="1" s="1"/>
  <c r="B193" i="1"/>
  <c r="D181" i="1"/>
  <c r="G181" i="1"/>
  <c r="D182" i="1"/>
  <c r="G182" i="1"/>
  <c r="BB112" i="1"/>
  <c r="H126" i="1" s="1"/>
  <c r="K126" i="1" s="1"/>
  <c r="M126" i="1" s="1"/>
  <c r="O126" i="1" s="1"/>
  <c r="B183" i="1" s="1"/>
  <c r="G126" i="1"/>
  <c r="BA113" i="1"/>
  <c r="AV113" i="1"/>
  <c r="B195" i="1" l="1"/>
  <c r="B194" i="1"/>
  <c r="D183" i="1"/>
  <c r="G183" i="1"/>
  <c r="BB113" i="1"/>
  <c r="H127" i="1" s="1"/>
  <c r="K127" i="1" s="1"/>
  <c r="M127" i="1" s="1"/>
  <c r="O127" i="1" s="1"/>
  <c r="B184" i="1" s="1"/>
  <c r="G127" i="1"/>
  <c r="B196" i="1" l="1"/>
  <c r="G184" i="1"/>
  <c r="D184" i="1"/>
  <c r="B197" i="1" l="1"/>
</calcChain>
</file>

<file path=xl/sharedStrings.xml><?xml version="1.0" encoding="utf-8"?>
<sst xmlns="http://schemas.openxmlformats.org/spreadsheetml/2006/main" count="1229" uniqueCount="469">
  <si>
    <t>PARTICULAR SHIP DATA</t>
  </si>
  <si>
    <t>Name</t>
  </si>
  <si>
    <t>Type</t>
  </si>
  <si>
    <t>LOA</t>
  </si>
  <si>
    <t>LPP</t>
  </si>
  <si>
    <t>B</t>
  </si>
  <si>
    <t>D</t>
  </si>
  <si>
    <t>T</t>
  </si>
  <si>
    <t>DWT</t>
  </si>
  <si>
    <t>GT</t>
  </si>
  <si>
    <t>NT</t>
  </si>
  <si>
    <t>Displacement</t>
  </si>
  <si>
    <t>Vs</t>
  </si>
  <si>
    <t>ship type</t>
  </si>
  <si>
    <t>Bulk carrier</t>
  </si>
  <si>
    <t>Gas carrier</t>
  </si>
  <si>
    <t>Tanker</t>
  </si>
  <si>
    <t>Container ship</t>
  </si>
  <si>
    <t>Refrigerated cargo carrier</t>
  </si>
  <si>
    <t>Combination carrier</t>
  </si>
  <si>
    <t>LNG carrier</t>
  </si>
  <si>
    <t>Ro-ro cargo ship (vehicle carrier)</t>
  </si>
  <si>
    <t>Ro-ro passenger ship</t>
  </si>
  <si>
    <t>Ro-ro cargo ship</t>
  </si>
  <si>
    <t>Reynold Number</t>
  </si>
  <si>
    <t>m/s</t>
  </si>
  <si>
    <t>knot</t>
  </si>
  <si>
    <t>m</t>
  </si>
  <si>
    <t>ton</t>
  </si>
  <si>
    <t>LWL</t>
  </si>
  <si>
    <t>Cruise passenger ship</t>
  </si>
  <si>
    <t>V</t>
  </si>
  <si>
    <t>L</t>
  </si>
  <si>
    <t>v</t>
  </si>
  <si>
    <t>25C</t>
  </si>
  <si>
    <t>Rn</t>
  </si>
  <si>
    <t>Coefficient Friction</t>
  </si>
  <si>
    <t>Cf</t>
  </si>
  <si>
    <t>Froude Number</t>
  </si>
  <si>
    <t>g</t>
  </si>
  <si>
    <t>Fn</t>
  </si>
  <si>
    <t>Coefficient Block</t>
  </si>
  <si>
    <t>Cb</t>
  </si>
  <si>
    <t>Luas Permukaan Basah</t>
  </si>
  <si>
    <t>Koefisien Bentuk</t>
  </si>
  <si>
    <t>LoS</t>
  </si>
  <si>
    <t>Lwl</t>
  </si>
  <si>
    <t>TA</t>
  </si>
  <si>
    <t>TF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</si>
  <si>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</si>
  <si>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</si>
  <si>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</si>
  <si>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</si>
  <si>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</si>
  <si>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</si>
  <si>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</si>
  <si>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</si>
  <si>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</si>
  <si>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Nrudder</t>
  </si>
  <si>
    <t>Nbracket</t>
  </si>
  <si>
    <t>Nbossing</t>
  </si>
  <si>
    <t>krudder</t>
  </si>
  <si>
    <t>kbracket</t>
  </si>
  <si>
    <t>kbossing</t>
  </si>
  <si>
    <t>D prop</t>
  </si>
  <si>
    <t>N rudder</t>
  </si>
  <si>
    <t>Single propeller vessels</t>
  </si>
  <si>
    <t>Twin propeller vessels</t>
  </si>
  <si>
    <t>Design Draft</t>
  </si>
  <si>
    <t>Ballast Condition</t>
  </si>
  <si>
    <t>Design Draft with bulb</t>
  </si>
  <si>
    <t>Design draft w/o bulb</t>
  </si>
  <si>
    <r>
      <t>k</t>
    </r>
    <r>
      <rPr>
        <i/>
        <vertAlign val="subscript"/>
        <sz val="12"/>
        <color theme="1"/>
        <rFont val="Times New Roman"/>
        <family val="1"/>
      </rPr>
      <t>rudders</t>
    </r>
  </si>
  <si>
    <t>-</t>
  </si>
  <si>
    <r>
      <t>k</t>
    </r>
    <r>
      <rPr>
        <i/>
        <vertAlign val="subscript"/>
        <sz val="12"/>
        <color theme="1"/>
        <rFont val="Times New Roman"/>
        <family val="1"/>
      </rPr>
      <t>brackets</t>
    </r>
  </si>
  <si>
    <r>
      <t>k</t>
    </r>
    <r>
      <rPr>
        <i/>
        <vertAlign val="subscript"/>
        <sz val="12"/>
        <color theme="1"/>
        <rFont val="Times New Roman"/>
        <family val="1"/>
      </rPr>
      <t>bossings</t>
    </r>
  </si>
  <si>
    <t>k</t>
  </si>
  <si>
    <t>Jaladhimantri</t>
  </si>
  <si>
    <t>H</t>
  </si>
  <si>
    <t>S</t>
  </si>
  <si>
    <t>Hollenbach Ship Resistance Method</t>
  </si>
  <si>
    <t>Resistance Friction</t>
  </si>
  <si>
    <t>p</t>
  </si>
  <si>
    <t>Rf</t>
  </si>
  <si>
    <t>N</t>
  </si>
  <si>
    <t>kN</t>
  </si>
  <si>
    <t>Resistance Residual</t>
  </si>
  <si>
    <t>Coefficient Friction Residual</t>
  </si>
  <si>
    <t>mean residuary resistance</t>
  </si>
  <si>
    <t>minimum residuary resistance</t>
  </si>
  <si>
    <t>Ballast draft</t>
  </si>
  <si>
    <t>twin screw design draft</t>
  </si>
  <si>
    <t>single screw design drat</t>
  </si>
  <si>
    <t>b11</t>
  </si>
  <si>
    <t>b12</t>
  </si>
  <si>
    <t>b13</t>
  </si>
  <si>
    <t>b21</t>
  </si>
  <si>
    <t>b22</t>
  </si>
  <si>
    <t>b23</t>
  </si>
  <si>
    <t>b31</t>
  </si>
  <si>
    <t>b32</t>
  </si>
  <si>
    <t>b33</t>
  </si>
  <si>
    <t>Crstd</t>
  </si>
  <si>
    <t>Critical Froude Number</t>
  </si>
  <si>
    <t>d1</t>
  </si>
  <si>
    <t>d2</t>
  </si>
  <si>
    <t>d3</t>
  </si>
  <si>
    <t>Single screw</t>
  </si>
  <si>
    <t>twin screw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</si>
  <si>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</si>
  <si>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</si>
  <si>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</si>
  <si>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</si>
  <si>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</si>
  <si>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</si>
  <si>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</si>
  <si>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</si>
  <si>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</si>
  <si>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</si>
  <si>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c1</t>
  </si>
  <si>
    <t>(Fn/Frcrit)</t>
  </si>
  <si>
    <t>10CB(Fn/Frcrit - 1)</t>
  </si>
  <si>
    <t>e1</t>
  </si>
  <si>
    <t>e2</t>
  </si>
  <si>
    <t>f1</t>
  </si>
  <si>
    <t>f2</t>
  </si>
  <si>
    <t>f3</t>
  </si>
  <si>
    <t>g1</t>
  </si>
  <si>
    <t>g2</t>
  </si>
  <si>
    <t>g3</t>
  </si>
  <si>
    <t>Frcrit</t>
  </si>
  <si>
    <t>High Froude Number Factor</t>
  </si>
  <si>
    <t>Fcrit</t>
  </si>
  <si>
    <t>Kfr</t>
  </si>
  <si>
    <t>Length factor</t>
  </si>
  <si>
    <t>Kl</t>
  </si>
  <si>
    <t>Beam-draft ratio factor</t>
  </si>
  <si>
    <t>Kbt</t>
  </si>
  <si>
    <t>Length-beam ratio factor</t>
  </si>
  <si>
    <t>Klb</t>
  </si>
  <si>
    <t>Wetted length ratio factor</t>
  </si>
  <si>
    <t>Kll</t>
  </si>
  <si>
    <t>Aft overhang ratio factor</t>
  </si>
  <si>
    <t>Lc</t>
  </si>
  <si>
    <t>Kao</t>
  </si>
  <si>
    <t>Trim correction factor</t>
  </si>
  <si>
    <t>Ktr</t>
  </si>
  <si>
    <t>Propeller factor</t>
  </si>
  <si>
    <t>Kpr</t>
  </si>
  <si>
    <t>Coefficient Residual</t>
  </si>
  <si>
    <t>N thruster</t>
  </si>
  <si>
    <t>Nthruster</t>
  </si>
  <si>
    <t>Cr</t>
  </si>
  <si>
    <t>Rr</t>
  </si>
  <si>
    <t>STEAM2 Jalkanen Method</t>
  </si>
  <si>
    <t>Resistance Total</t>
  </si>
  <si>
    <t>Rt</t>
  </si>
  <si>
    <t>Propulsion power needed</t>
  </si>
  <si>
    <t>Ppropel</t>
  </si>
  <si>
    <t>Propulsion efficiency</t>
  </si>
  <si>
    <t>LBP</t>
  </si>
  <si>
    <t>e</t>
  </si>
  <si>
    <t>Total Power Needed</t>
  </si>
  <si>
    <t>Ptotal</t>
  </si>
  <si>
    <t>kW</t>
  </si>
  <si>
    <t>n operating engine</t>
  </si>
  <si>
    <t>PE</t>
  </si>
  <si>
    <t>NoE</t>
  </si>
  <si>
    <t>Pme</t>
  </si>
  <si>
    <t>Engine Load</t>
  </si>
  <si>
    <t>NE</t>
  </si>
  <si>
    <t>EL</t>
  </si>
  <si>
    <t>SFOC Relative</t>
  </si>
  <si>
    <t>SFOC</t>
  </si>
  <si>
    <t>SFOCrelative</t>
  </si>
  <si>
    <t>SFOCbase</t>
  </si>
  <si>
    <t>FOC</t>
  </si>
  <si>
    <t>Pservice</t>
  </si>
  <si>
    <t>Nprop</t>
  </si>
  <si>
    <t>Distance</t>
  </si>
  <si>
    <t>Sailing time</t>
  </si>
  <si>
    <t>Days/Year</t>
  </si>
  <si>
    <t>Docking</t>
  </si>
  <si>
    <t>Avail</t>
  </si>
  <si>
    <t>Max voyage</t>
  </si>
  <si>
    <t>Time at Port 1</t>
  </si>
  <si>
    <t>Time at Port 2</t>
  </si>
  <si>
    <t>Time at Port 3</t>
  </si>
  <si>
    <t>Maneuver Time Port 1</t>
  </si>
  <si>
    <t>Maneuver Time Port 2</t>
  </si>
  <si>
    <t>Maneuver Time Port 3</t>
  </si>
  <si>
    <t>Route</t>
  </si>
  <si>
    <t>JKT-BDJ-JKT</t>
  </si>
  <si>
    <t>Load</t>
  </si>
  <si>
    <t xml:space="preserve">Vs = </t>
  </si>
  <si>
    <t>g/kwh</t>
  </si>
  <si>
    <t>Year</t>
  </si>
  <si>
    <t>Tahun</t>
  </si>
  <si>
    <t>No</t>
  </si>
  <si>
    <t>Voyage Number</t>
  </si>
  <si>
    <t>Sea Distance</t>
  </si>
  <si>
    <t>MD</t>
  </si>
  <si>
    <t>Speed</t>
  </si>
  <si>
    <t>Avg Sea Distance</t>
  </si>
  <si>
    <t>Avg MNV Distance</t>
  </si>
  <si>
    <t>Average Speed</t>
  </si>
  <si>
    <t>No of Trip</t>
  </si>
  <si>
    <t>Real Sailing Time</t>
  </si>
  <si>
    <t>Calculated Sailing Time</t>
  </si>
  <si>
    <t>Avg Real Sailing Time</t>
  </si>
  <si>
    <t>Avg Calculated Sailing Time</t>
  </si>
  <si>
    <t>RPM</t>
  </si>
  <si>
    <t>Avg RPM</t>
  </si>
  <si>
    <t>AE FOC Sailing (l)</t>
  </si>
  <si>
    <t>Avg AE FOC Sailing (l)</t>
  </si>
  <si>
    <t>AE FOC Sailing</t>
  </si>
  <si>
    <t>Avg AE FOC Sailing (l/h)</t>
  </si>
  <si>
    <t>AE Load Sailing</t>
  </si>
  <si>
    <t>Avg AE Load Sailing</t>
  </si>
  <si>
    <t>Port</t>
  </si>
  <si>
    <t>Total Time at Port</t>
  </si>
  <si>
    <t>Cargo Handling Time (h)</t>
  </si>
  <si>
    <t>Avg Total Time at port  (h)</t>
  </si>
  <si>
    <t>Manouver Time</t>
  </si>
  <si>
    <t>Avg Manouver Time</t>
  </si>
  <si>
    <t>Total AE FOC at Port</t>
  </si>
  <si>
    <t>AE FOC at Port (l/h)</t>
  </si>
  <si>
    <t>Avg AE FOC at Port</t>
  </si>
  <si>
    <t>AE load at port (kw)</t>
  </si>
  <si>
    <t>Avg AE load at port (kW)</t>
  </si>
  <si>
    <t>JKT -CLG</t>
  </si>
  <si>
    <t>JKT</t>
  </si>
  <si>
    <t>JKT-SUB</t>
  </si>
  <si>
    <t>JP019</t>
  </si>
  <si>
    <t>BD020</t>
  </si>
  <si>
    <t>MK050</t>
  </si>
  <si>
    <t>JP022</t>
  </si>
  <si>
    <t>SUB-WIN</t>
  </si>
  <si>
    <t>BD023</t>
  </si>
  <si>
    <t>JP025</t>
  </si>
  <si>
    <t>BD026</t>
  </si>
  <si>
    <t>JP028</t>
  </si>
  <si>
    <t>WIN-DIL</t>
  </si>
  <si>
    <t>SUB</t>
  </si>
  <si>
    <t>SUB-DIL</t>
  </si>
  <si>
    <t>SL009S</t>
  </si>
  <si>
    <t>SL011</t>
  </si>
  <si>
    <t>SL013</t>
  </si>
  <si>
    <t>SUB-PTL</t>
  </si>
  <si>
    <t>SL015</t>
  </si>
  <si>
    <t>PT008</t>
  </si>
  <si>
    <t>PT010</t>
  </si>
  <si>
    <t>PT012</t>
  </si>
  <si>
    <t>PT044</t>
  </si>
  <si>
    <t>MK052</t>
  </si>
  <si>
    <t>SUB-MKS</t>
  </si>
  <si>
    <t>SL041</t>
  </si>
  <si>
    <t>BJ104</t>
  </si>
  <si>
    <t>ST032</t>
  </si>
  <si>
    <t>ST034</t>
  </si>
  <si>
    <t>ST036</t>
  </si>
  <si>
    <t>BJ125</t>
  </si>
  <si>
    <t>SUB-TLI</t>
  </si>
  <si>
    <t>BJ127</t>
  </si>
  <si>
    <t>WIN</t>
  </si>
  <si>
    <t>TLI-PTL</t>
  </si>
  <si>
    <t>DIL</t>
  </si>
  <si>
    <t>SUB-BPN</t>
  </si>
  <si>
    <t>PTL</t>
  </si>
  <si>
    <t>MKS</t>
  </si>
  <si>
    <t>BPN</t>
  </si>
  <si>
    <t>JKT-PDG</t>
  </si>
  <si>
    <t>TLI</t>
  </si>
  <si>
    <t>PDG</t>
  </si>
  <si>
    <t>JKT-BDJ</t>
  </si>
  <si>
    <t>BDJ</t>
  </si>
  <si>
    <t>SUB-BDJ</t>
  </si>
  <si>
    <t>TRK</t>
  </si>
  <si>
    <t>BJ151</t>
  </si>
  <si>
    <t>BJ154</t>
  </si>
  <si>
    <t>Time at Port</t>
  </si>
  <si>
    <t>BJ156</t>
  </si>
  <si>
    <t>BJ158</t>
  </si>
  <si>
    <t>BJ160</t>
  </si>
  <si>
    <t>SUB-TRK</t>
  </si>
  <si>
    <t>PTL-TLI</t>
  </si>
  <si>
    <t>Avg Distance</t>
  </si>
  <si>
    <t>JKT-CLG</t>
  </si>
  <si>
    <t>JKT-SUB-MKS-SUB</t>
  </si>
  <si>
    <t>Port 1</t>
  </si>
  <si>
    <t>Port 2</t>
  </si>
  <si>
    <t>Avg Mnv Distance</t>
  </si>
  <si>
    <t>CLG-JKT</t>
  </si>
  <si>
    <t>SUB-WIN-DIL-SUB</t>
  </si>
  <si>
    <t>Jakarta</t>
  </si>
  <si>
    <t>Surabaya</t>
  </si>
  <si>
    <t>SUB-JKT</t>
  </si>
  <si>
    <t>Wini</t>
  </si>
  <si>
    <t>Dili</t>
  </si>
  <si>
    <t>WIN-SUB</t>
  </si>
  <si>
    <t>Pantoloan</t>
  </si>
  <si>
    <t>DIL-WIN</t>
  </si>
  <si>
    <t>SUB-PTL-TLI-SUB</t>
  </si>
  <si>
    <t>Makassar</t>
  </si>
  <si>
    <t>Toli-toli</t>
  </si>
  <si>
    <t>DIL-SUB</t>
  </si>
  <si>
    <t>Balikpapan</t>
  </si>
  <si>
    <t>PTL-SUB</t>
  </si>
  <si>
    <t>Padang</t>
  </si>
  <si>
    <t>Banjarmasin</t>
  </si>
  <si>
    <t>MKS-SUB</t>
  </si>
  <si>
    <t>Tarakan</t>
  </si>
  <si>
    <t>TLI-SUB</t>
  </si>
  <si>
    <t>SUB-JKT-PDG-JKT</t>
  </si>
  <si>
    <t>Avg Time at port</t>
  </si>
  <si>
    <t>Avg mnv time</t>
  </si>
  <si>
    <t>Avg AE cons at port (l/h)</t>
  </si>
  <si>
    <t>BPN-SUB</t>
  </si>
  <si>
    <t>PDG-JKT</t>
  </si>
  <si>
    <t>BDJ-JKT</t>
  </si>
  <si>
    <t>BDJ-SUB</t>
  </si>
  <si>
    <t>TRK-SUB</t>
  </si>
  <si>
    <t>Port 3</t>
  </si>
  <si>
    <t>Avg Time at port 1</t>
  </si>
  <si>
    <t>Avg Time at port 2</t>
  </si>
  <si>
    <t>Avg Time at port 3</t>
  </si>
  <si>
    <t>Avg mnv time port 1</t>
  </si>
  <si>
    <t>Avg mnv time port 2</t>
  </si>
  <si>
    <t>Avg mnv time port 3</t>
  </si>
  <si>
    <t>SUB-PTL-SUB</t>
  </si>
  <si>
    <t>SUB-JKT-SUB</t>
  </si>
  <si>
    <t>SUB-MKS-SUB</t>
  </si>
  <si>
    <t>SUB-BPN-SUB</t>
  </si>
  <si>
    <t>JKT-PDG-JKT</t>
  </si>
  <si>
    <t>SUB-BDJ-SUB</t>
  </si>
  <si>
    <t>SUB-TRK-SUB</t>
  </si>
  <si>
    <t>SUB-TLI-PTL-SUB</t>
  </si>
  <si>
    <t>SUB-WIN-SUB</t>
  </si>
  <si>
    <t>SUB-DIL-SUB</t>
  </si>
  <si>
    <t>SUB-TLI-SUB</t>
  </si>
  <si>
    <t>AE FOC (l/h)</t>
  </si>
  <si>
    <t>Pelabuhan</t>
  </si>
  <si>
    <t>Total Sailing time</t>
  </si>
  <si>
    <t>g/kWh</t>
  </si>
  <si>
    <t>MACHINERY DATA</t>
  </si>
  <si>
    <t>ROUTE</t>
  </si>
  <si>
    <t>(assumed)</t>
  </si>
  <si>
    <t>g/h</t>
  </si>
  <si>
    <t>kg/h</t>
  </si>
  <si>
    <t>ton/h</t>
  </si>
  <si>
    <t>m3/h</t>
  </si>
  <si>
    <t>LFO</t>
  </si>
  <si>
    <t>MDO</t>
  </si>
  <si>
    <t>Variasi Vs</t>
  </si>
  <si>
    <t>Var Sailing Time</t>
  </si>
  <si>
    <t>total var</t>
  </si>
  <si>
    <t>FOC Estimation</t>
  </si>
  <si>
    <t>Ppower</t>
  </si>
  <si>
    <t>Peff</t>
  </si>
  <si>
    <t>SFOCrel</t>
  </si>
  <si>
    <t>FOC ME
(kg/h)</t>
  </si>
  <si>
    <t>SFOC
(g/kWh)</t>
  </si>
  <si>
    <t>Preq
(kW)</t>
  </si>
  <si>
    <t>Max Voyage</t>
  </si>
  <si>
    <t>FOC AE at port</t>
  </si>
  <si>
    <t>FOC AE at sailing</t>
  </si>
  <si>
    <t>HSD</t>
  </si>
  <si>
    <t>MFO</t>
  </si>
  <si>
    <t>ME at sailing</t>
  </si>
  <si>
    <t>FOC (litre)</t>
  </si>
  <si>
    <t>FOC (ton)</t>
  </si>
  <si>
    <t>AE at port</t>
  </si>
  <si>
    <t>litre</t>
  </si>
  <si>
    <t>FOC (HSD)</t>
  </si>
  <si>
    <t>by design</t>
  </si>
  <si>
    <t>Estimation Mnv</t>
  </si>
  <si>
    <t>FOC (Litre)</t>
  </si>
  <si>
    <t>FOC(ton)</t>
  </si>
  <si>
    <t>AE Estimation Sailing</t>
  </si>
  <si>
    <t>Total FOC</t>
  </si>
  <si>
    <t>FOC estimation per year</t>
  </si>
  <si>
    <t>CII Calculation</t>
  </si>
  <si>
    <t>type of fuel</t>
  </si>
  <si>
    <t>reference</t>
  </si>
  <si>
    <t>loewr calorific value</t>
  </si>
  <si>
    <t>carbon content</t>
  </si>
  <si>
    <t>Diesel/Gas oil</t>
  </si>
  <si>
    <t>HFO</t>
  </si>
  <si>
    <t>LNG</t>
  </si>
  <si>
    <t>Methanol</t>
  </si>
  <si>
    <t>Ethanol</t>
  </si>
  <si>
    <t>LPG propane</t>
  </si>
  <si>
    <t>LPG Butane</t>
  </si>
  <si>
    <t>Total MFO</t>
  </si>
  <si>
    <t>MFO CO2 em</t>
  </si>
  <si>
    <t>Total HSD</t>
  </si>
  <si>
    <t>HSD CO2 em</t>
  </si>
  <si>
    <t>ltr</t>
  </si>
  <si>
    <t>HSD AE</t>
  </si>
  <si>
    <t>HSD ME (Sailing)</t>
  </si>
  <si>
    <t>Total CO2</t>
  </si>
  <si>
    <t>total distance</t>
  </si>
  <si>
    <t>Total Distance</t>
  </si>
  <si>
    <t>Nm</t>
  </si>
  <si>
    <t>Mass for supply-based CII</t>
  </si>
  <si>
    <t>Attained CII</t>
  </si>
  <si>
    <t>liter</t>
  </si>
  <si>
    <t>CO2 em</t>
  </si>
  <si>
    <t>total</t>
  </si>
  <si>
    <t>Required CII</t>
  </si>
  <si>
    <t>CII ref</t>
  </si>
  <si>
    <t>Capacity</t>
  </si>
  <si>
    <t>a</t>
  </si>
  <si>
    <t>c</t>
  </si>
  <si>
    <t>Ship Type</t>
  </si>
  <si>
    <t>Bulk Carrier</t>
  </si>
  <si>
    <t xml:space="preserve">&gt;=279000 DWT </t>
  </si>
  <si>
    <t>&lt;279000 DWT</t>
  </si>
  <si>
    <t>Gas Carrier</t>
  </si>
  <si>
    <t>&gt;=65000 DWT</t>
  </si>
  <si>
    <t>&lt;65000 DWT</t>
  </si>
  <si>
    <t>Container Ship</t>
  </si>
  <si>
    <t>General Cargo Ship</t>
  </si>
  <si>
    <t xml:space="preserve">&gt;=20000 DWT </t>
  </si>
  <si>
    <t>&lt;20000 DWT</t>
  </si>
  <si>
    <t>Refrigerated Cargo carrier</t>
  </si>
  <si>
    <t>Combination Carrier</t>
  </si>
  <si>
    <t>LNG Carrier</t>
  </si>
  <si>
    <t>&gt;=100000 DWT</t>
  </si>
  <si>
    <t>65000 &lt;= DWT&lt; 100000</t>
  </si>
  <si>
    <t>&gt;=57700 GT</t>
  </si>
  <si>
    <t>30000 &lt;= GT &lt; 57700</t>
  </si>
  <si>
    <t>&lt;30000 GT</t>
  </si>
  <si>
    <t xml:space="preserve">Ro-ro cargo ship </t>
  </si>
  <si>
    <t>High speed craft designed to SOLAS Chapter X</t>
  </si>
  <si>
    <t>General cargo ship</t>
  </si>
  <si>
    <t>CII Required</t>
  </si>
  <si>
    <t xml:space="preserve">CII Required </t>
  </si>
  <si>
    <t>1 - Z / 100 x CII ref</t>
  </si>
  <si>
    <t>Reduction Factor</t>
  </si>
  <si>
    <t>CII Req</t>
  </si>
  <si>
    <t>CII Rating</t>
  </si>
  <si>
    <t>Capacity in CII Calculation</t>
  </si>
  <si>
    <t>dd vectors</t>
  </si>
  <si>
    <t>exp (d1)</t>
  </si>
  <si>
    <t>exp (d2)</t>
  </si>
  <si>
    <t>exp (d3)</t>
  </si>
  <si>
    <t>exp (d4)</t>
  </si>
  <si>
    <t>Refrigerated Cargo Carrier</t>
  </si>
  <si>
    <t>&lt;100000 DWT</t>
  </si>
  <si>
    <t>Cruise pasengger ship</t>
  </si>
  <si>
    <t>Superior Boundary</t>
  </si>
  <si>
    <t>Lower</t>
  </si>
  <si>
    <t>Upper</t>
  </si>
  <si>
    <t>Inferior</t>
  </si>
  <si>
    <t>exp(d1) x CII req</t>
  </si>
  <si>
    <t>exp(d2) x CII req</t>
  </si>
  <si>
    <t>exp(d3) x CII req</t>
  </si>
  <si>
    <t>exp(d4) x CII req</t>
  </si>
  <si>
    <t>CII req</t>
  </si>
  <si>
    <t>Superior</t>
  </si>
  <si>
    <t>upper</t>
  </si>
  <si>
    <t>inferior</t>
  </si>
  <si>
    <t>exp(d1)</t>
  </si>
  <si>
    <t>exp(d2)</t>
  </si>
  <si>
    <t>exp(d3)</t>
  </si>
  <si>
    <t>exp(d4)</t>
  </si>
  <si>
    <t>Rating</t>
  </si>
  <si>
    <t>vs\year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</si>
</sst>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149"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0" fontId="0" fillId="6" borderId="0" xfId="0" applyFill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0" fillId="8" borderId="0" xfId="0" applyFill="1"/>
    <xf numFmtId="1" fontId="0" fillId="0" borderId="0" xfId="0" applyNumberFormat="1"/>
    <xf numFmtId="0" fontId="0" fillId="9" borderId="0" xfId="0" applyFill="1"/>
    <xf numFmtId="0" fontId="0" fillId="10" borderId="0" xfId="0" applyFill="1"/>
    <xf numFmtId="0" fontId="7" fillId="0" borderId="0" xfId="2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7" fillId="0" borderId="0" xfId="2"/>
    <xf numFmtId="2" fontId="7" fillId="0" borderId="0" xfId="2" applyNumberFormat="1"/>
    <xf numFmtId="10" fontId="3" fillId="3" borderId="4" xfId="2" applyNumberFormat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2" fontId="1" fillId="0" borderId="1" xfId="2" applyNumberFormat="1" applyFont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2" fontId="7" fillId="0" borderId="1" xfId="2" applyNumberFormat="1" applyBorder="1" applyAlignment="1">
      <alignment horizontal="center" vertical="center"/>
    </xf>
    <xf numFmtId="1" fontId="7" fillId="0" borderId="1" xfId="2" applyNumberFormat="1" applyBorder="1" applyAlignment="1">
      <alignment horizontal="center" vertical="center"/>
    </xf>
    <xf numFmtId="2" fontId="7" fillId="0" borderId="6" xfId="2" applyNumberFormat="1" applyBorder="1" applyAlignment="1">
      <alignment horizontal="center" vertical="center"/>
    </xf>
    <xf numFmtId="0" fontId="7" fillId="11" borderId="1" xfId="2" applyFill="1" applyBorder="1" applyAlignment="1">
      <alignment horizontal="center" vertical="center"/>
    </xf>
    <xf numFmtId="0" fontId="7" fillId="11" borderId="6" xfId="2" applyFill="1" applyBorder="1" applyAlignment="1">
      <alignment horizontal="center" vertical="center"/>
    </xf>
    <xf numFmtId="166" fontId="7" fillId="11" borderId="6" xfId="2" applyNumberFormat="1" applyFill="1" applyBorder="1" applyAlignment="1">
      <alignment horizontal="center" vertical="center"/>
    </xf>
    <xf numFmtId="166" fontId="7" fillId="11" borderId="1" xfId="2" applyNumberFormat="1" applyFill="1" applyBorder="1" applyAlignment="1">
      <alignment horizontal="center" vertical="center"/>
    </xf>
    <xf numFmtId="0" fontId="7" fillId="9" borderId="1" xfId="2" applyFill="1" applyBorder="1" applyAlignment="1">
      <alignment horizontal="center" vertical="center"/>
    </xf>
    <xf numFmtId="166" fontId="7" fillId="0" borderId="1" xfId="2" applyNumberFormat="1" applyBorder="1" applyAlignment="1">
      <alignment horizontal="center" vertical="center"/>
    </xf>
    <xf numFmtId="0" fontId="7" fillId="5" borderId="1" xfId="2" applyFill="1" applyBorder="1" applyAlignment="1">
      <alignment horizontal="center" vertical="center"/>
    </xf>
    <xf numFmtId="166" fontId="7" fillId="0" borderId="0" xfId="2" applyNumberFormat="1"/>
    <xf numFmtId="0" fontId="7" fillId="0" borderId="1" xfId="2" applyBorder="1" applyAlignment="1">
      <alignment horizontal="center"/>
    </xf>
    <xf numFmtId="1" fontId="7" fillId="0" borderId="0" xfId="2" applyNumberFormat="1" applyAlignment="1">
      <alignment horizontal="center" vertical="center"/>
    </xf>
    <xf numFmtId="0" fontId="7" fillId="0" borderId="1" xfId="2" applyBorder="1"/>
    <xf numFmtId="2" fontId="7" fillId="0" borderId="0" xfId="2" applyNumberFormat="1" applyAlignment="1">
      <alignment horizontal="center" vertical="center"/>
    </xf>
    <xf numFmtId="0" fontId="7" fillId="10" borderId="1" xfId="2" applyFill="1" applyBorder="1" applyAlignment="1">
      <alignment horizontal="center" vertical="center"/>
    </xf>
    <xf numFmtId="0" fontId="7" fillId="0" borderId="1" xfId="2" applyBorder="1" applyAlignment="1">
      <alignment horizontal="center" vertical="center" wrapText="1"/>
    </xf>
    <xf numFmtId="9" fontId="0" fillId="0" borderId="0" xfId="3" applyFont="1" applyAlignment="1">
      <alignment horizontal="center" vertical="center"/>
    </xf>
    <xf numFmtId="0" fontId="7" fillId="3" borderId="1" xfId="2" applyFill="1" applyBorder="1" applyAlignment="1">
      <alignment horizontal="center" vertical="center"/>
    </xf>
    <xf numFmtId="0" fontId="0" fillId="12" borderId="0" xfId="0" applyFill="1"/>
    <xf numFmtId="9" fontId="0" fillId="0" borderId="0" xfId="1" applyFont="1"/>
    <xf numFmtId="166" fontId="0" fillId="0" borderId="0" xfId="0" applyNumberFormat="1"/>
    <xf numFmtId="166" fontId="0" fillId="7" borderId="0" xfId="0" applyNumberFormat="1" applyFill="1" applyAlignment="1">
      <alignment horizontal="center" vertical="center"/>
    </xf>
    <xf numFmtId="0" fontId="1" fillId="0" borderId="0" xfId="2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6" fillId="0" borderId="0" xfId="2" applyFont="1" applyAlignment="1">
      <alignment vertical="center"/>
    </xf>
    <xf numFmtId="0" fontId="6" fillId="0" borderId="0" xfId="2" applyFont="1" applyAlignment="1">
      <alignment vertical="center" wrapText="1"/>
    </xf>
    <xf numFmtId="0" fontId="8" fillId="1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1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14" borderId="0" xfId="0" applyFill="1"/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0" xfId="0" applyNumberFormat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11" borderId="0" xfId="0" applyFill="1"/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9" fontId="0" fillId="3" borderId="0" xfId="0" applyNumberFormat="1" applyFill="1" applyAlignment="1">
      <alignment horizontal="center"/>
    </xf>
    <xf numFmtId="0" fontId="0" fillId="7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9" fontId="0" fillId="3" borderId="0" xfId="1" applyFont="1" applyFill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7" fillId="0" borderId="8" xfId="2" applyNumberFormat="1" applyBorder="1" applyAlignment="1">
      <alignment horizontal="center" vertical="center"/>
    </xf>
    <xf numFmtId="2" fontId="7" fillId="0" borderId="6" xfId="2" applyNumberFormat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2" fontId="7" fillId="0" borderId="1" xfId="2" applyNumberFormat="1" applyBorder="1" applyAlignment="1">
      <alignment horizontal="center" vertical="center"/>
    </xf>
    <xf numFmtId="1" fontId="7" fillId="0" borderId="1" xfId="2" applyNumberFormat="1" applyBorder="1" applyAlignment="1">
      <alignment horizontal="center" vertical="center"/>
    </xf>
    <xf numFmtId="0" fontId="7" fillId="0" borderId="7" xfId="2" applyBorder="1" applyAlignment="1">
      <alignment horizontal="center" vertical="center"/>
    </xf>
    <xf numFmtId="0" fontId="7" fillId="0" borderId="8" xfId="2" applyBorder="1" applyAlignment="1">
      <alignment horizontal="center" vertical="center"/>
    </xf>
    <xf numFmtId="0" fontId="7" fillId="0" borderId="6" xfId="2" applyBorder="1" applyAlignment="1">
      <alignment horizontal="center" vertical="center"/>
    </xf>
    <xf numFmtId="2" fontId="7" fillId="0" borderId="7" xfId="2" applyNumberFormat="1" applyBorder="1" applyAlignment="1">
      <alignment horizontal="center" vertical="center"/>
    </xf>
    <xf numFmtId="166" fontId="7" fillId="0" borderId="1" xfId="2" applyNumberFormat="1" applyBorder="1" applyAlignment="1">
      <alignment horizontal="center" vertical="center"/>
    </xf>
    <xf numFmtId="0" fontId="7" fillId="10" borderId="7" xfId="2" applyFill="1" applyBorder="1" applyAlignment="1">
      <alignment horizontal="center" vertical="center"/>
    </xf>
    <xf numFmtId="0" fontId="7" fillId="10" borderId="8" xfId="2" applyFill="1" applyBorder="1" applyAlignment="1">
      <alignment horizontal="center" vertical="center"/>
    </xf>
    <xf numFmtId="0" fontId="7" fillId="10" borderId="6" xfId="2" applyFill="1" applyBorder="1" applyAlignment="1">
      <alignment horizontal="center" vertical="center"/>
    </xf>
    <xf numFmtId="0" fontId="7" fillId="3" borderId="7" xfId="2" applyFill="1" applyBorder="1" applyAlignment="1">
      <alignment horizontal="center" vertical="center"/>
    </xf>
    <xf numFmtId="0" fontId="7" fillId="3" borderId="8" xfId="2" applyFill="1" applyBorder="1" applyAlignment="1">
      <alignment horizontal="center" vertical="center"/>
    </xf>
    <xf numFmtId="0" fontId="7" fillId="3" borderId="6" xfId="2" applyFill="1" applyBorder="1" applyAlignment="1">
      <alignment horizontal="center" vertical="center"/>
    </xf>
    <xf numFmtId="0" fontId="7" fillId="11" borderId="7" xfId="2" applyFill="1" applyBorder="1" applyAlignment="1">
      <alignment horizontal="center" vertical="center"/>
    </xf>
    <xf numFmtId="0" fontId="7" fillId="11" borderId="8" xfId="2" applyFill="1" applyBorder="1" applyAlignment="1">
      <alignment horizontal="center" vertical="center"/>
    </xf>
    <xf numFmtId="0" fontId="7" fillId="11" borderId="6" xfId="2" applyFill="1" applyBorder="1" applyAlignment="1">
      <alignment horizontal="center" vertical="center"/>
    </xf>
    <xf numFmtId="0" fontId="7" fillId="5" borderId="1" xfId="2" applyFill="1" applyBorder="1" applyAlignment="1">
      <alignment horizontal="center" vertical="center"/>
    </xf>
    <xf numFmtId="0" fontId="7" fillId="5" borderId="7" xfId="2" applyFill="1" applyBorder="1" applyAlignment="1">
      <alignment horizontal="center" vertical="center"/>
    </xf>
    <xf numFmtId="0" fontId="7" fillId="5" borderId="8" xfId="2" applyFill="1" applyBorder="1" applyAlignment="1">
      <alignment horizontal="center" vertical="center"/>
    </xf>
    <xf numFmtId="0" fontId="7" fillId="5" borderId="6" xfId="2" applyFill="1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10" borderId="1" xfId="2" applyFill="1" applyBorder="1" applyAlignment="1">
      <alignment horizontal="center" vertical="center"/>
    </xf>
  </cellXfs>
  <cellStyles count="4">
    <cellStyle name="Normal" xfId="0" builtinId="0"/>
    <cellStyle name="Normal 2" xfId="2" xr:uid="{4CE40AA7-3D21-4F30-90BD-E79F5D8B6CD3}"/>
    <cellStyle name="Percent" xfId="1" builtinId="5"/>
    <cellStyle name="Percent 2" xfId="3" xr:uid="{EB4C04D8-4578-4FDB-BA78-D702B97596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F2D4-6EA6-4CEE-9EEC-44019C3F9005}">
  <dimension ref="A2:BB223"/>
  <sheetViews>
    <sheetView tabSelected="1" topLeftCell="A22" zoomScale="85" zoomScaleNormal="85" workbookViewId="0">
      <selection activeCell="E45" sqref="E45"/>
    </sheetView>
  </sheetViews>
  <sheetFormatPr defaultRowHeight="14.4" x14ac:dyDescent="0.3"/>
  <cols>
    <col min="2" max="2" width="13.88671875" customWidth="1"/>
    <col min="3" max="6" width="12.88671875" bestFit="1" customWidth="1"/>
    <col min="7" max="8" width="12.44140625" bestFit="1" customWidth="1"/>
    <col min="9" max="9" width="9.5546875" customWidth="1"/>
    <col min="10" max="10" width="10.5546875" customWidth="1"/>
    <col min="13" max="13" width="9.88671875" customWidth="1"/>
    <col min="15" max="15" width="9" customWidth="1"/>
    <col min="16" max="16" width="11.6640625" customWidth="1"/>
    <col min="29" max="29" width="10.33203125" customWidth="1"/>
    <col min="30" max="30" width="10.77734375" customWidth="1"/>
    <col min="33" max="33" width="11.33203125" bestFit="1" customWidth="1"/>
    <col min="39" max="39" width="12" customWidth="1"/>
    <col min="40" max="40" width="9.77734375" customWidth="1"/>
    <col min="44" max="44" width="11" customWidth="1"/>
    <col min="45" max="45" width="9.77734375" bestFit="1" customWidth="1"/>
    <col min="47" max="47" width="10.77734375" bestFit="1" customWidth="1"/>
  </cols>
  <sheetData>
    <row r="2" spans="1:19" x14ac:dyDescent="0.3">
      <c r="A2" s="88" t="s">
        <v>0</v>
      </c>
      <c r="B2" s="94"/>
      <c r="C2" s="94"/>
      <c r="D2" s="94"/>
      <c r="E2" s="94"/>
      <c r="F2" s="94"/>
      <c r="G2" s="94"/>
      <c r="I2" s="88" t="s">
        <v>344</v>
      </c>
      <c r="J2" s="88"/>
      <c r="K2" s="88"/>
      <c r="L2" s="88"/>
      <c r="M2" s="88"/>
      <c r="O2" s="88" t="s">
        <v>345</v>
      </c>
      <c r="P2" s="88"/>
      <c r="Q2" s="88"/>
      <c r="R2" s="88"/>
    </row>
    <row r="4" spans="1:19" x14ac:dyDescent="0.3">
      <c r="A4" s="89" t="s">
        <v>1</v>
      </c>
      <c r="B4" s="89"/>
      <c r="C4" s="83" t="s">
        <v>77</v>
      </c>
      <c r="D4" s="83"/>
      <c r="E4" s="83"/>
      <c r="F4" s="83"/>
      <c r="G4" s="83"/>
      <c r="I4" t="s">
        <v>168</v>
      </c>
      <c r="K4" s="101">
        <v>3200</v>
      </c>
      <c r="L4" s="101"/>
      <c r="M4" t="s">
        <v>164</v>
      </c>
      <c r="O4" t="s">
        <v>191</v>
      </c>
      <c r="Q4" s="83" t="s">
        <v>192</v>
      </c>
      <c r="R4" s="83"/>
    </row>
    <row r="5" spans="1:19" x14ac:dyDescent="0.3">
      <c r="A5" s="89" t="s">
        <v>2</v>
      </c>
      <c r="B5" s="89"/>
      <c r="C5" s="83" t="s">
        <v>435</v>
      </c>
      <c r="D5" s="83"/>
      <c r="E5" s="83"/>
      <c r="F5" s="83"/>
      <c r="G5" s="83"/>
      <c r="I5" t="s">
        <v>173</v>
      </c>
      <c r="K5" s="101">
        <v>182</v>
      </c>
      <c r="L5" s="101"/>
      <c r="M5" t="s">
        <v>343</v>
      </c>
      <c r="O5" t="s">
        <v>193</v>
      </c>
      <c r="Q5" s="102">
        <v>0.85</v>
      </c>
      <c r="R5" s="102"/>
    </row>
    <row r="6" spans="1:19" x14ac:dyDescent="0.3">
      <c r="A6" s="89" t="s">
        <v>3</v>
      </c>
      <c r="B6" s="89"/>
      <c r="C6" s="83">
        <v>117</v>
      </c>
      <c r="D6" s="83"/>
      <c r="E6" s="83"/>
      <c r="F6" s="83"/>
      <c r="G6" t="s">
        <v>27</v>
      </c>
      <c r="I6" t="s">
        <v>178</v>
      </c>
      <c r="K6" s="101">
        <v>135</v>
      </c>
      <c r="L6" s="101"/>
      <c r="M6" t="s">
        <v>211</v>
      </c>
      <c r="O6" t="s">
        <v>179</v>
      </c>
      <c r="Q6" s="100">
        <f>VLOOKUP(Sheet1!Q4,'Route Distance'!C147:N159,11,FALSE)</f>
        <v>983.66666666666663</v>
      </c>
      <c r="R6" s="100"/>
    </row>
    <row r="7" spans="1:19" x14ac:dyDescent="0.3">
      <c r="A7" s="89" t="s">
        <v>4</v>
      </c>
      <c r="B7" s="89"/>
      <c r="C7" s="83">
        <v>110</v>
      </c>
      <c r="D7" s="83"/>
      <c r="E7" s="83"/>
      <c r="F7" s="83"/>
      <c r="G7" t="s">
        <v>27</v>
      </c>
      <c r="I7" t="s">
        <v>177</v>
      </c>
      <c r="K7" s="96">
        <v>0.75</v>
      </c>
      <c r="L7" s="83"/>
      <c r="M7" t="s">
        <v>346</v>
      </c>
      <c r="O7" t="s">
        <v>180</v>
      </c>
      <c r="Q7" s="98">
        <f>Q6/C17</f>
        <v>71.280193236714965</v>
      </c>
      <c r="R7" s="98"/>
    </row>
    <row r="8" spans="1:19" x14ac:dyDescent="0.3">
      <c r="A8" s="89" t="s">
        <v>29</v>
      </c>
      <c r="B8" s="89"/>
      <c r="C8" s="92">
        <f>C7*1.035</f>
        <v>113.85</v>
      </c>
      <c r="D8" s="92"/>
      <c r="E8" s="92"/>
      <c r="F8" s="92"/>
      <c r="G8" t="s">
        <v>27</v>
      </c>
      <c r="O8" t="s">
        <v>185</v>
      </c>
      <c r="Q8" s="98">
        <f>IFERROR(VLOOKUP(S8,'Route Distance'!$C$188:$H$200,HLOOKUP($Q$5,'Route Distance'!$C$188:$H$190,2,FALSE),FALSE),0)</f>
        <v>24.15</v>
      </c>
      <c r="R8" s="98"/>
      <c r="S8" t="str">
        <f>VLOOKUP(Q4,'Route Distance'!C146:F159,2,FALSE)</f>
        <v>Jakarta</v>
      </c>
    </row>
    <row r="9" spans="1:19" x14ac:dyDescent="0.3">
      <c r="A9" s="84" t="s">
        <v>45</v>
      </c>
      <c r="B9" s="84"/>
      <c r="C9" s="83">
        <v>114</v>
      </c>
      <c r="D9" s="83"/>
      <c r="E9" s="83"/>
      <c r="F9" s="83"/>
      <c r="G9" t="s">
        <v>27</v>
      </c>
      <c r="O9" t="s">
        <v>186</v>
      </c>
      <c r="Q9" s="98">
        <f>IFERROR(VLOOKUP(S9,'Route Distance'!$C$188:$H$200,HLOOKUP($Q$5,'Route Distance'!$C$188:$H$190,2,FALSE),FALSE),0)</f>
        <v>39.840000000000003</v>
      </c>
      <c r="R9" s="98"/>
      <c r="S9" t="str">
        <f>VLOOKUP(Q4,'Route Distance'!C146:F159,3,FALSE)</f>
        <v>Banjarmasin</v>
      </c>
    </row>
    <row r="10" spans="1:19" x14ac:dyDescent="0.3">
      <c r="A10" s="89" t="s">
        <v>5</v>
      </c>
      <c r="B10" s="89"/>
      <c r="C10" s="83">
        <v>19.7</v>
      </c>
      <c r="D10" s="83"/>
      <c r="E10" s="83"/>
      <c r="F10" s="83"/>
      <c r="G10" t="s">
        <v>27</v>
      </c>
      <c r="O10" t="s">
        <v>187</v>
      </c>
      <c r="Q10" s="98">
        <f>IFERROR(VLOOKUP(S10,'Route Distance'!$C$188:$H$200,HLOOKUP($Q$5,'Route Distance'!$C$188:$H$190,2,FALSE),FALSE),0)</f>
        <v>0</v>
      </c>
      <c r="R10" s="98"/>
      <c r="S10" t="str">
        <f>VLOOKUP(Q4,'Route Distance'!C146:F159,4,FALSE)</f>
        <v>-</v>
      </c>
    </row>
    <row r="11" spans="1:19" x14ac:dyDescent="0.3">
      <c r="A11" s="89" t="s">
        <v>7</v>
      </c>
      <c r="B11" s="89"/>
      <c r="C11" s="83">
        <v>6.45</v>
      </c>
      <c r="D11" s="83"/>
      <c r="E11" s="83"/>
      <c r="F11" s="83"/>
      <c r="G11" t="s">
        <v>27</v>
      </c>
      <c r="O11" t="s">
        <v>188</v>
      </c>
      <c r="Q11" s="99">
        <f>VLOOKUP(Sheet1!Q4,'Route Distance'!C147:N159,8,FALSE)</f>
        <v>5.4666666666666659</v>
      </c>
      <c r="R11" s="99"/>
    </row>
    <row r="12" spans="1:19" x14ac:dyDescent="0.3">
      <c r="A12" s="89" t="s">
        <v>78</v>
      </c>
      <c r="B12" s="89"/>
      <c r="C12" s="83">
        <v>8.5</v>
      </c>
      <c r="D12" s="83"/>
      <c r="E12" s="83"/>
      <c r="F12" s="83"/>
      <c r="G12" t="s">
        <v>27</v>
      </c>
      <c r="O12" t="s">
        <v>189</v>
      </c>
      <c r="Q12" s="98">
        <f>VLOOKUP(Sheet1!Q4,'Route Distance'!C147:N159,9,FALSE)</f>
        <v>10.233333333333334</v>
      </c>
      <c r="R12" s="98"/>
    </row>
    <row r="13" spans="1:19" x14ac:dyDescent="0.3">
      <c r="A13" s="89" t="s">
        <v>8</v>
      </c>
      <c r="B13" s="89"/>
      <c r="C13" s="83">
        <v>7664.6</v>
      </c>
      <c r="D13" s="83"/>
      <c r="E13" s="83"/>
      <c r="F13" s="83"/>
      <c r="G13" t="s">
        <v>28</v>
      </c>
      <c r="O13" t="s">
        <v>190</v>
      </c>
      <c r="Q13" s="98">
        <f>VLOOKUP(Sheet1!Q4,'Route Distance'!C147:N159,10,FALSE)</f>
        <v>0</v>
      </c>
      <c r="R13" s="98"/>
    </row>
    <row r="14" spans="1:19" x14ac:dyDescent="0.3">
      <c r="A14" s="89" t="s">
        <v>9</v>
      </c>
      <c r="B14" s="89"/>
      <c r="C14" s="83">
        <v>5745</v>
      </c>
      <c r="D14" s="83"/>
      <c r="E14" s="83"/>
      <c r="F14" s="83"/>
      <c r="O14" t="s">
        <v>342</v>
      </c>
      <c r="Q14" s="99">
        <f>SUM(Q7:R13)</f>
        <v>150.97019323671498</v>
      </c>
      <c r="R14" s="99"/>
    </row>
    <row r="15" spans="1:19" x14ac:dyDescent="0.3">
      <c r="A15" s="89" t="s">
        <v>10</v>
      </c>
      <c r="B15" s="89"/>
      <c r="C15" s="83">
        <v>2952</v>
      </c>
      <c r="D15" s="83"/>
      <c r="E15" s="83"/>
      <c r="F15" s="83"/>
      <c r="O15" t="s">
        <v>181</v>
      </c>
      <c r="Q15" s="100">
        <v>365</v>
      </c>
      <c r="R15" s="100"/>
    </row>
    <row r="16" spans="1:19" x14ac:dyDescent="0.3">
      <c r="A16" s="89" t="s">
        <v>11</v>
      </c>
      <c r="B16" s="89"/>
      <c r="C16" s="83">
        <v>11129.6</v>
      </c>
      <c r="D16" s="83"/>
      <c r="E16" s="83"/>
      <c r="F16" s="83"/>
      <c r="G16" t="s">
        <v>28</v>
      </c>
      <c r="O16" t="s">
        <v>182</v>
      </c>
      <c r="Q16" s="100">
        <v>30</v>
      </c>
      <c r="R16" s="100"/>
    </row>
    <row r="17" spans="1:19" x14ac:dyDescent="0.3">
      <c r="A17" s="93" t="s">
        <v>12</v>
      </c>
      <c r="B17" s="93"/>
      <c r="C17" s="83">
        <v>13.8</v>
      </c>
      <c r="D17" s="83"/>
      <c r="E17" s="83"/>
      <c r="F17" s="83"/>
      <c r="G17" t="s">
        <v>26</v>
      </c>
      <c r="O17" t="s">
        <v>183</v>
      </c>
      <c r="Q17" s="100">
        <f>Q15-Q16</f>
        <v>335</v>
      </c>
      <c r="R17" s="100"/>
    </row>
    <row r="18" spans="1:19" x14ac:dyDescent="0.3">
      <c r="A18" s="93"/>
      <c r="B18" s="93"/>
      <c r="C18" s="92">
        <f>C17*0.5144</f>
        <v>7.0987200000000001</v>
      </c>
      <c r="D18" s="92"/>
      <c r="E18" s="92"/>
      <c r="F18" s="92"/>
      <c r="G18" t="s">
        <v>25</v>
      </c>
      <c r="O18" t="s">
        <v>184</v>
      </c>
      <c r="Q18" s="100">
        <f>ROUNDUP(((Q17*24)/Q14),0)</f>
        <v>54</v>
      </c>
      <c r="R18" s="100"/>
    </row>
    <row r="19" spans="1:19" x14ac:dyDescent="0.3">
      <c r="A19" s="89" t="s">
        <v>64</v>
      </c>
      <c r="B19" s="89"/>
      <c r="C19" s="83">
        <v>3.7</v>
      </c>
      <c r="D19" s="83"/>
      <c r="E19" s="83"/>
      <c r="F19" s="83"/>
    </row>
    <row r="20" spans="1:19" x14ac:dyDescent="0.3">
      <c r="A20" s="89" t="s">
        <v>65</v>
      </c>
      <c r="B20" s="89"/>
      <c r="C20" s="83">
        <v>1</v>
      </c>
      <c r="D20" s="83"/>
      <c r="E20" s="83"/>
      <c r="F20" s="83"/>
    </row>
    <row r="21" spans="1:19" x14ac:dyDescent="0.3">
      <c r="A21" s="89" t="s">
        <v>150</v>
      </c>
      <c r="B21" s="89"/>
      <c r="C21" s="83">
        <v>0</v>
      </c>
      <c r="D21" s="83"/>
      <c r="E21" s="83"/>
      <c r="F21" s="83"/>
    </row>
    <row r="23" spans="1:19" x14ac:dyDescent="0.3">
      <c r="A23" s="88" t="s">
        <v>80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</row>
    <row r="24" spans="1:19" x14ac:dyDescent="0.3">
      <c r="A24" s="90" t="s">
        <v>81</v>
      </c>
      <c r="B24" s="90"/>
      <c r="C24" s="90"/>
      <c r="D24" s="90"/>
      <c r="E24" s="90"/>
      <c r="F24" s="90"/>
      <c r="G24" s="90"/>
      <c r="H24" s="90"/>
      <c r="I24" s="90"/>
      <c r="K24" s="90" t="s">
        <v>86</v>
      </c>
      <c r="L24" s="90"/>
      <c r="M24" s="90"/>
      <c r="N24" s="90"/>
      <c r="O24" s="90"/>
      <c r="P24" s="90"/>
      <c r="Q24" s="90"/>
      <c r="R24" s="90"/>
      <c r="S24" s="90"/>
    </row>
    <row r="25" spans="1:19" x14ac:dyDescent="0.3">
      <c r="A25" s="1" t="s">
        <v>24</v>
      </c>
      <c r="B25" s="1"/>
      <c r="C25" s="1"/>
      <c r="D25" s="1"/>
      <c r="F25" s="1" t="s">
        <v>38</v>
      </c>
      <c r="G25" s="1"/>
      <c r="H25" s="1"/>
      <c r="I25" s="1"/>
      <c r="K25" s="1" t="s">
        <v>87</v>
      </c>
      <c r="L25" s="1"/>
      <c r="M25" s="1"/>
      <c r="N25" s="1"/>
      <c r="P25" s="1" t="s">
        <v>134</v>
      </c>
      <c r="Q25" s="1"/>
      <c r="R25" s="1"/>
      <c r="S25" s="1"/>
    </row>
    <row r="26" spans="1:19" x14ac:dyDescent="0.3">
      <c r="A26" t="s">
        <v>31</v>
      </c>
      <c r="C26">
        <f>C18</f>
        <v>7.0987200000000001</v>
      </c>
      <c r="F26" t="s">
        <v>12</v>
      </c>
      <c r="H26">
        <f>C18</f>
        <v>7.0987200000000001</v>
      </c>
      <c r="K26" t="s">
        <v>40</v>
      </c>
      <c r="M26">
        <f>H30</f>
        <v>0.20923197403701538</v>
      </c>
      <c r="P26" t="s">
        <v>122</v>
      </c>
      <c r="R26">
        <f>IF("C19"=2,'data, etc'!E62,'data, etc'!C62)</f>
        <v>2.1701000000000001</v>
      </c>
    </row>
    <row r="27" spans="1:19" x14ac:dyDescent="0.3">
      <c r="A27" t="s">
        <v>32</v>
      </c>
      <c r="C27">
        <f>C8</f>
        <v>113.85</v>
      </c>
      <c r="F27" t="s">
        <v>39</v>
      </c>
      <c r="H27">
        <v>9.81</v>
      </c>
      <c r="K27" t="s">
        <v>42</v>
      </c>
      <c r="M27">
        <f>H35</f>
        <v>0.75986123426698093</v>
      </c>
      <c r="P27" t="s">
        <v>123</v>
      </c>
      <c r="R27">
        <f>IF("C19"=2,'data, etc'!E63,'data, etc'!C63)</f>
        <v>-0.16020000000000001</v>
      </c>
    </row>
    <row r="28" spans="1:19" x14ac:dyDescent="0.3">
      <c r="A28" t="s">
        <v>33</v>
      </c>
      <c r="C28">
        <v>9.3712999999999997E-7</v>
      </c>
      <c r="D28" s="15" t="s">
        <v>34</v>
      </c>
      <c r="F28" t="s">
        <v>143</v>
      </c>
      <c r="H28">
        <f>C7*1.0667</f>
        <v>117.337</v>
      </c>
      <c r="K28" t="s">
        <v>93</v>
      </c>
      <c r="M28">
        <f>IF("C19"=2,'data, etc'!E35,'data, etc'!C35)</f>
        <v>-0.57423999999999997</v>
      </c>
      <c r="P28" t="s">
        <v>4</v>
      </c>
      <c r="R28">
        <f>C7</f>
        <v>110</v>
      </c>
    </row>
    <row r="29" spans="1:19" x14ac:dyDescent="0.3">
      <c r="K29" t="s">
        <v>94</v>
      </c>
      <c r="M29">
        <f>IF("C19"=2,'data, etc'!E36,'data, etc'!C36)</f>
        <v>13.3893</v>
      </c>
    </row>
    <row r="30" spans="1:19" x14ac:dyDescent="0.3">
      <c r="A30" s="2" t="s">
        <v>35</v>
      </c>
      <c r="B30" s="2"/>
      <c r="C30" s="2">
        <f>(C26*C27)/C28</f>
        <v>862408920.85409701</v>
      </c>
      <c r="F30" s="2" t="s">
        <v>40</v>
      </c>
      <c r="G30" s="2"/>
      <c r="H30" s="2">
        <f>H26/SQRT(H27*H28)</f>
        <v>0.20923197403701538</v>
      </c>
      <c r="K30" t="s">
        <v>95</v>
      </c>
      <c r="M30">
        <f>IF("C19"=2,'data, etc'!E37,'data, etc'!C37)</f>
        <v>90.596000000000004</v>
      </c>
      <c r="P30" s="2" t="s">
        <v>135</v>
      </c>
      <c r="Q30" s="2"/>
      <c r="R30" s="2">
        <f>R26*(R28^R27)</f>
        <v>1.0219946887395193</v>
      </c>
    </row>
    <row r="31" spans="1:19" x14ac:dyDescent="0.3">
      <c r="K31" t="s">
        <v>96</v>
      </c>
      <c r="M31">
        <f>IF("C19"=2,'data, etc'!E38,'data, etc'!C38)</f>
        <v>4.6614000000000004</v>
      </c>
    </row>
    <row r="32" spans="1:19" x14ac:dyDescent="0.3">
      <c r="A32" s="1" t="s">
        <v>36</v>
      </c>
      <c r="B32" s="1"/>
      <c r="C32" s="1"/>
      <c r="D32" s="1"/>
      <c r="F32" s="1" t="s">
        <v>41</v>
      </c>
      <c r="G32" s="1"/>
      <c r="H32" s="1"/>
      <c r="I32" s="1"/>
      <c r="K32" t="s">
        <v>97</v>
      </c>
      <c r="M32">
        <f>IF("C19"=2,'data, etc'!E39,'data, etc'!C39)</f>
        <v>-39.720999999999997</v>
      </c>
      <c r="P32" s="1" t="s">
        <v>136</v>
      </c>
      <c r="Q32" s="1"/>
      <c r="R32" s="1"/>
      <c r="S32" s="1"/>
    </row>
    <row r="33" spans="1:20" x14ac:dyDescent="0.3">
      <c r="A33" t="s">
        <v>35</v>
      </c>
      <c r="C33">
        <f>C30</f>
        <v>862408920.85409701</v>
      </c>
      <c r="F33" t="s">
        <v>40</v>
      </c>
      <c r="H33">
        <f>H30</f>
        <v>0.20923197403701538</v>
      </c>
      <c r="K33" t="s">
        <v>98</v>
      </c>
      <c r="M33">
        <f>IF("C19"=2,'data, etc'!E40,'data, etc'!C40)</f>
        <v>-351.483</v>
      </c>
      <c r="P33" t="s">
        <v>109</v>
      </c>
      <c r="R33">
        <f>IF(C20=2,'data, etc'!E48,'data, etc'!C48)</f>
        <v>0.3382</v>
      </c>
    </row>
    <row r="34" spans="1:20" x14ac:dyDescent="0.3">
      <c r="K34" t="s">
        <v>99</v>
      </c>
      <c r="M34">
        <f>IF("C19"=2,'data, etc'!E41,'data, etc'!C41)</f>
        <v>-1.14215</v>
      </c>
      <c r="P34" t="s">
        <v>5</v>
      </c>
      <c r="R34">
        <f>C10</f>
        <v>19.7</v>
      </c>
    </row>
    <row r="35" spans="1:20" x14ac:dyDescent="0.3">
      <c r="A35" s="2" t="s">
        <v>37</v>
      </c>
      <c r="B35" s="2"/>
      <c r="C35" s="2">
        <f>0.075/((LOG10(C33)-2)^2)</f>
        <v>1.5591180731027155E-3</v>
      </c>
      <c r="F35" s="2" t="s">
        <v>42</v>
      </c>
      <c r="G35" s="2"/>
      <c r="H35" s="2">
        <f>0.7+((1/8)*ATAN((23-(100*H33))/4))</f>
        <v>0.75986123426698093</v>
      </c>
      <c r="K35" t="s">
        <v>100</v>
      </c>
      <c r="M35">
        <f>IF("C19"=2,'data, etc'!E42,'data, etc'!C42)</f>
        <v>-12.329599999999999</v>
      </c>
      <c r="P35" t="s">
        <v>7</v>
      </c>
      <c r="R35">
        <f>C11</f>
        <v>6.45</v>
      </c>
    </row>
    <row r="36" spans="1:20" x14ac:dyDescent="0.3">
      <c r="K36" t="s">
        <v>101</v>
      </c>
      <c r="M36">
        <f>IF("C19"=2,'data, etc'!E43,'data, etc'!C43)</f>
        <v>459.25400000000002</v>
      </c>
    </row>
    <row r="37" spans="1:20" x14ac:dyDescent="0.3">
      <c r="A37" s="1" t="s">
        <v>43</v>
      </c>
      <c r="B37" s="1"/>
      <c r="C37" s="1"/>
      <c r="D37" s="1"/>
      <c r="F37" s="1" t="s">
        <v>44</v>
      </c>
      <c r="G37" s="1"/>
      <c r="H37" s="1"/>
      <c r="I37" s="1"/>
      <c r="P37" s="2" t="s">
        <v>137</v>
      </c>
      <c r="Q37" s="2"/>
      <c r="R37" s="2">
        <f>IF((R34/R35)&lt;1.99,(1.99^R33),((R34/R35)^R33))</f>
        <v>1.458798748958537</v>
      </c>
    </row>
    <row r="38" spans="1:20" x14ac:dyDescent="0.3">
      <c r="A38" t="s">
        <v>4</v>
      </c>
      <c r="C38">
        <f>C7</f>
        <v>110</v>
      </c>
      <c r="F38" t="s">
        <v>45</v>
      </c>
      <c r="H38">
        <f>C9</f>
        <v>114</v>
      </c>
      <c r="K38" s="2" t="s">
        <v>102</v>
      </c>
      <c r="L38" s="2"/>
      <c r="M38" s="2">
        <f>M28+(M29*M26)+(M30*(M26^2))+((M31+(M32*M26)+(M33*(M26^2)))*M27)+((M34+(M35*M26)+(M36*(M26^2)))*(M27^2))</f>
        <v>1.1876261513776019</v>
      </c>
    </row>
    <row r="39" spans="1:20" x14ac:dyDescent="0.3">
      <c r="A39" t="s">
        <v>5</v>
      </c>
      <c r="C39">
        <f>C10</f>
        <v>19.7</v>
      </c>
      <c r="F39" t="s">
        <v>29</v>
      </c>
      <c r="H39">
        <f>C8</f>
        <v>113.85</v>
      </c>
      <c r="P39" s="1" t="s">
        <v>138</v>
      </c>
      <c r="Q39" s="1"/>
      <c r="R39" s="1"/>
      <c r="S39" s="1"/>
    </row>
    <row r="40" spans="1:20" x14ac:dyDescent="0.3">
      <c r="A40" t="s">
        <v>7</v>
      </c>
      <c r="C40">
        <f>C11</f>
        <v>6.45</v>
      </c>
      <c r="F40" t="s">
        <v>4</v>
      </c>
      <c r="H40">
        <f>C7</f>
        <v>110</v>
      </c>
      <c r="K40" s="1" t="s">
        <v>103</v>
      </c>
      <c r="L40" s="1"/>
      <c r="M40" s="1"/>
      <c r="N40" s="1"/>
      <c r="P40" t="s">
        <v>110</v>
      </c>
      <c r="R40">
        <f>IF(C20=2,'data, etc'!E49,'data, etc'!C49)</f>
        <v>-0.80859999999999999</v>
      </c>
    </row>
    <row r="41" spans="1:20" x14ac:dyDescent="0.3">
      <c r="A41" t="s">
        <v>76</v>
      </c>
      <c r="C41">
        <f>H63</f>
        <v>0.82954019713765215</v>
      </c>
      <c r="F41" t="s">
        <v>42</v>
      </c>
      <c r="H41">
        <f>H35</f>
        <v>0.75986123426698093</v>
      </c>
      <c r="K41" t="s">
        <v>104</v>
      </c>
      <c r="M41">
        <f>IF("C19"=2,'data, etc'!E59,'data, etc'!C59)</f>
        <v>0.85399999999999998</v>
      </c>
      <c r="P41" t="s">
        <v>4</v>
      </c>
      <c r="R41">
        <f>C7</f>
        <v>110</v>
      </c>
    </row>
    <row r="42" spans="1:20" x14ac:dyDescent="0.3">
      <c r="F42" t="s">
        <v>5</v>
      </c>
      <c r="H42">
        <f>C10</f>
        <v>19.7</v>
      </c>
      <c r="K42" t="s">
        <v>105</v>
      </c>
      <c r="M42">
        <f>IF("C19"=2,'data, etc'!E60,'data, etc'!C60)</f>
        <v>-1.228</v>
      </c>
      <c r="P42" t="s">
        <v>5</v>
      </c>
      <c r="R42">
        <f>C10</f>
        <v>19.7</v>
      </c>
    </row>
    <row r="43" spans="1:20" x14ac:dyDescent="0.3">
      <c r="A43" s="2" t="s">
        <v>79</v>
      </c>
      <c r="B43" s="2"/>
      <c r="C43" s="2">
        <f>C41*C38*(C39+(2*C40))</f>
        <v>2974.7311469356209</v>
      </c>
      <c r="F43" t="s">
        <v>7</v>
      </c>
      <c r="H43">
        <f>C11</f>
        <v>6.45</v>
      </c>
      <c r="K43" t="s">
        <v>106</v>
      </c>
      <c r="M43">
        <f>IF("C19"=2,'data, etc'!E61,'data, etc'!C61)</f>
        <v>0.497</v>
      </c>
    </row>
    <row r="44" spans="1:20" x14ac:dyDescent="0.3">
      <c r="F44" t="s">
        <v>47</v>
      </c>
      <c r="H44">
        <f>H43</f>
        <v>6.45</v>
      </c>
      <c r="K44" t="s">
        <v>42</v>
      </c>
      <c r="M44">
        <f>H35</f>
        <v>0.75986123426698093</v>
      </c>
      <c r="P44" s="2" t="s">
        <v>139</v>
      </c>
      <c r="Q44" s="2"/>
      <c r="R44" s="2">
        <f>IF((R41/R42)&gt;7.11,7.11^R40,(R41/R42)^R40)</f>
        <v>0.2489059424816254</v>
      </c>
    </row>
    <row r="45" spans="1:20" x14ac:dyDescent="0.3">
      <c r="A45" s="9" t="s">
        <v>81</v>
      </c>
      <c r="B45" s="9"/>
      <c r="C45" s="9"/>
      <c r="D45" s="9"/>
      <c r="F45" t="s">
        <v>48</v>
      </c>
      <c r="H45">
        <f>H43</f>
        <v>6.45</v>
      </c>
    </row>
    <row r="46" spans="1:20" x14ac:dyDescent="0.3">
      <c r="A46" t="s">
        <v>37</v>
      </c>
      <c r="C46">
        <f>C35</f>
        <v>1.5591180731027155E-3</v>
      </c>
      <c r="F46" t="s">
        <v>6</v>
      </c>
      <c r="H46">
        <f>C19</f>
        <v>3.7</v>
      </c>
      <c r="K46" s="2" t="s">
        <v>130</v>
      </c>
      <c r="L46" s="2"/>
      <c r="M46" s="2">
        <f>M41+(M42*M44)+(M43*(M44^2))</f>
        <v>0.20785278470499208</v>
      </c>
      <c r="P46" s="1" t="s">
        <v>140</v>
      </c>
      <c r="Q46" s="1"/>
      <c r="R46" s="1"/>
      <c r="S46" s="1"/>
    </row>
    <row r="47" spans="1:20" x14ac:dyDescent="0.3">
      <c r="A47" t="s">
        <v>82</v>
      </c>
      <c r="C47">
        <v>1025</v>
      </c>
      <c r="F47" t="s">
        <v>49</v>
      </c>
      <c r="H47">
        <f>IF($C$20=2,'data, etc'!E19,'data, etc'!C19)</f>
        <v>-0.68369999999999997</v>
      </c>
      <c r="P47" t="s">
        <v>111</v>
      </c>
      <c r="R47">
        <f>IF(C20=2,'data, etc'!E50,'data, etc'!C50)</f>
        <v>-6.0258000000000003</v>
      </c>
    </row>
    <row r="48" spans="1:20" x14ac:dyDescent="0.3">
      <c r="A48" t="s">
        <v>79</v>
      </c>
      <c r="C48">
        <f>C43</f>
        <v>2974.7311469356209</v>
      </c>
      <c r="F48" t="s">
        <v>50</v>
      </c>
      <c r="H48">
        <f>IF($C$20=2,'data, etc'!E20,'data, etc'!C20)</f>
        <v>0.27710000000000001</v>
      </c>
      <c r="K48" s="1" t="s">
        <v>131</v>
      </c>
      <c r="L48" s="1"/>
      <c r="M48" s="1"/>
      <c r="N48" s="1"/>
      <c r="P48" s="17" t="s">
        <v>45</v>
      </c>
      <c r="Q48" s="17"/>
      <c r="R48" s="17">
        <f>C9</f>
        <v>114</v>
      </c>
      <c r="T48" t="s">
        <v>374</v>
      </c>
    </row>
    <row r="49" spans="1:19" x14ac:dyDescent="0.3">
      <c r="A49" t="s">
        <v>33</v>
      </c>
      <c r="C49">
        <f>C18</f>
        <v>7.0987200000000001</v>
      </c>
      <c r="F49" t="s">
        <v>51</v>
      </c>
      <c r="H49">
        <f>IF($C$20=2,'data, etc'!E21,'data, etc'!C21)</f>
        <v>0.6542</v>
      </c>
      <c r="K49" t="s">
        <v>132</v>
      </c>
      <c r="M49">
        <f>M46</f>
        <v>0.20785278470499208</v>
      </c>
      <c r="P49" t="s">
        <v>46</v>
      </c>
      <c r="R49">
        <f>C8</f>
        <v>113.85</v>
      </c>
    </row>
    <row r="50" spans="1:19" x14ac:dyDescent="0.3">
      <c r="F50" t="s">
        <v>52</v>
      </c>
      <c r="H50">
        <f>IF($C$20=2,'data, etc'!E22,'data, etc'!C22)</f>
        <v>0.64219999999999999</v>
      </c>
      <c r="K50" t="s">
        <v>40</v>
      </c>
      <c r="M50">
        <f>H30</f>
        <v>0.20923197403701538</v>
      </c>
    </row>
    <row r="51" spans="1:19" x14ac:dyDescent="0.3">
      <c r="A51" s="91" t="s">
        <v>83</v>
      </c>
      <c r="B51" s="91"/>
      <c r="C51" s="8">
        <f>C46*(C47/2)*C48*(C49^2)</f>
        <v>119779.00165966911</v>
      </c>
      <c r="D51" s="8" t="s">
        <v>84</v>
      </c>
      <c r="F51" t="s">
        <v>53</v>
      </c>
      <c r="H51">
        <f>IF($C$20=2,'data, etc'!E23,'data, etc'!C23)</f>
        <v>7.4999999999999997E-3</v>
      </c>
      <c r="K51" t="s">
        <v>119</v>
      </c>
      <c r="M51">
        <f>M50/M49</f>
        <v>1.0066354142619778</v>
      </c>
      <c r="P51" s="2" t="s">
        <v>141</v>
      </c>
      <c r="Q51" s="2"/>
      <c r="R51" s="2">
        <f>IF((R48/R49)&gt;1.05,1.05^R47,(R48/R49)^R47)</f>
        <v>0.99209748532332132</v>
      </c>
    </row>
    <row r="52" spans="1:19" x14ac:dyDescent="0.3">
      <c r="A52" s="91"/>
      <c r="B52" s="91"/>
      <c r="C52" s="8">
        <f>C51/1000</f>
        <v>119.77900165966911</v>
      </c>
      <c r="D52" s="8" t="s">
        <v>85</v>
      </c>
      <c r="F52" t="s">
        <v>54</v>
      </c>
      <c r="H52">
        <f>IF($C$20=2,'data, etc'!E24,'data, etc'!C24)</f>
        <v>2.75E-2</v>
      </c>
    </row>
    <row r="53" spans="1:19" x14ac:dyDescent="0.3">
      <c r="F53" t="s">
        <v>55</v>
      </c>
      <c r="H53">
        <f>IF($C$20=2,'data, etc'!E25,'data, etc'!C25)</f>
        <v>-4.4999999999999997E-3</v>
      </c>
      <c r="K53" s="2" t="s">
        <v>133</v>
      </c>
      <c r="L53" s="2"/>
      <c r="M53" s="2">
        <f>IF(M50&lt;M49,1,((M50/M49)^M51))</f>
        <v>1.0066795897060667</v>
      </c>
      <c r="P53" s="1" t="s">
        <v>142</v>
      </c>
      <c r="Q53" s="1"/>
      <c r="R53" s="1"/>
      <c r="S53" s="1"/>
    </row>
    <row r="54" spans="1:19" x14ac:dyDescent="0.3">
      <c r="F54" t="s">
        <v>56</v>
      </c>
      <c r="H54">
        <f>IF($C$20=2,'data, etc'!E26,'data, etc'!C26)</f>
        <v>-0.4798</v>
      </c>
      <c r="P54" t="s">
        <v>112</v>
      </c>
      <c r="R54">
        <f>IF(C20=2,'data, etc'!E51,'data, etc'!C51)</f>
        <v>-3.5632000000000001</v>
      </c>
    </row>
    <row r="55" spans="1:19" x14ac:dyDescent="0.3">
      <c r="F55" t="s">
        <v>57</v>
      </c>
      <c r="H55">
        <f>IF($C$20=2,'data, etc'!E27,'data, etc'!C27)</f>
        <v>3.7600000000000001E-2</v>
      </c>
      <c r="K55" s="1" t="s">
        <v>149</v>
      </c>
      <c r="L55" s="1"/>
      <c r="M55" s="1"/>
      <c r="N55" s="1"/>
      <c r="P55" t="s">
        <v>46</v>
      </c>
      <c r="R55">
        <f>C8</f>
        <v>113.85</v>
      </c>
    </row>
    <row r="56" spans="1:19" x14ac:dyDescent="0.3">
      <c r="F56" t="s">
        <v>58</v>
      </c>
      <c r="H56">
        <f>C20</f>
        <v>1</v>
      </c>
      <c r="K56" t="s">
        <v>58</v>
      </c>
      <c r="M56">
        <f>H56</f>
        <v>1</v>
      </c>
      <c r="P56" t="s">
        <v>4</v>
      </c>
      <c r="R56">
        <f>C7</f>
        <v>110</v>
      </c>
    </row>
    <row r="57" spans="1:19" x14ac:dyDescent="0.3">
      <c r="F57" t="s">
        <v>59</v>
      </c>
      <c r="H57">
        <f>H56</f>
        <v>1</v>
      </c>
      <c r="K57" t="s">
        <v>59</v>
      </c>
      <c r="M57">
        <f>H57</f>
        <v>1</v>
      </c>
    </row>
    <row r="58" spans="1:19" x14ac:dyDescent="0.3">
      <c r="F58" t="s">
        <v>60</v>
      </c>
      <c r="H58">
        <f>H56</f>
        <v>1</v>
      </c>
      <c r="K58" t="s">
        <v>60</v>
      </c>
      <c r="M58">
        <f>H58</f>
        <v>1</v>
      </c>
      <c r="P58" s="2" t="s">
        <v>144</v>
      </c>
      <c r="Q58" s="2"/>
      <c r="R58" s="2">
        <f>IF((R55/R56)&gt;1.06,1.06^R54,(R55/R56)^R54)</f>
        <v>0.88463587114114295</v>
      </c>
    </row>
    <row r="59" spans="1:19" x14ac:dyDescent="0.3">
      <c r="F59" t="s">
        <v>61</v>
      </c>
      <c r="H59">
        <f>IF(H56=2,'data, etc'!E28,0)</f>
        <v>0</v>
      </c>
      <c r="K59" t="s">
        <v>151</v>
      </c>
      <c r="M59">
        <f>C21</f>
        <v>0</v>
      </c>
    </row>
    <row r="60" spans="1:19" x14ac:dyDescent="0.3">
      <c r="F60" t="s">
        <v>62</v>
      </c>
      <c r="H60">
        <f>IF(H57=2,'data, etc'!E29,0)</f>
        <v>0</v>
      </c>
      <c r="K60" t="s">
        <v>115</v>
      </c>
      <c r="M60">
        <f>IF($C$20=2,'data, etc'!E54,'data, etc'!C54)</f>
        <v>0</v>
      </c>
      <c r="P60" s="1" t="s">
        <v>145</v>
      </c>
      <c r="Q60" s="1"/>
      <c r="R60" s="1"/>
      <c r="S60" s="1"/>
    </row>
    <row r="61" spans="1:19" x14ac:dyDescent="0.3">
      <c r="F61" t="s">
        <v>63</v>
      </c>
      <c r="H61">
        <f>IF(H58=2,'data, etc'!E30,0)</f>
        <v>0</v>
      </c>
      <c r="K61" t="s">
        <v>116</v>
      </c>
      <c r="M61">
        <f>IF($C$20=2,'data, etc'!E55,'data, etc'!C55)</f>
        <v>0</v>
      </c>
      <c r="P61" t="s">
        <v>113</v>
      </c>
      <c r="R61">
        <f>IF(C20=2,'data, etc'!E52,'data, etc'!C52)</f>
        <v>9.4405000000000001</v>
      </c>
    </row>
    <row r="62" spans="1:19" x14ac:dyDescent="0.3">
      <c r="K62" t="s">
        <v>117</v>
      </c>
      <c r="M62">
        <f>IF($C$20=2,'data, etc'!E56,'data, etc'!C56)</f>
        <v>0</v>
      </c>
      <c r="P62" t="s">
        <v>47</v>
      </c>
      <c r="R62">
        <f>H44</f>
        <v>6.45</v>
      </c>
    </row>
    <row r="63" spans="1:19" x14ac:dyDescent="0.3">
      <c r="F63" s="2" t="s">
        <v>76</v>
      </c>
      <c r="G63" s="2"/>
      <c r="H63" s="2">
        <f>H47+(H48*(H38/H39))+(H49*(H39/H40))+(H50*H41)+(H51*(H40/H42))+(H52*(H42/H43))+(H53*(H40/H43))+(H54*((H44-H45)/H40))+(H55*(H46/H43))+(H59*H56)+(H60*H57)+(H61*H58)</f>
        <v>0.82954019713765215</v>
      </c>
      <c r="K63" t="s">
        <v>118</v>
      </c>
      <c r="M63">
        <f>IF($C$20=2,'data, etc'!E57,'data, etc'!C57)</f>
        <v>0</v>
      </c>
      <c r="P63" t="s">
        <v>48</v>
      </c>
      <c r="R63">
        <f>H45</f>
        <v>6.45</v>
      </c>
    </row>
    <row r="64" spans="1:19" x14ac:dyDescent="0.3">
      <c r="P64" t="s">
        <v>4</v>
      </c>
      <c r="R64">
        <f>C7</f>
        <v>110</v>
      </c>
    </row>
    <row r="65" spans="1:19" x14ac:dyDescent="0.3">
      <c r="K65" s="2" t="s">
        <v>152</v>
      </c>
      <c r="L65" s="2"/>
      <c r="M65" s="2">
        <f>M38*M53*R37*R30*R44*R51*R58*R66*R73*(M56^M60)*(M57^M61)*(M58^M62)*(IF(C21=0,1,(M59^M63)))</f>
        <v>0.38838609584401312</v>
      </c>
    </row>
    <row r="66" spans="1:19" x14ac:dyDescent="0.3">
      <c r="P66" s="2" t="s">
        <v>146</v>
      </c>
      <c r="Q66" s="2"/>
      <c r="R66" s="2">
        <f>(1+((R62-R63)/R64))^R61</f>
        <v>1</v>
      </c>
    </row>
    <row r="67" spans="1:19" x14ac:dyDescent="0.3">
      <c r="K67" s="9" t="s">
        <v>86</v>
      </c>
      <c r="L67" s="9"/>
      <c r="M67" s="9"/>
      <c r="N67" s="9"/>
    </row>
    <row r="68" spans="1:19" x14ac:dyDescent="0.3">
      <c r="K68" t="s">
        <v>152</v>
      </c>
      <c r="M68">
        <f>M65</f>
        <v>0.38838609584401312</v>
      </c>
      <c r="P68" s="1" t="s">
        <v>147</v>
      </c>
      <c r="Q68" s="1"/>
      <c r="R68" s="1"/>
      <c r="S68" s="1"/>
    </row>
    <row r="69" spans="1:19" x14ac:dyDescent="0.3">
      <c r="K69" t="s">
        <v>82</v>
      </c>
      <c r="M69">
        <v>1025</v>
      </c>
      <c r="P69" t="s">
        <v>114</v>
      </c>
      <c r="R69">
        <f>IF(C20=2,'data, etc'!E53,'data, etc'!C53)</f>
        <v>1.46E-2</v>
      </c>
    </row>
    <row r="70" spans="1:19" x14ac:dyDescent="0.3">
      <c r="K70" t="s">
        <v>33</v>
      </c>
      <c r="M70">
        <f>C18</f>
        <v>7.0987200000000001</v>
      </c>
      <c r="P70" t="s">
        <v>6</v>
      </c>
      <c r="R70">
        <f>C19</f>
        <v>3.7</v>
      </c>
    </row>
    <row r="71" spans="1:19" x14ac:dyDescent="0.3">
      <c r="K71" t="s">
        <v>5</v>
      </c>
      <c r="M71">
        <f>C10</f>
        <v>19.7</v>
      </c>
      <c r="P71" t="s">
        <v>47</v>
      </c>
      <c r="R71">
        <f>H44</f>
        <v>6.45</v>
      </c>
    </row>
    <row r="72" spans="1:19" x14ac:dyDescent="0.3">
      <c r="K72" t="s">
        <v>7</v>
      </c>
      <c r="M72">
        <f>C11</f>
        <v>6.45</v>
      </c>
    </row>
    <row r="73" spans="1:19" x14ac:dyDescent="0.3">
      <c r="P73" s="2" t="s">
        <v>148</v>
      </c>
      <c r="Q73" s="2"/>
      <c r="R73" s="2">
        <f>IF((R70/R71)&lt;0.43,0.43^R69,(IF(0.43&lt;=(R70/R71)&lt;=0.84,(R70/R71)^R69,0.84^R69)))</f>
        <v>0.99745767773674721</v>
      </c>
    </row>
    <row r="74" spans="1:19" x14ac:dyDescent="0.3">
      <c r="K74" s="91" t="s">
        <v>153</v>
      </c>
      <c r="L74" s="91"/>
      <c r="M74" s="8">
        <f>M68*(M69/2)*(M70^2)*((M71*M72)/10)</f>
        <v>127451.09674015283</v>
      </c>
      <c r="N74" s="8" t="s">
        <v>84</v>
      </c>
    </row>
    <row r="75" spans="1:19" x14ac:dyDescent="0.3">
      <c r="K75" s="91"/>
      <c r="L75" s="91"/>
      <c r="M75" s="8">
        <f>M74/1000</f>
        <v>127.45109674015283</v>
      </c>
      <c r="N75" s="8" t="s">
        <v>85</v>
      </c>
    </row>
    <row r="77" spans="1:19" x14ac:dyDescent="0.3">
      <c r="A77" s="88" t="s">
        <v>154</v>
      </c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</row>
    <row r="78" spans="1:19" x14ac:dyDescent="0.3">
      <c r="A78" s="18" t="s">
        <v>155</v>
      </c>
      <c r="B78" s="18"/>
      <c r="C78" s="18"/>
      <c r="D78" s="18"/>
      <c r="F78" s="18" t="s">
        <v>157</v>
      </c>
      <c r="G78" s="18"/>
      <c r="H78" s="18"/>
      <c r="I78" s="18"/>
      <c r="K78" s="18" t="s">
        <v>159</v>
      </c>
      <c r="L78" s="18"/>
      <c r="M78" s="18"/>
      <c r="N78" s="18"/>
      <c r="P78" s="18" t="s">
        <v>162</v>
      </c>
      <c r="Q78" s="18"/>
      <c r="R78" s="18"/>
      <c r="S78" s="18"/>
    </row>
    <row r="79" spans="1:19" x14ac:dyDescent="0.3">
      <c r="A79" t="s">
        <v>83</v>
      </c>
      <c r="C79">
        <f>C52</f>
        <v>119.77900165966911</v>
      </c>
      <c r="D79" t="s">
        <v>85</v>
      </c>
      <c r="F79" t="s">
        <v>156</v>
      </c>
      <c r="H79">
        <f>C82</f>
        <v>247.23009839982194</v>
      </c>
      <c r="I79" t="str">
        <f>D82</f>
        <v>kN</v>
      </c>
      <c r="K79" t="s">
        <v>160</v>
      </c>
      <c r="M79">
        <f>C7</f>
        <v>110</v>
      </c>
      <c r="P79" t="s">
        <v>158</v>
      </c>
      <c r="R79">
        <f>H82</f>
        <v>1755.0172441127841</v>
      </c>
      <c r="S79" t="s">
        <v>164</v>
      </c>
    </row>
    <row r="80" spans="1:19" x14ac:dyDescent="0.3">
      <c r="A80" t="s">
        <v>153</v>
      </c>
      <c r="C80">
        <f>M75</f>
        <v>127.45109674015283</v>
      </c>
      <c r="D80" t="s">
        <v>85</v>
      </c>
      <c r="F80" t="s">
        <v>12</v>
      </c>
      <c r="H80">
        <f>C18</f>
        <v>7.0987200000000001</v>
      </c>
      <c r="K80" t="s">
        <v>84</v>
      </c>
      <c r="M80" s="16">
        <f>IF(K6&gt;=1,K6,U89)</f>
        <v>135</v>
      </c>
      <c r="P80" t="s">
        <v>161</v>
      </c>
      <c r="R80">
        <f>M82</f>
        <v>0.6984108054970295</v>
      </c>
    </row>
    <row r="82" spans="1:22" x14ac:dyDescent="0.3">
      <c r="A82" s="2" t="s">
        <v>156</v>
      </c>
      <c r="B82" s="2"/>
      <c r="C82" s="2">
        <f>C79+C80</f>
        <v>247.23009839982194</v>
      </c>
      <c r="D82" s="2" t="s">
        <v>85</v>
      </c>
      <c r="F82" s="2" t="s">
        <v>158</v>
      </c>
      <c r="G82" s="2"/>
      <c r="H82" s="2">
        <f>H79*H80</f>
        <v>1755.0172441127841</v>
      </c>
      <c r="I82" s="2" t="s">
        <v>164</v>
      </c>
      <c r="K82" s="2" t="s">
        <v>161</v>
      </c>
      <c r="L82" s="2"/>
      <c r="M82" s="2">
        <f>0.84-((M80*SQRT(M79))/10000)</f>
        <v>0.6984108054970295</v>
      </c>
      <c r="N82" s="2"/>
      <c r="P82" s="2" t="s">
        <v>163</v>
      </c>
      <c r="Q82" s="2"/>
      <c r="R82" s="2">
        <f>R79/R80</f>
        <v>2512.872410191037</v>
      </c>
      <c r="S82" s="2" t="s">
        <v>164</v>
      </c>
    </row>
    <row r="84" spans="1:22" x14ac:dyDescent="0.3">
      <c r="A84" s="18" t="s">
        <v>165</v>
      </c>
      <c r="B84" s="18"/>
      <c r="C84" s="18"/>
      <c r="D84" s="18"/>
      <c r="F84" s="18" t="s">
        <v>169</v>
      </c>
      <c r="G84" s="18"/>
      <c r="H84" s="18"/>
      <c r="I84" s="18"/>
      <c r="K84" s="18" t="s">
        <v>172</v>
      </c>
      <c r="L84" s="18"/>
      <c r="M84" s="18"/>
      <c r="N84" s="18"/>
      <c r="P84" s="18" t="s">
        <v>173</v>
      </c>
      <c r="Q84" s="18"/>
      <c r="R84" s="18"/>
      <c r="S84" s="18"/>
    </row>
    <row r="85" spans="1:22" x14ac:dyDescent="0.3">
      <c r="A85" t="s">
        <v>163</v>
      </c>
      <c r="C85">
        <f>R82</f>
        <v>2512.872410191037</v>
      </c>
      <c r="F85" t="s">
        <v>163</v>
      </c>
      <c r="H85">
        <f>R82</f>
        <v>2512.872410191037</v>
      </c>
      <c r="K85" t="s">
        <v>171</v>
      </c>
      <c r="M85">
        <f>H89</f>
        <v>0.78527262818469912</v>
      </c>
      <c r="P85" t="s">
        <v>174</v>
      </c>
      <c r="R85">
        <f>M87</f>
        <v>1.0030335947509914</v>
      </c>
    </row>
    <row r="86" spans="1:22" x14ac:dyDescent="0.3">
      <c r="A86" t="s">
        <v>166</v>
      </c>
      <c r="C86">
        <f>K4</f>
        <v>3200</v>
      </c>
      <c r="F86" t="s">
        <v>166</v>
      </c>
      <c r="H86">
        <f>K4</f>
        <v>3200</v>
      </c>
      <c r="P86" t="s">
        <v>175</v>
      </c>
      <c r="R86">
        <f>K5</f>
        <v>182</v>
      </c>
      <c r="U86">
        <v>3.0000000000000001E-5</v>
      </c>
      <c r="V86">
        <v>3.2862</v>
      </c>
    </row>
    <row r="87" spans="1:22" x14ac:dyDescent="0.3">
      <c r="F87" t="s">
        <v>170</v>
      </c>
      <c r="H87">
        <f>C20</f>
        <v>1</v>
      </c>
      <c r="K87" s="2" t="s">
        <v>172</v>
      </c>
      <c r="L87" s="2"/>
      <c r="M87" s="2">
        <f>0.455*(M85^2)-0.71*M85+1.28</f>
        <v>1.0030335947509914</v>
      </c>
      <c r="N87" s="2"/>
    </row>
    <row r="88" spans="1:22" x14ac:dyDescent="0.3">
      <c r="A88" s="95" t="s">
        <v>167</v>
      </c>
      <c r="B88" s="2"/>
      <c r="C88" s="2">
        <f>(C85/C86)+1</f>
        <v>1.7852726281846991</v>
      </c>
      <c r="D88" s="2"/>
      <c r="P88" s="2" t="s">
        <v>173</v>
      </c>
      <c r="Q88" s="2"/>
      <c r="R88" s="2">
        <f>R86*R85</f>
        <v>182.55211424468044</v>
      </c>
      <c r="S88" s="2" t="s">
        <v>343</v>
      </c>
    </row>
    <row r="89" spans="1:22" x14ac:dyDescent="0.3">
      <c r="A89" s="95"/>
      <c r="B89" s="2"/>
      <c r="C89" s="48">
        <f>ROUNDDOWN(C88,0)</f>
        <v>1</v>
      </c>
      <c r="D89" s="48"/>
      <c r="F89" s="2" t="s">
        <v>171</v>
      </c>
      <c r="G89" s="2"/>
      <c r="H89" s="2">
        <f>H85/(H86*H87)</f>
        <v>0.78527262818469912</v>
      </c>
      <c r="I89" s="2"/>
      <c r="U89">
        <f>(H82/U86)^(1/V86)</f>
        <v>230.97708935126545</v>
      </c>
    </row>
    <row r="91" spans="1:22" x14ac:dyDescent="0.3">
      <c r="A91" s="9" t="s">
        <v>176</v>
      </c>
      <c r="B91" s="9"/>
      <c r="C91" s="9"/>
      <c r="D91" s="9"/>
    </row>
    <row r="92" spans="1:22" x14ac:dyDescent="0.3">
      <c r="A92" t="s">
        <v>177</v>
      </c>
      <c r="C92" s="49">
        <f>K7</f>
        <v>0.75</v>
      </c>
    </row>
    <row r="93" spans="1:22" x14ac:dyDescent="0.3">
      <c r="C93">
        <f>C92*K4</f>
        <v>2400</v>
      </c>
    </row>
    <row r="95" spans="1:22" x14ac:dyDescent="0.3">
      <c r="A95" s="97" t="s">
        <v>176</v>
      </c>
      <c r="B95" s="8"/>
      <c r="C95" s="51">
        <f>R88*C93</f>
        <v>438125.07418723305</v>
      </c>
      <c r="D95" s="8" t="s">
        <v>347</v>
      </c>
      <c r="E95" s="8"/>
    </row>
    <row r="96" spans="1:22" x14ac:dyDescent="0.3">
      <c r="A96" s="97"/>
      <c r="B96" s="8"/>
      <c r="C96" s="8">
        <f>C95/1000</f>
        <v>438.12507418723305</v>
      </c>
      <c r="D96" s="8" t="s">
        <v>348</v>
      </c>
      <c r="E96" s="8"/>
    </row>
    <row r="97" spans="1:54" x14ac:dyDescent="0.3">
      <c r="A97" s="97"/>
      <c r="B97" s="8"/>
      <c r="C97" s="51">
        <f>C95/1000000</f>
        <v>0.43812507418723307</v>
      </c>
      <c r="D97" s="8" t="s">
        <v>349</v>
      </c>
      <c r="E97" s="8"/>
    </row>
    <row r="98" spans="1:54" x14ac:dyDescent="0.3">
      <c r="A98" s="97"/>
      <c r="B98" s="8"/>
      <c r="C98" s="51">
        <f>C97/0.991</f>
        <v>0.44210401027975083</v>
      </c>
      <c r="D98" s="8" t="s">
        <v>350</v>
      </c>
      <c r="E98" s="8" t="s">
        <v>351</v>
      </c>
    </row>
    <row r="99" spans="1:54" x14ac:dyDescent="0.3">
      <c r="A99" s="97"/>
      <c r="B99" s="8"/>
      <c r="C99" s="51">
        <f>C97/0.89</f>
        <v>0.49227536425531804</v>
      </c>
      <c r="D99" s="8" t="s">
        <v>350</v>
      </c>
      <c r="E99" s="8" t="s">
        <v>352</v>
      </c>
    </row>
    <row r="101" spans="1:54" x14ac:dyDescent="0.3">
      <c r="A101" s="105" t="s">
        <v>356</v>
      </c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7"/>
      <c r="AG101" s="82" t="s">
        <v>368</v>
      </c>
      <c r="AH101" s="82"/>
      <c r="AI101" s="82"/>
      <c r="AJ101" s="82"/>
      <c r="AK101" s="85" t="s">
        <v>371</v>
      </c>
      <c r="AL101" s="85"/>
      <c r="AM101" s="85" t="s">
        <v>375</v>
      </c>
      <c r="AN101" s="85"/>
      <c r="AO101" s="85"/>
      <c r="AP101" s="85"/>
      <c r="AQ101" s="85" t="s">
        <v>378</v>
      </c>
      <c r="AR101" s="85"/>
      <c r="AS101" s="85" t="s">
        <v>379</v>
      </c>
      <c r="AT101" s="85"/>
      <c r="AU101" s="85"/>
      <c r="AV101" s="85"/>
      <c r="AW101" s="104" t="s">
        <v>380</v>
      </c>
      <c r="AX101" s="104"/>
      <c r="AY101" s="104"/>
      <c r="AZ101" s="104"/>
      <c r="BA101" s="104"/>
      <c r="BB101" s="104"/>
    </row>
    <row r="102" spans="1:54" s="54" customFormat="1" x14ac:dyDescent="0.3">
      <c r="A102" s="109" t="s">
        <v>202</v>
      </c>
      <c r="B102" s="82" t="s">
        <v>35</v>
      </c>
      <c r="C102" s="82" t="s">
        <v>37</v>
      </c>
      <c r="D102" s="82" t="s">
        <v>40</v>
      </c>
      <c r="E102" s="82" t="s">
        <v>42</v>
      </c>
      <c r="F102" s="82" t="s">
        <v>76</v>
      </c>
      <c r="G102" s="82" t="s">
        <v>83</v>
      </c>
      <c r="H102" s="82" t="s">
        <v>102</v>
      </c>
      <c r="I102" s="82" t="s">
        <v>132</v>
      </c>
      <c r="J102" s="82" t="s">
        <v>119</v>
      </c>
      <c r="K102" s="82" t="s">
        <v>133</v>
      </c>
      <c r="L102" s="82" t="s">
        <v>135</v>
      </c>
      <c r="M102" s="82" t="s">
        <v>137</v>
      </c>
      <c r="N102" s="82" t="s">
        <v>139</v>
      </c>
      <c r="O102" s="82" t="s">
        <v>141</v>
      </c>
      <c r="P102" s="82" t="s">
        <v>144</v>
      </c>
      <c r="Q102" s="82" t="s">
        <v>146</v>
      </c>
      <c r="R102" s="82" t="s">
        <v>148</v>
      </c>
      <c r="S102" s="82" t="s">
        <v>152</v>
      </c>
      <c r="T102" s="82" t="s">
        <v>153</v>
      </c>
      <c r="U102" s="82" t="s">
        <v>156</v>
      </c>
      <c r="V102" s="82" t="s">
        <v>357</v>
      </c>
      <c r="W102" s="82" t="s">
        <v>358</v>
      </c>
      <c r="X102" s="87" t="s">
        <v>362</v>
      </c>
      <c r="Y102" s="82" t="s">
        <v>167</v>
      </c>
      <c r="Z102" s="82" t="s">
        <v>167</v>
      </c>
      <c r="AA102" s="82" t="s">
        <v>171</v>
      </c>
      <c r="AB102" s="82" t="s">
        <v>359</v>
      </c>
      <c r="AC102" s="87" t="s">
        <v>361</v>
      </c>
      <c r="AD102" s="87" t="s">
        <v>360</v>
      </c>
      <c r="AE102" s="86" t="s">
        <v>364</v>
      </c>
      <c r="AF102" s="86" t="s">
        <v>365</v>
      </c>
      <c r="AG102" s="82" t="s">
        <v>369</v>
      </c>
      <c r="AH102" s="82"/>
      <c r="AI102" s="82" t="s">
        <v>370</v>
      </c>
      <c r="AJ102" s="82"/>
      <c r="AK102" s="82" t="s">
        <v>373</v>
      </c>
      <c r="AL102" s="82"/>
      <c r="AM102" s="82" t="s">
        <v>376</v>
      </c>
      <c r="AN102" s="82"/>
      <c r="AO102" s="82" t="s">
        <v>377</v>
      </c>
      <c r="AP102" s="82"/>
      <c r="AQ102" s="82" t="s">
        <v>373</v>
      </c>
      <c r="AR102" s="82"/>
      <c r="AS102" s="82" t="s">
        <v>366</v>
      </c>
      <c r="AT102" s="82"/>
      <c r="AU102" s="82" t="s">
        <v>367</v>
      </c>
      <c r="AV102" s="82"/>
      <c r="AW102" s="103" t="s">
        <v>398</v>
      </c>
      <c r="AX102" s="103"/>
      <c r="AY102" s="103" t="s">
        <v>399</v>
      </c>
      <c r="AZ102" s="103"/>
      <c r="BA102" s="103" t="s">
        <v>367</v>
      </c>
      <c r="BB102" s="103"/>
    </row>
    <row r="103" spans="1:54" s="54" customFormat="1" x14ac:dyDescent="0.3">
      <c r="A103" s="109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7"/>
      <c r="Y103" s="82"/>
      <c r="Z103" s="82"/>
      <c r="AA103" s="82"/>
      <c r="AB103" s="82"/>
      <c r="AC103" s="87"/>
      <c r="AD103" s="87"/>
      <c r="AE103" s="86"/>
      <c r="AF103" s="86"/>
      <c r="AG103" s="65" t="s">
        <v>366</v>
      </c>
      <c r="AH103" s="65" t="s">
        <v>367</v>
      </c>
      <c r="AI103" s="65" t="s">
        <v>366</v>
      </c>
      <c r="AJ103" s="65" t="s">
        <v>367</v>
      </c>
      <c r="AK103" s="65" t="s">
        <v>372</v>
      </c>
      <c r="AL103" s="65" t="s">
        <v>28</v>
      </c>
      <c r="AM103" s="65" t="s">
        <v>366</v>
      </c>
      <c r="AN103" s="65" t="s">
        <v>367</v>
      </c>
      <c r="AO103" s="65" t="s">
        <v>366</v>
      </c>
      <c r="AP103" s="65" t="s">
        <v>367</v>
      </c>
      <c r="AQ103" s="65" t="s">
        <v>372</v>
      </c>
      <c r="AR103" s="65" t="s">
        <v>28</v>
      </c>
      <c r="AS103" s="65" t="s">
        <v>372</v>
      </c>
      <c r="AT103" s="65" t="s">
        <v>28</v>
      </c>
      <c r="AU103" s="65" t="s">
        <v>372</v>
      </c>
      <c r="AV103" s="65" t="s">
        <v>28</v>
      </c>
      <c r="AW103" s="64" t="s">
        <v>372</v>
      </c>
      <c r="AX103" s="64" t="s">
        <v>28</v>
      </c>
      <c r="AY103" s="64" t="s">
        <v>372</v>
      </c>
      <c r="AZ103" s="64" t="s">
        <v>28</v>
      </c>
      <c r="BA103" s="64" t="s">
        <v>372</v>
      </c>
      <c r="BB103" s="64" t="s">
        <v>28</v>
      </c>
    </row>
    <row r="104" spans="1:54" x14ac:dyDescent="0.3">
      <c r="A104" s="67">
        <f>C17</f>
        <v>13.8</v>
      </c>
      <c r="B104" s="68">
        <f>((A104*0.5144)*$C$8)/$C$28</f>
        <v>862408920.85409701</v>
      </c>
      <c r="C104" s="69">
        <f>0.075/((LOG10(B104)-2)^2)</f>
        <v>1.5591180731027155E-3</v>
      </c>
      <c r="D104" s="67">
        <f>(A104*0.5144)/SQRT($H$27*$H$28)</f>
        <v>0.20923197403701538</v>
      </c>
      <c r="E104" s="70">
        <f>0.7+((1/8)*ATAN((23-(100*D104))/4))</f>
        <v>0.75986123426698093</v>
      </c>
      <c r="F104" s="70">
        <f>$H$47+($H$48*($H$38/$H$39))+($H$49*($H$39/$H$40))+($H$50*E104)+($H$51*($H$40/$H$42))+($H$52*($H$42/$H$43))+($H$53*($H$40/$H$43))+($H$54*(($H$44-$H$45)/$H$40))+($H$55*($H$46/$H$43))+($H$59*$H$56)+($H$60*$H$57)+($H$61*$H$58)</f>
        <v>0.82954019713765215</v>
      </c>
      <c r="G104" s="71">
        <f>(C104*($C$47/2)*$C$48*((A104*0.5144)^2))/1000</f>
        <v>119.77900165966911</v>
      </c>
      <c r="H104" s="67">
        <f>$M$28+($M$29*D104)+($M$30*(D104^2))+(($M$31+($M$32*D104)+($M$33*(D104^2)))*E104)+(($M$34+($M$35*D104)+($M$36*(D104^2)))*(E104^2))</f>
        <v>1.1876261513776019</v>
      </c>
      <c r="I104" s="67">
        <f>$M$41+($M$42*E104)+($M$43*(E104^2))</f>
        <v>0.20785278470499208</v>
      </c>
      <c r="J104" s="67">
        <f>D104/I104</f>
        <v>1.0066354142619778</v>
      </c>
      <c r="K104" s="67">
        <f>IF(D104&lt;I104,1,((D104/I104)^J104))</f>
        <v>1.0066795897060667</v>
      </c>
      <c r="L104" s="72">
        <f>$R$30</f>
        <v>1.0219946887395193</v>
      </c>
      <c r="M104" s="72">
        <f>$R$37</f>
        <v>1.458798748958537</v>
      </c>
      <c r="N104" s="72">
        <f>$R$44</f>
        <v>0.2489059424816254</v>
      </c>
      <c r="O104" s="72">
        <f>$R$51</f>
        <v>0.99209748532332132</v>
      </c>
      <c r="P104" s="72">
        <f>$R$58</f>
        <v>0.88463587114114295</v>
      </c>
      <c r="Q104" s="67">
        <f>$R$66</f>
        <v>1</v>
      </c>
      <c r="R104" s="72">
        <f>$R$73</f>
        <v>0.99745767773674721</v>
      </c>
      <c r="S104" s="67">
        <f t="shared" ref="S104:S113" si="0">H104*K104*L104*M104*N104*O104*P104*Q104*R104*($M$56^$M$60)*($M$57^$M$61)*($M$58^$M$62)*(IF($C$21=0,1,($M$59^$M$63)))</f>
        <v>0.38838609584401307</v>
      </c>
      <c r="T104" s="67">
        <f>(S104*($M$69/2)*((A104*0.5144)^2)*(($M$71*$M$72)/10))/1000</f>
        <v>127.45109674015282</v>
      </c>
      <c r="U104" s="71">
        <f>T104+G104</f>
        <v>247.23009839982194</v>
      </c>
      <c r="V104" s="67">
        <f>U104*A104*0.5144</f>
        <v>1755.0172441127838</v>
      </c>
      <c r="W104" s="67">
        <f>$M$82</f>
        <v>0.6984108054970295</v>
      </c>
      <c r="X104" s="67">
        <f>V104/W104</f>
        <v>2512.8724101910366</v>
      </c>
      <c r="Y104" s="67">
        <f>(X104/$C$86)+1</f>
        <v>1.7852726281846989</v>
      </c>
      <c r="Z104" s="67">
        <f>ROUNDDOWN(Y104,0)</f>
        <v>1</v>
      </c>
      <c r="AA104" s="67">
        <f>X104/($C$86*Z104)</f>
        <v>0.7852726281846989</v>
      </c>
      <c r="AB104" s="70">
        <f>0.455*(AA104^2)-0.71*AA104+1.28</f>
        <v>1.0030335947509914</v>
      </c>
      <c r="AC104" s="67">
        <f>AB104*$R$86</f>
        <v>182.55211424468044</v>
      </c>
      <c r="AD104" s="70">
        <f t="shared" ref="AD104:AD113" si="1">(AC104*X104)/1000</f>
        <v>458.73017130749957</v>
      </c>
      <c r="AE104" s="67">
        <f>(210*224)/1000</f>
        <v>47.04</v>
      </c>
      <c r="AF104" s="67">
        <f>(175*224)/1000</f>
        <v>39.200000000000003</v>
      </c>
      <c r="AG104" s="67">
        <f>(AD104/890)*'data, etc'!H5*1000*2</f>
        <v>73479.494953505462</v>
      </c>
      <c r="AH104" s="67">
        <f>(AD104/991)*'data, etc'!H5*1000*2</f>
        <v>65990.66650718452</v>
      </c>
      <c r="AI104" s="67">
        <f>AG104/1000*890/1000</f>
        <v>65.39675050861986</v>
      </c>
      <c r="AJ104" s="67">
        <f>AH104/1000*991/1000</f>
        <v>65.396750508619846</v>
      </c>
      <c r="AK104" s="67">
        <f>AE104/890*(SUM($Q$8:$R$10))*1000</f>
        <v>3382.1231460674153</v>
      </c>
      <c r="AL104" s="67">
        <f>AK104/1000*890/1000</f>
        <v>3.0100895999999997</v>
      </c>
      <c r="AM104" s="67">
        <f>((($C$86*20%)*223.84)/890)*(SUM($Q$11:$R$13))*1000/1000</f>
        <v>2527.1284494382021</v>
      </c>
      <c r="AN104" s="67"/>
      <c r="AO104" s="72">
        <f>AM104/1000*0.89</f>
        <v>2.2491443199999996</v>
      </c>
      <c r="AP104" s="67"/>
      <c r="AQ104" s="67">
        <f>'data, etc'!H5/890*Sheet1!AF104*1000</f>
        <v>3139.5321066058727</v>
      </c>
      <c r="AR104" s="71">
        <f>AQ104/1000*0.89</f>
        <v>2.7941835748792268</v>
      </c>
      <c r="AS104" s="71">
        <f>AQ104+AM104+AK104</f>
        <v>9048.7837021114901</v>
      </c>
      <c r="AT104" s="71">
        <f>AS104/1000*0.89</f>
        <v>8.053417494879227</v>
      </c>
      <c r="AU104" s="71">
        <f>AH104+AN104</f>
        <v>65990.66650718452</v>
      </c>
      <c r="AV104" s="71">
        <f>AU104/1000*0.991</f>
        <v>65.396750508619846</v>
      </c>
      <c r="AW104" s="67">
        <f>AS104*'data, etc'!J5</f>
        <v>488634.31991402048</v>
      </c>
      <c r="AX104" s="67">
        <f>AW104/1000*0.89</f>
        <v>434.8845447234782</v>
      </c>
      <c r="AY104" s="67">
        <f>AG104*'data, etc'!J5</f>
        <v>3967892.7274892949</v>
      </c>
      <c r="AZ104" s="67">
        <f>AY104/1000*0.89</f>
        <v>3531.4245274654727</v>
      </c>
      <c r="BA104" s="67">
        <f>AU104*'data, etc'!J5</f>
        <v>3563495.9913879642</v>
      </c>
      <c r="BB104" s="67">
        <f>BA104/1000*0.991</f>
        <v>3531.4245274654727</v>
      </c>
    </row>
    <row r="105" spans="1:54" x14ac:dyDescent="0.3">
      <c r="A105" s="67">
        <f>A104-1</f>
        <v>12.8</v>
      </c>
      <c r="B105" s="68">
        <f t="shared" ref="B105:B113" si="2">((A105*0.5144)*$C$8)/$C$28</f>
        <v>799915520.79220593</v>
      </c>
      <c r="C105" s="69">
        <f t="shared" ref="C105:C113" si="3">0.075/((LOG10(B105)-2)^2)</f>
        <v>1.5739102535135643E-3</v>
      </c>
      <c r="D105" s="67">
        <f t="shared" ref="D105:D113" si="4">(A105*0.5144)/SQRT($H$27*$H$28)</f>
        <v>0.19407023678795629</v>
      </c>
      <c r="E105" s="70">
        <f t="shared" ref="E105:E113" si="5">0.7+((1/8)*ATAN((23-(100*D105))/4))</f>
        <v>0.7914805166186123</v>
      </c>
      <c r="F105" s="70">
        <f t="shared" ref="F105:F113" si="6">$H$47+($H$48*($H$38/$H$39))+($H$49*($H$39/$H$40))+($H$50*E105)+($H$51*($H$40/$H$42))+($H$52*($H$42/$H$43))+($H$53*($H$40/$H$43))+($H$54*(($H$44-$H$45)/$H$40))+($H$55*($H$46/$H$43))+($H$59*$H$56)+($H$60*$H$57)+($H$61*$H$58)</f>
        <v>0.84984610026386975</v>
      </c>
      <c r="G105" s="71">
        <f t="shared" ref="G105:G113" si="7">(C105*($C$47/2)*$C$48*((A105*0.5144)^2))/1000</f>
        <v>104.02636287192819</v>
      </c>
      <c r="H105" s="67">
        <f t="shared" ref="H105:H113" si="8">$M$28+($M$29*D105)+($M$30*(D105^2))+(($M$31+($M$32*D105)+($M$33*(D105^2)))*E105)+(($M$34+($M$35*D105)+($M$36*(D105^2)))*(E105^2))</f>
        <v>1.1680138941461564</v>
      </c>
      <c r="I105" s="67">
        <f t="shared" ref="I105:I113" si="9">$M$41+($M$42*E105)+($M$43*(E105^2))</f>
        <v>0.1934033054612162</v>
      </c>
      <c r="J105" s="67">
        <f t="shared" ref="J105:J113" si="10">D105/I105</f>
        <v>1.0034483967331873</v>
      </c>
      <c r="K105" s="67">
        <f t="shared" ref="K105:K113" si="11">IF(D105&lt;I105,1,((D105/I105)^J105))</f>
        <v>1.0034603087235945</v>
      </c>
      <c r="L105" s="72">
        <f t="shared" ref="L105:L113" si="12">$R$30</f>
        <v>1.0219946887395193</v>
      </c>
      <c r="M105" s="72">
        <f t="shared" ref="M105:M113" si="13">$R$37</f>
        <v>1.458798748958537</v>
      </c>
      <c r="N105" s="72">
        <f t="shared" ref="N105:N113" si="14">$R$44</f>
        <v>0.2489059424816254</v>
      </c>
      <c r="O105" s="72">
        <f t="shared" ref="O105:O113" si="15">$R$51</f>
        <v>0.99209748532332132</v>
      </c>
      <c r="P105" s="72">
        <f t="shared" ref="P105:P113" si="16">$R$58</f>
        <v>0.88463587114114295</v>
      </c>
      <c r="Q105" s="67">
        <f t="shared" ref="Q105:Q113" si="17">$R$66</f>
        <v>1</v>
      </c>
      <c r="R105" s="72">
        <f t="shared" ref="R105:R113" si="18">$R$73</f>
        <v>0.99745767773674721</v>
      </c>
      <c r="S105" s="67">
        <f t="shared" si="0"/>
        <v>0.38075083649959235</v>
      </c>
      <c r="T105" s="67">
        <f t="shared" ref="T105:T113" si="19">(S105*($M$69/2)*((A105*0.5144)^2)*(($M$71*$M$72)/10))/1000</f>
        <v>107.4935821753335</v>
      </c>
      <c r="U105" s="71">
        <f t="shared" ref="U105:U113" si="20">T105+G105</f>
        <v>211.51994504726167</v>
      </c>
      <c r="V105" s="67">
        <f t="shared" ref="V105:V113" si="21">U105*A105*0.5144</f>
        <v>1392.7150045735859</v>
      </c>
      <c r="W105" s="67">
        <f t="shared" ref="W105:W113" si="22">$M$82</f>
        <v>0.6984108054970295</v>
      </c>
      <c r="X105" s="67">
        <f t="shared" ref="X105:X113" si="23">V105/W105</f>
        <v>1994.1200703251568</v>
      </c>
      <c r="Y105" s="67">
        <f t="shared" ref="Y105:Y113" si="24">(X105/$C$86)+1</f>
        <v>1.6231625219766115</v>
      </c>
      <c r="Z105" s="67">
        <f t="shared" ref="Z105:Z113" si="25">ROUNDDOWN(Y105,0)</f>
        <v>1</v>
      </c>
      <c r="AA105" s="67">
        <f t="shared" ref="AA105:AA113" si="26">X105/($C$86*Z105)</f>
        <v>0.62316252197661148</v>
      </c>
      <c r="AB105" s="70">
        <f t="shared" ref="AB105:AB113" si="27">0.455*(AA105^2)-0.71*AA105+1.28</f>
        <v>1.0142454549989002</v>
      </c>
      <c r="AC105" s="67">
        <f t="shared" ref="AC105:AC113" si="28">AB105*$R$86</f>
        <v>184.59267280979984</v>
      </c>
      <c r="AD105" s="70">
        <f t="shared" si="1"/>
        <v>368.0999536849867</v>
      </c>
      <c r="AE105" s="67">
        <f t="shared" ref="AE105:AE113" si="29">(210*224)/1000</f>
        <v>47.04</v>
      </c>
      <c r="AF105" s="67">
        <f t="shared" ref="AF105:AF113" si="30">(175*224)/1000</f>
        <v>39.200000000000003</v>
      </c>
      <c r="AG105" s="67">
        <f>(AD105/890)*'data, etc'!H6*1000*2</f>
        <v>63568.759557841513</v>
      </c>
      <c r="AH105" s="67">
        <f>(AD105/991)*'data, etc'!H6*1000*2</f>
        <v>57090.006061028194</v>
      </c>
      <c r="AI105" s="67">
        <f t="shared" ref="AI105:AI113" si="31">AG105/1000*890/1000</f>
        <v>56.576196006478945</v>
      </c>
      <c r="AJ105" s="67">
        <f t="shared" ref="AJ105:AJ113" si="32">AH105/1000*991/1000</f>
        <v>56.576196006478938</v>
      </c>
      <c r="AK105" s="67">
        <f t="shared" ref="AK105:AK113" si="33">AE105/890*(SUM($Q$8:$R$10))*1000</f>
        <v>3382.1231460674153</v>
      </c>
      <c r="AL105" s="67">
        <f t="shared" ref="AL105:AL113" si="34">AK105/1000*890/1000</f>
        <v>3.0100895999999997</v>
      </c>
      <c r="AM105" s="67">
        <f t="shared" ref="AM105:AM113" si="35">((($C$86*20%)*223.84)/890)*(SUM($Q$11:$R$13))*1000/1000</f>
        <v>2527.1284494382021</v>
      </c>
      <c r="AN105" s="67"/>
      <c r="AO105" s="72">
        <f t="shared" ref="AO105:AO113" si="36">AM105/1000*0.89</f>
        <v>2.2491443199999996</v>
      </c>
      <c r="AP105" s="67"/>
      <c r="AQ105" s="67">
        <f>'data, etc'!H6/890*Sheet1!AF105*1000</f>
        <v>3384.8080524344568</v>
      </c>
      <c r="AR105" s="71">
        <f t="shared" ref="AR105:AR113" si="37">AQ105/1000*0.89</f>
        <v>3.0124791666666666</v>
      </c>
      <c r="AS105" s="71">
        <f t="shared" ref="AS105:AS113" si="38">AQ105+AM105+AK105</f>
        <v>9294.0596479400738</v>
      </c>
      <c r="AT105" s="71">
        <f t="shared" ref="AT105:AT113" si="39">AS105/1000*0.89</f>
        <v>8.271713086666665</v>
      </c>
      <c r="AU105" s="71">
        <f t="shared" ref="AU105:AU113" si="40">AH105+AN105</f>
        <v>57090.006061028194</v>
      </c>
      <c r="AV105" s="71">
        <f t="shared" ref="AV105:AV113" si="41">AU105/1000*0.991</f>
        <v>56.576196006478938</v>
      </c>
      <c r="AW105" s="67">
        <f>AS105*'data, etc'!J6</f>
        <v>483291.10169288382</v>
      </c>
      <c r="AX105" s="67">
        <f t="shared" ref="AX105:AX113" si="42">AW105/1000*0.89</f>
        <v>430.12908050666664</v>
      </c>
      <c r="AY105" s="67">
        <f>AG105*'data, etc'!J6</f>
        <v>3305575.4970077588</v>
      </c>
      <c r="AZ105" s="67">
        <f t="shared" ref="AZ105:AZ113" si="43">AY105/1000*0.89</f>
        <v>2941.9621923369054</v>
      </c>
      <c r="BA105" s="67">
        <f>AU105*'data, etc'!J6</f>
        <v>2968680.3151734662</v>
      </c>
      <c r="BB105" s="67">
        <f t="shared" ref="BB105:BB113" si="44">BA105/1000*0.991</f>
        <v>2941.962192336905</v>
      </c>
    </row>
    <row r="106" spans="1:54" x14ac:dyDescent="0.3">
      <c r="A106" s="67">
        <f t="shared" ref="A106:A113" si="45">A105-1</f>
        <v>11.8</v>
      </c>
      <c r="B106" s="68">
        <f t="shared" si="2"/>
        <v>737422120.73031485</v>
      </c>
      <c r="C106" s="69">
        <f t="shared" si="3"/>
        <v>1.5901444873182384E-3</v>
      </c>
      <c r="D106" s="67">
        <f t="shared" si="4"/>
        <v>0.1789084995388972</v>
      </c>
      <c r="E106" s="70">
        <f t="shared" si="5"/>
        <v>0.81332048736743834</v>
      </c>
      <c r="F106" s="70">
        <f t="shared" si="6"/>
        <v>0.86387172947876589</v>
      </c>
      <c r="G106" s="71">
        <f t="shared" si="7"/>
        <v>89.319053628431448</v>
      </c>
      <c r="H106" s="67">
        <f t="shared" si="8"/>
        <v>1.091474316275427</v>
      </c>
      <c r="I106" s="67">
        <f t="shared" si="9"/>
        <v>0.18400307845307462</v>
      </c>
      <c r="J106" s="67">
        <f t="shared" si="10"/>
        <v>0.97231253434992582</v>
      </c>
      <c r="K106" s="67">
        <f t="shared" si="11"/>
        <v>1</v>
      </c>
      <c r="L106" s="72">
        <f t="shared" si="12"/>
        <v>1.0219946887395193</v>
      </c>
      <c r="M106" s="72">
        <f t="shared" si="13"/>
        <v>1.458798748958537</v>
      </c>
      <c r="N106" s="72">
        <f t="shared" si="14"/>
        <v>0.2489059424816254</v>
      </c>
      <c r="O106" s="72">
        <f t="shared" si="15"/>
        <v>0.99209748532332132</v>
      </c>
      <c r="P106" s="72">
        <f t="shared" si="16"/>
        <v>0.88463587114114295</v>
      </c>
      <c r="Q106" s="67">
        <f t="shared" si="17"/>
        <v>1</v>
      </c>
      <c r="R106" s="72">
        <f t="shared" si="18"/>
        <v>0.99745767773674721</v>
      </c>
      <c r="S106" s="67">
        <f t="shared" si="0"/>
        <v>0.3545734221427882</v>
      </c>
      <c r="T106" s="67">
        <f t="shared" si="19"/>
        <v>85.073034468604263</v>
      </c>
      <c r="U106" s="71">
        <f t="shared" si="20"/>
        <v>174.3920880970357</v>
      </c>
      <c r="V106" s="67">
        <f t="shared" si="21"/>
        <v>1058.546023381959</v>
      </c>
      <c r="W106" s="67">
        <f t="shared" si="22"/>
        <v>0.6984108054970295</v>
      </c>
      <c r="X106" s="67">
        <f t="shared" si="23"/>
        <v>1515.64955045138</v>
      </c>
      <c r="Y106" s="67">
        <f t="shared" si="24"/>
        <v>1.4736404845160562</v>
      </c>
      <c r="Z106" s="67">
        <f t="shared" si="25"/>
        <v>1</v>
      </c>
      <c r="AA106" s="67">
        <f t="shared" si="26"/>
        <v>0.47364048451605628</v>
      </c>
      <c r="AB106" s="70">
        <f t="shared" si="27"/>
        <v>1.0457878213941352</v>
      </c>
      <c r="AC106" s="67">
        <f t="shared" si="28"/>
        <v>190.33338349373261</v>
      </c>
      <c r="AD106" s="70">
        <f t="shared" si="1"/>
        <v>288.47870712816592</v>
      </c>
      <c r="AE106" s="67">
        <f t="shared" si="29"/>
        <v>47.04</v>
      </c>
      <c r="AF106" s="67">
        <f t="shared" si="30"/>
        <v>39.200000000000003</v>
      </c>
      <c r="AG106" s="67">
        <f>(AD106/890)*'data, etc'!H7*1000*2</f>
        <v>54040.542419552941</v>
      </c>
      <c r="AH106" s="67">
        <f>(AD106/991)*'data, etc'!H7*1000*2</f>
        <v>48532.878661354312</v>
      </c>
      <c r="AI106" s="67">
        <f t="shared" si="31"/>
        <v>48.096082753402115</v>
      </c>
      <c r="AJ106" s="67">
        <f t="shared" si="32"/>
        <v>48.096082753402122</v>
      </c>
      <c r="AK106" s="67">
        <f t="shared" si="33"/>
        <v>3382.1231460674153</v>
      </c>
      <c r="AL106" s="67">
        <f t="shared" si="34"/>
        <v>3.0100895999999997</v>
      </c>
      <c r="AM106" s="67">
        <f t="shared" si="35"/>
        <v>2527.1284494382021</v>
      </c>
      <c r="AN106" s="67"/>
      <c r="AO106" s="72">
        <f t="shared" si="36"/>
        <v>2.2491443199999996</v>
      </c>
      <c r="AP106" s="67"/>
      <c r="AQ106" s="67">
        <f>'data, etc'!H7/890*Sheet1!AF106*1000</f>
        <v>3671.6561924712751</v>
      </c>
      <c r="AR106" s="71">
        <f t="shared" si="37"/>
        <v>3.2677740112994349</v>
      </c>
      <c r="AS106" s="71">
        <f t="shared" si="38"/>
        <v>9580.907787976892</v>
      </c>
      <c r="AT106" s="71">
        <f t="shared" si="39"/>
        <v>8.5270079312994351</v>
      </c>
      <c r="AU106" s="71">
        <f t="shared" si="40"/>
        <v>48532.878661354312</v>
      </c>
      <c r="AV106" s="71">
        <f t="shared" si="41"/>
        <v>48.096082753402122</v>
      </c>
      <c r="AW106" s="67">
        <f>AS106*'data, etc'!J7</f>
        <v>479045.38939884462</v>
      </c>
      <c r="AX106" s="67">
        <f t="shared" si="42"/>
        <v>426.35039656497173</v>
      </c>
      <c r="AY106" s="67">
        <f>AG106*'data, etc'!J7</f>
        <v>2702027.1209776471</v>
      </c>
      <c r="AZ106" s="67">
        <f t="shared" si="43"/>
        <v>2404.8041376701058</v>
      </c>
      <c r="BA106" s="67">
        <f>AU106*'data, etc'!J7</f>
        <v>2426643.9330677157</v>
      </c>
      <c r="BB106" s="67">
        <f t="shared" si="44"/>
        <v>2404.8041376701062</v>
      </c>
    </row>
    <row r="107" spans="1:54" x14ac:dyDescent="0.3">
      <c r="A107" s="67">
        <f t="shared" si="45"/>
        <v>10.8</v>
      </c>
      <c r="B107" s="68">
        <f t="shared" si="2"/>
        <v>674928720.66842377</v>
      </c>
      <c r="C107" s="69">
        <f t="shared" si="3"/>
        <v>1.6081043797730901E-3</v>
      </c>
      <c r="D107" s="67">
        <f t="shared" si="4"/>
        <v>0.16374676228983814</v>
      </c>
      <c r="E107" s="70">
        <f t="shared" si="5"/>
        <v>0.82845354673575822</v>
      </c>
      <c r="F107" s="70">
        <f t="shared" si="6"/>
        <v>0.87359018020510093</v>
      </c>
      <c r="G107" s="71">
        <f t="shared" si="7"/>
        <v>75.666780540563323</v>
      </c>
      <c r="H107" s="67">
        <f t="shared" si="8"/>
        <v>0.99505237163603422</v>
      </c>
      <c r="I107" s="67">
        <f t="shared" si="9"/>
        <v>0.17776767832072021</v>
      </c>
      <c r="J107" s="67">
        <f t="shared" si="10"/>
        <v>0.92112786664409163</v>
      </c>
      <c r="K107" s="67">
        <f t="shared" si="11"/>
        <v>1</v>
      </c>
      <c r="L107" s="72">
        <f t="shared" si="12"/>
        <v>1.0219946887395193</v>
      </c>
      <c r="M107" s="72">
        <f t="shared" si="13"/>
        <v>1.458798748958537</v>
      </c>
      <c r="N107" s="72">
        <f t="shared" si="14"/>
        <v>0.2489059424816254</v>
      </c>
      <c r="O107" s="72">
        <f t="shared" si="15"/>
        <v>0.99209748532332132</v>
      </c>
      <c r="P107" s="72">
        <f t="shared" si="16"/>
        <v>0.88463587114114295</v>
      </c>
      <c r="Q107" s="67">
        <f t="shared" si="17"/>
        <v>1</v>
      </c>
      <c r="R107" s="72">
        <f t="shared" si="18"/>
        <v>0.99745767773674721</v>
      </c>
      <c r="S107" s="67">
        <f t="shared" si="0"/>
        <v>0.32325004753776942</v>
      </c>
      <c r="T107" s="67">
        <f t="shared" si="19"/>
        <v>64.969247818740641</v>
      </c>
      <c r="U107" s="71">
        <f t="shared" si="20"/>
        <v>140.63602835930396</v>
      </c>
      <c r="V107" s="67">
        <f t="shared" si="21"/>
        <v>781.30626827068033</v>
      </c>
      <c r="W107" s="67">
        <f t="shared" si="22"/>
        <v>0.6984108054970295</v>
      </c>
      <c r="X107" s="67">
        <f t="shared" si="23"/>
        <v>1118.6915524805743</v>
      </c>
      <c r="Y107" s="67">
        <f t="shared" si="24"/>
        <v>1.3495911101501794</v>
      </c>
      <c r="Z107" s="67">
        <f t="shared" si="25"/>
        <v>1</v>
      </c>
      <c r="AA107" s="67">
        <f t="shared" si="26"/>
        <v>0.34959111015017946</v>
      </c>
      <c r="AB107" s="70">
        <f t="shared" si="27"/>
        <v>1.0873976564480685</v>
      </c>
      <c r="AC107" s="67">
        <f t="shared" si="28"/>
        <v>197.90637347354846</v>
      </c>
      <c r="AD107" s="70">
        <f t="shared" si="1"/>
        <v>221.39618818692426</v>
      </c>
      <c r="AE107" s="67">
        <f t="shared" si="29"/>
        <v>47.04</v>
      </c>
      <c r="AF107" s="67">
        <f t="shared" si="30"/>
        <v>39.200000000000003</v>
      </c>
      <c r="AG107" s="67">
        <f>(AD107/890)*'data, etc'!H8*1000*2</f>
        <v>45314.20109166413</v>
      </c>
      <c r="AH107" s="67">
        <f>(AD107/991)*'data, etc'!H8*1000*2</f>
        <v>40695.902090394629</v>
      </c>
      <c r="AI107" s="67">
        <f t="shared" si="31"/>
        <v>40.329638971581083</v>
      </c>
      <c r="AJ107" s="67">
        <f t="shared" si="32"/>
        <v>40.329638971581083</v>
      </c>
      <c r="AK107" s="67">
        <f t="shared" si="33"/>
        <v>3382.1231460674153</v>
      </c>
      <c r="AL107" s="67">
        <f t="shared" si="34"/>
        <v>3.0100895999999997</v>
      </c>
      <c r="AM107" s="67">
        <f t="shared" si="35"/>
        <v>2527.1284494382021</v>
      </c>
      <c r="AN107" s="67"/>
      <c r="AO107" s="72">
        <f t="shared" si="36"/>
        <v>2.2491443199999996</v>
      </c>
      <c r="AP107" s="67"/>
      <c r="AQ107" s="67">
        <f>'data, etc'!H8/890*Sheet1!AF107*1000</f>
        <v>4011.624358440838</v>
      </c>
      <c r="AR107" s="71">
        <f t="shared" si="37"/>
        <v>3.570345679012346</v>
      </c>
      <c r="AS107" s="71">
        <f t="shared" si="38"/>
        <v>9920.8759539464554</v>
      </c>
      <c r="AT107" s="71">
        <f t="shared" si="39"/>
        <v>8.8295795990123445</v>
      </c>
      <c r="AU107" s="71">
        <f t="shared" si="40"/>
        <v>40695.902090394629</v>
      </c>
      <c r="AV107" s="71">
        <f t="shared" si="41"/>
        <v>40.329638971581083</v>
      </c>
      <c r="AW107" s="67">
        <f>AS107*'data, etc'!J8</f>
        <v>476202.04578942986</v>
      </c>
      <c r="AX107" s="67">
        <f t="shared" si="42"/>
        <v>423.81982075259259</v>
      </c>
      <c r="AY107" s="67">
        <f>AG107*'data, etc'!J8</f>
        <v>2175081.652399878</v>
      </c>
      <c r="AZ107" s="67">
        <f t="shared" si="43"/>
        <v>1935.8226706358912</v>
      </c>
      <c r="BA107" s="67">
        <f>AU107*'data, etc'!J8</f>
        <v>1953403.3003389421</v>
      </c>
      <c r="BB107" s="67">
        <f t="shared" si="44"/>
        <v>1935.8226706358914</v>
      </c>
    </row>
    <row r="108" spans="1:54" x14ac:dyDescent="0.3">
      <c r="A108" s="67">
        <f t="shared" si="45"/>
        <v>9.8000000000000007</v>
      </c>
      <c r="B108" s="68">
        <f t="shared" si="2"/>
        <v>612435320.60653269</v>
      </c>
      <c r="C108" s="69">
        <f t="shared" si="3"/>
        <v>1.6281629092290699E-3</v>
      </c>
      <c r="D108" s="67">
        <f t="shared" si="4"/>
        <v>0.14858502504077903</v>
      </c>
      <c r="E108" s="70">
        <f t="shared" si="5"/>
        <v>0.83926559605661621</v>
      </c>
      <c r="F108" s="70">
        <f t="shared" si="6"/>
        <v>0.8805336782789559</v>
      </c>
      <c r="G108" s="71">
        <f t="shared" si="7"/>
        <v>63.080266385834697</v>
      </c>
      <c r="H108" s="67">
        <f t="shared" si="8"/>
        <v>0.90842115442278715</v>
      </c>
      <c r="I108" s="67">
        <f t="shared" si="9"/>
        <v>0.17345211818243622</v>
      </c>
      <c r="J108" s="67">
        <f t="shared" si="10"/>
        <v>0.85663424925429799</v>
      </c>
      <c r="K108" s="67">
        <f t="shared" si="11"/>
        <v>1</v>
      </c>
      <c r="L108" s="72">
        <f t="shared" si="12"/>
        <v>1.0219946887395193</v>
      </c>
      <c r="M108" s="72">
        <f t="shared" si="13"/>
        <v>1.458798748958537</v>
      </c>
      <c r="N108" s="72">
        <f t="shared" si="14"/>
        <v>0.2489059424816254</v>
      </c>
      <c r="O108" s="72">
        <f t="shared" si="15"/>
        <v>0.99209748532332132</v>
      </c>
      <c r="P108" s="72">
        <f t="shared" si="16"/>
        <v>0.88463587114114295</v>
      </c>
      <c r="Q108" s="67">
        <f t="shared" si="17"/>
        <v>1</v>
      </c>
      <c r="R108" s="72">
        <f t="shared" si="18"/>
        <v>0.99745767773674721</v>
      </c>
      <c r="S108" s="67">
        <f t="shared" si="0"/>
        <v>0.29510726241341018</v>
      </c>
      <c r="T108" s="67">
        <f t="shared" si="19"/>
        <v>48.837539905846484</v>
      </c>
      <c r="U108" s="71">
        <f t="shared" si="20"/>
        <v>111.91780629168119</v>
      </c>
      <c r="V108" s="67">
        <f t="shared" si="21"/>
        <v>564.19109165311977</v>
      </c>
      <c r="W108" s="67">
        <f t="shared" si="22"/>
        <v>0.6984108054970295</v>
      </c>
      <c r="X108" s="67">
        <f t="shared" si="23"/>
        <v>807.82125249566946</v>
      </c>
      <c r="Y108" s="67">
        <f t="shared" si="24"/>
        <v>1.2524441414048968</v>
      </c>
      <c r="Z108" s="67">
        <f t="shared" si="25"/>
        <v>1</v>
      </c>
      <c r="AA108" s="67">
        <f t="shared" si="26"/>
        <v>0.25244414140489668</v>
      </c>
      <c r="AB108" s="70">
        <f t="shared" si="27"/>
        <v>1.1297609198635166</v>
      </c>
      <c r="AC108" s="67">
        <f t="shared" si="28"/>
        <v>205.61648741516001</v>
      </c>
      <c r="AD108" s="70">
        <f t="shared" si="1"/>
        <v>166.1013683974746</v>
      </c>
      <c r="AE108" s="67">
        <f t="shared" si="29"/>
        <v>47.04</v>
      </c>
      <c r="AF108" s="67">
        <f t="shared" si="30"/>
        <v>39.200000000000003</v>
      </c>
      <c r="AG108" s="67">
        <f>(AD108/890)*'data, etc'!H9*1000*2</f>
        <v>37465.805865699571</v>
      </c>
      <c r="AH108" s="67">
        <f>(AD108/991)*'data, etc'!H9*1000*2</f>
        <v>33647.393764351786</v>
      </c>
      <c r="AI108" s="67">
        <f t="shared" si="31"/>
        <v>33.344567220472619</v>
      </c>
      <c r="AJ108" s="67">
        <f t="shared" si="32"/>
        <v>33.344567220472612</v>
      </c>
      <c r="AK108" s="67">
        <f t="shared" si="33"/>
        <v>3382.1231460674153</v>
      </c>
      <c r="AL108" s="67">
        <f t="shared" si="34"/>
        <v>3.0100895999999997</v>
      </c>
      <c r="AM108" s="67">
        <f t="shared" si="35"/>
        <v>2527.1284494382021</v>
      </c>
      <c r="AN108" s="67"/>
      <c r="AO108" s="72">
        <f t="shared" si="36"/>
        <v>2.2491443199999996</v>
      </c>
      <c r="AP108" s="67"/>
      <c r="AQ108" s="67">
        <f>'data, etc'!H9/890*Sheet1!AF108*1000</f>
        <v>4420.9737827715353</v>
      </c>
      <c r="AR108" s="71">
        <f t="shared" si="37"/>
        <v>3.9346666666666668</v>
      </c>
      <c r="AS108" s="71">
        <f t="shared" si="38"/>
        <v>10330.225378277153</v>
      </c>
      <c r="AT108" s="71">
        <f t="shared" si="39"/>
        <v>9.1939005866666648</v>
      </c>
      <c r="AU108" s="71">
        <f t="shared" si="40"/>
        <v>33647.393764351786</v>
      </c>
      <c r="AV108" s="71">
        <f t="shared" si="41"/>
        <v>33.344567220472619</v>
      </c>
      <c r="AW108" s="67">
        <f>AS108*'data, etc'!J9</f>
        <v>464860.14202247187</v>
      </c>
      <c r="AX108" s="67">
        <f t="shared" si="42"/>
        <v>413.72552639999998</v>
      </c>
      <c r="AY108" s="67">
        <f>AG108*'data, etc'!J9</f>
        <v>1685961.2639564807</v>
      </c>
      <c r="AZ108" s="67">
        <f t="shared" si="43"/>
        <v>1500.5055249212678</v>
      </c>
      <c r="BA108" s="67">
        <f>AU108*'data, etc'!J9</f>
        <v>1514132.7193958303</v>
      </c>
      <c r="BB108" s="67">
        <f t="shared" si="44"/>
        <v>1500.5055249212678</v>
      </c>
    </row>
    <row r="109" spans="1:54" x14ac:dyDescent="0.3">
      <c r="A109" s="67">
        <f t="shared" si="45"/>
        <v>8.8000000000000007</v>
      </c>
      <c r="B109" s="68">
        <f t="shared" si="2"/>
        <v>549941920.54464161</v>
      </c>
      <c r="C109" s="69">
        <f t="shared" si="3"/>
        <v>1.6508234965809116E-3</v>
      </c>
      <c r="D109" s="67">
        <f t="shared" si="4"/>
        <v>0.13342328779171994</v>
      </c>
      <c r="E109" s="70">
        <f t="shared" si="5"/>
        <v>0.84726589420087106</v>
      </c>
      <c r="F109" s="70">
        <f t="shared" si="6"/>
        <v>0.88567146974719635</v>
      </c>
      <c r="G109" s="71">
        <f t="shared" si="7"/>
        <v>51.571468280705702</v>
      </c>
      <c r="H109" s="67">
        <f t="shared" si="8"/>
        <v>0.85086218301724825</v>
      </c>
      <c r="I109" s="67">
        <f t="shared" si="9"/>
        <v>0.17033365117290317</v>
      </c>
      <c r="J109" s="67">
        <f t="shared" si="10"/>
        <v>0.7833055116999984</v>
      </c>
      <c r="K109" s="67">
        <f t="shared" si="11"/>
        <v>1</v>
      </c>
      <c r="L109" s="72">
        <f t="shared" si="12"/>
        <v>1.0219946887395193</v>
      </c>
      <c r="M109" s="72">
        <f t="shared" si="13"/>
        <v>1.458798748958537</v>
      </c>
      <c r="N109" s="72">
        <f t="shared" si="14"/>
        <v>0.2489059424816254</v>
      </c>
      <c r="O109" s="72">
        <f t="shared" si="15"/>
        <v>0.99209748532332132</v>
      </c>
      <c r="P109" s="72">
        <f t="shared" si="16"/>
        <v>0.88463587114114295</v>
      </c>
      <c r="Q109" s="67">
        <f t="shared" si="17"/>
        <v>1</v>
      </c>
      <c r="R109" s="72">
        <f t="shared" si="18"/>
        <v>0.99745767773674721</v>
      </c>
      <c r="S109" s="67">
        <f t="shared" si="0"/>
        <v>0.27640880917272875</v>
      </c>
      <c r="T109" s="67">
        <f t="shared" si="19"/>
        <v>36.88407993759855</v>
      </c>
      <c r="U109" s="71">
        <f t="shared" si="20"/>
        <v>88.455548218304244</v>
      </c>
      <c r="V109" s="67">
        <f t="shared" si="21"/>
        <v>400.41349923076223</v>
      </c>
      <c r="W109" s="67">
        <f t="shared" si="22"/>
        <v>0.6984108054970295</v>
      </c>
      <c r="X109" s="67">
        <f t="shared" si="23"/>
        <v>573.32088232198078</v>
      </c>
      <c r="Y109" s="67">
        <f t="shared" si="24"/>
        <v>1.1791627757256191</v>
      </c>
      <c r="Z109" s="67">
        <f t="shared" si="25"/>
        <v>1</v>
      </c>
      <c r="AA109" s="67">
        <f t="shared" si="26"/>
        <v>0.17916277572561901</v>
      </c>
      <c r="AB109" s="70">
        <f t="shared" si="27"/>
        <v>1.1673996108284079</v>
      </c>
      <c r="AC109" s="67">
        <f t="shared" si="28"/>
        <v>212.46672917077024</v>
      </c>
      <c r="AD109" s="70">
        <f t="shared" si="1"/>
        <v>121.81161263225131</v>
      </c>
      <c r="AE109" s="67">
        <f t="shared" si="29"/>
        <v>47.04</v>
      </c>
      <c r="AF109" s="67">
        <f t="shared" si="30"/>
        <v>39.200000000000003</v>
      </c>
      <c r="AG109" s="67">
        <f>(AD109/890)*'data, etc'!H10*1000*2</f>
        <v>30598.065107062783</v>
      </c>
      <c r="AH109" s="67">
        <f>(AD109/991)*'data, etc'!H10*1000*2</f>
        <v>27479.594293931259</v>
      </c>
      <c r="AI109" s="67">
        <f t="shared" si="31"/>
        <v>27.232277945285876</v>
      </c>
      <c r="AJ109" s="67">
        <f t="shared" si="32"/>
        <v>27.232277945285876</v>
      </c>
      <c r="AK109" s="67">
        <f t="shared" si="33"/>
        <v>3382.1231460674153</v>
      </c>
      <c r="AL109" s="67">
        <f t="shared" si="34"/>
        <v>3.0100895999999997</v>
      </c>
      <c r="AM109" s="67">
        <f t="shared" si="35"/>
        <v>2527.1284494382021</v>
      </c>
      <c r="AN109" s="67"/>
      <c r="AO109" s="72">
        <f t="shared" si="36"/>
        <v>2.2491443199999996</v>
      </c>
      <c r="AP109" s="67"/>
      <c r="AQ109" s="67">
        <f>'data, etc'!H10/890*Sheet1!AF109*1000</f>
        <v>4923.3571671773925</v>
      </c>
      <c r="AR109" s="71">
        <f t="shared" si="37"/>
        <v>4.381787878787879</v>
      </c>
      <c r="AS109" s="71">
        <f t="shared" si="38"/>
        <v>10832.60876268301</v>
      </c>
      <c r="AT109" s="71">
        <f t="shared" si="39"/>
        <v>9.6410217987878788</v>
      </c>
      <c r="AU109" s="71">
        <f t="shared" si="40"/>
        <v>27479.594293931259</v>
      </c>
      <c r="AV109" s="71">
        <f t="shared" si="41"/>
        <v>27.23227794528588</v>
      </c>
      <c r="AW109" s="67">
        <f>AS109*'data, etc'!J10</f>
        <v>454969.56803268642</v>
      </c>
      <c r="AX109" s="67">
        <f t="shared" si="42"/>
        <v>404.92291554909093</v>
      </c>
      <c r="AY109" s="67">
        <f>AG109*'data, etc'!J10</f>
        <v>1285118.7344966368</v>
      </c>
      <c r="AZ109" s="67">
        <f t="shared" si="43"/>
        <v>1143.7556737020068</v>
      </c>
      <c r="BA109" s="67">
        <f>AU109*'data, etc'!J10</f>
        <v>1154142.960345113</v>
      </c>
      <c r="BB109" s="67">
        <f t="shared" si="44"/>
        <v>1143.7556737020068</v>
      </c>
    </row>
    <row r="110" spans="1:54" x14ac:dyDescent="0.3">
      <c r="A110" s="67">
        <f t="shared" si="45"/>
        <v>7.8000000000000007</v>
      </c>
      <c r="B110" s="68">
        <f t="shared" si="2"/>
        <v>487448520.48275048</v>
      </c>
      <c r="C110" s="69">
        <f t="shared" si="3"/>
        <v>1.6767873432279006E-3</v>
      </c>
      <c r="D110" s="67">
        <f t="shared" si="4"/>
        <v>0.11826155054266085</v>
      </c>
      <c r="E110" s="70">
        <f t="shared" si="5"/>
        <v>0.85337889653042609</v>
      </c>
      <c r="F110" s="70">
        <f t="shared" si="6"/>
        <v>0.88959723984323658</v>
      </c>
      <c r="G110" s="71">
        <f t="shared" si="7"/>
        <v>41.153872037618271</v>
      </c>
      <c r="H110" s="67">
        <f t="shared" si="8"/>
        <v>0.83441340189537128</v>
      </c>
      <c r="I110" s="67">
        <f t="shared" si="9"/>
        <v>0.16799371895925014</v>
      </c>
      <c r="J110" s="67">
        <f t="shared" si="10"/>
        <v>0.70396412005943687</v>
      </c>
      <c r="K110" s="67">
        <f t="shared" si="11"/>
        <v>1</v>
      </c>
      <c r="L110" s="72">
        <f t="shared" si="12"/>
        <v>1.0219946887395193</v>
      </c>
      <c r="M110" s="72">
        <f t="shared" si="13"/>
        <v>1.458798748958537</v>
      </c>
      <c r="N110" s="72">
        <f t="shared" si="14"/>
        <v>0.2489059424816254</v>
      </c>
      <c r="O110" s="72">
        <f t="shared" si="15"/>
        <v>0.99209748532332132</v>
      </c>
      <c r="P110" s="72">
        <f t="shared" si="16"/>
        <v>0.88463587114114295</v>
      </c>
      <c r="Q110" s="67">
        <f t="shared" si="17"/>
        <v>1</v>
      </c>
      <c r="R110" s="72">
        <f t="shared" si="18"/>
        <v>0.99745767773674721</v>
      </c>
      <c r="S110" s="67">
        <f t="shared" si="0"/>
        <v>0.27106530220651454</v>
      </c>
      <c r="T110" s="67">
        <f t="shared" si="19"/>
        <v>28.417434318826764</v>
      </c>
      <c r="U110" s="71">
        <f t="shared" si="20"/>
        <v>69.571306356445035</v>
      </c>
      <c r="V110" s="67">
        <f t="shared" si="21"/>
        <v>279.14234392009155</v>
      </c>
      <c r="W110" s="67">
        <f t="shared" si="22"/>
        <v>0.6984108054970295</v>
      </c>
      <c r="X110" s="67">
        <f t="shared" si="23"/>
        <v>399.68216660313226</v>
      </c>
      <c r="Y110" s="67">
        <f t="shared" si="24"/>
        <v>1.1249006770634788</v>
      </c>
      <c r="Z110" s="67">
        <f t="shared" si="25"/>
        <v>1</v>
      </c>
      <c r="AA110" s="67">
        <f t="shared" si="26"/>
        <v>0.12490067706347883</v>
      </c>
      <c r="AB110" s="70">
        <f t="shared" si="27"/>
        <v>1.1984186007894966</v>
      </c>
      <c r="AC110" s="67">
        <f t="shared" si="28"/>
        <v>218.11218534368837</v>
      </c>
      <c r="AD110" s="70">
        <f t="shared" si="1"/>
        <v>87.175550800709317</v>
      </c>
      <c r="AE110" s="67">
        <f t="shared" si="29"/>
        <v>47.04</v>
      </c>
      <c r="AF110" s="67">
        <f t="shared" si="30"/>
        <v>39.200000000000003</v>
      </c>
      <c r="AG110" s="67">
        <f>(AD110/890)*'data, etc'!H11*1000*2</f>
        <v>24705.181063372052</v>
      </c>
      <c r="AH110" s="67">
        <f>(AD110/991)*'data, etc'!H11*1000*2</f>
        <v>22187.296817760976</v>
      </c>
      <c r="AI110" s="67">
        <f t="shared" si="31"/>
        <v>21.987611146401125</v>
      </c>
      <c r="AJ110" s="67">
        <f t="shared" si="32"/>
        <v>21.987611146401125</v>
      </c>
      <c r="AK110" s="67">
        <f t="shared" si="33"/>
        <v>3382.1231460674153</v>
      </c>
      <c r="AL110" s="67">
        <f t="shared" si="34"/>
        <v>3.0100895999999997</v>
      </c>
      <c r="AM110" s="67">
        <f t="shared" si="35"/>
        <v>2527.1284494382021</v>
      </c>
      <c r="AN110" s="67"/>
      <c r="AO110" s="72">
        <f t="shared" si="36"/>
        <v>2.2491443199999996</v>
      </c>
      <c r="AP110" s="67"/>
      <c r="AQ110" s="67">
        <f>'data, etc'!H11/890*Sheet1!AF110*1000</f>
        <v>5554.5568039950067</v>
      </c>
      <c r="AR110" s="71">
        <f t="shared" si="37"/>
        <v>4.9435555555555561</v>
      </c>
      <c r="AS110" s="71">
        <f t="shared" si="38"/>
        <v>11463.808399500624</v>
      </c>
      <c r="AT110" s="71">
        <f t="shared" si="39"/>
        <v>10.202789475555555</v>
      </c>
      <c r="AU110" s="71">
        <f t="shared" si="40"/>
        <v>22187.296817760976</v>
      </c>
      <c r="AV110" s="71">
        <f t="shared" si="41"/>
        <v>21.987611146401129</v>
      </c>
      <c r="AW110" s="67">
        <f>AS110*'data, etc'!J11</f>
        <v>458552.33598002495</v>
      </c>
      <c r="AX110" s="67">
        <f t="shared" si="42"/>
        <v>408.1115790222222</v>
      </c>
      <c r="AY110" s="67">
        <f>AG110*'data, etc'!J11</f>
        <v>988207.24253488216</v>
      </c>
      <c r="AZ110" s="67">
        <f t="shared" si="43"/>
        <v>879.50444585604521</v>
      </c>
      <c r="BA110" s="67">
        <f>AU110*'data, etc'!J11</f>
        <v>887491.87271043903</v>
      </c>
      <c r="BB110" s="67">
        <f t="shared" si="44"/>
        <v>879.50444585604509</v>
      </c>
    </row>
    <row r="111" spans="1:54" x14ac:dyDescent="0.3">
      <c r="A111" s="67">
        <f t="shared" si="45"/>
        <v>6.8000000000000007</v>
      </c>
      <c r="B111" s="68">
        <f t="shared" si="2"/>
        <v>424955120.4208594</v>
      </c>
      <c r="C111" s="69">
        <f t="shared" si="3"/>
        <v>1.7070699080107858E-3</v>
      </c>
      <c r="D111" s="67">
        <f t="shared" si="4"/>
        <v>0.10309981329360178</v>
      </c>
      <c r="E111" s="70">
        <f t="shared" si="5"/>
        <v>0.85818074498404695</v>
      </c>
      <c r="F111" s="70">
        <f t="shared" si="6"/>
        <v>0.89268098692015196</v>
      </c>
      <c r="G111" s="71">
        <f t="shared" si="7"/>
        <v>31.842902161574226</v>
      </c>
      <c r="H111" s="67">
        <f t="shared" si="8"/>
        <v>0.86667983162983786</v>
      </c>
      <c r="I111" s="67">
        <f t="shared" si="9"/>
        <v>0.1661817181170932</v>
      </c>
      <c r="J111" s="67">
        <f t="shared" si="10"/>
        <v>0.62040406406772541</v>
      </c>
      <c r="K111" s="67">
        <f t="shared" si="11"/>
        <v>1</v>
      </c>
      <c r="L111" s="72">
        <f t="shared" si="12"/>
        <v>1.0219946887395193</v>
      </c>
      <c r="M111" s="72">
        <f t="shared" si="13"/>
        <v>1.458798748958537</v>
      </c>
      <c r="N111" s="72">
        <f t="shared" si="14"/>
        <v>0.2489059424816254</v>
      </c>
      <c r="O111" s="72">
        <f t="shared" si="15"/>
        <v>0.99209748532332132</v>
      </c>
      <c r="P111" s="72">
        <f t="shared" si="16"/>
        <v>0.88463587114114295</v>
      </c>
      <c r="Q111" s="67">
        <f t="shared" si="17"/>
        <v>1</v>
      </c>
      <c r="R111" s="72">
        <f t="shared" si="18"/>
        <v>0.99745767773674721</v>
      </c>
      <c r="S111" s="67">
        <f t="shared" si="0"/>
        <v>0.28154728812288549</v>
      </c>
      <c r="T111" s="67">
        <f t="shared" si="19"/>
        <v>22.433183267589683</v>
      </c>
      <c r="U111" s="71">
        <f t="shared" si="20"/>
        <v>54.276085429163913</v>
      </c>
      <c r="V111" s="67">
        <f t="shared" si="21"/>
        <v>189.85340474438104</v>
      </c>
      <c r="W111" s="67">
        <f t="shared" si="22"/>
        <v>0.6984108054970295</v>
      </c>
      <c r="X111" s="67">
        <f t="shared" si="23"/>
        <v>271.83629355400706</v>
      </c>
      <c r="Y111" s="67">
        <f t="shared" si="24"/>
        <v>1.0849488417356272</v>
      </c>
      <c r="Z111" s="67">
        <f t="shared" si="25"/>
        <v>1</v>
      </c>
      <c r="AA111" s="67">
        <f t="shared" si="26"/>
        <v>8.4948841735627209E-2</v>
      </c>
      <c r="AB111" s="70">
        <f t="shared" si="27"/>
        <v>1.2229697414667668</v>
      </c>
      <c r="AC111" s="67">
        <f t="shared" si="28"/>
        <v>222.58049294695158</v>
      </c>
      <c r="AD111" s="70">
        <f t="shared" si="1"/>
        <v>60.505456220123122</v>
      </c>
      <c r="AE111" s="67">
        <f t="shared" si="29"/>
        <v>47.04</v>
      </c>
      <c r="AF111" s="67">
        <f t="shared" si="30"/>
        <v>39.200000000000003</v>
      </c>
      <c r="AG111" s="67">
        <f>(AD111/890)*'data, etc'!H12*1000*2</f>
        <v>19668.605563514353</v>
      </c>
      <c r="AH111" s="67">
        <f>(AD111/991)*'data, etc'!H12*1000*2</f>
        <v>17664.035268948312</v>
      </c>
      <c r="AI111" s="67">
        <f t="shared" si="31"/>
        <v>17.505058951527776</v>
      </c>
      <c r="AJ111" s="67">
        <f t="shared" si="32"/>
        <v>17.505058951527776</v>
      </c>
      <c r="AK111" s="67">
        <f t="shared" si="33"/>
        <v>3382.1231460674153</v>
      </c>
      <c r="AL111" s="67">
        <f t="shared" si="34"/>
        <v>3.0100895999999997</v>
      </c>
      <c r="AM111" s="67">
        <f t="shared" si="35"/>
        <v>2527.1284494382021</v>
      </c>
      <c r="AN111" s="67"/>
      <c r="AO111" s="72">
        <f t="shared" si="36"/>
        <v>2.2491443199999996</v>
      </c>
      <c r="AP111" s="67"/>
      <c r="AQ111" s="67">
        <f>'data, etc'!H12/890*Sheet1!AF111*1000</f>
        <v>6371.4033928178005</v>
      </c>
      <c r="AR111" s="71">
        <f t="shared" si="37"/>
        <v>5.6705490196078427</v>
      </c>
      <c r="AS111" s="71">
        <f t="shared" si="38"/>
        <v>12280.654988323418</v>
      </c>
      <c r="AT111" s="71">
        <f t="shared" si="39"/>
        <v>10.929782939607842</v>
      </c>
      <c r="AU111" s="71">
        <f t="shared" si="40"/>
        <v>17664.035268948312</v>
      </c>
      <c r="AV111" s="71">
        <f t="shared" si="41"/>
        <v>17.505058951527776</v>
      </c>
      <c r="AW111" s="67">
        <f>AS111*'data, etc'!J12</f>
        <v>442103.57957964309</v>
      </c>
      <c r="AX111" s="67">
        <f t="shared" si="42"/>
        <v>393.47218582588238</v>
      </c>
      <c r="AY111" s="67">
        <f>AG111*'data, etc'!J12</f>
        <v>708069.80028651666</v>
      </c>
      <c r="AZ111" s="67">
        <f t="shared" si="43"/>
        <v>630.18212225499985</v>
      </c>
      <c r="BA111" s="67">
        <f>AU111*'data, etc'!J12</f>
        <v>635905.26968213916</v>
      </c>
      <c r="BB111" s="67">
        <f t="shared" si="44"/>
        <v>630.18212225499997</v>
      </c>
    </row>
    <row r="112" spans="1:54" x14ac:dyDescent="0.3">
      <c r="A112" s="67">
        <f t="shared" si="45"/>
        <v>5.8000000000000007</v>
      </c>
      <c r="B112" s="68">
        <f t="shared" si="2"/>
        <v>362461720.35896838</v>
      </c>
      <c r="C112" s="69">
        <f t="shared" si="3"/>
        <v>1.7432163350522209E-3</v>
      </c>
      <c r="D112" s="67">
        <f t="shared" si="4"/>
        <v>8.7938076044542707E-2</v>
      </c>
      <c r="E112" s="70">
        <f t="shared" si="5"/>
        <v>0.86204185115885568</v>
      </c>
      <c r="F112" s="70">
        <f t="shared" si="6"/>
        <v>0.89516058930561404</v>
      </c>
      <c r="G112" s="71">
        <f t="shared" si="7"/>
        <v>23.65651598877119</v>
      </c>
      <c r="H112" s="67">
        <f t="shared" si="8"/>
        <v>0.95259985307669814</v>
      </c>
      <c r="I112" s="67">
        <f t="shared" si="9"/>
        <v>0.16474133489217047</v>
      </c>
      <c r="J112" s="67">
        <f t="shared" si="10"/>
        <v>0.53379484937463662</v>
      </c>
      <c r="K112" s="67">
        <f t="shared" si="11"/>
        <v>1</v>
      </c>
      <c r="L112" s="72">
        <f t="shared" si="12"/>
        <v>1.0219946887395193</v>
      </c>
      <c r="M112" s="72">
        <f t="shared" si="13"/>
        <v>1.458798748958537</v>
      </c>
      <c r="N112" s="72">
        <f t="shared" si="14"/>
        <v>0.2489059424816254</v>
      </c>
      <c r="O112" s="72">
        <f t="shared" si="15"/>
        <v>0.99209748532332132</v>
      </c>
      <c r="P112" s="72">
        <f t="shared" si="16"/>
        <v>0.88463587114114295</v>
      </c>
      <c r="Q112" s="67">
        <f t="shared" si="17"/>
        <v>1</v>
      </c>
      <c r="R112" s="72">
        <f t="shared" si="18"/>
        <v>0.99745767773674721</v>
      </c>
      <c r="S112" s="67">
        <f t="shared" si="0"/>
        <v>0.30945903609598879</v>
      </c>
      <c r="T112" s="67">
        <f t="shared" si="19"/>
        <v>17.938283604900548</v>
      </c>
      <c r="U112" s="71">
        <f t="shared" si="20"/>
        <v>41.594799593671738</v>
      </c>
      <c r="V112" s="67">
        <f t="shared" si="21"/>
        <v>124.09891648371151</v>
      </c>
      <c r="W112" s="67">
        <f t="shared" si="22"/>
        <v>0.6984108054970295</v>
      </c>
      <c r="X112" s="67">
        <f t="shared" si="23"/>
        <v>177.68756655389308</v>
      </c>
      <c r="Y112" s="67">
        <f t="shared" si="24"/>
        <v>1.0555273645480916</v>
      </c>
      <c r="Z112" s="67">
        <f t="shared" si="25"/>
        <v>1</v>
      </c>
      <c r="AA112" s="67">
        <f t="shared" si="26"/>
        <v>5.5527364548091589E-2</v>
      </c>
      <c r="AB112" s="70">
        <f t="shared" si="27"/>
        <v>1.2419784673080687</v>
      </c>
      <c r="AC112" s="67">
        <f t="shared" si="28"/>
        <v>226.04008105006849</v>
      </c>
      <c r="AD112" s="70">
        <f t="shared" si="1"/>
        <v>40.164511945431435</v>
      </c>
      <c r="AE112" s="67">
        <f t="shared" si="29"/>
        <v>47.04</v>
      </c>
      <c r="AF112" s="67">
        <f t="shared" si="30"/>
        <v>39.200000000000003</v>
      </c>
      <c r="AG112" s="67">
        <f>(AD112/890)*'data, etc'!H13*1000*2</f>
        <v>15307.435716255733</v>
      </c>
      <c r="AH112" s="67">
        <f>(AD112/991)*'data, etc'!H13*1000*2</f>
        <v>13747.343882409286</v>
      </c>
      <c r="AI112" s="67">
        <f t="shared" si="31"/>
        <v>13.623617787467603</v>
      </c>
      <c r="AJ112" s="67">
        <f t="shared" si="32"/>
        <v>13.623617787467603</v>
      </c>
      <c r="AK112" s="67">
        <f t="shared" si="33"/>
        <v>3382.1231460674153</v>
      </c>
      <c r="AL112" s="67">
        <f t="shared" si="34"/>
        <v>3.0100895999999997</v>
      </c>
      <c r="AM112" s="67">
        <f t="shared" si="35"/>
        <v>2527.1284494382021</v>
      </c>
      <c r="AN112" s="67"/>
      <c r="AO112" s="72">
        <f t="shared" si="36"/>
        <v>2.2491443199999996</v>
      </c>
      <c r="AP112" s="67"/>
      <c r="AQ112" s="67">
        <f>'data, etc'!H13/890*Sheet1!AF112*1000</f>
        <v>7469.9212191656979</v>
      </c>
      <c r="AR112" s="71">
        <f t="shared" si="37"/>
        <v>6.6482298850574715</v>
      </c>
      <c r="AS112" s="71">
        <f t="shared" si="38"/>
        <v>13379.172814671316</v>
      </c>
      <c r="AT112" s="71">
        <f t="shared" si="39"/>
        <v>11.907463805057471</v>
      </c>
      <c r="AU112" s="71">
        <f t="shared" si="40"/>
        <v>13747.343882409286</v>
      </c>
      <c r="AV112" s="71">
        <f t="shared" si="41"/>
        <v>13.623617787467602</v>
      </c>
      <c r="AW112" s="67">
        <f>AS112*'data, etc'!J13</f>
        <v>441512.7028841534</v>
      </c>
      <c r="AX112" s="67">
        <f t="shared" si="42"/>
        <v>392.94630556689651</v>
      </c>
      <c r="AY112" s="67">
        <f>AG112*'data, etc'!J13</f>
        <v>505145.37863643921</v>
      </c>
      <c r="AZ112" s="67">
        <f t="shared" si="43"/>
        <v>449.5793869864309</v>
      </c>
      <c r="BA112" s="67">
        <f>AU112*'data, etc'!J13</f>
        <v>453662.34811950644</v>
      </c>
      <c r="BB112" s="67">
        <f t="shared" si="44"/>
        <v>449.57938698643085</v>
      </c>
    </row>
    <row r="113" spans="1:54" x14ac:dyDescent="0.3">
      <c r="A113" s="67">
        <f t="shared" si="45"/>
        <v>4.8000000000000007</v>
      </c>
      <c r="B113" s="68">
        <f t="shared" si="2"/>
        <v>299968320.29707724</v>
      </c>
      <c r="C113" s="69">
        <f t="shared" si="3"/>
        <v>1.7877358905030983E-3</v>
      </c>
      <c r="D113" s="67">
        <f t="shared" si="4"/>
        <v>7.2776338795483619E-2</v>
      </c>
      <c r="E113" s="70">
        <f t="shared" si="5"/>
        <v>0.86520838132531042</v>
      </c>
      <c r="F113" s="70">
        <f t="shared" si="6"/>
        <v>0.8971941349785113</v>
      </c>
      <c r="G113" s="71">
        <f t="shared" si="7"/>
        <v>16.616109448241367</v>
      </c>
      <c r="H113" s="67">
        <f t="shared" si="8"/>
        <v>1.0954802164720843</v>
      </c>
      <c r="I113" s="67">
        <f t="shared" si="9"/>
        <v>0.16357112266095414</v>
      </c>
      <c r="J113" s="67">
        <f t="shared" si="10"/>
        <v>0.44492168062166126</v>
      </c>
      <c r="K113" s="67">
        <f t="shared" si="11"/>
        <v>1</v>
      </c>
      <c r="L113" s="72">
        <f t="shared" si="12"/>
        <v>1.0219946887395193</v>
      </c>
      <c r="M113" s="72">
        <f t="shared" si="13"/>
        <v>1.458798748958537</v>
      </c>
      <c r="N113" s="72">
        <f t="shared" si="14"/>
        <v>0.2489059424816254</v>
      </c>
      <c r="O113" s="72">
        <f t="shared" si="15"/>
        <v>0.99209748532332132</v>
      </c>
      <c r="P113" s="72">
        <f t="shared" si="16"/>
        <v>0.88463587114114295</v>
      </c>
      <c r="Q113" s="67">
        <f t="shared" si="17"/>
        <v>1</v>
      </c>
      <c r="R113" s="72">
        <f t="shared" si="18"/>
        <v>0.99745767773674721</v>
      </c>
      <c r="S113" s="67">
        <f t="shared" si="0"/>
        <v>0.35587476814819685</v>
      </c>
      <c r="T113" s="67">
        <f t="shared" si="19"/>
        <v>14.128673929508979</v>
      </c>
      <c r="U113" s="71">
        <f t="shared" si="20"/>
        <v>30.744783377750345</v>
      </c>
      <c r="V113" s="67">
        <f t="shared" si="21"/>
        <v>75.912559533670944</v>
      </c>
      <c r="W113" s="67">
        <f t="shared" si="22"/>
        <v>0.6984108054970295</v>
      </c>
      <c r="X113" s="67">
        <f t="shared" si="23"/>
        <v>108.69327756125878</v>
      </c>
      <c r="Y113" s="67">
        <f t="shared" si="24"/>
        <v>1.0339666492378934</v>
      </c>
      <c r="Z113" s="67">
        <f t="shared" si="25"/>
        <v>1</v>
      </c>
      <c r="AA113" s="67">
        <f t="shared" si="26"/>
        <v>3.3966649237893366E-2</v>
      </c>
      <c r="AB113" s="70">
        <f t="shared" si="27"/>
        <v>1.2564086276746005</v>
      </c>
      <c r="AC113" s="67">
        <f t="shared" si="28"/>
        <v>228.66637023677728</v>
      </c>
      <c r="AD113" s="70">
        <f t="shared" si="1"/>
        <v>24.854497249071596</v>
      </c>
      <c r="AE113" s="67">
        <f t="shared" si="29"/>
        <v>47.04</v>
      </c>
      <c r="AF113" s="67">
        <f t="shared" si="30"/>
        <v>39.200000000000003</v>
      </c>
      <c r="AG113" s="67">
        <f>(AD113/890)*'data, etc'!H14*1000*2</f>
        <v>11445.945908553413</v>
      </c>
      <c r="AH113" s="67">
        <f>(AD113/991)*'data, etc'!H14*1000*2</f>
        <v>10279.406517267947</v>
      </c>
      <c r="AI113" s="67">
        <f t="shared" si="31"/>
        <v>10.186891858612537</v>
      </c>
      <c r="AJ113" s="67">
        <f t="shared" si="32"/>
        <v>10.186891858612537</v>
      </c>
      <c r="AK113" s="67">
        <f t="shared" si="33"/>
        <v>3382.1231460674153</v>
      </c>
      <c r="AL113" s="67">
        <f t="shared" si="34"/>
        <v>3.0100895999999997</v>
      </c>
      <c r="AM113" s="67">
        <f t="shared" si="35"/>
        <v>2527.1284494382021</v>
      </c>
      <c r="AN113" s="67"/>
      <c r="AO113" s="72">
        <f t="shared" si="36"/>
        <v>2.2491443199999996</v>
      </c>
      <c r="AP113" s="67"/>
      <c r="AQ113" s="67">
        <f>'data, etc'!H14/890*Sheet1!AF113*1000</f>
        <v>9026.1548064918843</v>
      </c>
      <c r="AR113" s="71">
        <f t="shared" si="37"/>
        <v>8.0332777777777782</v>
      </c>
      <c r="AS113" s="71">
        <f t="shared" si="38"/>
        <v>14935.406401997501</v>
      </c>
      <c r="AT113" s="71">
        <f t="shared" si="39"/>
        <v>13.292511697777776</v>
      </c>
      <c r="AU113" s="71">
        <f t="shared" si="40"/>
        <v>10279.406517267947</v>
      </c>
      <c r="AV113" s="71">
        <f t="shared" si="41"/>
        <v>10.186891858612535</v>
      </c>
      <c r="AW113" s="67">
        <f>AS113*'data, etc'!J14</f>
        <v>433126.78565792751</v>
      </c>
      <c r="AX113" s="67">
        <f t="shared" si="42"/>
        <v>385.48283923555545</v>
      </c>
      <c r="AY113" s="67">
        <f>AG113*'data, etc'!J14</f>
        <v>331932.43134804897</v>
      </c>
      <c r="AZ113" s="67">
        <f t="shared" si="43"/>
        <v>295.41986389976358</v>
      </c>
      <c r="BA113" s="67">
        <f>AU113*'data, etc'!J14</f>
        <v>298102.78900077048</v>
      </c>
      <c r="BB113" s="67">
        <f t="shared" si="44"/>
        <v>295.41986389976353</v>
      </c>
    </row>
    <row r="116" spans="1:54" x14ac:dyDescent="0.3">
      <c r="A116" s="63" t="s">
        <v>381</v>
      </c>
      <c r="B116" s="63"/>
      <c r="C116" s="63"/>
      <c r="D116" s="63"/>
      <c r="F116" s="103" t="s">
        <v>202</v>
      </c>
      <c r="G116" s="103" t="s">
        <v>393</v>
      </c>
      <c r="H116" s="103"/>
      <c r="I116" s="103" t="s">
        <v>395</v>
      </c>
      <c r="J116" s="103"/>
      <c r="K116" s="103" t="s">
        <v>407</v>
      </c>
      <c r="L116" s="103"/>
      <c r="M116" s="103" t="s">
        <v>408</v>
      </c>
      <c r="N116" s="103"/>
      <c r="O116" s="108" t="s">
        <v>405</v>
      </c>
    </row>
    <row r="117" spans="1:54" x14ac:dyDescent="0.3">
      <c r="A117" t="s">
        <v>393</v>
      </c>
      <c r="D117" t="s">
        <v>397</v>
      </c>
      <c r="F117" s="103"/>
      <c r="G117" s="64" t="s">
        <v>406</v>
      </c>
      <c r="H117" s="64" t="s">
        <v>28</v>
      </c>
      <c r="I117" s="64" t="s">
        <v>406</v>
      </c>
      <c r="J117" s="64" t="s">
        <v>28</v>
      </c>
      <c r="K117" s="64" t="s">
        <v>367</v>
      </c>
      <c r="L117" s="64" t="s">
        <v>366</v>
      </c>
      <c r="M117" s="64" t="s">
        <v>407</v>
      </c>
      <c r="N117" s="64" t="s">
        <v>179</v>
      </c>
      <c r="O117" s="108"/>
    </row>
    <row r="118" spans="1:54" x14ac:dyDescent="0.3">
      <c r="C118">
        <f>C117/1000*0.991</f>
        <v>0</v>
      </c>
      <c r="D118" t="s">
        <v>28</v>
      </c>
      <c r="F118" s="65">
        <f>A104</f>
        <v>13.8</v>
      </c>
      <c r="G118" s="65">
        <f>BA104</f>
        <v>3563495.9913879642</v>
      </c>
      <c r="H118" s="65">
        <f>BB104</f>
        <v>3531.4245274654727</v>
      </c>
      <c r="I118" s="65">
        <f>AW104</f>
        <v>488634.31991402048</v>
      </c>
      <c r="J118" s="65">
        <f>AX104</f>
        <v>434.8845447234782</v>
      </c>
      <c r="K118" s="65">
        <f>H118*'data, etc'!$L$21</f>
        <v>10996.855978527481</v>
      </c>
      <c r="L118" s="65">
        <f>J118*'data, etc'!$L$19</f>
        <v>1394.2398503834711</v>
      </c>
      <c r="M118" s="65">
        <f>K118+L118</f>
        <v>12391.095828910951</v>
      </c>
      <c r="N118" s="65">
        <f>'data, etc'!K5</f>
        <v>53118</v>
      </c>
      <c r="O118" s="66">
        <f>(M118*10^6)/(N118*$C$127)</f>
        <v>30.435364425713185</v>
      </c>
    </row>
    <row r="119" spans="1:54" x14ac:dyDescent="0.3">
      <c r="A119" t="s">
        <v>394</v>
      </c>
      <c r="C119">
        <f>C118*'data, etc'!L21</f>
        <v>0</v>
      </c>
      <c r="D119" t="s">
        <v>28</v>
      </c>
      <c r="F119" s="65">
        <f t="shared" ref="F119:F127" si="46">A105</f>
        <v>12.8</v>
      </c>
      <c r="G119" s="65">
        <f t="shared" ref="G119:H119" si="47">BA105</f>
        <v>2968680.3151734662</v>
      </c>
      <c r="H119" s="65">
        <f t="shared" si="47"/>
        <v>2941.962192336905</v>
      </c>
      <c r="I119" s="65">
        <f t="shared" ref="I119:J119" si="48">AW105</f>
        <v>483291.10169288382</v>
      </c>
      <c r="J119" s="65">
        <f t="shared" si="48"/>
        <v>430.12908050666664</v>
      </c>
      <c r="K119" s="65">
        <f>H119*'data, etc'!$L$21</f>
        <v>9161.2702669371211</v>
      </c>
      <c r="L119" s="65">
        <f>J119*'data, etc'!$L$19</f>
        <v>1378.9938321043733</v>
      </c>
      <c r="M119" s="65">
        <f t="shared" ref="M119:M127" si="49">K119+L119</f>
        <v>10540.264099041495</v>
      </c>
      <c r="N119" s="65">
        <f>'data, etc'!K6</f>
        <v>51150.666666666664</v>
      </c>
      <c r="O119" s="66">
        <f t="shared" ref="O119:O127" si="50">(M119*10^6)/(N119*$C$127)</f>
        <v>26.885040778562185</v>
      </c>
    </row>
    <row r="120" spans="1:54" x14ac:dyDescent="0.3">
      <c r="A120" t="s">
        <v>395</v>
      </c>
      <c r="C120">
        <f>AY104</f>
        <v>3967892.7274892949</v>
      </c>
      <c r="D120" t="s">
        <v>397</v>
      </c>
      <c r="F120" s="65">
        <f t="shared" si="46"/>
        <v>11.8</v>
      </c>
      <c r="G120" s="65">
        <f t="shared" ref="G120:H120" si="51">BA106</f>
        <v>2426643.9330677157</v>
      </c>
      <c r="H120" s="65">
        <f t="shared" si="51"/>
        <v>2404.8041376701062</v>
      </c>
      <c r="I120" s="65">
        <f t="shared" ref="I120:J120" si="52">AW106</f>
        <v>479045.38939884462</v>
      </c>
      <c r="J120" s="65">
        <f t="shared" si="52"/>
        <v>426.35039656497173</v>
      </c>
      <c r="K120" s="65">
        <f>H120*'data, etc'!$L$21</f>
        <v>7488.5600847047108</v>
      </c>
      <c r="L120" s="65">
        <f>J120*'data, etc'!$L$19</f>
        <v>1366.8793713872994</v>
      </c>
      <c r="M120" s="65">
        <f t="shared" si="49"/>
        <v>8855.43945609201</v>
      </c>
      <c r="N120" s="65">
        <f>'data, etc'!K7</f>
        <v>49183.333333333328</v>
      </c>
      <c r="O120" s="66">
        <f t="shared" si="50"/>
        <v>23.491062709444208</v>
      </c>
    </row>
    <row r="121" spans="1:54" x14ac:dyDescent="0.3">
      <c r="C121">
        <f>C120/1000*0.89</f>
        <v>3531.4245274654727</v>
      </c>
      <c r="D121" t="s">
        <v>28</v>
      </c>
      <c r="F121" s="65">
        <f t="shared" si="46"/>
        <v>10.8</v>
      </c>
      <c r="G121" s="65">
        <f t="shared" ref="G121:H121" si="53">BA107</f>
        <v>1953403.3003389421</v>
      </c>
      <c r="H121" s="65">
        <f t="shared" si="53"/>
        <v>1935.8226706358914</v>
      </c>
      <c r="I121" s="65">
        <f t="shared" ref="I121:J121" si="54">AW107</f>
        <v>476202.04578942986</v>
      </c>
      <c r="J121" s="65">
        <f t="shared" si="54"/>
        <v>423.81982075259259</v>
      </c>
      <c r="K121" s="65">
        <f>H121*'data, etc'!$L$21</f>
        <v>6028.1517963601655</v>
      </c>
      <c r="L121" s="65">
        <f>J121*'data, etc'!$L$19</f>
        <v>1358.7663453328119</v>
      </c>
      <c r="M121" s="65">
        <f t="shared" si="49"/>
        <v>7386.9181416929769</v>
      </c>
      <c r="N121" s="65">
        <f>'data, etc'!K8</f>
        <v>47216</v>
      </c>
      <c r="O121" s="66">
        <f t="shared" si="50"/>
        <v>20.411954868299539</v>
      </c>
    </row>
    <row r="122" spans="1:54" x14ac:dyDescent="0.3">
      <c r="A122" t="s">
        <v>396</v>
      </c>
      <c r="C122">
        <f>C121*'data, etc'!L19</f>
        <v>11321.747035054304</v>
      </c>
      <c r="D122" t="s">
        <v>28</v>
      </c>
      <c r="F122" s="65">
        <f t="shared" si="46"/>
        <v>9.8000000000000007</v>
      </c>
      <c r="G122" s="65">
        <f t="shared" ref="G122:H122" si="55">BA108</f>
        <v>1514132.7193958303</v>
      </c>
      <c r="H122" s="65">
        <f t="shared" si="55"/>
        <v>1500.5055249212678</v>
      </c>
      <c r="I122" s="65">
        <f t="shared" ref="I122:J122" si="56">AW108</f>
        <v>464860.14202247187</v>
      </c>
      <c r="J122" s="65">
        <f t="shared" si="56"/>
        <v>413.72552639999998</v>
      </c>
      <c r="K122" s="65">
        <f>H122*'data, etc'!$L$21</f>
        <v>4672.5742046048281</v>
      </c>
      <c r="L122" s="65">
        <f>J122*'data, etc'!$L$19</f>
        <v>1326.4040376383998</v>
      </c>
      <c r="M122" s="65">
        <f t="shared" si="49"/>
        <v>5998.9782422432281</v>
      </c>
      <c r="N122" s="65">
        <f>'data, etc'!K9</f>
        <v>44265</v>
      </c>
      <c r="O122" s="66">
        <f t="shared" si="50"/>
        <v>17.681834585631862</v>
      </c>
    </row>
    <row r="123" spans="1:54" x14ac:dyDescent="0.3">
      <c r="F123" s="65">
        <f t="shared" si="46"/>
        <v>8.8000000000000007</v>
      </c>
      <c r="G123" s="65">
        <f t="shared" ref="G123:H123" si="57">BA109</f>
        <v>1154142.960345113</v>
      </c>
      <c r="H123" s="65">
        <f t="shared" si="57"/>
        <v>1143.7556737020068</v>
      </c>
      <c r="I123" s="65">
        <f t="shared" ref="I123:J123" si="58">AW109</f>
        <v>454969.56803268642</v>
      </c>
      <c r="J123" s="65">
        <f t="shared" si="58"/>
        <v>404.92291554909093</v>
      </c>
      <c r="K123" s="65">
        <f>H123*'data, etc'!$L$21</f>
        <v>3561.655167908049</v>
      </c>
      <c r="L123" s="65">
        <f>J123*'data, etc'!$L$19</f>
        <v>1298.1828672503855</v>
      </c>
      <c r="M123" s="65">
        <f t="shared" si="49"/>
        <v>4859.8380351584346</v>
      </c>
      <c r="N123" s="65">
        <f>'data, etc'!K10</f>
        <v>41314</v>
      </c>
      <c r="O123" s="66">
        <f t="shared" si="50"/>
        <v>15.347408600386631</v>
      </c>
    </row>
    <row r="124" spans="1:54" x14ac:dyDescent="0.3">
      <c r="A124" t="s">
        <v>400</v>
      </c>
      <c r="C124">
        <f>C122+C119</f>
        <v>11321.747035054304</v>
      </c>
      <c r="D124" t="s">
        <v>28</v>
      </c>
      <c r="F124" s="65">
        <f t="shared" si="46"/>
        <v>7.8000000000000007</v>
      </c>
      <c r="G124" s="65">
        <f t="shared" ref="G124:H124" si="59">BA110</f>
        <v>887491.87271043903</v>
      </c>
      <c r="H124" s="65">
        <f t="shared" si="59"/>
        <v>879.50444585604509</v>
      </c>
      <c r="I124" s="65">
        <f t="shared" ref="I124:J124" si="60">AW110</f>
        <v>458552.33598002495</v>
      </c>
      <c r="J124" s="65">
        <f t="shared" si="60"/>
        <v>408.1115790222222</v>
      </c>
      <c r="K124" s="65">
        <f>H124*'data, etc'!$L$21</f>
        <v>2738.7768443957243</v>
      </c>
      <c r="L124" s="65">
        <f>J124*'data, etc'!$L$19</f>
        <v>1308.4057223452444</v>
      </c>
      <c r="M124" s="65">
        <f t="shared" si="49"/>
        <v>4047.1825667409685</v>
      </c>
      <c r="N124" s="65">
        <f>'data, etc'!K11</f>
        <v>39346.666666666664</v>
      </c>
      <c r="O124" s="66">
        <f t="shared" si="50"/>
        <v>13.42008772451112</v>
      </c>
    </row>
    <row r="125" spans="1:54" x14ac:dyDescent="0.3">
      <c r="A125" t="s">
        <v>402</v>
      </c>
      <c r="C125">
        <f>'data, etc'!K5</f>
        <v>53118</v>
      </c>
      <c r="D125" t="s">
        <v>403</v>
      </c>
      <c r="F125" s="65">
        <f t="shared" si="46"/>
        <v>6.8000000000000007</v>
      </c>
      <c r="G125" s="65">
        <f t="shared" ref="G125:H125" si="61">BA111</f>
        <v>635905.26968213916</v>
      </c>
      <c r="H125" s="65">
        <f t="shared" si="61"/>
        <v>630.18212225499997</v>
      </c>
      <c r="I125" s="65">
        <f t="shared" ref="I125:J125" si="62">AW111</f>
        <v>442103.57957964309</v>
      </c>
      <c r="J125" s="65">
        <f t="shared" si="62"/>
        <v>393.47218582588238</v>
      </c>
      <c r="K125" s="65">
        <f>H125*'data, etc'!$L$21</f>
        <v>1962.3871287020697</v>
      </c>
      <c r="L125" s="65">
        <f>J125*'data, etc'!$L$19</f>
        <v>1261.4718277577788</v>
      </c>
      <c r="M125" s="65">
        <f t="shared" si="49"/>
        <v>3223.8589564598487</v>
      </c>
      <c r="N125" s="65">
        <f>'data, etc'!K12</f>
        <v>35412</v>
      </c>
      <c r="O125" s="66">
        <f t="shared" si="50"/>
        <v>11.877802038463283</v>
      </c>
    </row>
    <row r="126" spans="1:54" x14ac:dyDescent="0.3">
      <c r="F126" s="65">
        <f t="shared" si="46"/>
        <v>5.8000000000000007</v>
      </c>
      <c r="G126" s="65">
        <f t="shared" ref="G126:H126" si="63">BA112</f>
        <v>453662.34811950644</v>
      </c>
      <c r="H126" s="65">
        <f t="shared" si="63"/>
        <v>449.57938698643085</v>
      </c>
      <c r="I126" s="65">
        <f t="shared" ref="I126:J126" si="64">AW112</f>
        <v>441512.7028841534</v>
      </c>
      <c r="J126" s="65">
        <f t="shared" si="64"/>
        <v>392.94630556689651</v>
      </c>
      <c r="K126" s="65">
        <f>H126*'data, etc'!$L$21</f>
        <v>1399.9902110757455</v>
      </c>
      <c r="L126" s="65">
        <f>J126*'data, etc'!$L$19</f>
        <v>1259.7858556474703</v>
      </c>
      <c r="M126" s="65">
        <f t="shared" si="49"/>
        <v>2659.776066723216</v>
      </c>
      <c r="N126" s="65">
        <f>'data, etc'!K13</f>
        <v>32461</v>
      </c>
      <c r="O126" s="66">
        <f t="shared" si="50"/>
        <v>10.690393327495377</v>
      </c>
    </row>
    <row r="127" spans="1:54" x14ac:dyDescent="0.3">
      <c r="A127" t="s">
        <v>404</v>
      </c>
      <c r="C127">
        <f>C13</f>
        <v>7664.6</v>
      </c>
      <c r="F127" s="65">
        <f t="shared" si="46"/>
        <v>4.8000000000000007</v>
      </c>
      <c r="G127" s="65">
        <f t="shared" ref="G127:H127" si="65">BA113</f>
        <v>298102.78900077048</v>
      </c>
      <c r="H127" s="65">
        <f t="shared" si="65"/>
        <v>295.41986389976353</v>
      </c>
      <c r="I127" s="65">
        <f t="shared" ref="I127:J127" si="66">AW113</f>
        <v>433126.78565792751</v>
      </c>
      <c r="J127" s="65">
        <f t="shared" si="66"/>
        <v>385.48283923555545</v>
      </c>
      <c r="K127" s="65">
        <f>H127*'data, etc'!$L$21</f>
        <v>919.93745618386356</v>
      </c>
      <c r="L127" s="65">
        <f>J127*'data, etc'!$L$19</f>
        <v>1235.8579825891907</v>
      </c>
      <c r="M127" s="65">
        <f t="shared" si="49"/>
        <v>2155.7954387730542</v>
      </c>
      <c r="N127" s="65">
        <f>'data, etc'!K14</f>
        <v>28526.333333333332</v>
      </c>
      <c r="O127" s="66">
        <f t="shared" si="50"/>
        <v>9.8598907119119232</v>
      </c>
    </row>
    <row r="129" spans="1:5" x14ac:dyDescent="0.3">
      <c r="A129" s="63" t="s">
        <v>410</v>
      </c>
      <c r="B129" s="63"/>
      <c r="C129" s="63"/>
      <c r="D129" s="63"/>
    </row>
    <row r="130" spans="1:5" x14ac:dyDescent="0.3">
      <c r="A130" t="s">
        <v>411</v>
      </c>
      <c r="C130">
        <f>C127</f>
        <v>7664.6</v>
      </c>
    </row>
    <row r="131" spans="1:5" x14ac:dyDescent="0.3">
      <c r="A131" t="s">
        <v>412</v>
      </c>
      <c r="C131">
        <f>IF(AND(C5="Bulk Carrier",C13&gt;=279000),'data, etc'!M33,
IF(AND(C5="Bulk Carrier",C13&lt;279000),'data, etc'!M34,
IF(AND(C5="Gas Carrier",C13&gt;=65000),'data, etc'!M35,
IF(AND(C5="Gas Carrier",C13&lt;65000),'data, etc'!M36,
IF(C5="Tanker",'data, etc'!M37,
IF(C5="Container Ship",'data, etc'!M38,
IF(AND(C5="General Cargo Ship",C13&gt;=20000),'data, etc'!M39,
IF(AND(C5="General Cargo Ship",C13&lt;20000),'data, etc'!M40,
IF(C5="Refrigerated Cargo Carrier",'data, etc'!M41,
IF(C5="Combination Carrier",'data, etc'!M42,
IF(AND(C5="LNG Carrier",C13&gt;=100000),'data, etc'!M43,
IF(AND(C5="LNG Carrier",C13&gt;=65000,C13&lt;100000),'data, etc'!M44,
IF(AND(C5="LNG Carrier",C13&lt;65000),'data, etc'!M45,
IF(AND(C5="Ro-ro cargo ship (vehicle carrier)",C14&gt;=57700),'data, etc'!M46,
IF(AND(C5="Ro-ro cargo ship (vehicle carrier)",C14&gt;=30000,C14&lt;57700),'data, etc'!M47,
IF(C5="Ro-ro cargo ship",'data, etc'!M48,'data, etc'!M52))))))))))))))))</f>
        <v>588</v>
      </c>
    </row>
    <row r="132" spans="1:5" x14ac:dyDescent="0.3">
      <c r="A132" t="s">
        <v>413</v>
      </c>
      <c r="C132">
        <f>IF(AND(C5="Bulk Carrier",C13&gt;=279000),'data, etc'!N33,
IF(AND(C5="Bulk Carrier",C13&lt;279000),'data, etc'!N34,
IF(AND(C5="Gas Carrier",C13&gt;=65000),'data, etc'!N35,
IF(AND(C5="Gas Carrier",C13&lt;65000),'data, etc'!N36,
IF(C5="Tanker",'data, etc'!N37,
IF(C5="Container Ship",'data, etc'!N38,
IF(AND(C5="General Cargo Ship",C13&gt;=20000),'data, etc'!N39,
IF(AND(C5="General Cargo Ship",C13&lt;20000),'data, etc'!N40,
IF(C5="Refrigerated Cargo Carrier",'data, etc'!N41,
IF(C5="Combination Carrier",'data, etc'!N42,
IF(AND(C5="LNG Carrier",C13&gt;=100000),'data, etc'!N43,
IF(AND(C5="LNG Carrier",C13&gt;=65000,C13&lt;100000),'data, etc'!N44,
IF(AND(C5="LNG Carrier",C13&lt;65000),'data, etc'!N45,
IF(AND(C5="Ro-ro cargo ship (vehicle carrier)",C14&gt;=57700),'data, etc'!N46,
IF(AND(C5="Ro-ro cargo ship (vehicle carrier)",C14&gt;=30000,C14&lt;57700),'data, etc'!N47,
IF(C5="Ro-ro cargo ship",'data, etc'!N48,'data, etc'!N52))))))))))))))))</f>
        <v>0.38850000000000001</v>
      </c>
    </row>
    <row r="134" spans="1:5" x14ac:dyDescent="0.3">
      <c r="A134" t="s">
        <v>410</v>
      </c>
      <c r="C134" s="53">
        <f>C131*(C130^(-C132))</f>
        <v>18.20761901130874</v>
      </c>
    </row>
    <row r="136" spans="1:5" x14ac:dyDescent="0.3">
      <c r="A136" s="63" t="s">
        <v>436</v>
      </c>
      <c r="B136" s="63"/>
      <c r="C136" s="63"/>
      <c r="D136" s="63"/>
    </row>
    <row r="137" spans="1:5" x14ac:dyDescent="0.3">
      <c r="A137" t="s">
        <v>437</v>
      </c>
      <c r="C137" t="s">
        <v>438</v>
      </c>
    </row>
    <row r="138" spans="1:5" x14ac:dyDescent="0.3">
      <c r="A138" t="s">
        <v>410</v>
      </c>
      <c r="C138" s="53">
        <f>C134</f>
        <v>18.20761901130874</v>
      </c>
    </row>
    <row r="140" spans="1:5" x14ac:dyDescent="0.3">
      <c r="A140" s="94" t="s">
        <v>439</v>
      </c>
      <c r="B140" s="94"/>
      <c r="D140" s="94" t="s">
        <v>440</v>
      </c>
      <c r="E140" s="94"/>
    </row>
    <row r="141" spans="1:5" x14ac:dyDescent="0.3">
      <c r="A141" s="55">
        <v>2020</v>
      </c>
      <c r="B141" s="73">
        <v>0.01</v>
      </c>
      <c r="D141">
        <v>2020</v>
      </c>
      <c r="E141" s="53">
        <f>(1-B141)*$C$138</f>
        <v>18.025542821195653</v>
      </c>
    </row>
    <row r="142" spans="1:5" x14ac:dyDescent="0.3">
      <c r="A142" s="55">
        <v>2021</v>
      </c>
      <c r="B142" s="73">
        <v>0.02</v>
      </c>
      <c r="D142">
        <v>2021</v>
      </c>
      <c r="E142" s="53">
        <f t="shared" ref="E142:E151" si="67">(1-B142)*$C$138</f>
        <v>17.843466631082563</v>
      </c>
    </row>
    <row r="143" spans="1:5" x14ac:dyDescent="0.3">
      <c r="A143" s="55">
        <v>2022</v>
      </c>
      <c r="B143" s="73">
        <v>0.03</v>
      </c>
      <c r="D143">
        <v>2022</v>
      </c>
      <c r="E143" s="53">
        <f t="shared" si="67"/>
        <v>17.661390440969477</v>
      </c>
    </row>
    <row r="144" spans="1:5" x14ac:dyDescent="0.3">
      <c r="A144" s="55">
        <v>2023</v>
      </c>
      <c r="B144" s="73">
        <v>0.05</v>
      </c>
      <c r="D144">
        <v>2023</v>
      </c>
      <c r="E144" s="53">
        <f t="shared" si="67"/>
        <v>17.297238060743304</v>
      </c>
    </row>
    <row r="145" spans="1:8" x14ac:dyDescent="0.3">
      <c r="A145" s="55">
        <v>2024</v>
      </c>
      <c r="B145" s="73">
        <v>7.0000000000000007E-2</v>
      </c>
      <c r="D145">
        <v>2024</v>
      </c>
      <c r="E145" s="53">
        <f t="shared" si="67"/>
        <v>16.933085680517127</v>
      </c>
    </row>
    <row r="146" spans="1:8" x14ac:dyDescent="0.3">
      <c r="A146" s="55">
        <v>2025</v>
      </c>
      <c r="B146" s="73">
        <v>0.09</v>
      </c>
      <c r="D146">
        <v>2025</v>
      </c>
      <c r="E146" s="53">
        <f t="shared" si="67"/>
        <v>16.568933300290954</v>
      </c>
    </row>
    <row r="147" spans="1:8" x14ac:dyDescent="0.3">
      <c r="A147" s="55">
        <v>2026</v>
      </c>
      <c r="B147" s="73">
        <v>0.11</v>
      </c>
      <c r="D147">
        <v>2026</v>
      </c>
      <c r="E147" s="53">
        <f t="shared" si="67"/>
        <v>16.204780920064778</v>
      </c>
    </row>
    <row r="148" spans="1:8" x14ac:dyDescent="0.3">
      <c r="A148" s="55">
        <v>2027</v>
      </c>
      <c r="B148" s="73">
        <v>0.14000000000000001</v>
      </c>
      <c r="D148">
        <v>2027</v>
      </c>
      <c r="E148" s="53">
        <f t="shared" si="67"/>
        <v>15.658552349725516</v>
      </c>
    </row>
    <row r="149" spans="1:8" x14ac:dyDescent="0.3">
      <c r="A149" s="55">
        <v>2028</v>
      </c>
      <c r="B149" s="73">
        <v>0.17</v>
      </c>
      <c r="D149">
        <v>2028</v>
      </c>
      <c r="E149" s="53">
        <f t="shared" si="67"/>
        <v>15.112323779386253</v>
      </c>
    </row>
    <row r="150" spans="1:8" x14ac:dyDescent="0.3">
      <c r="A150" s="55">
        <v>2029</v>
      </c>
      <c r="B150" s="73">
        <v>0.2</v>
      </c>
      <c r="D150">
        <v>2029</v>
      </c>
      <c r="E150" s="53">
        <f t="shared" si="67"/>
        <v>14.566095209046992</v>
      </c>
    </row>
    <row r="151" spans="1:8" x14ac:dyDescent="0.3">
      <c r="A151" s="55">
        <v>2030</v>
      </c>
      <c r="B151" s="73">
        <v>0.23</v>
      </c>
      <c r="D151">
        <v>2030</v>
      </c>
      <c r="E151" s="53">
        <f t="shared" si="67"/>
        <v>14.019866638707731</v>
      </c>
    </row>
    <row r="153" spans="1:8" x14ac:dyDescent="0.3">
      <c r="A153" s="76" t="s">
        <v>441</v>
      </c>
      <c r="B153" s="76"/>
      <c r="C153" s="76"/>
      <c r="D153" s="76"/>
    </row>
    <row r="155" spans="1:8" x14ac:dyDescent="0.3">
      <c r="A155" t="s">
        <v>451</v>
      </c>
      <c r="C155" t="s">
        <v>455</v>
      </c>
      <c r="G155" t="s">
        <v>463</v>
      </c>
      <c r="H155">
        <f>IF(C5="Bulk Carrier",'data, etc'!L56,
IF(AND(C5="Gas Carrier",C13&gt;=65000),'data, etc'!L57,
IF(AND(C5="Gas Carrier",C13&lt;65000),'data, etc'!L58,
IF(C5="Tanker",'data, etc'!L59,
IF(C5="Container Ship",'data, etc'!L60,
IF(C5="General Cargo Ship",'data, etc'!L61,
IF(C5="Refrigerated Cargo Carrier",'data, etc'!L62,
IF(C5="Combination Carrier",'data, etc'!L63,
IF(AND(C5="LNG Carrier",C13&gt;=100000),'data, etc'!L64,
IF(AND(C5="LNG Carrier",C13&lt;100000),'data, etc'!L65,
IF(C5="Ro-ro cargo ship (vehicle carrier)",'data, etc'!L66,
IF(C5="Ro-ro cargo ship",'data, etc'!L67,
IF(C5="Ro-ro passenger ship",'data, etc'!L68,'data, etc'!L69)))))))))))))</f>
        <v>0.83</v>
      </c>
    </row>
    <row r="156" spans="1:8" x14ac:dyDescent="0.3">
      <c r="A156" t="s">
        <v>452</v>
      </c>
      <c r="C156" t="s">
        <v>456</v>
      </c>
      <c r="G156" t="s">
        <v>464</v>
      </c>
      <c r="H156">
        <f>IF(C5="Bulk Carrier",'data, etc'!M56,
IF(AND(C5="Gas Carrier",C13&gt;=65000),'data, etc'!M57,
IF(AND(C5="Gas Carrier",C13&lt;65000),'data, etc'!M58,
IF(C5="Tanker",'data, etc'!M59,
IF(C5="Container Ship",'data, etc'!M60,
IF(C5="General Cargo Ship",'data, etc'!M61,
IF(C5="Refrigerated Cargo Carrier",'data, etc'!M62,
IF(C5="Combination Carrier",'data, etc'!M63,
IF(AND(C5="LNG Carrier",C13&gt;=100000),'data, etc'!M64,
IF(AND(C5="LNG Carrier",C13&lt;100000),'data, etc'!M65,
IF(C5="Ro-ro cargo ship (vehicle carrier)",'data, etc'!M66,
IF(C5="Ro-ro cargo ship",'data, etc'!M67,
IF(C5="Ro-ro passenger ship",'data, etc'!M68,'data, etc'!M69)))))))))))))</f>
        <v>0.94</v>
      </c>
    </row>
    <row r="157" spans="1:8" x14ac:dyDescent="0.3">
      <c r="A157" t="s">
        <v>453</v>
      </c>
      <c r="C157" t="s">
        <v>457</v>
      </c>
      <c r="G157" t="s">
        <v>465</v>
      </c>
      <c r="H157">
        <f>IF(C5="Bulk Carrier",'data, etc'!N56,
IF(AND(C5="Gas Carrier",C13&gt;=65000),'data, etc'!N57,
IF(AND(C5="Gas Carrier",C13&lt;65000),'data, etc'!N58,
IF(C5="Tanker",'data, etc'!N59,
IF(C5="Container Ship",'data, etc'!N60,
IF(C5="General Cargo Ship",'data, etc'!N61,
IF(C5="Refrigerated Cargo Carrier",'data, etc'!N62,
IF(C5="Combination Carrier",'data, etc'!N63,
IF(AND(C5="LNG Carrier",C13&gt;=100000),'data, etc'!N64,
IF(AND(C5="LNG Carrier",C13&lt;100000),'data, etc'!N65,
IF(C5="Ro-ro cargo ship (vehicle carrier)",'data, etc'!N66,
IF(C5="Ro-ro cargo ship",'data, etc'!N67,
IF(C5="Ro-ro passenger ship",'data, etc'!N68,'data, etc'!N69)))))))))))))</f>
        <v>1.06</v>
      </c>
    </row>
    <row r="158" spans="1:8" x14ac:dyDescent="0.3">
      <c r="A158" t="s">
        <v>454</v>
      </c>
      <c r="C158" t="s">
        <v>458</v>
      </c>
      <c r="G158" t="s">
        <v>466</v>
      </c>
      <c r="H158">
        <f>IF(C5="Bulk Carrier",'data, etc'!O56,
IF(AND(C5="Gas Carrier",C13&gt;=65000),'data, etc'!O57,
IF(AND(C5="Gas Carrier",C13&lt;65000),'data, etc'!O58,
IF(C5="Tanker",'data, etc'!O59,
IF(C5="Container Ship",'data, etc'!O60,
IF(C5="General Cargo Ship",'data, etc'!O61,
IF(C5="Refrigerated Cargo Carrier",'data, etc'!O62,
IF(C5="Combination Carrier",'data, etc'!O63,
IF(AND(C5="LNG Carrier",C13&gt;=100000),'data, etc'!O64,
IF(AND(C5="LNG Carrier",C13&lt;100000),'data, etc'!O65,
IF(C5="Ro-ro cargo ship (vehicle carrier)",'data, etc'!O66,
IF(C5="Ro-ro cargo ship",'data, etc'!O67,
IF(C5="Ro-ro passenger ship",'data, etc'!O68,'data, etc'!O69)))))))))))))</f>
        <v>1.19</v>
      </c>
    </row>
    <row r="160" spans="1:8" x14ac:dyDescent="0.3">
      <c r="A160" t="s">
        <v>196</v>
      </c>
      <c r="B160" t="s">
        <v>459</v>
      </c>
      <c r="C160" t="s">
        <v>460</v>
      </c>
      <c r="D160" t="s">
        <v>452</v>
      </c>
      <c r="E160" t="s">
        <v>461</v>
      </c>
      <c r="F160" t="s">
        <v>462</v>
      </c>
    </row>
    <row r="161" spans="1:9" x14ac:dyDescent="0.3">
      <c r="A161">
        <f>D141</f>
        <v>2020</v>
      </c>
      <c r="B161" s="53">
        <f>E141</f>
        <v>18.025542821195653</v>
      </c>
      <c r="C161" s="53">
        <f>B161*$H$155</f>
        <v>14.961200541592392</v>
      </c>
      <c r="D161" s="53">
        <f>B161*$H$156</f>
        <v>16.944010251923913</v>
      </c>
      <c r="E161" s="53">
        <f>B161*$H$157</f>
        <v>19.107075390467394</v>
      </c>
      <c r="F161" s="53">
        <f>B161*$H$158</f>
        <v>21.450395957222828</v>
      </c>
    </row>
    <row r="162" spans="1:9" x14ac:dyDescent="0.3">
      <c r="A162">
        <f t="shared" ref="A162:B162" si="68">D142</f>
        <v>2021</v>
      </c>
      <c r="B162" s="53">
        <f t="shared" si="68"/>
        <v>17.843466631082563</v>
      </c>
      <c r="C162" s="53">
        <f t="shared" ref="C162:C171" si="69">B162*$H$155</f>
        <v>14.810077303798527</v>
      </c>
      <c r="D162" s="53">
        <f t="shared" ref="D162:D171" si="70">B162*$H$156</f>
        <v>16.772858633217609</v>
      </c>
      <c r="E162" s="53">
        <f t="shared" ref="E162:E171" si="71">B162*$H$157</f>
        <v>18.914074628947517</v>
      </c>
      <c r="F162" s="53">
        <f t="shared" ref="F162:F171" si="72">B162*$H$158</f>
        <v>21.23372529098825</v>
      </c>
    </row>
    <row r="163" spans="1:9" x14ac:dyDescent="0.3">
      <c r="A163">
        <f t="shared" ref="A163:B163" si="73">D143</f>
        <v>2022</v>
      </c>
      <c r="B163" s="53">
        <f t="shared" si="73"/>
        <v>17.661390440969477</v>
      </c>
      <c r="C163" s="53">
        <f t="shared" si="69"/>
        <v>14.658954066004664</v>
      </c>
      <c r="D163" s="53">
        <f t="shared" si="70"/>
        <v>16.601707014511309</v>
      </c>
      <c r="E163" s="53">
        <f t="shared" si="71"/>
        <v>18.721073867427645</v>
      </c>
      <c r="F163" s="53">
        <f t="shared" si="72"/>
        <v>21.017054624753676</v>
      </c>
    </row>
    <row r="164" spans="1:9" x14ac:dyDescent="0.3">
      <c r="A164">
        <f t="shared" ref="A164:B164" si="74">D144</f>
        <v>2023</v>
      </c>
      <c r="B164" s="53">
        <f t="shared" si="74"/>
        <v>17.297238060743304</v>
      </c>
      <c r="C164" s="53">
        <f t="shared" si="69"/>
        <v>14.356707590416942</v>
      </c>
      <c r="D164" s="53">
        <f t="shared" si="70"/>
        <v>16.259403777098704</v>
      </c>
      <c r="E164" s="53">
        <f t="shared" si="71"/>
        <v>18.335072344387903</v>
      </c>
      <c r="F164" s="53">
        <f t="shared" si="72"/>
        <v>20.583713292284532</v>
      </c>
    </row>
    <row r="165" spans="1:9" x14ac:dyDescent="0.3">
      <c r="A165">
        <f t="shared" ref="A165:B165" si="75">D145</f>
        <v>2024</v>
      </c>
      <c r="B165" s="53">
        <f t="shared" si="75"/>
        <v>16.933085680517127</v>
      </c>
      <c r="C165" s="53">
        <f t="shared" si="69"/>
        <v>14.054461114829214</v>
      </c>
      <c r="D165" s="53">
        <f t="shared" si="70"/>
        <v>15.917100539686098</v>
      </c>
      <c r="E165" s="53">
        <f t="shared" si="71"/>
        <v>17.949070821348155</v>
      </c>
      <c r="F165" s="53">
        <f t="shared" si="72"/>
        <v>20.150371959815381</v>
      </c>
    </row>
    <row r="166" spans="1:9" x14ac:dyDescent="0.3">
      <c r="A166">
        <f t="shared" ref="A166:B166" si="76">D146</f>
        <v>2025</v>
      </c>
      <c r="B166" s="53">
        <f t="shared" si="76"/>
        <v>16.568933300290954</v>
      </c>
      <c r="C166" s="53">
        <f t="shared" si="69"/>
        <v>13.752214639241492</v>
      </c>
      <c r="D166" s="53">
        <f t="shared" si="70"/>
        <v>15.574797302273495</v>
      </c>
      <c r="E166" s="53">
        <f t="shared" si="71"/>
        <v>17.563069298308413</v>
      </c>
      <c r="F166" s="53">
        <f t="shared" si="72"/>
        <v>19.717030627346233</v>
      </c>
    </row>
    <row r="167" spans="1:9" x14ac:dyDescent="0.3">
      <c r="A167">
        <f t="shared" ref="A167:B167" si="77">D147</f>
        <v>2026</v>
      </c>
      <c r="B167" s="53">
        <f t="shared" si="77"/>
        <v>16.204780920064778</v>
      </c>
      <c r="C167" s="53">
        <f t="shared" si="69"/>
        <v>13.449968163653764</v>
      </c>
      <c r="D167" s="53">
        <f t="shared" si="70"/>
        <v>15.232494064860891</v>
      </c>
      <c r="E167" s="53">
        <f t="shared" si="71"/>
        <v>17.177067775268664</v>
      </c>
      <c r="F167" s="53">
        <f t="shared" si="72"/>
        <v>19.283689294877085</v>
      </c>
    </row>
    <row r="168" spans="1:9" x14ac:dyDescent="0.3">
      <c r="A168">
        <f t="shared" ref="A168:B168" si="78">D148</f>
        <v>2027</v>
      </c>
      <c r="B168" s="53">
        <f t="shared" si="78"/>
        <v>15.658552349725516</v>
      </c>
      <c r="C168" s="53">
        <f t="shared" si="69"/>
        <v>12.996598450272177</v>
      </c>
      <c r="D168" s="53">
        <f t="shared" si="70"/>
        <v>14.719039208741984</v>
      </c>
      <c r="E168" s="53">
        <f t="shared" si="71"/>
        <v>16.598065490709047</v>
      </c>
      <c r="F168" s="53">
        <f t="shared" si="72"/>
        <v>18.633677296173364</v>
      </c>
    </row>
    <row r="169" spans="1:9" x14ac:dyDescent="0.3">
      <c r="A169">
        <f t="shared" ref="A169:B169" si="79">D149</f>
        <v>2028</v>
      </c>
      <c r="B169" s="53">
        <f t="shared" si="79"/>
        <v>15.112323779386253</v>
      </c>
      <c r="C169" s="53">
        <f t="shared" si="69"/>
        <v>12.54322873689059</v>
      </c>
      <c r="D169" s="53">
        <f t="shared" si="70"/>
        <v>14.205584352623077</v>
      </c>
      <c r="E169" s="53">
        <f t="shared" si="71"/>
        <v>16.019063206149429</v>
      </c>
      <c r="F169" s="53">
        <f t="shared" si="72"/>
        <v>17.983665297469642</v>
      </c>
    </row>
    <row r="170" spans="1:9" x14ac:dyDescent="0.3">
      <c r="A170">
        <f t="shared" ref="A170:B170" si="80">D150</f>
        <v>2029</v>
      </c>
      <c r="B170" s="53">
        <f t="shared" si="80"/>
        <v>14.566095209046992</v>
      </c>
      <c r="C170" s="53">
        <f t="shared" si="69"/>
        <v>12.089859023509003</v>
      </c>
      <c r="D170" s="53">
        <f t="shared" si="70"/>
        <v>13.692129496504172</v>
      </c>
      <c r="E170" s="53">
        <f t="shared" si="71"/>
        <v>15.440060921589811</v>
      </c>
      <c r="F170" s="53">
        <f t="shared" si="72"/>
        <v>17.33365329876592</v>
      </c>
    </row>
    <row r="171" spans="1:9" x14ac:dyDescent="0.3">
      <c r="A171">
        <f t="shared" ref="A171:B171" si="81">D151</f>
        <v>2030</v>
      </c>
      <c r="B171" s="53">
        <f t="shared" si="81"/>
        <v>14.019866638707731</v>
      </c>
      <c r="C171" s="53">
        <f t="shared" si="69"/>
        <v>11.636489310127416</v>
      </c>
      <c r="D171" s="53">
        <f t="shared" si="70"/>
        <v>13.178674640385266</v>
      </c>
      <c r="E171" s="53">
        <f t="shared" si="71"/>
        <v>14.861058637030196</v>
      </c>
      <c r="F171" s="53">
        <f t="shared" si="72"/>
        <v>16.683641300062199</v>
      </c>
    </row>
    <row r="173" spans="1:9" x14ac:dyDescent="0.3">
      <c r="A173">
        <v>2024</v>
      </c>
      <c r="F173">
        <v>2025</v>
      </c>
    </row>
    <row r="174" spans="1:9" x14ac:dyDescent="0.3">
      <c r="A174" t="s">
        <v>12</v>
      </c>
      <c r="B174" t="s">
        <v>405</v>
      </c>
      <c r="C174" t="s">
        <v>409</v>
      </c>
      <c r="D174" t="s">
        <v>467</v>
      </c>
      <c r="F174" t="s">
        <v>12</v>
      </c>
      <c r="G174" t="s">
        <v>405</v>
      </c>
      <c r="H174" t="s">
        <v>409</v>
      </c>
      <c r="I174" t="s">
        <v>467</v>
      </c>
    </row>
    <row r="175" spans="1:9" x14ac:dyDescent="0.3">
      <c r="A175">
        <f t="shared" ref="A175:A184" si="82">F118</f>
        <v>13.8</v>
      </c>
      <c r="B175" s="53">
        <f t="shared" ref="B175:B184" si="83">O118</f>
        <v>30.435364425713185</v>
      </c>
      <c r="C175" s="50">
        <f>VLOOKUP(A173,D141:E151,2,FALSE)</f>
        <v>16.933085680517127</v>
      </c>
      <c r="D175" t="str">
        <f>IF(B175&lt;(VLOOKUP($A$173,$A$161:$F$171,3,FALSE)),"A",IF(AND((VLOOKUP($A$173,$A$161:$F$171,3,FALSE))&lt;=B175,B175&lt;(VLOOKUP($A$173,$A$161:$F$171,4,FALSE))),"B",IF(AND((VLOOKUP($A$173,$A$161:$F$171,4,FALSE))&lt;=B175,B175&lt;(VLOOKUP($A$173,$A$161:$F$171,5,FALSE))),"C",IF(AND((VLOOKUP($A$173,$A$161:$F$171,5,FALSE))&lt;=B175,B175&lt;(VLOOKUP($A$173,$A$161:$F$171,6,FALSE))),"D","E"))))</f>
        <v>E</v>
      </c>
      <c r="F175">
        <f t="shared" ref="F175:F184" si="84">A175</f>
        <v>13.8</v>
      </c>
      <c r="G175" s="50">
        <f t="shared" ref="G175:G184" si="85">B175</f>
        <v>30.435364425713185</v>
      </c>
      <c r="H175" s="50">
        <f t="shared" ref="H175:H184" si="86">C175</f>
        <v>16.933085680517127</v>
      </c>
      <c r="I175" t="str">
        <f>IF(G175&lt;(VLOOKUP($F$173,$A$161:$F$171,3,FALSE)),"A",IF(AND((VLOOKUP($F$173,$A$161:$F$171,3,FALSE))&lt;=G175,G175&lt;(VLOOKUP($F$173,$A$161:$F$171,4,FALSE))),"B",IF(AND((VLOOKUP($F$173,$A$161:$F$171,4,FALSE))&lt;=G175,G175&lt;(VLOOKUP($F$173,$A$161:$F$171,5,FALSE))),"C",IF(AND((VLOOKUP($F$173,$A$161:$F$171,5,FALSE))&lt;=G175,G175&lt;(VLOOKUP($F$173,$A$161:$F$171,6,FALSE))),"D","E"))))</f>
        <v>E</v>
      </c>
    </row>
    <row r="176" spans="1:9" x14ac:dyDescent="0.3">
      <c r="A176">
        <f t="shared" si="82"/>
        <v>12.8</v>
      </c>
      <c r="B176" s="53">
        <f t="shared" si="83"/>
        <v>26.885040778562185</v>
      </c>
      <c r="C176" s="50">
        <f>C175</f>
        <v>16.933085680517127</v>
      </c>
      <c r="D176" t="str">
        <f t="shared" ref="D176:D184" si="87">IF(B176&lt;(VLOOKUP($A$173,$A$161:$F$171,3,FALSE)),"A",IF(AND((VLOOKUP($A$173,$A$161:$F$171,3,FALSE))&lt;=B176,B176&lt;(VLOOKUP($A$173,$A$161:$F$171,4,FALSE))),"B",IF(AND((VLOOKUP($A$173,$A$161:$F$171,4,FALSE))&lt;=B176,B176&lt;(VLOOKUP($A$173,$A$161:$F$171,5,FALSE))),"C",IF(AND((VLOOKUP($A$173,$A$161:$F$171,5,FALSE))&lt;=B176,B176&lt;(VLOOKUP($A$173,$A$161:$F$171,6,FALSE))),"D","E"))))</f>
        <v>E</v>
      </c>
      <c r="F176">
        <f t="shared" si="84"/>
        <v>12.8</v>
      </c>
      <c r="G176" s="50">
        <f t="shared" si="85"/>
        <v>26.885040778562185</v>
      </c>
      <c r="H176" s="50">
        <f t="shared" si="86"/>
        <v>16.933085680517127</v>
      </c>
      <c r="I176" t="str">
        <f t="shared" ref="I176:I184" si="88">IF(G176&lt;(VLOOKUP($F$173,$A$161:$F$171,3,FALSE)),"A",IF(AND((VLOOKUP($F$173,$A$161:$F$171,3,FALSE))&lt;=G176,G176&lt;(VLOOKUP($F$173,$A$161:$F$171,4,FALSE))),"B",IF(AND((VLOOKUP($F$173,$A$161:$F$171,4,FALSE))&lt;=G176,G176&lt;(VLOOKUP($F$173,$A$161:$F$171,5,FALSE))),"C",IF(AND((VLOOKUP($F$173,$A$161:$F$171,5,FALSE))&lt;=G176,G176&lt;(VLOOKUP($F$173,$A$161:$F$171,6,FALSE))),"D","E"))))</f>
        <v>E</v>
      </c>
    </row>
    <row r="177" spans="1:9" x14ac:dyDescent="0.3">
      <c r="A177">
        <f t="shared" si="82"/>
        <v>11.8</v>
      </c>
      <c r="B177" s="53">
        <f t="shared" si="83"/>
        <v>23.491062709444208</v>
      </c>
      <c r="C177" s="50">
        <f t="shared" ref="C177:C184" si="89">C176</f>
        <v>16.933085680517127</v>
      </c>
      <c r="D177" t="str">
        <f t="shared" si="87"/>
        <v>E</v>
      </c>
      <c r="F177">
        <f t="shared" si="84"/>
        <v>11.8</v>
      </c>
      <c r="G177" s="50">
        <f t="shared" si="85"/>
        <v>23.491062709444208</v>
      </c>
      <c r="H177" s="50">
        <f t="shared" si="86"/>
        <v>16.933085680517127</v>
      </c>
      <c r="I177" t="str">
        <f t="shared" si="88"/>
        <v>E</v>
      </c>
    </row>
    <row r="178" spans="1:9" x14ac:dyDescent="0.3">
      <c r="A178">
        <f t="shared" si="82"/>
        <v>10.8</v>
      </c>
      <c r="B178" s="53">
        <f t="shared" si="83"/>
        <v>20.411954868299539</v>
      </c>
      <c r="C178" s="50">
        <f t="shared" si="89"/>
        <v>16.933085680517127</v>
      </c>
      <c r="D178" t="str">
        <f t="shared" si="87"/>
        <v>E</v>
      </c>
      <c r="F178">
        <f t="shared" si="84"/>
        <v>10.8</v>
      </c>
      <c r="G178" s="50">
        <f t="shared" si="85"/>
        <v>20.411954868299539</v>
      </c>
      <c r="H178" s="50">
        <f t="shared" si="86"/>
        <v>16.933085680517127</v>
      </c>
      <c r="I178" t="str">
        <f t="shared" si="88"/>
        <v>E</v>
      </c>
    </row>
    <row r="179" spans="1:9" x14ac:dyDescent="0.3">
      <c r="A179">
        <f t="shared" si="82"/>
        <v>9.8000000000000007</v>
      </c>
      <c r="B179" s="53">
        <f t="shared" si="83"/>
        <v>17.681834585631862</v>
      </c>
      <c r="C179" s="50">
        <f t="shared" si="89"/>
        <v>16.933085680517127</v>
      </c>
      <c r="D179" t="str">
        <f t="shared" si="87"/>
        <v>C</v>
      </c>
      <c r="F179">
        <f t="shared" si="84"/>
        <v>9.8000000000000007</v>
      </c>
      <c r="G179" s="50">
        <f t="shared" si="85"/>
        <v>17.681834585631862</v>
      </c>
      <c r="H179" s="50">
        <f t="shared" si="86"/>
        <v>16.933085680517127</v>
      </c>
      <c r="I179" t="str">
        <f t="shared" si="88"/>
        <v>D</v>
      </c>
    </row>
    <row r="180" spans="1:9" x14ac:dyDescent="0.3">
      <c r="A180">
        <f t="shared" si="82"/>
        <v>8.8000000000000007</v>
      </c>
      <c r="B180" s="53">
        <f t="shared" si="83"/>
        <v>15.347408600386631</v>
      </c>
      <c r="C180" s="50">
        <f t="shared" si="89"/>
        <v>16.933085680517127</v>
      </c>
      <c r="D180" t="str">
        <f t="shared" si="87"/>
        <v>B</v>
      </c>
      <c r="F180">
        <f t="shared" si="84"/>
        <v>8.8000000000000007</v>
      </c>
      <c r="G180" s="50">
        <f t="shared" si="85"/>
        <v>15.347408600386631</v>
      </c>
      <c r="H180" s="50">
        <f t="shared" si="86"/>
        <v>16.933085680517127</v>
      </c>
      <c r="I180" t="str">
        <f t="shared" si="88"/>
        <v>B</v>
      </c>
    </row>
    <row r="181" spans="1:9" x14ac:dyDescent="0.3">
      <c r="A181">
        <f t="shared" si="82"/>
        <v>7.8000000000000007</v>
      </c>
      <c r="B181" s="53">
        <f t="shared" si="83"/>
        <v>13.42008772451112</v>
      </c>
      <c r="C181" s="50">
        <f t="shared" si="89"/>
        <v>16.933085680517127</v>
      </c>
      <c r="D181" t="str">
        <f t="shared" si="87"/>
        <v>A</v>
      </c>
      <c r="F181">
        <f t="shared" si="84"/>
        <v>7.8000000000000007</v>
      </c>
      <c r="G181" s="50">
        <f t="shared" si="85"/>
        <v>13.42008772451112</v>
      </c>
      <c r="H181" s="50">
        <f t="shared" si="86"/>
        <v>16.933085680517127</v>
      </c>
      <c r="I181" t="str">
        <f t="shared" si="88"/>
        <v>A</v>
      </c>
    </row>
    <row r="182" spans="1:9" x14ac:dyDescent="0.3">
      <c r="A182">
        <f t="shared" si="82"/>
        <v>6.8000000000000007</v>
      </c>
      <c r="B182" s="53">
        <f t="shared" si="83"/>
        <v>11.877802038463283</v>
      </c>
      <c r="C182" s="50">
        <f t="shared" si="89"/>
        <v>16.933085680517127</v>
      </c>
      <c r="D182" t="str">
        <f t="shared" si="87"/>
        <v>A</v>
      </c>
      <c r="F182">
        <f t="shared" si="84"/>
        <v>6.8000000000000007</v>
      </c>
      <c r="G182" s="50">
        <f t="shared" si="85"/>
        <v>11.877802038463283</v>
      </c>
      <c r="H182" s="50">
        <f t="shared" si="86"/>
        <v>16.933085680517127</v>
      </c>
      <c r="I182" t="str">
        <f t="shared" si="88"/>
        <v>A</v>
      </c>
    </row>
    <row r="183" spans="1:9" x14ac:dyDescent="0.3">
      <c r="A183">
        <f t="shared" si="82"/>
        <v>5.8000000000000007</v>
      </c>
      <c r="B183" s="53">
        <f t="shared" si="83"/>
        <v>10.690393327495377</v>
      </c>
      <c r="C183" s="50">
        <f t="shared" si="89"/>
        <v>16.933085680517127</v>
      </c>
      <c r="D183" t="str">
        <f t="shared" si="87"/>
        <v>A</v>
      </c>
      <c r="F183">
        <f t="shared" si="84"/>
        <v>5.8000000000000007</v>
      </c>
      <c r="G183" s="50">
        <f t="shared" si="85"/>
        <v>10.690393327495377</v>
      </c>
      <c r="H183" s="50">
        <f t="shared" si="86"/>
        <v>16.933085680517127</v>
      </c>
      <c r="I183" t="str">
        <f t="shared" si="88"/>
        <v>A</v>
      </c>
    </row>
    <row r="184" spans="1:9" x14ac:dyDescent="0.3">
      <c r="A184">
        <f t="shared" si="82"/>
        <v>4.8000000000000007</v>
      </c>
      <c r="B184" s="53">
        <f t="shared" si="83"/>
        <v>9.8598907119119232</v>
      </c>
      <c r="C184" s="50">
        <f t="shared" si="89"/>
        <v>16.933085680517127</v>
      </c>
      <c r="D184" t="str">
        <f t="shared" si="87"/>
        <v>A</v>
      </c>
      <c r="F184">
        <f t="shared" si="84"/>
        <v>4.8000000000000007</v>
      </c>
      <c r="G184" s="50">
        <f t="shared" si="85"/>
        <v>9.8598907119119232</v>
      </c>
      <c r="H184" s="50">
        <f t="shared" si="86"/>
        <v>16.933085680517127</v>
      </c>
      <c r="I184" t="str">
        <f t="shared" si="88"/>
        <v>A</v>
      </c>
    </row>
    <row r="186" spans="1:9" x14ac:dyDescent="0.3">
      <c r="A186">
        <v>2026</v>
      </c>
      <c r="F186">
        <v>2027</v>
      </c>
    </row>
    <row r="187" spans="1:9" x14ac:dyDescent="0.3">
      <c r="A187" t="s">
        <v>12</v>
      </c>
      <c r="B187" t="s">
        <v>405</v>
      </c>
      <c r="C187" t="s">
        <v>409</v>
      </c>
      <c r="D187" t="s">
        <v>467</v>
      </c>
      <c r="F187" t="s">
        <v>12</v>
      </c>
      <c r="G187" t="s">
        <v>405</v>
      </c>
      <c r="H187" t="s">
        <v>409</v>
      </c>
      <c r="I187" t="s">
        <v>467</v>
      </c>
    </row>
    <row r="188" spans="1:9" x14ac:dyDescent="0.3">
      <c r="A188">
        <f t="shared" ref="A188:A197" si="90">F175</f>
        <v>13.8</v>
      </c>
      <c r="B188" s="50">
        <f t="shared" ref="B188:B197" si="91">G175</f>
        <v>30.435364425713185</v>
      </c>
      <c r="C188" s="50">
        <f t="shared" ref="C188:C197" si="92">H175</f>
        <v>16.933085680517127</v>
      </c>
      <c r="D188" t="str">
        <f>IF(B188&lt;(VLOOKUP($A$186,$A$161:$F$171,3,FALSE)),"A",IF(AND((VLOOKUP($A$186,$A$161:$F$171,3,FALSE))&lt;=B188,B188&lt;(VLOOKUP($A$186,$A$161:$F$171,4,FALSE))),"B",IF(AND((VLOOKUP($A$186,$A$161:$F$171,4,FALSE))&lt;=B188,B188&lt;(VLOOKUP($A$186,$A$161:$F$171,5,FALSE))),"C",IF(AND((VLOOKUP($A$186,$A$161:$F$171,5,FALSE))&lt;=B188,B188&lt;(VLOOKUP($A$186,$A$161:$F$171,6,FALSE))),"D","E"))))</f>
        <v>E</v>
      </c>
      <c r="F188">
        <f t="shared" ref="F188:F197" si="93">A188</f>
        <v>13.8</v>
      </c>
      <c r="G188" s="50">
        <f t="shared" ref="G188:G197" si="94">B188</f>
        <v>30.435364425713185</v>
      </c>
      <c r="H188" s="50">
        <f t="shared" ref="H188:H197" si="95">C188</f>
        <v>16.933085680517127</v>
      </c>
      <c r="I188" t="str">
        <f>IF(G188&lt;(VLOOKUP($F$186,$A$161:$F$171,3,FALSE)),"A",IF(AND((VLOOKUP($F$186,$A$161:$F$171,3,FALSE))&lt;=G188,G188&lt;(VLOOKUP($F$186,$A$161:$F$171,4,FALSE))),"B",IF(AND((VLOOKUP($F$186,$A$161:$F$171,4,FALSE))&lt;=G188,G188&lt;(VLOOKUP($F$186,$A$161:$F$171,5,FALSE))),"C",IF(AND((VLOOKUP($F$186,$A$161:$F$171,5,FALSE))&lt;=G188,G188&lt;(VLOOKUP($F$186,$A$161:$F$171,6,FALSE))),"D","E"))))</f>
        <v>E</v>
      </c>
    </row>
    <row r="189" spans="1:9" x14ac:dyDescent="0.3">
      <c r="A189">
        <f t="shared" si="90"/>
        <v>12.8</v>
      </c>
      <c r="B189" s="50">
        <f t="shared" si="91"/>
        <v>26.885040778562185</v>
      </c>
      <c r="C189" s="50">
        <f t="shared" si="92"/>
        <v>16.933085680517127</v>
      </c>
      <c r="D189" t="str">
        <f t="shared" ref="D189:D197" si="96">IF(B189&lt;(VLOOKUP($A$186,$A$161:$F$171,3,FALSE)),"A",IF(AND((VLOOKUP($A$186,$A$161:$F$171,3,FALSE))&lt;=B189,B189&lt;(VLOOKUP($A$186,$A$161:$F$171,4,FALSE))),"B",IF(AND((VLOOKUP($A$186,$A$161:$F$171,4,FALSE))&lt;=B189,B189&lt;(VLOOKUP($A$186,$A$161:$F$171,5,FALSE))),"C",IF(AND((VLOOKUP($A$186,$A$161:$F$171,5,FALSE))&lt;=B189,B189&lt;(VLOOKUP($A$186,$A$161:$F$171,6,FALSE))),"D","E"))))</f>
        <v>E</v>
      </c>
      <c r="F189">
        <f t="shared" si="93"/>
        <v>12.8</v>
      </c>
      <c r="G189" s="50">
        <f t="shared" si="94"/>
        <v>26.885040778562185</v>
      </c>
      <c r="H189" s="50">
        <f t="shared" si="95"/>
        <v>16.933085680517127</v>
      </c>
      <c r="I189" t="str">
        <f t="shared" ref="I189:I197" si="97">IF(G189&lt;(VLOOKUP($F$186,$A$161:$F$171,3,FALSE)),"A",IF(AND((VLOOKUP($F$186,$A$161:$F$171,3,FALSE))&lt;=G189,G189&lt;(VLOOKUP($F$186,$A$161:$F$171,4,FALSE))),"B",IF(AND((VLOOKUP($F$186,$A$161:$F$171,4,FALSE))&lt;=G189,G189&lt;(VLOOKUP($F$186,$A$161:$F$171,5,FALSE))),"C",IF(AND((VLOOKUP($F$186,$A$161:$F$171,5,FALSE))&lt;=G189,G189&lt;(VLOOKUP($F$186,$A$161:$F$171,6,FALSE))),"D","E"))))</f>
        <v>E</v>
      </c>
    </row>
    <row r="190" spans="1:9" x14ac:dyDescent="0.3">
      <c r="A190">
        <f t="shared" si="90"/>
        <v>11.8</v>
      </c>
      <c r="B190" s="50">
        <f t="shared" si="91"/>
        <v>23.491062709444208</v>
      </c>
      <c r="C190" s="50">
        <f t="shared" si="92"/>
        <v>16.933085680517127</v>
      </c>
      <c r="D190" t="str">
        <f t="shared" si="96"/>
        <v>E</v>
      </c>
      <c r="F190">
        <f t="shared" si="93"/>
        <v>11.8</v>
      </c>
      <c r="G190" s="50">
        <f t="shared" si="94"/>
        <v>23.491062709444208</v>
      </c>
      <c r="H190" s="50">
        <f t="shared" si="95"/>
        <v>16.933085680517127</v>
      </c>
      <c r="I190" t="str">
        <f t="shared" si="97"/>
        <v>E</v>
      </c>
    </row>
    <row r="191" spans="1:9" x14ac:dyDescent="0.3">
      <c r="A191">
        <f t="shared" si="90"/>
        <v>10.8</v>
      </c>
      <c r="B191" s="50">
        <f t="shared" si="91"/>
        <v>20.411954868299539</v>
      </c>
      <c r="C191" s="50">
        <f t="shared" si="92"/>
        <v>16.933085680517127</v>
      </c>
      <c r="D191" t="str">
        <f t="shared" si="96"/>
        <v>E</v>
      </c>
      <c r="F191">
        <f t="shared" si="93"/>
        <v>10.8</v>
      </c>
      <c r="G191" s="50">
        <f t="shared" si="94"/>
        <v>20.411954868299539</v>
      </c>
      <c r="H191" s="50">
        <f t="shared" si="95"/>
        <v>16.933085680517127</v>
      </c>
      <c r="I191" t="str">
        <f t="shared" si="97"/>
        <v>E</v>
      </c>
    </row>
    <row r="192" spans="1:9" x14ac:dyDescent="0.3">
      <c r="A192">
        <f t="shared" si="90"/>
        <v>9.8000000000000007</v>
      </c>
      <c r="B192" s="50">
        <f t="shared" si="91"/>
        <v>17.681834585631862</v>
      </c>
      <c r="C192" s="50">
        <f t="shared" si="92"/>
        <v>16.933085680517127</v>
      </c>
      <c r="D192" t="str">
        <f t="shared" si="96"/>
        <v>D</v>
      </c>
      <c r="F192">
        <f t="shared" si="93"/>
        <v>9.8000000000000007</v>
      </c>
      <c r="G192" s="50">
        <f t="shared" si="94"/>
        <v>17.681834585631862</v>
      </c>
      <c r="H192" s="50">
        <f t="shared" si="95"/>
        <v>16.933085680517127</v>
      </c>
      <c r="I192" t="str">
        <f t="shared" si="97"/>
        <v>D</v>
      </c>
    </row>
    <row r="193" spans="1:9" x14ac:dyDescent="0.3">
      <c r="A193">
        <f t="shared" si="90"/>
        <v>8.8000000000000007</v>
      </c>
      <c r="B193" s="50">
        <f t="shared" si="91"/>
        <v>15.347408600386631</v>
      </c>
      <c r="C193" s="50">
        <f t="shared" si="92"/>
        <v>16.933085680517127</v>
      </c>
      <c r="D193" t="str">
        <f t="shared" si="96"/>
        <v>C</v>
      </c>
      <c r="F193">
        <f t="shared" si="93"/>
        <v>8.8000000000000007</v>
      </c>
      <c r="G193" s="50">
        <f t="shared" si="94"/>
        <v>15.347408600386631</v>
      </c>
      <c r="H193" s="50">
        <f t="shared" si="95"/>
        <v>16.933085680517127</v>
      </c>
      <c r="I193" t="str">
        <f t="shared" si="97"/>
        <v>C</v>
      </c>
    </row>
    <row r="194" spans="1:9" x14ac:dyDescent="0.3">
      <c r="A194">
        <f t="shared" si="90"/>
        <v>7.8000000000000007</v>
      </c>
      <c r="B194" s="50">
        <f t="shared" si="91"/>
        <v>13.42008772451112</v>
      </c>
      <c r="C194" s="50">
        <f t="shared" si="92"/>
        <v>16.933085680517127</v>
      </c>
      <c r="D194" t="str">
        <f t="shared" si="96"/>
        <v>A</v>
      </c>
      <c r="F194">
        <f t="shared" si="93"/>
        <v>7.8000000000000007</v>
      </c>
      <c r="G194" s="50">
        <f t="shared" si="94"/>
        <v>13.42008772451112</v>
      </c>
      <c r="H194" s="50">
        <f t="shared" si="95"/>
        <v>16.933085680517127</v>
      </c>
      <c r="I194" t="str">
        <f t="shared" si="97"/>
        <v>B</v>
      </c>
    </row>
    <row r="195" spans="1:9" x14ac:dyDescent="0.3">
      <c r="A195">
        <f t="shared" si="90"/>
        <v>6.8000000000000007</v>
      </c>
      <c r="B195" s="50">
        <f t="shared" si="91"/>
        <v>11.877802038463283</v>
      </c>
      <c r="C195" s="50">
        <f t="shared" si="92"/>
        <v>16.933085680517127</v>
      </c>
      <c r="D195" t="str">
        <f t="shared" si="96"/>
        <v>A</v>
      </c>
      <c r="F195">
        <f t="shared" si="93"/>
        <v>6.8000000000000007</v>
      </c>
      <c r="G195" s="50">
        <f t="shared" si="94"/>
        <v>11.877802038463283</v>
      </c>
      <c r="H195" s="50">
        <f t="shared" si="95"/>
        <v>16.933085680517127</v>
      </c>
      <c r="I195" t="str">
        <f t="shared" si="97"/>
        <v>A</v>
      </c>
    </row>
    <row r="196" spans="1:9" x14ac:dyDescent="0.3">
      <c r="A196">
        <f t="shared" si="90"/>
        <v>5.8000000000000007</v>
      </c>
      <c r="B196" s="50">
        <f t="shared" si="91"/>
        <v>10.690393327495377</v>
      </c>
      <c r="C196" s="50">
        <f t="shared" si="92"/>
        <v>16.933085680517127</v>
      </c>
      <c r="D196" t="str">
        <f t="shared" si="96"/>
        <v>A</v>
      </c>
      <c r="F196">
        <f t="shared" si="93"/>
        <v>5.8000000000000007</v>
      </c>
      <c r="G196" s="50">
        <f t="shared" si="94"/>
        <v>10.690393327495377</v>
      </c>
      <c r="H196" s="50">
        <f t="shared" si="95"/>
        <v>16.933085680517127</v>
      </c>
      <c r="I196" t="str">
        <f t="shared" si="97"/>
        <v>A</v>
      </c>
    </row>
    <row r="197" spans="1:9" x14ac:dyDescent="0.3">
      <c r="A197">
        <f t="shared" si="90"/>
        <v>4.8000000000000007</v>
      </c>
      <c r="B197" s="50">
        <f t="shared" si="91"/>
        <v>9.8598907119119232</v>
      </c>
      <c r="C197" s="50">
        <f t="shared" si="92"/>
        <v>16.933085680517127</v>
      </c>
      <c r="D197" t="str">
        <f t="shared" si="96"/>
        <v>A</v>
      </c>
      <c r="F197">
        <f t="shared" si="93"/>
        <v>4.8000000000000007</v>
      </c>
      <c r="G197" s="50">
        <f t="shared" si="94"/>
        <v>9.8598907119119232</v>
      </c>
      <c r="H197" s="50">
        <f t="shared" si="95"/>
        <v>16.933085680517127</v>
      </c>
      <c r="I197" t="str">
        <f t="shared" si="97"/>
        <v>A</v>
      </c>
    </row>
    <row r="199" spans="1:9" x14ac:dyDescent="0.3">
      <c r="A199">
        <v>2028</v>
      </c>
      <c r="F199">
        <v>2029</v>
      </c>
    </row>
    <row r="200" spans="1:9" x14ac:dyDescent="0.3">
      <c r="A200" t="s">
        <v>12</v>
      </c>
      <c r="B200" t="s">
        <v>405</v>
      </c>
      <c r="C200" t="s">
        <v>409</v>
      </c>
      <c r="D200" t="s">
        <v>467</v>
      </c>
      <c r="F200" t="s">
        <v>12</v>
      </c>
      <c r="G200" t="s">
        <v>405</v>
      </c>
      <c r="H200" t="s">
        <v>409</v>
      </c>
      <c r="I200" t="s">
        <v>467</v>
      </c>
    </row>
    <row r="201" spans="1:9" x14ac:dyDescent="0.3">
      <c r="A201">
        <f t="shared" ref="A201:A210" si="98">F188</f>
        <v>13.8</v>
      </c>
      <c r="B201" s="50">
        <f t="shared" ref="B201:B210" si="99">G188</f>
        <v>30.435364425713185</v>
      </c>
      <c r="C201" s="50">
        <f t="shared" ref="C201:C210" si="100">H188</f>
        <v>16.933085680517127</v>
      </c>
      <c r="D201" t="str">
        <f>IF(B201&lt;(VLOOKUP($A$199,$A$161:$F$171,3,FALSE)),"A",IF(AND((VLOOKUP($A$199,$A$161:$F$171,3,FALSE))&lt;=B201,B201&lt;(VLOOKUP($A$199,$A$161:$F$171,4,FALSE))),"B",IF(AND((VLOOKUP($A$199,$A$161:$F$171,4,FALSE))&lt;=B201,B201&lt;(VLOOKUP($A$199,$A$161:$F$171,5,FALSE))),"C",IF(AND((VLOOKUP($A$199,$A$161:$F$171,5,FALSE))&lt;=B201,B201&lt;(VLOOKUP($A$199,$A$161:$F$171,6,FALSE))),"D","E"))))</f>
        <v>E</v>
      </c>
      <c r="F201">
        <f t="shared" ref="F201:F210" si="101">A201</f>
        <v>13.8</v>
      </c>
      <c r="G201" s="50">
        <f t="shared" ref="G201:G210" si="102">B201</f>
        <v>30.435364425713185</v>
      </c>
      <c r="H201" s="50">
        <f t="shared" ref="H201:H210" si="103">C201</f>
        <v>16.933085680517127</v>
      </c>
      <c r="I201" t="str">
        <f>IF(G201&lt;(VLOOKUP($F$199,$A$161:$F$171,3,FALSE)),"A",IF(AND((VLOOKUP($F$199,$A$161:$F$171,3,FALSE))&lt;=G201,G201&lt;(VLOOKUP($F$199,$A$161:$F$171,4,FALSE))),"B",IF(AND((VLOOKUP($F$199,$A$161:$F$171,4,FALSE))&lt;=G201,G201&lt;(VLOOKUP($F$199,$A$161:$F$171,5,FALSE))),"C",IF(AND((VLOOKUP($F$199,$A$161:$F$171,5,FALSE))&lt;=G201,G201&lt;(VLOOKUP($F$199,$A$161:$F$171,6,FALSE))),"D","E"))))</f>
        <v>E</v>
      </c>
    </row>
    <row r="202" spans="1:9" x14ac:dyDescent="0.3">
      <c r="A202">
        <f t="shared" si="98"/>
        <v>12.8</v>
      </c>
      <c r="B202" s="50">
        <f t="shared" si="99"/>
        <v>26.885040778562185</v>
      </c>
      <c r="C202" s="50">
        <f t="shared" si="100"/>
        <v>16.933085680517127</v>
      </c>
      <c r="D202" t="str">
        <f t="shared" ref="D202:D210" si="104">IF(B202&lt;(VLOOKUP($A$199,$A$161:$F$171,3,FALSE)),"A",IF(AND((VLOOKUP($A$199,$A$161:$F$171,3,FALSE))&lt;=B202,B202&lt;(VLOOKUP($A$199,$A$161:$F$171,4,FALSE))),"B",IF(AND((VLOOKUP($A$199,$A$161:$F$171,4,FALSE))&lt;=B202,B202&lt;(VLOOKUP($A$199,$A$161:$F$171,5,FALSE))),"C",IF(AND((VLOOKUP($A$199,$A$161:$F$171,5,FALSE))&lt;=B202,B202&lt;(VLOOKUP($A$199,$A$161:$F$171,6,FALSE))),"D","E"))))</f>
        <v>E</v>
      </c>
      <c r="F202">
        <f t="shared" si="101"/>
        <v>12.8</v>
      </c>
      <c r="G202" s="50">
        <f t="shared" si="102"/>
        <v>26.885040778562185</v>
      </c>
      <c r="H202" s="50">
        <f t="shared" si="103"/>
        <v>16.933085680517127</v>
      </c>
      <c r="I202" t="str">
        <f t="shared" ref="I202:I210" si="105">IF(G202&lt;(VLOOKUP($F$199,$A$161:$F$171,3,FALSE)),"A",IF(AND((VLOOKUP($F$199,$A$161:$F$171,3,FALSE))&lt;=G202,G202&lt;(VLOOKUP($F$199,$A$161:$F$171,4,FALSE))),"B",IF(AND((VLOOKUP($F$199,$A$161:$F$171,4,FALSE))&lt;=G202,G202&lt;(VLOOKUP($F$199,$A$161:$F$171,5,FALSE))),"C",IF(AND((VLOOKUP($F$199,$A$161:$F$171,5,FALSE))&lt;=G202,G202&lt;(VLOOKUP($F$199,$A$161:$F$171,6,FALSE))),"D","E"))))</f>
        <v>E</v>
      </c>
    </row>
    <row r="203" spans="1:9" x14ac:dyDescent="0.3">
      <c r="A203">
        <f t="shared" si="98"/>
        <v>11.8</v>
      </c>
      <c r="B203" s="50">
        <f t="shared" si="99"/>
        <v>23.491062709444208</v>
      </c>
      <c r="C203" s="50">
        <f t="shared" si="100"/>
        <v>16.933085680517127</v>
      </c>
      <c r="D203" t="str">
        <f t="shared" si="104"/>
        <v>E</v>
      </c>
      <c r="F203">
        <f t="shared" si="101"/>
        <v>11.8</v>
      </c>
      <c r="G203" s="50">
        <f t="shared" si="102"/>
        <v>23.491062709444208</v>
      </c>
      <c r="H203" s="50">
        <f t="shared" si="103"/>
        <v>16.933085680517127</v>
      </c>
      <c r="I203" t="str">
        <f t="shared" si="105"/>
        <v>E</v>
      </c>
    </row>
    <row r="204" spans="1:9" x14ac:dyDescent="0.3">
      <c r="A204">
        <f t="shared" si="98"/>
        <v>10.8</v>
      </c>
      <c r="B204" s="50">
        <f t="shared" si="99"/>
        <v>20.411954868299539</v>
      </c>
      <c r="C204" s="50">
        <f t="shared" si="100"/>
        <v>16.933085680517127</v>
      </c>
      <c r="D204" t="str">
        <f t="shared" si="104"/>
        <v>E</v>
      </c>
      <c r="F204">
        <f t="shared" si="101"/>
        <v>10.8</v>
      </c>
      <c r="G204" s="50">
        <f t="shared" si="102"/>
        <v>20.411954868299539</v>
      </c>
      <c r="H204" s="50">
        <f t="shared" si="103"/>
        <v>16.933085680517127</v>
      </c>
      <c r="I204" t="str">
        <f t="shared" si="105"/>
        <v>E</v>
      </c>
    </row>
    <row r="205" spans="1:9" x14ac:dyDescent="0.3">
      <c r="A205">
        <f t="shared" si="98"/>
        <v>9.8000000000000007</v>
      </c>
      <c r="B205" s="50">
        <f t="shared" si="99"/>
        <v>17.681834585631862</v>
      </c>
      <c r="C205" s="50">
        <f t="shared" si="100"/>
        <v>16.933085680517127</v>
      </c>
      <c r="D205" t="str">
        <f t="shared" si="104"/>
        <v>D</v>
      </c>
      <c r="F205">
        <f t="shared" si="101"/>
        <v>9.8000000000000007</v>
      </c>
      <c r="G205" s="50">
        <f t="shared" si="102"/>
        <v>17.681834585631862</v>
      </c>
      <c r="H205" s="50">
        <f t="shared" si="103"/>
        <v>16.933085680517127</v>
      </c>
      <c r="I205" t="str">
        <f t="shared" si="105"/>
        <v>E</v>
      </c>
    </row>
    <row r="206" spans="1:9" x14ac:dyDescent="0.3">
      <c r="A206">
        <f t="shared" si="98"/>
        <v>8.8000000000000007</v>
      </c>
      <c r="B206" s="50">
        <f t="shared" si="99"/>
        <v>15.347408600386631</v>
      </c>
      <c r="C206" s="50">
        <f t="shared" si="100"/>
        <v>16.933085680517127</v>
      </c>
      <c r="D206" t="str">
        <f t="shared" si="104"/>
        <v>C</v>
      </c>
      <c r="F206">
        <f t="shared" si="101"/>
        <v>8.8000000000000007</v>
      </c>
      <c r="G206" s="50">
        <f t="shared" si="102"/>
        <v>15.347408600386631</v>
      </c>
      <c r="H206" s="50">
        <f t="shared" si="103"/>
        <v>16.933085680517127</v>
      </c>
      <c r="I206" t="str">
        <f t="shared" si="105"/>
        <v>C</v>
      </c>
    </row>
    <row r="207" spans="1:9" x14ac:dyDescent="0.3">
      <c r="A207">
        <f t="shared" si="98"/>
        <v>7.8000000000000007</v>
      </c>
      <c r="B207" s="50">
        <f t="shared" si="99"/>
        <v>13.42008772451112</v>
      </c>
      <c r="C207" s="50">
        <f t="shared" si="100"/>
        <v>16.933085680517127</v>
      </c>
      <c r="D207" t="str">
        <f t="shared" si="104"/>
        <v>B</v>
      </c>
      <c r="F207">
        <f t="shared" si="101"/>
        <v>7.8000000000000007</v>
      </c>
      <c r="G207" s="50">
        <f t="shared" si="102"/>
        <v>13.42008772451112</v>
      </c>
      <c r="H207" s="50">
        <f t="shared" si="103"/>
        <v>16.933085680517127</v>
      </c>
      <c r="I207" t="str">
        <f t="shared" si="105"/>
        <v>B</v>
      </c>
    </row>
    <row r="208" spans="1:9" x14ac:dyDescent="0.3">
      <c r="A208">
        <f t="shared" si="98"/>
        <v>6.8000000000000007</v>
      </c>
      <c r="B208" s="50">
        <f t="shared" si="99"/>
        <v>11.877802038463283</v>
      </c>
      <c r="C208" s="50">
        <f t="shared" si="100"/>
        <v>16.933085680517127</v>
      </c>
      <c r="D208" t="str">
        <f t="shared" si="104"/>
        <v>A</v>
      </c>
      <c r="F208">
        <f t="shared" si="101"/>
        <v>6.8000000000000007</v>
      </c>
      <c r="G208" s="50">
        <f t="shared" si="102"/>
        <v>11.877802038463283</v>
      </c>
      <c r="H208" s="50">
        <f t="shared" si="103"/>
        <v>16.933085680517127</v>
      </c>
      <c r="I208" t="str">
        <f t="shared" si="105"/>
        <v>A</v>
      </c>
    </row>
    <row r="209" spans="1:13" x14ac:dyDescent="0.3">
      <c r="A209">
        <f t="shared" si="98"/>
        <v>5.8000000000000007</v>
      </c>
      <c r="B209" s="50">
        <f t="shared" si="99"/>
        <v>10.690393327495377</v>
      </c>
      <c r="C209" s="50">
        <f t="shared" si="100"/>
        <v>16.933085680517127</v>
      </c>
      <c r="D209" t="str">
        <f t="shared" si="104"/>
        <v>A</v>
      </c>
      <c r="F209">
        <f t="shared" si="101"/>
        <v>5.8000000000000007</v>
      </c>
      <c r="G209" s="50">
        <f t="shared" si="102"/>
        <v>10.690393327495377</v>
      </c>
      <c r="H209" s="50">
        <f t="shared" si="103"/>
        <v>16.933085680517127</v>
      </c>
      <c r="I209" t="str">
        <f t="shared" si="105"/>
        <v>A</v>
      </c>
    </row>
    <row r="210" spans="1:13" x14ac:dyDescent="0.3">
      <c r="A210">
        <f t="shared" si="98"/>
        <v>4.8000000000000007</v>
      </c>
      <c r="B210" s="50">
        <f t="shared" si="99"/>
        <v>9.8598907119119232</v>
      </c>
      <c r="C210" s="50">
        <f t="shared" si="100"/>
        <v>16.933085680517127</v>
      </c>
      <c r="D210" t="str">
        <f t="shared" si="104"/>
        <v>A</v>
      </c>
      <c r="F210">
        <f t="shared" si="101"/>
        <v>4.8000000000000007</v>
      </c>
      <c r="G210" s="50">
        <f t="shared" si="102"/>
        <v>9.8598907119119232</v>
      </c>
      <c r="H210" s="50">
        <f t="shared" si="103"/>
        <v>16.933085680517127</v>
      </c>
      <c r="I210" t="str">
        <f t="shared" si="105"/>
        <v>A</v>
      </c>
    </row>
    <row r="212" spans="1:13" x14ac:dyDescent="0.3">
      <c r="A212">
        <v>2030</v>
      </c>
    </row>
    <row r="213" spans="1:13" x14ac:dyDescent="0.3">
      <c r="A213" t="s">
        <v>12</v>
      </c>
      <c r="B213" t="s">
        <v>405</v>
      </c>
      <c r="C213" t="s">
        <v>409</v>
      </c>
      <c r="D213" t="s">
        <v>467</v>
      </c>
      <c r="F213" s="54" t="s">
        <v>468</v>
      </c>
      <c r="G213" s="54">
        <v>2024</v>
      </c>
      <c r="H213" s="54">
        <v>2025</v>
      </c>
      <c r="I213" s="54">
        <v>2026</v>
      </c>
      <c r="J213" s="54">
        <v>2027</v>
      </c>
      <c r="K213" s="54">
        <v>2028</v>
      </c>
      <c r="L213" s="54">
        <v>2029</v>
      </c>
      <c r="M213" s="54">
        <v>2030</v>
      </c>
    </row>
    <row r="214" spans="1:13" x14ac:dyDescent="0.3">
      <c r="A214">
        <f t="shared" ref="A214:A223" si="106">F201</f>
        <v>13.8</v>
      </c>
      <c r="B214" s="50">
        <f t="shared" ref="B214:B223" si="107">G201</f>
        <v>30.435364425713185</v>
      </c>
      <c r="C214" s="50">
        <f t="shared" ref="C214:C223" si="108">H201</f>
        <v>16.933085680517127</v>
      </c>
      <c r="D214" t="str">
        <f>IF(B214&lt;(VLOOKUP($A$212,$A$161:$F$171,3,FALSE)),"A",IF(AND((VLOOKUP($A$212,$A$161:$F$171,3,FALSE))&lt;=B214,B214&lt;(VLOOKUP($A$212,$A$161:$F$171,4,FALSE))),"B",IF(AND((VLOOKUP($A$212,$A$161:$F$171,4,FALSE))&lt;=B214,B214&lt;(VLOOKUP($A$212,$A$161:$F$171,5,FALSE))),"C",IF(AND((VLOOKUP($A$212,$A$161:$F$171,5,FALSE))&lt;=B214,B214&lt;(VLOOKUP($A$212,$A$161:$F$171,6,FALSE))),"D","E"))))</f>
        <v>E</v>
      </c>
      <c r="F214" s="54">
        <f>F201</f>
        <v>13.8</v>
      </c>
      <c r="G214" s="81" t="str">
        <f>D175</f>
        <v>E</v>
      </c>
      <c r="H214" s="81" t="str">
        <f>I175</f>
        <v>E</v>
      </c>
      <c r="I214" s="81" t="str">
        <f>D188</f>
        <v>E</v>
      </c>
      <c r="J214" s="81" t="str">
        <f>I188</f>
        <v>E</v>
      </c>
      <c r="K214" s="81" t="str">
        <f>D201</f>
        <v>E</v>
      </c>
      <c r="L214" s="81" t="str">
        <f>I201</f>
        <v>E</v>
      </c>
      <c r="M214" s="81" t="str">
        <f>D214</f>
        <v>E</v>
      </c>
    </row>
    <row r="215" spans="1:13" x14ac:dyDescent="0.3">
      <c r="A215">
        <f t="shared" si="106"/>
        <v>12.8</v>
      </c>
      <c r="B215" s="50">
        <f t="shared" si="107"/>
        <v>26.885040778562185</v>
      </c>
      <c r="C215" s="50">
        <f t="shared" si="108"/>
        <v>16.933085680517127</v>
      </c>
      <c r="D215" t="str">
        <f t="shared" ref="D215:D223" si="109">IF(B215&lt;(VLOOKUP($A$212,$A$161:$F$171,3,FALSE)),"A",IF(AND((VLOOKUP($A$212,$A$161:$F$171,3,FALSE))&lt;=B215,B215&lt;(VLOOKUP($A$212,$A$161:$F$171,4,FALSE))),"B",IF(AND((VLOOKUP($A$212,$A$161:$F$171,4,FALSE))&lt;=B215,B215&lt;(VLOOKUP($A$212,$A$161:$F$171,5,FALSE))),"C",IF(AND((VLOOKUP($A$212,$A$161:$F$171,5,FALSE))&lt;=B215,B215&lt;(VLOOKUP($A$212,$A$161:$F$171,6,FALSE))),"D","E"))))</f>
        <v>E</v>
      </c>
      <c r="F215" s="54">
        <f t="shared" ref="F215:F223" si="110">F202</f>
        <v>12.8</v>
      </c>
      <c r="G215" s="81" t="str">
        <f t="shared" ref="G215:G223" si="111">D176</f>
        <v>E</v>
      </c>
      <c r="H215" s="81" t="str">
        <f t="shared" ref="H215:H223" si="112">I176</f>
        <v>E</v>
      </c>
      <c r="I215" s="81" t="str">
        <f t="shared" ref="I215:I223" si="113">D189</f>
        <v>E</v>
      </c>
      <c r="J215" s="81" t="str">
        <f t="shared" ref="J215:J223" si="114">I189</f>
        <v>E</v>
      </c>
      <c r="K215" s="81" t="str">
        <f t="shared" ref="K215:K223" si="115">D202</f>
        <v>E</v>
      </c>
      <c r="L215" s="81" t="str">
        <f t="shared" ref="L215:L223" si="116">I202</f>
        <v>E</v>
      </c>
      <c r="M215" s="81" t="str">
        <f t="shared" ref="M215:M223" si="117">D215</f>
        <v>E</v>
      </c>
    </row>
    <row r="216" spans="1:13" x14ac:dyDescent="0.3">
      <c r="A216">
        <f t="shared" si="106"/>
        <v>11.8</v>
      </c>
      <c r="B216" s="50">
        <f t="shared" si="107"/>
        <v>23.491062709444208</v>
      </c>
      <c r="C216" s="50">
        <f t="shared" si="108"/>
        <v>16.933085680517127</v>
      </c>
      <c r="D216" t="str">
        <f t="shared" si="109"/>
        <v>E</v>
      </c>
      <c r="F216" s="54">
        <f t="shared" si="110"/>
        <v>11.8</v>
      </c>
      <c r="G216" s="81" t="str">
        <f t="shared" si="111"/>
        <v>E</v>
      </c>
      <c r="H216" s="81" t="str">
        <f t="shared" si="112"/>
        <v>E</v>
      </c>
      <c r="I216" s="81" t="str">
        <f t="shared" si="113"/>
        <v>E</v>
      </c>
      <c r="J216" s="81" t="str">
        <f t="shared" si="114"/>
        <v>E</v>
      </c>
      <c r="K216" s="81" t="str">
        <f t="shared" si="115"/>
        <v>E</v>
      </c>
      <c r="L216" s="81" t="str">
        <f t="shared" si="116"/>
        <v>E</v>
      </c>
      <c r="M216" s="81" t="str">
        <f t="shared" si="117"/>
        <v>E</v>
      </c>
    </row>
    <row r="217" spans="1:13" x14ac:dyDescent="0.3">
      <c r="A217">
        <f t="shared" si="106"/>
        <v>10.8</v>
      </c>
      <c r="B217" s="50">
        <f t="shared" si="107"/>
        <v>20.411954868299539</v>
      </c>
      <c r="C217" s="50">
        <f t="shared" si="108"/>
        <v>16.933085680517127</v>
      </c>
      <c r="D217" t="str">
        <f t="shared" si="109"/>
        <v>E</v>
      </c>
      <c r="F217" s="54">
        <f t="shared" si="110"/>
        <v>10.8</v>
      </c>
      <c r="G217" s="81" t="str">
        <f t="shared" si="111"/>
        <v>E</v>
      </c>
      <c r="H217" s="81" t="str">
        <f t="shared" si="112"/>
        <v>E</v>
      </c>
      <c r="I217" s="81" t="str">
        <f t="shared" si="113"/>
        <v>E</v>
      </c>
      <c r="J217" s="81" t="str">
        <f t="shared" si="114"/>
        <v>E</v>
      </c>
      <c r="K217" s="81" t="str">
        <f t="shared" si="115"/>
        <v>E</v>
      </c>
      <c r="L217" s="81" t="str">
        <f t="shared" si="116"/>
        <v>E</v>
      </c>
      <c r="M217" s="81" t="str">
        <f t="shared" si="117"/>
        <v>E</v>
      </c>
    </row>
    <row r="218" spans="1:13" x14ac:dyDescent="0.3">
      <c r="A218">
        <f t="shared" si="106"/>
        <v>9.8000000000000007</v>
      </c>
      <c r="B218" s="50">
        <f t="shared" si="107"/>
        <v>17.681834585631862</v>
      </c>
      <c r="C218" s="50">
        <f t="shared" si="108"/>
        <v>16.933085680517127</v>
      </c>
      <c r="D218" t="str">
        <f t="shared" si="109"/>
        <v>E</v>
      </c>
      <c r="F218" s="54">
        <f t="shared" si="110"/>
        <v>9.8000000000000007</v>
      </c>
      <c r="G218" s="80" t="str">
        <f t="shared" si="111"/>
        <v>C</v>
      </c>
      <c r="H218" s="77" t="str">
        <f t="shared" si="112"/>
        <v>D</v>
      </c>
      <c r="I218" s="77" t="str">
        <f t="shared" si="113"/>
        <v>D</v>
      </c>
      <c r="J218" s="77" t="str">
        <f t="shared" si="114"/>
        <v>D</v>
      </c>
      <c r="K218" s="77" t="str">
        <f t="shared" si="115"/>
        <v>D</v>
      </c>
      <c r="L218" s="81" t="str">
        <f t="shared" si="116"/>
        <v>E</v>
      </c>
      <c r="M218" s="81" t="str">
        <f t="shared" si="117"/>
        <v>E</v>
      </c>
    </row>
    <row r="219" spans="1:13" x14ac:dyDescent="0.3">
      <c r="A219">
        <f t="shared" si="106"/>
        <v>8.8000000000000007</v>
      </c>
      <c r="B219" s="50">
        <f t="shared" si="107"/>
        <v>15.347408600386631</v>
      </c>
      <c r="C219" s="50">
        <f t="shared" si="108"/>
        <v>16.933085680517127</v>
      </c>
      <c r="D219" t="str">
        <f t="shared" si="109"/>
        <v>D</v>
      </c>
      <c r="F219" s="54">
        <f t="shared" si="110"/>
        <v>8.8000000000000007</v>
      </c>
      <c r="G219" s="79" t="str">
        <f t="shared" si="111"/>
        <v>B</v>
      </c>
      <c r="H219" s="79" t="str">
        <f t="shared" si="112"/>
        <v>B</v>
      </c>
      <c r="I219" s="80" t="str">
        <f t="shared" si="113"/>
        <v>C</v>
      </c>
      <c r="J219" s="80" t="str">
        <f t="shared" si="114"/>
        <v>C</v>
      </c>
      <c r="K219" s="80" t="str">
        <f t="shared" si="115"/>
        <v>C</v>
      </c>
      <c r="L219" s="80" t="str">
        <f t="shared" si="116"/>
        <v>C</v>
      </c>
      <c r="M219" s="77" t="str">
        <f t="shared" si="117"/>
        <v>D</v>
      </c>
    </row>
    <row r="220" spans="1:13" x14ac:dyDescent="0.3">
      <c r="A220">
        <f t="shared" si="106"/>
        <v>7.8000000000000007</v>
      </c>
      <c r="B220" s="50">
        <f t="shared" si="107"/>
        <v>13.42008772451112</v>
      </c>
      <c r="C220" s="50">
        <f t="shared" si="108"/>
        <v>16.933085680517127</v>
      </c>
      <c r="D220" t="str">
        <f t="shared" si="109"/>
        <v>C</v>
      </c>
      <c r="F220" s="54">
        <f t="shared" si="110"/>
        <v>7.8000000000000007</v>
      </c>
      <c r="G220" s="78" t="str">
        <f t="shared" si="111"/>
        <v>A</v>
      </c>
      <c r="H220" s="78" t="str">
        <f t="shared" si="112"/>
        <v>A</v>
      </c>
      <c r="I220" s="78" t="str">
        <f t="shared" si="113"/>
        <v>A</v>
      </c>
      <c r="J220" s="79" t="str">
        <f t="shared" si="114"/>
        <v>B</v>
      </c>
      <c r="K220" s="79" t="str">
        <f t="shared" si="115"/>
        <v>B</v>
      </c>
      <c r="L220" s="79" t="str">
        <f t="shared" si="116"/>
        <v>B</v>
      </c>
      <c r="M220" s="80" t="str">
        <f t="shared" si="117"/>
        <v>C</v>
      </c>
    </row>
    <row r="221" spans="1:13" x14ac:dyDescent="0.3">
      <c r="A221">
        <f t="shared" si="106"/>
        <v>6.8000000000000007</v>
      </c>
      <c r="B221" s="50">
        <f t="shared" si="107"/>
        <v>11.877802038463283</v>
      </c>
      <c r="C221" s="50">
        <f t="shared" si="108"/>
        <v>16.933085680517127</v>
      </c>
      <c r="D221" t="str">
        <f t="shared" si="109"/>
        <v>B</v>
      </c>
      <c r="F221" s="54">
        <f t="shared" si="110"/>
        <v>6.8000000000000007</v>
      </c>
      <c r="G221" s="78" t="str">
        <f t="shared" si="111"/>
        <v>A</v>
      </c>
      <c r="H221" s="78" t="str">
        <f t="shared" si="112"/>
        <v>A</v>
      </c>
      <c r="I221" s="78" t="str">
        <f t="shared" si="113"/>
        <v>A</v>
      </c>
      <c r="J221" s="78" t="str">
        <f t="shared" si="114"/>
        <v>A</v>
      </c>
      <c r="K221" s="78" t="str">
        <f t="shared" si="115"/>
        <v>A</v>
      </c>
      <c r="L221" s="78" t="str">
        <f t="shared" si="116"/>
        <v>A</v>
      </c>
      <c r="M221" s="79" t="str">
        <f t="shared" si="117"/>
        <v>B</v>
      </c>
    </row>
    <row r="222" spans="1:13" x14ac:dyDescent="0.3">
      <c r="A222">
        <f t="shared" si="106"/>
        <v>5.8000000000000007</v>
      </c>
      <c r="B222" s="50">
        <f t="shared" si="107"/>
        <v>10.690393327495377</v>
      </c>
      <c r="C222" s="50">
        <f t="shared" si="108"/>
        <v>16.933085680517127</v>
      </c>
      <c r="D222" t="str">
        <f t="shared" si="109"/>
        <v>A</v>
      </c>
      <c r="F222" s="54">
        <f t="shared" si="110"/>
        <v>5.8000000000000007</v>
      </c>
      <c r="G222" s="78" t="str">
        <f t="shared" si="111"/>
        <v>A</v>
      </c>
      <c r="H222" s="78" t="str">
        <f t="shared" si="112"/>
        <v>A</v>
      </c>
      <c r="I222" s="78" t="str">
        <f t="shared" si="113"/>
        <v>A</v>
      </c>
      <c r="J222" s="78" t="str">
        <f t="shared" si="114"/>
        <v>A</v>
      </c>
      <c r="K222" s="78" t="str">
        <f t="shared" si="115"/>
        <v>A</v>
      </c>
      <c r="L222" s="78" t="str">
        <f t="shared" si="116"/>
        <v>A</v>
      </c>
      <c r="M222" s="78" t="str">
        <f t="shared" si="117"/>
        <v>A</v>
      </c>
    </row>
    <row r="223" spans="1:13" x14ac:dyDescent="0.3">
      <c r="A223">
        <f t="shared" si="106"/>
        <v>4.8000000000000007</v>
      </c>
      <c r="B223" s="50">
        <f t="shared" si="107"/>
        <v>9.8598907119119232</v>
      </c>
      <c r="C223" s="50">
        <f t="shared" si="108"/>
        <v>16.933085680517127</v>
      </c>
      <c r="D223" t="str">
        <f t="shared" si="109"/>
        <v>A</v>
      </c>
      <c r="F223" s="54">
        <f t="shared" si="110"/>
        <v>4.8000000000000007</v>
      </c>
      <c r="G223" s="78" t="str">
        <f t="shared" si="111"/>
        <v>A</v>
      </c>
      <c r="H223" s="78" t="str">
        <f t="shared" si="112"/>
        <v>A</v>
      </c>
      <c r="I223" s="78" t="str">
        <f t="shared" si="113"/>
        <v>A</v>
      </c>
      <c r="J223" s="78" t="str">
        <f t="shared" si="114"/>
        <v>A</v>
      </c>
      <c r="K223" s="78" t="str">
        <f t="shared" si="115"/>
        <v>A</v>
      </c>
      <c r="L223" s="78" t="str">
        <f t="shared" si="116"/>
        <v>A</v>
      </c>
      <c r="M223" s="78" t="str">
        <f t="shared" si="117"/>
        <v>A</v>
      </c>
    </row>
  </sheetData>
  <mergeCells count="123">
    <mergeCell ref="F116:F117"/>
    <mergeCell ref="A101:AF101"/>
    <mergeCell ref="A140:B140"/>
    <mergeCell ref="D140:E140"/>
    <mergeCell ref="G116:H116"/>
    <mergeCell ref="I116:J116"/>
    <mergeCell ref="K116:L116"/>
    <mergeCell ref="M116:N116"/>
    <mergeCell ref="O116:O117"/>
    <mergeCell ref="AB102:AB103"/>
    <mergeCell ref="AA102:AA103"/>
    <mergeCell ref="X102:X103"/>
    <mergeCell ref="Y102:Y103"/>
    <mergeCell ref="Z102:Z103"/>
    <mergeCell ref="O102:O103"/>
    <mergeCell ref="W102:W103"/>
    <mergeCell ref="V102:V103"/>
    <mergeCell ref="U102:U103"/>
    <mergeCell ref="T102:T103"/>
    <mergeCell ref="Q102:Q103"/>
    <mergeCell ref="R102:R103"/>
    <mergeCell ref="S102:S103"/>
    <mergeCell ref="A102:A103"/>
    <mergeCell ref="B102:B103"/>
    <mergeCell ref="AS102:AT102"/>
    <mergeCell ref="AU102:AV102"/>
    <mergeCell ref="AS101:AV101"/>
    <mergeCell ref="AW102:AX102"/>
    <mergeCell ref="BA102:BB102"/>
    <mergeCell ref="AW101:BB101"/>
    <mergeCell ref="AY102:AZ102"/>
    <mergeCell ref="AM102:AN102"/>
    <mergeCell ref="AO102:AP102"/>
    <mergeCell ref="AM101:AP101"/>
    <mergeCell ref="AQ101:AR101"/>
    <mergeCell ref="AQ102:AR102"/>
    <mergeCell ref="I2:M2"/>
    <mergeCell ref="O2:R2"/>
    <mergeCell ref="A88:A89"/>
    <mergeCell ref="K7:L7"/>
    <mergeCell ref="A95:A99"/>
    <mergeCell ref="Q8:R8"/>
    <mergeCell ref="Q9:R9"/>
    <mergeCell ref="Q10:R10"/>
    <mergeCell ref="Q11:R11"/>
    <mergeCell ref="Q4:R4"/>
    <mergeCell ref="Q13:R13"/>
    <mergeCell ref="Q15:R15"/>
    <mergeCell ref="Q16:R16"/>
    <mergeCell ref="Q17:R17"/>
    <mergeCell ref="Q18:R18"/>
    <mergeCell ref="Q12:R12"/>
    <mergeCell ref="Q14:R14"/>
    <mergeCell ref="K4:L4"/>
    <mergeCell ref="K5:L5"/>
    <mergeCell ref="K6:L6"/>
    <mergeCell ref="Q6:R6"/>
    <mergeCell ref="Q7:R7"/>
    <mergeCell ref="Q5:R5"/>
    <mergeCell ref="A10:B10"/>
    <mergeCell ref="C4:G4"/>
    <mergeCell ref="A2:G2"/>
    <mergeCell ref="A4:B4"/>
    <mergeCell ref="A5:B5"/>
    <mergeCell ref="A6:B6"/>
    <mergeCell ref="A7:B7"/>
    <mergeCell ref="C5:G5"/>
    <mergeCell ref="C6:F6"/>
    <mergeCell ref="C7:F7"/>
    <mergeCell ref="A21:B21"/>
    <mergeCell ref="K74:L75"/>
    <mergeCell ref="A23:S23"/>
    <mergeCell ref="C10:F10"/>
    <mergeCell ref="C11:F11"/>
    <mergeCell ref="C18:F18"/>
    <mergeCell ref="A17:B18"/>
    <mergeCell ref="A8:B8"/>
    <mergeCell ref="C8:F8"/>
    <mergeCell ref="C12:F12"/>
    <mergeCell ref="C13:F13"/>
    <mergeCell ref="C14:F14"/>
    <mergeCell ref="C15:F15"/>
    <mergeCell ref="C16:F16"/>
    <mergeCell ref="C17:F17"/>
    <mergeCell ref="A11:B11"/>
    <mergeCell ref="A12:B12"/>
    <mergeCell ref="A13:B13"/>
    <mergeCell ref="A14:B14"/>
    <mergeCell ref="A15:B15"/>
    <mergeCell ref="A16:B16"/>
    <mergeCell ref="AG102:AH102"/>
    <mergeCell ref="AI102:AJ102"/>
    <mergeCell ref="AK102:AL102"/>
    <mergeCell ref="AG101:AJ101"/>
    <mergeCell ref="AK101:AL101"/>
    <mergeCell ref="AE102:AE103"/>
    <mergeCell ref="AF102:AF103"/>
    <mergeCell ref="AD102:AD103"/>
    <mergeCell ref="AC102:AC103"/>
    <mergeCell ref="L102:L103"/>
    <mergeCell ref="M102:M103"/>
    <mergeCell ref="N102:N103"/>
    <mergeCell ref="P102:P103"/>
    <mergeCell ref="C9:F9"/>
    <mergeCell ref="A9:B9"/>
    <mergeCell ref="C102:C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A77:S77"/>
    <mergeCell ref="A19:B19"/>
    <mergeCell ref="A20:B20"/>
    <mergeCell ref="C19:F19"/>
    <mergeCell ref="C20:F20"/>
    <mergeCell ref="A24:I24"/>
    <mergeCell ref="A51:B52"/>
    <mergeCell ref="K24:S24"/>
    <mergeCell ref="C21:F21"/>
  </mergeCells>
  <phoneticPr fontId="2" type="noConversion"/>
  <dataValidations count="1">
    <dataValidation type="list" allowBlank="1" showInputMessage="1" showErrorMessage="1" sqref="A173" xr:uid="{6D8346E0-2B04-4CE3-BA0C-DF2DE1DA8F30}">
      <formula1>$A$161:$A$171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281A7B1-3E66-48D0-AA64-A27DDEDC7289}">
          <x14:formula1>
            <xm:f>'data, etc'!$B$4:$B$15</xm:f>
          </x14:formula1>
          <xm:sqref>C5</xm:sqref>
        </x14:dataValidation>
        <x14:dataValidation type="list" allowBlank="1" showInputMessage="1" showErrorMessage="1" xr:uid="{D64A369C-15B1-4F52-8EFF-00DC038FBBAF}">
          <x14:formula1>
            <xm:f>'Route Distance'!$C$147:$C$159</xm:f>
          </x14:formula1>
          <xm:sqref>Q4:R4</xm:sqref>
        </x14:dataValidation>
        <x14:dataValidation type="list" allowBlank="1" showInputMessage="1" showErrorMessage="1" xr:uid="{F24DCBE8-481F-402E-910E-22F1271F0CD6}">
          <x14:formula1>
            <xm:f>'Route Distance'!$D$188:$H$188</xm:f>
          </x14:formula1>
          <xm:sqref>Q5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743D-04E9-4A8C-836A-9A42D785E1D3}">
  <dimension ref="B3:P91"/>
  <sheetViews>
    <sheetView topLeftCell="H50" workbookViewId="0">
      <selection activeCell="I54" sqref="I54:O69"/>
    </sheetView>
  </sheetViews>
  <sheetFormatPr defaultRowHeight="14.4" x14ac:dyDescent="0.3"/>
  <cols>
    <col min="3" max="3" width="12.44140625" customWidth="1"/>
    <col min="4" max="4" width="12.109375" customWidth="1"/>
    <col min="5" max="5" width="15.6640625" customWidth="1"/>
    <col min="6" max="6" width="23" customWidth="1"/>
    <col min="7" max="7" width="14.5546875" customWidth="1"/>
    <col min="9" max="9" width="12" bestFit="1" customWidth="1"/>
    <col min="10" max="10" width="10.6640625" customWidth="1"/>
    <col min="12" max="12" width="14.77734375" bestFit="1" customWidth="1"/>
    <col min="13" max="13" width="9.6640625" bestFit="1" customWidth="1"/>
    <col min="15" max="15" width="11.5546875" bestFit="1" customWidth="1"/>
  </cols>
  <sheetData>
    <row r="3" spans="2:16" x14ac:dyDescent="0.3">
      <c r="B3" s="94" t="s">
        <v>13</v>
      </c>
      <c r="C3" s="94"/>
      <c r="D3" s="94"/>
      <c r="F3" t="s">
        <v>353</v>
      </c>
      <c r="H3" t="s">
        <v>354</v>
      </c>
      <c r="K3" s="57"/>
      <c r="L3" s="57"/>
      <c r="M3" s="52"/>
      <c r="N3" s="52"/>
      <c r="O3" s="52"/>
      <c r="P3" s="52"/>
    </row>
    <row r="4" spans="2:16" x14ac:dyDescent="0.3">
      <c r="B4" t="s">
        <v>435</v>
      </c>
      <c r="F4" t="s">
        <v>26</v>
      </c>
      <c r="G4" t="s">
        <v>25</v>
      </c>
      <c r="I4" t="s">
        <v>355</v>
      </c>
      <c r="J4" t="s">
        <v>363</v>
      </c>
      <c r="K4" s="57" t="s">
        <v>401</v>
      </c>
      <c r="L4" s="57"/>
      <c r="M4" s="52"/>
      <c r="N4" s="52"/>
      <c r="O4" s="52"/>
      <c r="P4" s="52"/>
    </row>
    <row r="5" spans="2:16" x14ac:dyDescent="0.3">
      <c r="B5" t="s">
        <v>14</v>
      </c>
      <c r="F5">
        <f>Sheet1!C17</f>
        <v>13.8</v>
      </c>
      <c r="G5">
        <f>F5*0.5144</f>
        <v>7.0987200000000001</v>
      </c>
      <c r="H5">
        <f>Sheet1!$Q$6/'data, etc'!F5</f>
        <v>71.280193236714965</v>
      </c>
      <c r="I5">
        <f>H5+(SUM(Sheet1!$Q$8:$R$13))</f>
        <v>150.97019323671498</v>
      </c>
      <c r="J5">
        <f>ROUNDUP(335*24/I5,0)</f>
        <v>54</v>
      </c>
      <c r="K5" s="57">
        <f>J5*Sheet1!$Q$6</f>
        <v>53118</v>
      </c>
      <c r="L5" s="57"/>
      <c r="M5" s="52"/>
      <c r="N5" s="52"/>
      <c r="O5" s="52"/>
      <c r="P5" s="52"/>
    </row>
    <row r="6" spans="2:16" x14ac:dyDescent="0.3">
      <c r="B6" t="s">
        <v>15</v>
      </c>
      <c r="F6">
        <f t="shared" ref="F6:F14" si="0">F5-1</f>
        <v>12.8</v>
      </c>
      <c r="G6">
        <f t="shared" ref="G6:G14" si="1">F6*0.5144</f>
        <v>6.58432</v>
      </c>
      <c r="H6">
        <f>Sheet1!$Q$6/'data, etc'!F6</f>
        <v>76.848958333333329</v>
      </c>
      <c r="I6">
        <f>H6+(SUM(Sheet1!$Q$8:$R$13))</f>
        <v>156.53895833333331</v>
      </c>
      <c r="J6">
        <f t="shared" ref="J6:J14" si="2">ROUNDUP(335*24/I6,0)</f>
        <v>52</v>
      </c>
      <c r="K6" s="57">
        <f>J6*Sheet1!$Q$6</f>
        <v>51150.666666666664</v>
      </c>
      <c r="L6" s="57"/>
      <c r="M6" s="52"/>
      <c r="N6" s="52"/>
      <c r="O6" s="52"/>
      <c r="P6" s="52"/>
    </row>
    <row r="7" spans="2:16" x14ac:dyDescent="0.3">
      <c r="B7" t="s">
        <v>16</v>
      </c>
      <c r="F7">
        <f t="shared" si="0"/>
        <v>11.8</v>
      </c>
      <c r="G7">
        <f t="shared" si="1"/>
        <v>6.0699199999999998</v>
      </c>
      <c r="H7">
        <f>Sheet1!$Q$6/'data, etc'!F7</f>
        <v>83.361581920903944</v>
      </c>
      <c r="I7">
        <f>H7+(SUM(Sheet1!$Q$8:$R$13))</f>
        <v>163.05158192090394</v>
      </c>
      <c r="J7">
        <f t="shared" si="2"/>
        <v>50</v>
      </c>
      <c r="K7" s="57">
        <f>J7*Sheet1!$Q$6</f>
        <v>49183.333333333328</v>
      </c>
      <c r="L7" s="57"/>
      <c r="M7" s="52"/>
      <c r="N7" s="52"/>
      <c r="O7" s="52"/>
      <c r="P7" s="52"/>
    </row>
    <row r="8" spans="2:16" x14ac:dyDescent="0.3">
      <c r="B8" t="s">
        <v>17</v>
      </c>
      <c r="F8">
        <f t="shared" si="0"/>
        <v>10.8</v>
      </c>
      <c r="G8">
        <f t="shared" si="1"/>
        <v>5.5555200000000005</v>
      </c>
      <c r="H8">
        <f>Sheet1!$Q$6/'data, etc'!F8</f>
        <v>91.08024691358024</v>
      </c>
      <c r="I8">
        <f>H8+(SUM(Sheet1!$Q$8:$R$13))</f>
        <v>170.77024691358025</v>
      </c>
      <c r="J8">
        <f t="shared" si="2"/>
        <v>48</v>
      </c>
      <c r="K8" s="57">
        <f>J8*Sheet1!$Q$6</f>
        <v>47216</v>
      </c>
      <c r="L8" s="57"/>
      <c r="M8" s="52"/>
      <c r="N8" s="52"/>
      <c r="O8" s="52"/>
      <c r="P8" s="52"/>
    </row>
    <row r="9" spans="2:16" x14ac:dyDescent="0.3">
      <c r="B9" t="s">
        <v>18</v>
      </c>
      <c r="F9">
        <f t="shared" si="0"/>
        <v>9.8000000000000007</v>
      </c>
      <c r="G9">
        <f t="shared" si="1"/>
        <v>5.0411200000000003</v>
      </c>
      <c r="H9">
        <f>Sheet1!$Q$6/'data, etc'!F9</f>
        <v>100.37414965986393</v>
      </c>
      <c r="I9">
        <f>H9+(SUM(Sheet1!$Q$8:$R$13))</f>
        <v>180.06414965986392</v>
      </c>
      <c r="J9">
        <f t="shared" si="2"/>
        <v>45</v>
      </c>
      <c r="K9" s="57">
        <f>J9*Sheet1!$Q$6</f>
        <v>44265</v>
      </c>
      <c r="L9" s="57"/>
      <c r="M9" s="52"/>
      <c r="N9" s="52"/>
      <c r="O9" s="52"/>
      <c r="P9" s="52"/>
    </row>
    <row r="10" spans="2:16" x14ac:dyDescent="0.3">
      <c r="B10" t="s">
        <v>19</v>
      </c>
      <c r="F10">
        <f t="shared" si="0"/>
        <v>8.8000000000000007</v>
      </c>
      <c r="G10">
        <f t="shared" si="1"/>
        <v>4.5267200000000001</v>
      </c>
      <c r="H10">
        <f>Sheet1!$Q$6/'data, etc'!F10</f>
        <v>111.78030303030302</v>
      </c>
      <c r="I10">
        <f>H10+(SUM(Sheet1!$Q$8:$R$13))</f>
        <v>191.470303030303</v>
      </c>
      <c r="J10">
        <f t="shared" si="2"/>
        <v>42</v>
      </c>
      <c r="K10" s="57">
        <f>J10*Sheet1!$Q$6</f>
        <v>41314</v>
      </c>
      <c r="L10" s="57"/>
      <c r="M10" s="52"/>
      <c r="N10" s="52"/>
      <c r="O10" s="52"/>
      <c r="P10" s="52"/>
    </row>
    <row r="11" spans="2:16" x14ac:dyDescent="0.3">
      <c r="B11" t="s">
        <v>20</v>
      </c>
      <c r="F11">
        <f t="shared" si="0"/>
        <v>7.8000000000000007</v>
      </c>
      <c r="G11">
        <f t="shared" si="1"/>
        <v>4.0123199999999999</v>
      </c>
      <c r="H11">
        <f>Sheet1!$Q$6/'data, etc'!F11</f>
        <v>126.1111111111111</v>
      </c>
      <c r="I11">
        <f>H11+(SUM(Sheet1!$Q$8:$R$13))</f>
        <v>205.80111111111108</v>
      </c>
      <c r="J11">
        <f t="shared" si="2"/>
        <v>40</v>
      </c>
      <c r="K11" s="57">
        <f>J11*Sheet1!$Q$6</f>
        <v>39346.666666666664</v>
      </c>
      <c r="L11" s="57"/>
      <c r="M11" s="52"/>
      <c r="N11" s="52"/>
      <c r="O11" s="52"/>
      <c r="P11" s="52"/>
    </row>
    <row r="12" spans="2:16" x14ac:dyDescent="0.3">
      <c r="B12" t="s">
        <v>21</v>
      </c>
      <c r="F12">
        <f t="shared" si="0"/>
        <v>6.8000000000000007</v>
      </c>
      <c r="G12">
        <f t="shared" si="1"/>
        <v>3.4979200000000001</v>
      </c>
      <c r="H12">
        <f>Sheet1!$Q$6/'data, etc'!F12</f>
        <v>144.65686274509801</v>
      </c>
      <c r="I12">
        <f>H12+(SUM(Sheet1!$Q$8:$R$13))</f>
        <v>224.34686274509801</v>
      </c>
      <c r="J12">
        <f t="shared" si="2"/>
        <v>36</v>
      </c>
      <c r="K12" s="57">
        <f>J12*Sheet1!$Q$6</f>
        <v>35412</v>
      </c>
      <c r="L12" s="57"/>
      <c r="M12" s="52"/>
      <c r="N12" s="52"/>
      <c r="O12" s="52"/>
      <c r="P12" s="52"/>
    </row>
    <row r="13" spans="2:16" x14ac:dyDescent="0.3">
      <c r="B13" t="s">
        <v>23</v>
      </c>
      <c r="F13">
        <f t="shared" si="0"/>
        <v>5.8000000000000007</v>
      </c>
      <c r="G13">
        <f t="shared" si="1"/>
        <v>2.9835200000000004</v>
      </c>
      <c r="H13">
        <f>Sheet1!$Q$6/'data, etc'!F13</f>
        <v>169.59770114942526</v>
      </c>
      <c r="I13">
        <f>H13+(SUM(Sheet1!$Q$8:$R$13))</f>
        <v>249.28770114942526</v>
      </c>
      <c r="J13">
        <f t="shared" si="2"/>
        <v>33</v>
      </c>
      <c r="K13" s="57">
        <f>J13*Sheet1!$Q$6</f>
        <v>32461</v>
      </c>
      <c r="L13" s="57"/>
      <c r="M13" s="52"/>
      <c r="N13" s="52"/>
      <c r="O13" s="52"/>
      <c r="P13" s="52"/>
    </row>
    <row r="14" spans="2:16" x14ac:dyDescent="0.3">
      <c r="B14" t="s">
        <v>22</v>
      </c>
      <c r="F14">
        <f t="shared" si="0"/>
        <v>4.8000000000000007</v>
      </c>
      <c r="G14">
        <f t="shared" si="1"/>
        <v>2.4691200000000002</v>
      </c>
      <c r="H14">
        <f>Sheet1!$Q$6/'data, etc'!F14</f>
        <v>204.93055555555551</v>
      </c>
      <c r="I14">
        <f>H14+(SUM(Sheet1!$Q$8:$R$13))</f>
        <v>284.62055555555548</v>
      </c>
      <c r="J14">
        <f t="shared" si="2"/>
        <v>29</v>
      </c>
      <c r="K14" s="57">
        <f>J14*Sheet1!$Q$6</f>
        <v>28526.333333333332</v>
      </c>
      <c r="L14" s="57"/>
      <c r="M14" s="52"/>
      <c r="N14" s="52"/>
      <c r="O14" s="52"/>
      <c r="P14" s="52"/>
    </row>
    <row r="15" spans="2:16" x14ac:dyDescent="0.3">
      <c r="B15" t="s">
        <v>30</v>
      </c>
      <c r="K15" s="57"/>
      <c r="L15" s="57"/>
      <c r="M15" s="52"/>
      <c r="N15" s="52"/>
      <c r="O15" s="52"/>
      <c r="P15" s="52"/>
    </row>
    <row r="16" spans="2:16" x14ac:dyDescent="0.3">
      <c r="K16" s="57"/>
      <c r="L16" s="57"/>
      <c r="M16" s="52"/>
      <c r="N16" s="52"/>
      <c r="O16" s="52"/>
      <c r="P16" s="52"/>
    </row>
    <row r="17" spans="2:16" ht="16.2" x14ac:dyDescent="0.35">
      <c r="B17" s="113"/>
      <c r="C17" s="4" t="s">
        <v>66</v>
      </c>
      <c r="D17" s="4"/>
      <c r="E17" s="4" t="s">
        <v>67</v>
      </c>
      <c r="F17" s="4"/>
      <c r="K17" s="57"/>
      <c r="L17" s="57"/>
      <c r="M17" s="52"/>
      <c r="N17" s="52"/>
      <c r="O17" s="52"/>
      <c r="P17" s="52"/>
    </row>
    <row r="18" spans="2:16" ht="48.6" x14ac:dyDescent="0.3">
      <c r="B18" s="113"/>
      <c r="C18" s="5" t="s">
        <v>68</v>
      </c>
      <c r="D18" s="5" t="s">
        <v>69</v>
      </c>
      <c r="E18" s="5" t="s">
        <v>70</v>
      </c>
      <c r="F18" s="5" t="s">
        <v>71</v>
      </c>
      <c r="H18" s="56" t="s">
        <v>382</v>
      </c>
      <c r="I18" s="56" t="s">
        <v>383</v>
      </c>
      <c r="J18" s="56" t="s">
        <v>384</v>
      </c>
      <c r="K18" s="58" t="s">
        <v>385</v>
      </c>
      <c r="L18" s="57" t="s">
        <v>37</v>
      </c>
      <c r="M18" s="52"/>
      <c r="N18" s="52"/>
      <c r="O18" s="52"/>
      <c r="P18" s="52"/>
    </row>
    <row r="19" spans="2:16" ht="15.6" x14ac:dyDescent="0.3">
      <c r="B19" s="6" t="s">
        <v>49</v>
      </c>
      <c r="C19" s="7">
        <v>-0.68369999999999997</v>
      </c>
      <c r="D19" s="7">
        <v>0.80369999999999997</v>
      </c>
      <c r="E19" s="7">
        <v>-0.43190000000000001</v>
      </c>
      <c r="F19" s="7">
        <v>-8.8700000000000001E-2</v>
      </c>
      <c r="H19" t="s">
        <v>386</v>
      </c>
      <c r="J19">
        <v>42700</v>
      </c>
      <c r="K19" s="57">
        <v>0.87439999999999996</v>
      </c>
      <c r="L19" s="57">
        <v>3.206</v>
      </c>
      <c r="M19" s="52"/>
      <c r="N19" s="52"/>
      <c r="O19" s="52"/>
      <c r="P19" s="52"/>
    </row>
    <row r="20" spans="2:16" ht="15.6" x14ac:dyDescent="0.3">
      <c r="B20" s="6" t="s">
        <v>50</v>
      </c>
      <c r="C20" s="7">
        <v>0.27710000000000001</v>
      </c>
      <c r="D20" s="7">
        <v>0.27260000000000001</v>
      </c>
      <c r="E20" s="7">
        <v>0.16850000000000001</v>
      </c>
      <c r="F20" s="7">
        <v>0</v>
      </c>
      <c r="H20" t="s">
        <v>351</v>
      </c>
      <c r="J20">
        <v>41200</v>
      </c>
      <c r="K20" s="57">
        <v>0.85940000000000005</v>
      </c>
      <c r="L20" s="57">
        <v>3.1509999999999998</v>
      </c>
      <c r="M20" s="52"/>
      <c r="N20" s="52"/>
      <c r="O20" s="52"/>
      <c r="P20" s="52"/>
    </row>
    <row r="21" spans="2:16" ht="15.6" x14ac:dyDescent="0.3">
      <c r="B21" s="6" t="s">
        <v>51</v>
      </c>
      <c r="C21" s="7">
        <v>0.6542</v>
      </c>
      <c r="D21" s="7">
        <v>0.71330000000000005</v>
      </c>
      <c r="E21" s="7">
        <v>0.56369999999999998</v>
      </c>
      <c r="F21" s="7">
        <v>0.51919999999999999</v>
      </c>
      <c r="H21" t="s">
        <v>387</v>
      </c>
      <c r="J21">
        <v>40200</v>
      </c>
      <c r="K21" s="57">
        <v>0.84930000000000005</v>
      </c>
      <c r="L21" s="57">
        <v>3.1139999999999999</v>
      </c>
      <c r="M21" s="52"/>
      <c r="N21" s="52"/>
      <c r="O21" s="52"/>
      <c r="P21" s="52"/>
    </row>
    <row r="22" spans="2:16" ht="15.6" x14ac:dyDescent="0.3">
      <c r="B22" s="6" t="s">
        <v>52</v>
      </c>
      <c r="C22" s="7">
        <v>0.64219999999999999</v>
      </c>
      <c r="D22" s="7">
        <v>0.66990000000000005</v>
      </c>
      <c r="E22" s="7">
        <v>0.58909999999999996</v>
      </c>
      <c r="F22" s="7">
        <v>0.58389999999999997</v>
      </c>
      <c r="H22" t="s">
        <v>391</v>
      </c>
      <c r="J22">
        <v>46300</v>
      </c>
      <c r="K22" s="57">
        <v>0.81820000000000004</v>
      </c>
      <c r="L22" s="57">
        <v>3</v>
      </c>
      <c r="M22" s="52"/>
      <c r="N22" s="52"/>
      <c r="O22" s="52"/>
      <c r="P22" s="52"/>
    </row>
    <row r="23" spans="2:16" ht="15.6" x14ac:dyDescent="0.3">
      <c r="B23" s="6" t="s">
        <v>53</v>
      </c>
      <c r="C23" s="7">
        <v>7.4999999999999997E-3</v>
      </c>
      <c r="D23" s="7">
        <v>2.4299999999999999E-2</v>
      </c>
      <c r="E23" s="7">
        <v>3.3E-3</v>
      </c>
      <c r="F23" s="7">
        <v>-1.2999999999999999E-2</v>
      </c>
      <c r="H23" t="s">
        <v>392</v>
      </c>
      <c r="J23">
        <v>45700</v>
      </c>
      <c r="K23" s="57">
        <v>0.82640000000000002</v>
      </c>
      <c r="L23" s="57">
        <v>3.03</v>
      </c>
      <c r="M23" s="52"/>
      <c r="N23" s="52"/>
      <c r="O23" s="52"/>
      <c r="P23" s="52"/>
    </row>
    <row r="24" spans="2:16" ht="15.6" x14ac:dyDescent="0.3">
      <c r="B24" s="6" t="s">
        <v>54</v>
      </c>
      <c r="C24" s="7">
        <v>2.75E-2</v>
      </c>
      <c r="D24" s="7">
        <v>2.6499999999999999E-2</v>
      </c>
      <c r="E24" s="7">
        <v>1.34E-2</v>
      </c>
      <c r="F24" s="7">
        <v>5.0000000000000001E-3</v>
      </c>
      <c r="H24" t="s">
        <v>388</v>
      </c>
      <c r="J24">
        <v>48000</v>
      </c>
      <c r="K24" s="57">
        <v>0.75</v>
      </c>
      <c r="L24" s="57">
        <v>2.75</v>
      </c>
      <c r="M24" s="52"/>
      <c r="N24" s="52"/>
      <c r="O24" s="52"/>
      <c r="P24" s="52"/>
    </row>
    <row r="25" spans="2:16" ht="15.6" x14ac:dyDescent="0.3">
      <c r="B25" s="6" t="s">
        <v>55</v>
      </c>
      <c r="C25" s="7">
        <v>-4.4999999999999997E-3</v>
      </c>
      <c r="D25" s="7">
        <v>-6.1000000000000004E-3</v>
      </c>
      <c r="E25" s="7">
        <v>-5.0000000000000001E-4</v>
      </c>
      <c r="F25" s="7">
        <v>-7.0000000000000001E-3</v>
      </c>
      <c r="H25" t="s">
        <v>389</v>
      </c>
      <c r="J25">
        <v>19900</v>
      </c>
      <c r="K25" s="57">
        <v>0.375</v>
      </c>
      <c r="L25" s="57">
        <v>1.375</v>
      </c>
      <c r="M25" s="52"/>
      <c r="N25" s="52"/>
      <c r="O25" s="52"/>
      <c r="P25" s="52"/>
    </row>
    <row r="26" spans="2:16" ht="15.6" x14ac:dyDescent="0.3">
      <c r="B26" s="6" t="s">
        <v>56</v>
      </c>
      <c r="C26" s="7">
        <v>-0.4798</v>
      </c>
      <c r="D26" s="7">
        <v>0.2349</v>
      </c>
      <c r="E26" s="7">
        <v>-2.7932000000000001</v>
      </c>
      <c r="F26" s="7">
        <v>-0.9486</v>
      </c>
      <c r="H26" t="s">
        <v>390</v>
      </c>
      <c r="J26">
        <v>26800</v>
      </c>
      <c r="K26" s="57">
        <v>0.52170000000000005</v>
      </c>
      <c r="L26" s="57">
        <v>1.913</v>
      </c>
      <c r="M26" s="52"/>
      <c r="N26" s="52"/>
      <c r="O26" s="52"/>
      <c r="P26" s="52"/>
    </row>
    <row r="27" spans="2:16" ht="15.6" x14ac:dyDescent="0.3">
      <c r="B27" s="6" t="s">
        <v>57</v>
      </c>
      <c r="C27" s="7">
        <v>3.7600000000000001E-2</v>
      </c>
      <c r="D27" s="7">
        <v>1.3100000000000001E-2</v>
      </c>
      <c r="E27" s="7">
        <v>7.1999999999999998E-3</v>
      </c>
      <c r="F27" s="7">
        <v>5.0599999999999999E-2</v>
      </c>
      <c r="K27" s="57"/>
      <c r="L27" s="57"/>
      <c r="M27" s="52"/>
      <c r="N27" s="52"/>
      <c r="O27" s="52"/>
      <c r="P27" s="52"/>
    </row>
    <row r="28" spans="2:16" ht="18" x14ac:dyDescent="0.3">
      <c r="B28" s="6" t="s">
        <v>72</v>
      </c>
      <c r="C28" s="7" t="s">
        <v>73</v>
      </c>
      <c r="D28" s="7" t="s">
        <v>73</v>
      </c>
      <c r="E28" s="7">
        <v>1.3100000000000001E-2</v>
      </c>
      <c r="F28" s="7">
        <v>7.6E-3</v>
      </c>
      <c r="K28" s="57"/>
      <c r="L28" s="57"/>
      <c r="M28" s="52"/>
      <c r="N28" s="52"/>
      <c r="O28" s="52"/>
      <c r="P28" s="52"/>
    </row>
    <row r="29" spans="2:16" ht="18" x14ac:dyDescent="0.3">
      <c r="B29" s="6" t="s">
        <v>74</v>
      </c>
      <c r="C29" s="7" t="s">
        <v>73</v>
      </c>
      <c r="D29" s="7" t="s">
        <v>73</v>
      </c>
      <c r="E29" s="7">
        <v>-3.0000000000000001E-3</v>
      </c>
      <c r="F29" s="7">
        <v>3.5999999999999999E-3</v>
      </c>
      <c r="K29" s="57"/>
      <c r="L29" s="57"/>
      <c r="M29" s="52"/>
      <c r="N29" s="52"/>
      <c r="O29" s="52"/>
      <c r="P29" s="52"/>
    </row>
    <row r="30" spans="2:16" ht="18" x14ac:dyDescent="0.3">
      <c r="B30" s="6" t="s">
        <v>75</v>
      </c>
      <c r="C30" s="7" t="s">
        <v>73</v>
      </c>
      <c r="D30" s="7" t="s">
        <v>73</v>
      </c>
      <c r="E30" s="7">
        <v>6.1000000000000004E-3</v>
      </c>
      <c r="F30" s="7">
        <v>4.8999999999999998E-3</v>
      </c>
      <c r="K30" s="57"/>
      <c r="L30" s="57"/>
      <c r="M30" s="52"/>
      <c r="N30" s="52"/>
      <c r="O30" s="52"/>
      <c r="P30" s="52"/>
    </row>
    <row r="31" spans="2:16" x14ac:dyDescent="0.3">
      <c r="K31" s="57"/>
      <c r="L31" s="57"/>
      <c r="M31" s="52"/>
      <c r="N31" s="52"/>
      <c r="O31" s="52"/>
      <c r="P31" s="52"/>
    </row>
    <row r="32" spans="2:16" ht="16.2" x14ac:dyDescent="0.35">
      <c r="B32" s="10"/>
      <c r="C32" s="110" t="s">
        <v>88</v>
      </c>
      <c r="D32" s="110"/>
      <c r="E32" s="110"/>
      <c r="F32" s="110" t="s">
        <v>89</v>
      </c>
      <c r="G32" s="110"/>
      <c r="I32" s="114" t="s">
        <v>414</v>
      </c>
      <c r="J32" s="114"/>
      <c r="K32" s="114"/>
      <c r="L32" s="59" t="s">
        <v>411</v>
      </c>
      <c r="M32" s="59" t="s">
        <v>412</v>
      </c>
      <c r="N32" s="59" t="s">
        <v>413</v>
      </c>
      <c r="O32" s="52"/>
      <c r="P32" s="52"/>
    </row>
    <row r="33" spans="2:16" ht="16.2" x14ac:dyDescent="0.35">
      <c r="B33" s="113"/>
      <c r="C33" s="110" t="s">
        <v>66</v>
      </c>
      <c r="D33" s="110"/>
      <c r="E33" s="110"/>
      <c r="F33" s="110" t="s">
        <v>67</v>
      </c>
      <c r="G33" s="110"/>
      <c r="I33" s="115" t="s">
        <v>415</v>
      </c>
      <c r="J33" s="115" t="s">
        <v>416</v>
      </c>
      <c r="K33" s="115"/>
      <c r="L33" s="60">
        <v>279000</v>
      </c>
      <c r="M33" s="60">
        <v>4745</v>
      </c>
      <c r="N33" s="60">
        <v>0.622</v>
      </c>
      <c r="O33" s="52"/>
      <c r="P33" s="52"/>
    </row>
    <row r="34" spans="2:16" ht="32.4" x14ac:dyDescent="0.3">
      <c r="B34" s="113"/>
      <c r="C34" s="5" t="s">
        <v>68</v>
      </c>
      <c r="D34" s="5" t="s">
        <v>90</v>
      </c>
      <c r="E34" s="5" t="s">
        <v>91</v>
      </c>
      <c r="F34" s="5" t="s">
        <v>92</v>
      </c>
      <c r="G34" s="5" t="s">
        <v>91</v>
      </c>
      <c r="I34" s="115"/>
      <c r="J34" s="115" t="s">
        <v>417</v>
      </c>
      <c r="K34" s="115"/>
      <c r="L34" s="60" t="s">
        <v>8</v>
      </c>
      <c r="M34" s="60">
        <v>4745</v>
      </c>
      <c r="N34" s="60">
        <v>0.622</v>
      </c>
      <c r="O34" s="52"/>
      <c r="P34" s="52"/>
    </row>
    <row r="35" spans="2:16" ht="15.6" x14ac:dyDescent="0.3">
      <c r="B35" s="6" t="s">
        <v>93</v>
      </c>
      <c r="C35" s="7">
        <v>-0.57423999999999997</v>
      </c>
      <c r="D35" s="7">
        <v>-1.50162</v>
      </c>
      <c r="E35" s="7">
        <v>-5.3475000000000001</v>
      </c>
      <c r="F35" s="7">
        <v>-0.91424000000000005</v>
      </c>
      <c r="G35" s="7">
        <v>3.2727900000000001</v>
      </c>
      <c r="I35" s="115" t="s">
        <v>418</v>
      </c>
      <c r="J35" s="115" t="s">
        <v>419</v>
      </c>
      <c r="K35" s="115"/>
      <c r="L35" s="60" t="s">
        <v>8</v>
      </c>
      <c r="M35" s="61">
        <v>144050000000</v>
      </c>
      <c r="N35" s="60">
        <v>2.0710000000000002</v>
      </c>
      <c r="O35" s="52"/>
      <c r="P35" s="52"/>
    </row>
    <row r="36" spans="2:16" ht="15.6" x14ac:dyDescent="0.3">
      <c r="B36" s="6" t="s">
        <v>94</v>
      </c>
      <c r="C36" s="7">
        <v>13.3893</v>
      </c>
      <c r="D36" s="7">
        <v>12.9678</v>
      </c>
      <c r="E36" s="7">
        <v>55.653199999999998</v>
      </c>
      <c r="F36" s="7">
        <v>13.3893</v>
      </c>
      <c r="G36" s="7">
        <v>-44.113799999999998</v>
      </c>
      <c r="I36" s="115"/>
      <c r="J36" s="115" t="s">
        <v>420</v>
      </c>
      <c r="K36" s="115"/>
      <c r="L36" s="60" t="s">
        <v>8</v>
      </c>
      <c r="M36" s="60">
        <v>8104</v>
      </c>
      <c r="N36" s="60">
        <v>0.63900000000000001</v>
      </c>
      <c r="O36" s="52"/>
      <c r="P36" s="52"/>
    </row>
    <row r="37" spans="2:16" ht="15.6" x14ac:dyDescent="0.3">
      <c r="B37" s="6" t="s">
        <v>95</v>
      </c>
      <c r="C37" s="7">
        <v>90.596000000000004</v>
      </c>
      <c r="D37" s="7">
        <v>-36.798499999999997</v>
      </c>
      <c r="E37" s="7">
        <v>-114.905</v>
      </c>
      <c r="F37" s="7">
        <v>90.596000000000004</v>
      </c>
      <c r="G37" s="7">
        <v>171.69200000000001</v>
      </c>
      <c r="I37" s="115" t="s">
        <v>16</v>
      </c>
      <c r="J37" s="115"/>
      <c r="K37" s="115"/>
      <c r="L37" s="60" t="s">
        <v>8</v>
      </c>
      <c r="M37" s="60">
        <v>5247</v>
      </c>
      <c r="N37" s="60">
        <v>0.61</v>
      </c>
      <c r="O37" s="52"/>
      <c r="P37" s="52"/>
    </row>
    <row r="38" spans="2:16" ht="15.6" x14ac:dyDescent="0.3">
      <c r="B38" s="6" t="s">
        <v>96</v>
      </c>
      <c r="C38" s="7">
        <v>4.6614000000000004</v>
      </c>
      <c r="D38" s="7">
        <v>5.5553600000000003</v>
      </c>
      <c r="E38" s="7">
        <v>19.2714</v>
      </c>
      <c r="F38" s="7">
        <v>4.6614000000000004</v>
      </c>
      <c r="G38" s="7">
        <v>-11.501200000000001</v>
      </c>
      <c r="I38" s="115" t="s">
        <v>421</v>
      </c>
      <c r="J38" s="115"/>
      <c r="K38" s="115"/>
      <c r="L38" s="60" t="s">
        <v>8</v>
      </c>
      <c r="M38" s="60">
        <v>1984</v>
      </c>
      <c r="N38" s="60">
        <v>0.48899999999999999</v>
      </c>
      <c r="O38" s="52"/>
      <c r="P38" s="52"/>
    </row>
    <row r="39" spans="2:16" ht="15.6" x14ac:dyDescent="0.3">
      <c r="B39" s="6" t="s">
        <v>97</v>
      </c>
      <c r="C39" s="7">
        <v>-39.720999999999997</v>
      </c>
      <c r="D39" s="7">
        <v>-45.881500000000003</v>
      </c>
      <c r="E39" s="7">
        <v>-192.38800000000001</v>
      </c>
      <c r="F39" s="7">
        <v>-39.720999999999997</v>
      </c>
      <c r="G39" s="7">
        <v>166.559</v>
      </c>
      <c r="I39" s="115" t="s">
        <v>422</v>
      </c>
      <c r="J39" s="115" t="s">
        <v>423</v>
      </c>
      <c r="K39" s="115"/>
      <c r="L39" s="60" t="s">
        <v>8</v>
      </c>
      <c r="M39" s="60">
        <v>31948</v>
      </c>
      <c r="N39" s="60">
        <v>0.79200000000000004</v>
      </c>
      <c r="O39" s="52"/>
      <c r="P39" s="52"/>
    </row>
    <row r="40" spans="2:16" ht="15.6" x14ac:dyDescent="0.3">
      <c r="B40" s="6" t="s">
        <v>98</v>
      </c>
      <c r="C40" s="7">
        <v>-351.483</v>
      </c>
      <c r="D40" s="7">
        <v>121.82</v>
      </c>
      <c r="E40" s="7">
        <v>388.33300000000003</v>
      </c>
      <c r="F40" s="7">
        <v>-351.483</v>
      </c>
      <c r="G40" s="7">
        <v>-644.45600000000002</v>
      </c>
      <c r="I40" s="115"/>
      <c r="J40" s="115" t="s">
        <v>424</v>
      </c>
      <c r="K40" s="115"/>
      <c r="L40" s="60" t="s">
        <v>8</v>
      </c>
      <c r="M40" s="60">
        <v>588</v>
      </c>
      <c r="N40" s="60">
        <v>0.38850000000000001</v>
      </c>
      <c r="O40" s="52"/>
      <c r="P40" s="52"/>
    </row>
    <row r="41" spans="2:16" ht="15.6" x14ac:dyDescent="0.3">
      <c r="B41" s="6" t="s">
        <v>99</v>
      </c>
      <c r="C41" s="7">
        <v>-1.14215</v>
      </c>
      <c r="D41" s="7">
        <v>-4.3357099999999997</v>
      </c>
      <c r="E41" s="7">
        <v>-14.357100000000001</v>
      </c>
      <c r="F41" s="7">
        <v>-1.14215</v>
      </c>
      <c r="G41" s="7">
        <v>12.4626</v>
      </c>
      <c r="I41" s="115" t="s">
        <v>425</v>
      </c>
      <c r="J41" s="115"/>
      <c r="K41" s="115"/>
      <c r="L41" s="60" t="s">
        <v>8</v>
      </c>
      <c r="M41" s="60">
        <v>46000</v>
      </c>
      <c r="N41" s="60">
        <v>0.55700000000000005</v>
      </c>
      <c r="O41" s="52"/>
      <c r="P41" s="52"/>
    </row>
    <row r="42" spans="2:16" ht="15.6" x14ac:dyDescent="0.3">
      <c r="B42" s="6" t="s">
        <v>100</v>
      </c>
      <c r="C42" s="7">
        <v>-12.329599999999999</v>
      </c>
      <c r="D42" s="7">
        <v>36.078200000000002</v>
      </c>
      <c r="E42" s="7">
        <v>142.738</v>
      </c>
      <c r="F42" s="7">
        <v>-12.329599999999999</v>
      </c>
      <c r="G42" s="7">
        <v>-179.505</v>
      </c>
      <c r="I42" s="115" t="s">
        <v>426</v>
      </c>
      <c r="J42" s="115"/>
      <c r="K42" s="115"/>
      <c r="L42" s="60" t="s">
        <v>8</v>
      </c>
      <c r="M42" s="60">
        <v>5119</v>
      </c>
      <c r="N42" s="60">
        <v>0.622</v>
      </c>
      <c r="O42" s="52"/>
      <c r="P42" s="52"/>
    </row>
    <row r="43" spans="2:16" ht="15.6" x14ac:dyDescent="0.3">
      <c r="B43" s="6" t="s">
        <v>101</v>
      </c>
      <c r="C43" s="7">
        <v>459.25400000000002</v>
      </c>
      <c r="D43" s="7">
        <v>-85.374099999999999</v>
      </c>
      <c r="E43" s="7">
        <v>-254.762</v>
      </c>
      <c r="F43" s="7">
        <v>459.25400000000002</v>
      </c>
      <c r="G43" s="7">
        <v>680.92100000000005</v>
      </c>
      <c r="I43" s="115" t="s">
        <v>427</v>
      </c>
      <c r="J43" s="115" t="s">
        <v>428</v>
      </c>
      <c r="K43" s="115"/>
      <c r="L43" s="60" t="s">
        <v>8</v>
      </c>
      <c r="M43" s="60">
        <v>9827</v>
      </c>
      <c r="N43" s="60">
        <v>0</v>
      </c>
      <c r="O43" s="52"/>
      <c r="P43" s="52"/>
    </row>
    <row r="44" spans="2:16" ht="15.6" x14ac:dyDescent="0.3">
      <c r="I44" s="115"/>
      <c r="J44" s="115" t="s">
        <v>429</v>
      </c>
      <c r="K44" s="115"/>
      <c r="L44" s="60" t="s">
        <v>8</v>
      </c>
      <c r="M44" s="61">
        <v>144790000000000</v>
      </c>
      <c r="N44" s="60">
        <v>2.673</v>
      </c>
      <c r="O44" s="52"/>
      <c r="P44" s="52"/>
    </row>
    <row r="45" spans="2:16" ht="16.2" x14ac:dyDescent="0.35">
      <c r="B45" s="85"/>
      <c r="C45" s="110" t="s">
        <v>88</v>
      </c>
      <c r="D45" s="110"/>
      <c r="E45" s="110"/>
      <c r="F45" s="110" t="s">
        <v>89</v>
      </c>
      <c r="G45" s="110"/>
      <c r="I45" s="115"/>
      <c r="J45" s="115" t="s">
        <v>420</v>
      </c>
      <c r="K45" s="115"/>
      <c r="L45" s="60">
        <v>65000</v>
      </c>
      <c r="M45" s="61">
        <v>144790000000000</v>
      </c>
      <c r="N45" s="60">
        <v>2.673</v>
      </c>
      <c r="O45" s="52"/>
      <c r="P45" s="52"/>
    </row>
    <row r="46" spans="2:16" ht="16.2" x14ac:dyDescent="0.3">
      <c r="B46" s="85"/>
      <c r="C46" s="111" t="s">
        <v>107</v>
      </c>
      <c r="D46" s="112"/>
      <c r="E46" s="11" t="s">
        <v>108</v>
      </c>
      <c r="F46" s="11" t="s">
        <v>107</v>
      </c>
      <c r="G46" s="11" t="s">
        <v>108</v>
      </c>
      <c r="I46" s="116" t="s">
        <v>21</v>
      </c>
      <c r="J46" s="117" t="s">
        <v>430</v>
      </c>
      <c r="K46" s="117"/>
      <c r="L46" s="62">
        <v>57700</v>
      </c>
      <c r="M46" s="62">
        <v>3627</v>
      </c>
      <c r="N46" s="62">
        <v>0.59</v>
      </c>
      <c r="O46" s="52"/>
      <c r="P46" s="52"/>
    </row>
    <row r="47" spans="2:16" ht="32.4" x14ac:dyDescent="0.3">
      <c r="B47" s="85"/>
      <c r="C47" s="5" t="s">
        <v>68</v>
      </c>
      <c r="D47" s="5" t="s">
        <v>90</v>
      </c>
      <c r="E47" s="5" t="s">
        <v>68</v>
      </c>
      <c r="F47" s="5" t="s">
        <v>68</v>
      </c>
      <c r="G47" s="5" t="s">
        <v>68</v>
      </c>
      <c r="I47" s="116"/>
      <c r="J47" s="117" t="s">
        <v>431</v>
      </c>
      <c r="K47" s="117"/>
      <c r="L47" s="62" t="s">
        <v>9</v>
      </c>
      <c r="M47" s="62">
        <v>3627</v>
      </c>
      <c r="N47" s="62">
        <v>0.59</v>
      </c>
      <c r="O47" s="52"/>
      <c r="P47" s="52"/>
    </row>
    <row r="48" spans="2:16" ht="15.6" x14ac:dyDescent="0.3">
      <c r="B48" s="6" t="s">
        <v>109</v>
      </c>
      <c r="C48" s="12">
        <v>0.3382</v>
      </c>
      <c r="D48" s="12">
        <v>0.71389999999999998</v>
      </c>
      <c r="E48" s="12">
        <v>0.27479999999999999</v>
      </c>
      <c r="F48" s="12">
        <v>0.3382</v>
      </c>
      <c r="G48" s="12">
        <v>0.27479999999999999</v>
      </c>
      <c r="I48" s="116"/>
      <c r="J48" s="117" t="s">
        <v>432</v>
      </c>
      <c r="K48" s="117"/>
      <c r="L48" s="62" t="s">
        <v>9</v>
      </c>
      <c r="M48" s="62">
        <v>330</v>
      </c>
      <c r="N48" s="62">
        <v>0.32900000000000001</v>
      </c>
      <c r="O48" s="52"/>
      <c r="P48" s="52"/>
    </row>
    <row r="49" spans="2:16" ht="15.6" x14ac:dyDescent="0.3">
      <c r="B49" s="6" t="s">
        <v>110</v>
      </c>
      <c r="C49" s="12">
        <v>-0.80859999999999999</v>
      </c>
      <c r="D49" s="12">
        <v>-0.25580000000000003</v>
      </c>
      <c r="E49" s="12">
        <v>-0.57469999999999999</v>
      </c>
      <c r="F49" s="12">
        <v>-0.80859999999999999</v>
      </c>
      <c r="G49" s="12">
        <v>-0.57469999999999999</v>
      </c>
      <c r="I49" s="117" t="s">
        <v>433</v>
      </c>
      <c r="J49" s="117"/>
      <c r="K49" s="117"/>
      <c r="L49" s="62" t="s">
        <v>9</v>
      </c>
      <c r="M49" s="62">
        <v>1967</v>
      </c>
      <c r="N49" s="62">
        <v>0.48499999999999999</v>
      </c>
      <c r="O49" s="52"/>
      <c r="P49" s="52"/>
    </row>
    <row r="50" spans="2:16" ht="15.6" x14ac:dyDescent="0.3">
      <c r="B50" s="6" t="s">
        <v>111</v>
      </c>
      <c r="C50" s="12">
        <v>-6.0258000000000003</v>
      </c>
      <c r="D50" s="12">
        <v>-1.1606000000000001</v>
      </c>
      <c r="E50" s="12">
        <v>-6.7610000000000001</v>
      </c>
      <c r="F50" s="12">
        <v>-6.0258000000000003</v>
      </c>
      <c r="G50" s="12">
        <v>-6.7610000000000001</v>
      </c>
      <c r="I50" s="117" t="s">
        <v>22</v>
      </c>
      <c r="J50" s="117" t="s">
        <v>22</v>
      </c>
      <c r="K50" s="117"/>
      <c r="L50" s="62" t="s">
        <v>9</v>
      </c>
      <c r="M50" s="62">
        <v>2023</v>
      </c>
      <c r="N50" s="62">
        <v>0.46</v>
      </c>
      <c r="O50" s="52"/>
      <c r="P50" s="52"/>
    </row>
    <row r="51" spans="2:16" ht="15.6" x14ac:dyDescent="0.3">
      <c r="B51" s="6" t="s">
        <v>112</v>
      </c>
      <c r="C51" s="12">
        <v>-3.5632000000000001</v>
      </c>
      <c r="D51" s="12">
        <v>0.45340000000000003</v>
      </c>
      <c r="E51" s="12">
        <v>-4.3834</v>
      </c>
      <c r="F51" s="12">
        <v>-3.5632000000000001</v>
      </c>
      <c r="G51" s="12">
        <v>-4.3834</v>
      </c>
      <c r="I51" s="117"/>
      <c r="J51" s="116" t="s">
        <v>434</v>
      </c>
      <c r="K51" s="116"/>
      <c r="L51" s="62" t="s">
        <v>9</v>
      </c>
      <c r="M51" s="62">
        <v>4196</v>
      </c>
      <c r="N51" s="62">
        <v>0.46</v>
      </c>
      <c r="O51" s="52"/>
      <c r="P51" s="52"/>
    </row>
    <row r="52" spans="2:16" ht="15.6" x14ac:dyDescent="0.3">
      <c r="B52" s="6" t="s">
        <v>113</v>
      </c>
      <c r="C52" s="12">
        <v>9.4405000000000001</v>
      </c>
      <c r="D52" s="12">
        <v>11.222</v>
      </c>
      <c r="E52" s="12">
        <v>8.8157999999999994</v>
      </c>
      <c r="F52" s="13">
        <v>0</v>
      </c>
      <c r="G52" s="13">
        <v>0</v>
      </c>
      <c r="I52" s="117" t="s">
        <v>30</v>
      </c>
      <c r="J52" s="117"/>
      <c r="K52" s="117"/>
      <c r="L52" s="62" t="s">
        <v>9</v>
      </c>
      <c r="M52" s="62">
        <v>930</v>
      </c>
      <c r="N52" s="62">
        <v>0.38300000000000001</v>
      </c>
      <c r="O52" s="52"/>
      <c r="P52" s="52"/>
    </row>
    <row r="53" spans="2:16" ht="15.6" x14ac:dyDescent="0.3">
      <c r="B53" s="6" t="s">
        <v>114</v>
      </c>
      <c r="C53" s="12">
        <v>1.46E-2</v>
      </c>
      <c r="D53" s="12">
        <v>0.45240000000000002</v>
      </c>
      <c r="E53" s="12">
        <v>-0.14180000000000001</v>
      </c>
      <c r="F53" s="13">
        <v>0</v>
      </c>
      <c r="G53" s="13">
        <v>0</v>
      </c>
      <c r="K53" s="57"/>
      <c r="L53" s="57"/>
      <c r="M53" s="52"/>
      <c r="N53" s="52"/>
      <c r="O53" s="52"/>
      <c r="P53" s="52"/>
    </row>
    <row r="54" spans="2:16" ht="15.6" x14ac:dyDescent="0.3">
      <c r="B54" s="6" t="s">
        <v>115</v>
      </c>
      <c r="C54" s="13">
        <v>0</v>
      </c>
      <c r="D54" s="13">
        <v>0</v>
      </c>
      <c r="E54" s="12">
        <v>-0.1258</v>
      </c>
      <c r="F54" s="13">
        <v>0</v>
      </c>
      <c r="G54" s="13">
        <v>0</v>
      </c>
      <c r="I54" s="118" t="s">
        <v>414</v>
      </c>
      <c r="J54" s="118"/>
      <c r="K54" s="119" t="s">
        <v>442</v>
      </c>
      <c r="L54" s="118" t="s">
        <v>443</v>
      </c>
      <c r="M54" s="118"/>
      <c r="N54" s="118"/>
      <c r="O54" s="118"/>
      <c r="P54" s="52"/>
    </row>
    <row r="55" spans="2:16" ht="15.6" x14ac:dyDescent="0.3">
      <c r="B55" s="6" t="s">
        <v>116</v>
      </c>
      <c r="C55" s="13">
        <v>0</v>
      </c>
      <c r="D55" s="13">
        <v>0</v>
      </c>
      <c r="E55" s="12">
        <v>4.8099999999999997E-2</v>
      </c>
      <c r="F55" s="13">
        <v>0</v>
      </c>
      <c r="G55" s="13">
        <v>0</v>
      </c>
      <c r="I55" s="118"/>
      <c r="J55" s="118"/>
      <c r="K55" s="119"/>
      <c r="L55" s="6" t="s">
        <v>444</v>
      </c>
      <c r="M55" s="6" t="s">
        <v>445</v>
      </c>
      <c r="N55" s="6" t="s">
        <v>446</v>
      </c>
      <c r="O55" s="6" t="s">
        <v>447</v>
      </c>
      <c r="P55" s="52"/>
    </row>
    <row r="56" spans="2:16" ht="15.6" x14ac:dyDescent="0.3">
      <c r="B56" s="6" t="s">
        <v>117</v>
      </c>
      <c r="C56" s="13">
        <v>0</v>
      </c>
      <c r="D56" s="13">
        <v>0</v>
      </c>
      <c r="E56" s="12">
        <v>0.1699</v>
      </c>
      <c r="F56" s="13">
        <v>0</v>
      </c>
      <c r="G56" s="13">
        <v>0</v>
      </c>
      <c r="I56" s="120" t="s">
        <v>415</v>
      </c>
      <c r="J56" s="120"/>
      <c r="K56" s="6" t="s">
        <v>8</v>
      </c>
      <c r="L56" s="74">
        <v>0.86</v>
      </c>
      <c r="M56" s="74">
        <v>0.94</v>
      </c>
      <c r="N56" s="74">
        <v>1.06</v>
      </c>
      <c r="O56" s="74">
        <v>1.18</v>
      </c>
      <c r="P56" s="52"/>
    </row>
    <row r="57" spans="2:16" ht="15.6" x14ac:dyDescent="0.3">
      <c r="B57" s="6" t="s">
        <v>118</v>
      </c>
      <c r="C57" s="13">
        <v>0</v>
      </c>
      <c r="D57" s="13">
        <v>0</v>
      </c>
      <c r="E57" s="3">
        <v>7.2800000000000004E-2</v>
      </c>
      <c r="F57" s="13">
        <v>0</v>
      </c>
      <c r="G57" s="13">
        <v>0</v>
      </c>
      <c r="I57" s="120" t="s">
        <v>418</v>
      </c>
      <c r="J57" s="75" t="s">
        <v>419</v>
      </c>
      <c r="K57" s="121" t="s">
        <v>8</v>
      </c>
      <c r="L57" s="74">
        <v>0.81</v>
      </c>
      <c r="M57" s="74">
        <v>0.91</v>
      </c>
      <c r="N57" s="74">
        <v>1.1200000000000001</v>
      </c>
      <c r="O57" s="74">
        <v>1.44</v>
      </c>
      <c r="P57" s="52"/>
    </row>
    <row r="58" spans="2:16" ht="15.6" x14ac:dyDescent="0.3">
      <c r="B58" s="6" t="s">
        <v>119</v>
      </c>
      <c r="C58" s="3" t="s">
        <v>120</v>
      </c>
      <c r="D58" s="3" t="s">
        <v>121</v>
      </c>
      <c r="E58" s="3" t="s">
        <v>120</v>
      </c>
      <c r="F58" s="13">
        <v>0</v>
      </c>
      <c r="G58" s="13">
        <v>0</v>
      </c>
      <c r="I58" s="120"/>
      <c r="J58" s="75" t="s">
        <v>420</v>
      </c>
      <c r="K58" s="122"/>
      <c r="L58" s="74">
        <v>0.85</v>
      </c>
      <c r="M58" s="74">
        <v>0.95</v>
      </c>
      <c r="N58" s="74">
        <v>1.06</v>
      </c>
      <c r="O58" s="74">
        <v>1.25</v>
      </c>
      <c r="P58" s="52"/>
    </row>
    <row r="59" spans="2:16" ht="15.6" x14ac:dyDescent="0.3">
      <c r="B59" s="6" t="s">
        <v>104</v>
      </c>
      <c r="C59" s="3">
        <v>0.85399999999999998</v>
      </c>
      <c r="D59" s="3">
        <v>3.2000000000000001E-2</v>
      </c>
      <c r="E59" s="3">
        <v>0.89700000000000002</v>
      </c>
      <c r="F59" s="13">
        <v>0</v>
      </c>
      <c r="G59" s="13">
        <v>0</v>
      </c>
      <c r="I59" s="120" t="s">
        <v>16</v>
      </c>
      <c r="J59" s="120"/>
      <c r="K59" s="6" t="s">
        <v>8</v>
      </c>
      <c r="L59" s="74">
        <v>0.82</v>
      </c>
      <c r="M59" s="74">
        <v>0.93</v>
      </c>
      <c r="N59" s="74">
        <v>1.08</v>
      </c>
      <c r="O59" s="74">
        <v>1.28</v>
      </c>
      <c r="P59" s="52"/>
    </row>
    <row r="60" spans="2:16" ht="15.6" x14ac:dyDescent="0.3">
      <c r="B60" s="6" t="s">
        <v>105</v>
      </c>
      <c r="C60" s="3">
        <v>-1.228</v>
      </c>
      <c r="D60" s="3">
        <v>0.80300000000000005</v>
      </c>
      <c r="E60" s="3">
        <v>-1.4570000000000001</v>
      </c>
      <c r="F60" s="13">
        <v>0</v>
      </c>
      <c r="G60" s="13">
        <v>0</v>
      </c>
      <c r="I60" s="120" t="s">
        <v>421</v>
      </c>
      <c r="J60" s="120"/>
      <c r="K60" s="6" t="s">
        <v>8</v>
      </c>
      <c r="L60" s="74">
        <v>0.83</v>
      </c>
      <c r="M60" s="74">
        <v>0.94</v>
      </c>
      <c r="N60" s="74">
        <v>1.07</v>
      </c>
      <c r="O60" s="74">
        <v>1.19</v>
      </c>
      <c r="P60" s="52"/>
    </row>
    <row r="61" spans="2:16" ht="15.6" x14ac:dyDescent="0.3">
      <c r="B61" s="6" t="s">
        <v>106</v>
      </c>
      <c r="C61" s="3">
        <v>0.497</v>
      </c>
      <c r="D61" s="3">
        <v>0.73899999999999999</v>
      </c>
      <c r="E61" s="3">
        <v>0.76700000000000002</v>
      </c>
      <c r="F61" s="13">
        <v>0</v>
      </c>
      <c r="G61" s="13">
        <v>0</v>
      </c>
      <c r="I61" s="120" t="s">
        <v>422</v>
      </c>
      <c r="J61" s="120"/>
      <c r="K61" s="6" t="s">
        <v>8</v>
      </c>
      <c r="L61" s="74">
        <v>0.83</v>
      </c>
      <c r="M61" s="74">
        <v>0.94</v>
      </c>
      <c r="N61" s="74">
        <v>1.06</v>
      </c>
      <c r="O61" s="74">
        <v>1.19</v>
      </c>
      <c r="P61" s="52"/>
    </row>
    <row r="62" spans="2:16" ht="15.6" x14ac:dyDescent="0.3">
      <c r="B62" s="6" t="s">
        <v>122</v>
      </c>
      <c r="C62" s="3">
        <v>2.1701000000000001</v>
      </c>
      <c r="D62" s="3">
        <v>1.9994000000000001</v>
      </c>
      <c r="E62" s="3">
        <v>1.8319000000000001</v>
      </c>
      <c r="F62" s="13">
        <v>1</v>
      </c>
      <c r="G62" s="13">
        <v>1</v>
      </c>
      <c r="I62" s="120" t="s">
        <v>448</v>
      </c>
      <c r="J62" s="120"/>
      <c r="K62" s="6" t="s">
        <v>8</v>
      </c>
      <c r="L62" s="74">
        <v>0.78</v>
      </c>
      <c r="M62" s="74">
        <v>0.91</v>
      </c>
      <c r="N62" s="74">
        <v>1.07</v>
      </c>
      <c r="O62" s="74">
        <v>1.2</v>
      </c>
      <c r="P62" s="52"/>
    </row>
    <row r="63" spans="2:16" ht="15.6" x14ac:dyDescent="0.3">
      <c r="B63" s="6" t="s">
        <v>123</v>
      </c>
      <c r="C63" s="3">
        <v>-0.16020000000000001</v>
      </c>
      <c r="D63" s="3">
        <v>-0.14460000000000001</v>
      </c>
      <c r="E63" s="3">
        <v>-0.1237</v>
      </c>
      <c r="F63" s="13">
        <v>0</v>
      </c>
      <c r="G63" s="13">
        <v>0</v>
      </c>
      <c r="I63" s="120" t="s">
        <v>426</v>
      </c>
      <c r="J63" s="120"/>
      <c r="K63" s="6" t="s">
        <v>8</v>
      </c>
      <c r="L63" s="74">
        <v>0.87</v>
      </c>
      <c r="M63" s="74">
        <v>0.96</v>
      </c>
      <c r="N63" s="74">
        <v>1.06</v>
      </c>
      <c r="O63" s="74">
        <v>1.1399999999999999</v>
      </c>
      <c r="P63" s="52"/>
    </row>
    <row r="64" spans="2:16" ht="15.6" x14ac:dyDescent="0.3">
      <c r="B64" s="10"/>
      <c r="C64" s="10"/>
      <c r="D64" s="10"/>
      <c r="E64" s="10"/>
      <c r="F64" s="10"/>
      <c r="G64" s="10"/>
      <c r="I64" s="120" t="s">
        <v>427</v>
      </c>
      <c r="J64" s="75" t="s">
        <v>428</v>
      </c>
      <c r="K64" s="121" t="s">
        <v>8</v>
      </c>
      <c r="L64" s="74">
        <v>0.89</v>
      </c>
      <c r="M64" s="74">
        <v>0.98</v>
      </c>
      <c r="N64" s="74">
        <v>1.06</v>
      </c>
      <c r="O64" s="74">
        <v>1.1299999999999999</v>
      </c>
      <c r="P64" s="52"/>
    </row>
    <row r="65" spans="2:16" ht="16.2" x14ac:dyDescent="0.35">
      <c r="B65" s="85"/>
      <c r="C65" s="110" t="s">
        <v>88</v>
      </c>
      <c r="D65" s="110"/>
      <c r="E65" s="110"/>
      <c r="F65" s="110" t="s">
        <v>89</v>
      </c>
      <c r="G65" s="110"/>
      <c r="I65" s="120"/>
      <c r="J65" s="75" t="s">
        <v>449</v>
      </c>
      <c r="K65" s="122"/>
      <c r="L65" s="74">
        <v>0.78</v>
      </c>
      <c r="M65" s="74">
        <v>0.92</v>
      </c>
      <c r="N65" s="74">
        <v>1.1000000000000001</v>
      </c>
      <c r="O65" s="74">
        <v>1.37</v>
      </c>
      <c r="P65" s="52"/>
    </row>
    <row r="66" spans="2:16" ht="16.2" x14ac:dyDescent="0.3">
      <c r="B66" s="85"/>
      <c r="C66" s="111" t="s">
        <v>107</v>
      </c>
      <c r="D66" s="112"/>
      <c r="E66" s="11" t="s">
        <v>108</v>
      </c>
      <c r="F66" s="11" t="s">
        <v>107</v>
      </c>
      <c r="G66" s="11" t="s">
        <v>108</v>
      </c>
      <c r="I66" s="120" t="s">
        <v>21</v>
      </c>
      <c r="J66" s="120"/>
      <c r="K66" s="6" t="s">
        <v>9</v>
      </c>
      <c r="L66" s="74">
        <v>0.86</v>
      </c>
      <c r="M66" s="74">
        <v>0.94</v>
      </c>
      <c r="N66" s="74">
        <v>1.06</v>
      </c>
      <c r="O66" s="74">
        <v>1.1599999999999999</v>
      </c>
      <c r="P66" s="52"/>
    </row>
    <row r="67" spans="2:16" ht="32.4" x14ac:dyDescent="0.3">
      <c r="B67" s="85"/>
      <c r="C67" s="5" t="s">
        <v>68</v>
      </c>
      <c r="D67" s="5" t="s">
        <v>90</v>
      </c>
      <c r="E67" s="5" t="s">
        <v>68</v>
      </c>
      <c r="F67" s="5" t="s">
        <v>68</v>
      </c>
      <c r="G67" s="5" t="s">
        <v>68</v>
      </c>
      <c r="I67" s="120" t="s">
        <v>433</v>
      </c>
      <c r="J67" s="120"/>
      <c r="K67" s="6" t="s">
        <v>9</v>
      </c>
      <c r="L67" s="74">
        <v>0.76</v>
      </c>
      <c r="M67" s="74">
        <v>0.89</v>
      </c>
      <c r="N67" s="74">
        <v>1.08</v>
      </c>
      <c r="O67" s="74">
        <v>1.27</v>
      </c>
      <c r="P67" s="52"/>
    </row>
    <row r="68" spans="2:16" ht="15.6" x14ac:dyDescent="0.3">
      <c r="B68" s="6" t="s">
        <v>124</v>
      </c>
      <c r="C68" s="14">
        <v>0.17</v>
      </c>
      <c r="D68" s="14">
        <v>0.15</v>
      </c>
      <c r="E68" s="14">
        <v>0.16</v>
      </c>
      <c r="F68" s="14">
        <v>0.17</v>
      </c>
      <c r="G68" s="14">
        <v>0.15</v>
      </c>
      <c r="I68" s="120" t="s">
        <v>22</v>
      </c>
      <c r="J68" s="120"/>
      <c r="K68" s="6" t="s">
        <v>9</v>
      </c>
      <c r="L68" s="74">
        <v>0.76</v>
      </c>
      <c r="M68" s="74">
        <v>0.92</v>
      </c>
      <c r="N68" s="74">
        <v>1.1399999999999999</v>
      </c>
      <c r="O68" s="74">
        <v>1.3</v>
      </c>
      <c r="P68" s="52"/>
    </row>
    <row r="69" spans="2:16" ht="15.6" x14ac:dyDescent="0.3">
      <c r="B69" s="6" t="s">
        <v>125</v>
      </c>
      <c r="C69" s="14">
        <v>0.2</v>
      </c>
      <c r="D69" s="14">
        <v>0.1</v>
      </c>
      <c r="E69" s="14">
        <v>0.24</v>
      </c>
      <c r="F69" s="14">
        <v>0.2</v>
      </c>
      <c r="G69" s="14">
        <v>0</v>
      </c>
      <c r="I69" s="120" t="s">
        <v>450</v>
      </c>
      <c r="J69" s="120"/>
      <c r="K69" s="6" t="s">
        <v>9</v>
      </c>
      <c r="L69" s="74">
        <v>0.87</v>
      </c>
      <c r="M69" s="74">
        <v>0.95</v>
      </c>
      <c r="N69" s="74">
        <v>1.06</v>
      </c>
      <c r="O69" s="74">
        <v>1.1599999999999999</v>
      </c>
      <c r="P69" s="52"/>
    </row>
    <row r="70" spans="2:16" ht="15.6" x14ac:dyDescent="0.3">
      <c r="B70" s="6" t="s">
        <v>126</v>
      </c>
      <c r="C70" s="14">
        <v>0.6</v>
      </c>
      <c r="D70" s="14">
        <v>0.5</v>
      </c>
      <c r="E70" s="14">
        <v>0.6</v>
      </c>
      <c r="F70" s="14">
        <v>0.6</v>
      </c>
      <c r="G70" s="14">
        <v>0</v>
      </c>
      <c r="K70" s="57"/>
      <c r="L70" s="57"/>
      <c r="M70" s="52"/>
      <c r="N70" s="52"/>
      <c r="O70" s="52"/>
      <c r="P70" s="52"/>
    </row>
    <row r="71" spans="2:16" ht="15.6" x14ac:dyDescent="0.3">
      <c r="B71" s="6" t="s">
        <v>127</v>
      </c>
      <c r="C71" s="14">
        <v>0.64200000000000002</v>
      </c>
      <c r="D71" s="14">
        <v>0.42</v>
      </c>
      <c r="E71" s="14">
        <v>0.83</v>
      </c>
      <c r="F71" s="14">
        <v>0.61399999999999999</v>
      </c>
      <c r="G71" s="14">
        <v>0.95199999999999996</v>
      </c>
      <c r="K71" s="57"/>
      <c r="L71" s="57"/>
      <c r="M71" s="52"/>
      <c r="N71" s="52"/>
      <c r="O71" s="52"/>
      <c r="P71" s="52"/>
    </row>
    <row r="72" spans="2:16" ht="15.6" x14ac:dyDescent="0.3">
      <c r="B72" s="6" t="s">
        <v>128</v>
      </c>
      <c r="C72" s="14">
        <v>-0.63500000000000001</v>
      </c>
      <c r="D72" s="14">
        <v>-0.2</v>
      </c>
      <c r="E72" s="14">
        <v>-0.66</v>
      </c>
      <c r="F72" s="14">
        <v>-0.71699999999999997</v>
      </c>
      <c r="G72" s="14">
        <v>-1.4059999999999999</v>
      </c>
      <c r="K72" s="57"/>
      <c r="L72" s="57"/>
      <c r="M72" s="52"/>
      <c r="N72" s="52"/>
      <c r="O72" s="52"/>
      <c r="P72" s="52"/>
    </row>
    <row r="73" spans="2:16" ht="15.6" x14ac:dyDescent="0.3">
      <c r="B73" s="6" t="s">
        <v>129</v>
      </c>
      <c r="C73" s="14">
        <v>0.15</v>
      </c>
      <c r="D73" s="14">
        <v>0</v>
      </c>
      <c r="E73" s="14">
        <v>0</v>
      </c>
      <c r="F73" s="14">
        <v>0.26100000000000001</v>
      </c>
      <c r="G73" s="14">
        <v>0.64300000000000002</v>
      </c>
      <c r="K73" s="57"/>
      <c r="L73" s="57"/>
      <c r="M73" s="52"/>
      <c r="N73" s="52"/>
      <c r="O73" s="52"/>
      <c r="P73" s="52"/>
    </row>
    <row r="74" spans="2:16" x14ac:dyDescent="0.3">
      <c r="K74" s="57"/>
      <c r="L74" s="57"/>
      <c r="M74" s="52"/>
      <c r="N74" s="52"/>
      <c r="O74" s="52"/>
      <c r="P74" s="52"/>
    </row>
    <row r="75" spans="2:16" x14ac:dyDescent="0.3">
      <c r="K75" s="57"/>
      <c r="L75" s="57"/>
      <c r="M75" s="52"/>
      <c r="N75" s="52"/>
      <c r="O75" s="52"/>
      <c r="P75" s="52"/>
    </row>
    <row r="76" spans="2:16" x14ac:dyDescent="0.3">
      <c r="K76" s="57"/>
      <c r="L76" s="57"/>
      <c r="M76" s="52"/>
      <c r="N76" s="52"/>
      <c r="O76" s="52"/>
      <c r="P76" s="52"/>
    </row>
    <row r="77" spans="2:16" x14ac:dyDescent="0.3">
      <c r="K77" s="57"/>
      <c r="L77" s="57"/>
      <c r="M77" s="52"/>
      <c r="N77" s="52"/>
      <c r="O77" s="52"/>
      <c r="P77" s="52"/>
    </row>
    <row r="78" spans="2:16" x14ac:dyDescent="0.3">
      <c r="K78" s="57"/>
      <c r="L78" s="57"/>
      <c r="M78" s="52"/>
      <c r="N78" s="52"/>
      <c r="O78" s="52"/>
      <c r="P78" s="52"/>
    </row>
    <row r="79" spans="2:16" x14ac:dyDescent="0.3">
      <c r="K79" s="57"/>
      <c r="L79" s="57"/>
      <c r="M79" s="52"/>
      <c r="N79" s="52"/>
      <c r="O79" s="52"/>
      <c r="P79" s="52"/>
    </row>
    <row r="80" spans="2:16" x14ac:dyDescent="0.3">
      <c r="K80" s="57"/>
      <c r="L80" s="57"/>
      <c r="M80" s="52"/>
      <c r="N80" s="52"/>
      <c r="O80" s="52"/>
      <c r="P80" s="52"/>
    </row>
    <row r="81" spans="11:16" x14ac:dyDescent="0.3">
      <c r="K81" s="57"/>
      <c r="L81" s="57"/>
      <c r="M81" s="52"/>
      <c r="N81" s="52"/>
      <c r="O81" s="52"/>
      <c r="P81" s="52"/>
    </row>
    <row r="82" spans="11:16" x14ac:dyDescent="0.3">
      <c r="K82" s="57"/>
      <c r="L82" s="57"/>
      <c r="M82" s="52"/>
      <c r="N82" s="52"/>
      <c r="O82" s="52"/>
      <c r="P82" s="52"/>
    </row>
    <row r="83" spans="11:16" x14ac:dyDescent="0.3">
      <c r="K83" s="57"/>
      <c r="L83" s="57"/>
      <c r="M83" s="52"/>
      <c r="N83" s="52"/>
      <c r="O83" s="52"/>
      <c r="P83" s="52"/>
    </row>
    <row r="84" spans="11:16" x14ac:dyDescent="0.3">
      <c r="K84" s="57"/>
      <c r="L84" s="57"/>
      <c r="M84" s="52"/>
      <c r="N84" s="52"/>
      <c r="O84" s="52"/>
      <c r="P84" s="52"/>
    </row>
    <row r="85" spans="11:16" x14ac:dyDescent="0.3">
      <c r="K85" s="57"/>
      <c r="L85" s="57"/>
      <c r="M85" s="52"/>
      <c r="N85" s="52"/>
      <c r="O85" s="52"/>
      <c r="P85" s="52"/>
    </row>
    <row r="86" spans="11:16" x14ac:dyDescent="0.3">
      <c r="K86" s="57"/>
      <c r="L86" s="57"/>
      <c r="M86" s="52"/>
      <c r="N86" s="52"/>
      <c r="O86" s="52"/>
      <c r="P86" s="52"/>
    </row>
    <row r="87" spans="11:16" x14ac:dyDescent="0.3">
      <c r="K87" s="57"/>
      <c r="L87" s="57"/>
      <c r="M87" s="52"/>
      <c r="N87" s="52"/>
      <c r="O87" s="52"/>
      <c r="P87" s="52"/>
    </row>
    <row r="88" spans="11:16" x14ac:dyDescent="0.3">
      <c r="K88" s="57"/>
      <c r="L88" s="57"/>
      <c r="M88" s="52"/>
      <c r="N88" s="52"/>
      <c r="O88" s="52"/>
      <c r="P88" s="52"/>
    </row>
    <row r="89" spans="11:16" x14ac:dyDescent="0.3">
      <c r="K89" s="57"/>
      <c r="L89" s="57"/>
      <c r="M89" s="52"/>
      <c r="N89" s="52"/>
      <c r="O89" s="52"/>
      <c r="P89" s="52"/>
    </row>
    <row r="90" spans="11:16" x14ac:dyDescent="0.3">
      <c r="K90" s="57"/>
      <c r="L90" s="57"/>
      <c r="M90" s="52"/>
      <c r="N90" s="52"/>
      <c r="O90" s="52"/>
      <c r="P90" s="52"/>
    </row>
    <row r="91" spans="11:16" x14ac:dyDescent="0.3">
      <c r="K91" s="57"/>
      <c r="L91" s="57"/>
      <c r="M91" s="52"/>
      <c r="N91" s="52"/>
      <c r="O91" s="52"/>
      <c r="P91" s="52"/>
    </row>
  </sheetData>
  <mergeCells count="59">
    <mergeCell ref="K64:K65"/>
    <mergeCell ref="I66:J66"/>
    <mergeCell ref="I67:J67"/>
    <mergeCell ref="I68:J68"/>
    <mergeCell ref="I69:J69"/>
    <mergeCell ref="I60:J60"/>
    <mergeCell ref="I61:J61"/>
    <mergeCell ref="I62:J62"/>
    <mergeCell ref="I63:J63"/>
    <mergeCell ref="I64:I65"/>
    <mergeCell ref="L54:O54"/>
    <mergeCell ref="I56:J56"/>
    <mergeCell ref="I57:I58"/>
    <mergeCell ref="K57:K58"/>
    <mergeCell ref="I59:J59"/>
    <mergeCell ref="I50:I51"/>
    <mergeCell ref="J50:K50"/>
    <mergeCell ref="J51:K51"/>
    <mergeCell ref="I52:K52"/>
    <mergeCell ref="I54:J55"/>
    <mergeCell ref="K54:K55"/>
    <mergeCell ref="I46:I48"/>
    <mergeCell ref="J46:K46"/>
    <mergeCell ref="J47:K47"/>
    <mergeCell ref="J48:K48"/>
    <mergeCell ref="I49:K49"/>
    <mergeCell ref="I41:K41"/>
    <mergeCell ref="I42:K42"/>
    <mergeCell ref="I43:I45"/>
    <mergeCell ref="J43:K43"/>
    <mergeCell ref="J44:K44"/>
    <mergeCell ref="J45:K45"/>
    <mergeCell ref="I37:K37"/>
    <mergeCell ref="I38:K38"/>
    <mergeCell ref="I39:I40"/>
    <mergeCell ref="J39:K39"/>
    <mergeCell ref="J40:K40"/>
    <mergeCell ref="I32:K32"/>
    <mergeCell ref="I33:I34"/>
    <mergeCell ref="J33:K33"/>
    <mergeCell ref="J34:K34"/>
    <mergeCell ref="I35:I36"/>
    <mergeCell ref="J35:K35"/>
    <mergeCell ref="J36:K36"/>
    <mergeCell ref="B3:D3"/>
    <mergeCell ref="B17:B18"/>
    <mergeCell ref="C32:E32"/>
    <mergeCell ref="F32:G32"/>
    <mergeCell ref="B33:B34"/>
    <mergeCell ref="C33:E33"/>
    <mergeCell ref="F33:G33"/>
    <mergeCell ref="B45:B47"/>
    <mergeCell ref="C45:E45"/>
    <mergeCell ref="F45:G45"/>
    <mergeCell ref="C46:D46"/>
    <mergeCell ref="B65:B67"/>
    <mergeCell ref="C65:E65"/>
    <mergeCell ref="F65:G65"/>
    <mergeCell ref="C66:D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B4AD-0534-4896-AE7C-6052B3FB38B4}">
  <sheetPr>
    <tabColor theme="7" tint="0.79998168889431442"/>
  </sheetPr>
  <dimension ref="A1:AV203"/>
  <sheetViews>
    <sheetView topLeftCell="C179" zoomScaleNormal="100" workbookViewId="0">
      <selection activeCell="F205" sqref="F205"/>
    </sheetView>
  </sheetViews>
  <sheetFormatPr defaultRowHeight="14.4" x14ac:dyDescent="0.3"/>
  <cols>
    <col min="1" max="1" width="8.88671875" style="21"/>
    <col min="2" max="2" width="3.44140625" style="19" bestFit="1" customWidth="1"/>
    <col min="3" max="3" width="25.5546875" style="19" bestFit="1" customWidth="1"/>
    <col min="4" max="4" width="17.5546875" style="19" customWidth="1"/>
    <col min="5" max="5" width="12" style="19" bestFit="1" customWidth="1"/>
    <col min="6" max="6" width="12.77734375" style="19" bestFit="1" customWidth="1"/>
    <col min="7" max="8" width="15.88671875" style="19" bestFit="1" customWidth="1"/>
    <col min="9" max="9" width="15.88671875" style="21" bestFit="1" customWidth="1"/>
    <col min="10" max="11" width="17.44140625" style="21" bestFit="1" customWidth="1"/>
    <col min="12" max="12" width="17.44140625" style="19" bestFit="1" customWidth="1"/>
    <col min="13" max="13" width="15.109375" style="19" bestFit="1" customWidth="1"/>
    <col min="14" max="14" width="20.44140625" style="19" bestFit="1" customWidth="1"/>
    <col min="15" max="15" width="21" style="19" bestFit="1" customWidth="1"/>
    <col min="16" max="16" width="24.21875" style="19" bestFit="1" customWidth="1"/>
    <col min="17" max="17" width="6.44140625" style="19" bestFit="1" customWidth="1"/>
    <col min="18" max="18" width="18.5546875" style="19" bestFit="1" customWidth="1"/>
    <col min="19" max="19" width="18.5546875" style="19" customWidth="1"/>
    <col min="20" max="20" width="23.109375" style="19" bestFit="1" customWidth="1"/>
    <col min="21" max="21" width="23.109375" style="19" customWidth="1"/>
    <col min="22" max="22" width="21" style="19" bestFit="1" customWidth="1"/>
    <col min="23" max="23" width="18.5546875" style="19" customWidth="1"/>
    <col min="24" max="24" width="24.77734375" style="19" customWidth="1"/>
    <col min="25" max="25" width="8.88671875" style="21"/>
    <col min="26" max="26" width="5.21875" style="21" bestFit="1" customWidth="1"/>
    <col min="27" max="27" width="5.5546875" style="21" bestFit="1" customWidth="1"/>
    <col min="28" max="28" width="5" style="21" bestFit="1" customWidth="1"/>
    <col min="29" max="31" width="5" style="21" customWidth="1"/>
    <col min="32" max="32" width="16.21875" style="19" bestFit="1" customWidth="1"/>
    <col min="33" max="33" width="15" style="19" customWidth="1"/>
    <col min="34" max="34" width="5.5546875" style="19" bestFit="1" customWidth="1"/>
    <col min="35" max="35" width="16.6640625" style="19" bestFit="1" customWidth="1"/>
    <col min="36" max="36" width="22" style="21" bestFit="1" customWidth="1"/>
    <col min="37" max="37" width="23.88671875" style="22" bestFit="1" customWidth="1"/>
    <col min="38" max="38" width="14.77734375" style="21" bestFit="1" customWidth="1"/>
    <col min="39" max="39" width="18.5546875" style="21" bestFit="1" customWidth="1"/>
    <col min="40" max="40" width="18.6640625" style="21" bestFit="1" customWidth="1"/>
    <col min="41" max="42" width="17.5546875" style="21" bestFit="1" customWidth="1"/>
    <col min="43" max="43" width="8.88671875" style="21"/>
    <col min="44" max="44" width="18.21875" style="21" bestFit="1" customWidth="1"/>
    <col min="45" max="45" width="22.44140625" style="21" bestFit="1" customWidth="1"/>
    <col min="46" max="52" width="8.88671875" style="21"/>
    <col min="53" max="53" width="16.33203125" style="21" bestFit="1" customWidth="1"/>
    <col min="54" max="16384" width="8.88671875" style="21"/>
  </cols>
  <sheetData>
    <row r="1" spans="2:48" ht="15.6" x14ac:dyDescent="0.3">
      <c r="C1" s="19" t="s">
        <v>191</v>
      </c>
      <c r="D1" s="20" t="s">
        <v>333</v>
      </c>
    </row>
    <row r="2" spans="2:48" ht="15.6" x14ac:dyDescent="0.3">
      <c r="C2" s="19" t="s">
        <v>193</v>
      </c>
      <c r="D2" s="23">
        <v>0.5</v>
      </c>
    </row>
    <row r="3" spans="2:48" x14ac:dyDescent="0.3">
      <c r="Z3" s="21" t="s">
        <v>194</v>
      </c>
      <c r="AA3" s="21">
        <v>13.8</v>
      </c>
      <c r="AB3" s="21" t="s">
        <v>26</v>
      </c>
      <c r="AU3" s="21">
        <v>228</v>
      </c>
      <c r="AV3" s="21" t="s">
        <v>195</v>
      </c>
    </row>
    <row r="4" spans="2:48" x14ac:dyDescent="0.3">
      <c r="C4" s="19" t="s">
        <v>196</v>
      </c>
      <c r="AG4" s="19" t="s">
        <v>197</v>
      </c>
      <c r="AH4" s="19">
        <v>2022</v>
      </c>
    </row>
    <row r="5" spans="2:48" x14ac:dyDescent="0.3">
      <c r="B5" s="24" t="s">
        <v>198</v>
      </c>
      <c r="C5" s="24" t="s">
        <v>199</v>
      </c>
      <c r="D5" s="24" t="s">
        <v>191</v>
      </c>
      <c r="E5" s="24" t="s">
        <v>179</v>
      </c>
      <c r="F5" s="24" t="s">
        <v>200</v>
      </c>
      <c r="G5" s="24" t="s">
        <v>201</v>
      </c>
      <c r="H5" s="24" t="s">
        <v>202</v>
      </c>
      <c r="I5" s="24" t="s">
        <v>203</v>
      </c>
      <c r="J5" s="24" t="s">
        <v>204</v>
      </c>
      <c r="K5" s="24" t="s">
        <v>205</v>
      </c>
      <c r="L5" s="24" t="s">
        <v>206</v>
      </c>
      <c r="M5" s="24" t="s">
        <v>207</v>
      </c>
      <c r="N5" s="24" t="s">
        <v>208</v>
      </c>
      <c r="O5" s="24" t="s">
        <v>209</v>
      </c>
      <c r="P5" s="24" t="s">
        <v>210</v>
      </c>
      <c r="Q5" s="24" t="s">
        <v>211</v>
      </c>
      <c r="R5" s="24" t="s">
        <v>212</v>
      </c>
      <c r="S5" s="24" t="s">
        <v>213</v>
      </c>
      <c r="T5" s="24" t="s">
        <v>214</v>
      </c>
      <c r="U5" s="24" t="s">
        <v>215</v>
      </c>
      <c r="V5" s="24" t="s">
        <v>216</v>
      </c>
      <c r="W5" s="24" t="s">
        <v>217</v>
      </c>
      <c r="X5" s="24" t="s">
        <v>218</v>
      </c>
      <c r="Z5" s="25" t="s">
        <v>193</v>
      </c>
      <c r="AF5" s="24" t="s">
        <v>198</v>
      </c>
      <c r="AG5" s="24" t="s">
        <v>199</v>
      </c>
      <c r="AH5" s="24" t="s">
        <v>219</v>
      </c>
      <c r="AI5" s="26" t="s">
        <v>220</v>
      </c>
      <c r="AJ5" s="24" t="s">
        <v>221</v>
      </c>
      <c r="AK5" s="27" t="s">
        <v>222</v>
      </c>
      <c r="AL5" s="24" t="s">
        <v>223</v>
      </c>
      <c r="AM5" s="24" t="s">
        <v>224</v>
      </c>
      <c r="AN5" s="24" t="s">
        <v>225</v>
      </c>
      <c r="AO5" s="24" t="s">
        <v>226</v>
      </c>
      <c r="AP5" s="24" t="s">
        <v>227</v>
      </c>
      <c r="AR5" s="24" t="s">
        <v>228</v>
      </c>
      <c r="AS5" s="24" t="s">
        <v>229</v>
      </c>
      <c r="AT5" s="19"/>
    </row>
    <row r="6" spans="2:48" x14ac:dyDescent="0.3">
      <c r="B6" s="28">
        <v>1</v>
      </c>
      <c r="C6" s="28">
        <v>2126</v>
      </c>
      <c r="D6" s="28" t="s">
        <v>230</v>
      </c>
      <c r="E6" s="28">
        <v>56</v>
      </c>
      <c r="F6" s="28"/>
      <c r="G6" s="28">
        <f>E6-F6</f>
        <v>56</v>
      </c>
      <c r="H6" s="28">
        <v>11.28</v>
      </c>
      <c r="I6" s="29">
        <v>56</v>
      </c>
      <c r="J6" s="29"/>
      <c r="K6" s="29">
        <f>H6</f>
        <v>11.28</v>
      </c>
      <c r="L6" s="30">
        <v>1</v>
      </c>
      <c r="M6" s="29">
        <v>4.8</v>
      </c>
      <c r="N6" s="29">
        <f>E6/H6</f>
        <v>4.9645390070921991</v>
      </c>
      <c r="O6" s="29">
        <v>56</v>
      </c>
      <c r="P6" s="29">
        <v>56</v>
      </c>
      <c r="Q6" s="29">
        <v>525</v>
      </c>
      <c r="R6" s="29">
        <v>56</v>
      </c>
      <c r="S6" s="29">
        <v>211</v>
      </c>
      <c r="T6" s="29">
        <v>56</v>
      </c>
      <c r="U6" s="29">
        <f>S6/M6</f>
        <v>43.958333333333336</v>
      </c>
      <c r="V6" s="29">
        <v>56</v>
      </c>
      <c r="W6" s="31">
        <f t="shared" ref="W6:W26" si="0">(((S6/M6)/1000)*(890*1000))/$AU$3</f>
        <v>171.5917397660819</v>
      </c>
      <c r="X6" s="29">
        <v>56</v>
      </c>
      <c r="AA6" s="29">
        <f>K6/AA3</f>
        <v>0.81739130434782603</v>
      </c>
      <c r="AF6" s="32">
        <v>1</v>
      </c>
      <c r="AG6" s="28">
        <v>2201</v>
      </c>
      <c r="AH6" s="128" t="s">
        <v>231</v>
      </c>
      <c r="AI6" s="32">
        <v>51.099999999976717</v>
      </c>
      <c r="AK6" s="123">
        <f>AVERAGE(AI6:AI14)</f>
        <v>47.044444444379771</v>
      </c>
      <c r="AL6" s="33">
        <v>3.3</v>
      </c>
      <c r="AM6" s="123">
        <f>AVERAGE(AL6:AL14)</f>
        <v>5.2666666666666657</v>
      </c>
      <c r="AN6" s="33">
        <v>1916</v>
      </c>
      <c r="AO6" s="34">
        <f>AN6/AI6</f>
        <v>37.495107632111015</v>
      </c>
      <c r="AP6" s="123">
        <f>AVERAGE(AO6:AO14)</f>
        <v>38.409002422528175</v>
      </c>
      <c r="AR6" s="31">
        <f>((AO6/1000)*(890*1000))/$AU$3</f>
        <v>146.36248154639827</v>
      </c>
      <c r="AS6" s="123">
        <f>AVERAGE(AR6:AR14)</f>
        <v>149.92987787741259</v>
      </c>
    </row>
    <row r="7" spans="2:48" x14ac:dyDescent="0.3">
      <c r="B7" s="32">
        <v>2</v>
      </c>
      <c r="C7" s="28">
        <v>2201</v>
      </c>
      <c r="D7" s="125" t="s">
        <v>232</v>
      </c>
      <c r="E7" s="32">
        <v>375</v>
      </c>
      <c r="F7" s="32">
        <v>372.5</v>
      </c>
      <c r="G7" s="32">
        <f t="shared" ref="G7:G70" si="1">E7-F7</f>
        <v>2.5</v>
      </c>
      <c r="H7" s="32">
        <v>10.57</v>
      </c>
      <c r="I7" s="126">
        <f>AVERAGE(F7:F9)</f>
        <v>371.5</v>
      </c>
      <c r="J7" s="126">
        <f>AVERAGE(G7:G9)</f>
        <v>11.166666666666666</v>
      </c>
      <c r="K7" s="126">
        <f>AVERAGE(H7:H9)</f>
        <v>9.33</v>
      </c>
      <c r="L7" s="127">
        <v>3</v>
      </c>
      <c r="M7" s="29">
        <v>34.999999999883585</v>
      </c>
      <c r="N7" s="29">
        <f t="shared" ref="N7:N70" si="2">E7/H7</f>
        <v>35.477767265846737</v>
      </c>
      <c r="O7" s="126">
        <f>AVERAGE(M7:M9)</f>
        <v>40.233333333294532</v>
      </c>
      <c r="P7" s="126">
        <f>AVERAGE(N7:N9)</f>
        <v>41.451858198150639</v>
      </c>
      <c r="Q7" s="29">
        <v>540</v>
      </c>
      <c r="R7" s="126">
        <f>AVERAGE(Q7:Q9)</f>
        <v>530</v>
      </c>
      <c r="S7" s="29">
        <v>1455</v>
      </c>
      <c r="T7" s="126">
        <f>AVERAGE(S7:S9)</f>
        <v>1430.6666666666667</v>
      </c>
      <c r="U7" s="29">
        <f>S7/M7</f>
        <v>41.571428571566841</v>
      </c>
      <c r="V7" s="126">
        <f>AVERAGE(U7:U9)</f>
        <v>35.928929349563674</v>
      </c>
      <c r="W7" s="31">
        <f t="shared" si="0"/>
        <v>162.27443609076533</v>
      </c>
      <c r="X7" s="126">
        <f>AVERAGE(W7:W9)</f>
        <v>140.24889088206874</v>
      </c>
      <c r="AA7" s="126">
        <f>K7/AA3</f>
        <v>0.67608695652173911</v>
      </c>
      <c r="AF7" s="32">
        <v>2</v>
      </c>
      <c r="AG7" s="28" t="s">
        <v>233</v>
      </c>
      <c r="AH7" s="129"/>
      <c r="AI7" s="32">
        <v>21.499999999883585</v>
      </c>
      <c r="AK7" s="123"/>
      <c r="AL7" s="32">
        <v>4.5</v>
      </c>
      <c r="AM7" s="123"/>
      <c r="AN7" s="32">
        <v>919</v>
      </c>
      <c r="AO7" s="35">
        <f t="shared" ref="AO7:AO70" si="3">AN7/AI7</f>
        <v>42.744186046743074</v>
      </c>
      <c r="AP7" s="123"/>
      <c r="AR7" s="29">
        <f t="shared" ref="AR7:AR70" si="4">((AO7/1000)*(890*1000))/$AU$3</f>
        <v>166.85230518246198</v>
      </c>
      <c r="AS7" s="123"/>
    </row>
    <row r="8" spans="2:48" x14ac:dyDescent="0.3">
      <c r="B8" s="32">
        <v>3</v>
      </c>
      <c r="C8" s="28" t="s">
        <v>233</v>
      </c>
      <c r="D8" s="125"/>
      <c r="E8" s="32">
        <v>395</v>
      </c>
      <c r="F8" s="32">
        <v>372</v>
      </c>
      <c r="G8" s="32">
        <f t="shared" si="1"/>
        <v>23</v>
      </c>
      <c r="H8" s="32">
        <v>8.4600000000000009</v>
      </c>
      <c r="I8" s="126"/>
      <c r="J8" s="126"/>
      <c r="K8" s="126"/>
      <c r="L8" s="127"/>
      <c r="M8" s="29">
        <v>43.2</v>
      </c>
      <c r="N8" s="29">
        <f t="shared" si="2"/>
        <v>46.690307328605194</v>
      </c>
      <c r="O8" s="126"/>
      <c r="P8" s="126"/>
      <c r="Q8" s="29">
        <v>525</v>
      </c>
      <c r="R8" s="126"/>
      <c r="S8" s="29">
        <v>1410</v>
      </c>
      <c r="T8" s="126"/>
      <c r="U8" s="29">
        <f t="shared" ref="U8:U71" si="5">S8/M8</f>
        <v>32.638888888888886</v>
      </c>
      <c r="V8" s="126"/>
      <c r="W8" s="31">
        <f t="shared" si="0"/>
        <v>127.40618908382064</v>
      </c>
      <c r="X8" s="126"/>
      <c r="AA8" s="126"/>
      <c r="AF8" s="32">
        <v>3</v>
      </c>
      <c r="AG8" s="28" t="s">
        <v>234</v>
      </c>
      <c r="AH8" s="129"/>
      <c r="AI8" s="32">
        <v>24.299999999988358</v>
      </c>
      <c r="AK8" s="123"/>
      <c r="AL8" s="32">
        <v>6.5</v>
      </c>
      <c r="AM8" s="123"/>
      <c r="AN8" s="32">
        <v>1207</v>
      </c>
      <c r="AO8" s="35">
        <f t="shared" si="3"/>
        <v>49.670781893027915</v>
      </c>
      <c r="AP8" s="123"/>
      <c r="AR8" s="29">
        <f t="shared" si="4"/>
        <v>193.89033282804755</v>
      </c>
      <c r="AS8" s="123"/>
    </row>
    <row r="9" spans="2:48" x14ac:dyDescent="0.3">
      <c r="B9" s="32">
        <v>4</v>
      </c>
      <c r="C9" s="28" t="s">
        <v>235</v>
      </c>
      <c r="D9" s="125"/>
      <c r="E9" s="32">
        <v>378</v>
      </c>
      <c r="F9" s="32">
        <v>370</v>
      </c>
      <c r="G9" s="32">
        <f t="shared" si="1"/>
        <v>8</v>
      </c>
      <c r="H9" s="32">
        <v>8.9600000000000009</v>
      </c>
      <c r="I9" s="126"/>
      <c r="J9" s="126"/>
      <c r="K9" s="126"/>
      <c r="L9" s="127"/>
      <c r="M9" s="29">
        <v>42.5</v>
      </c>
      <c r="N9" s="29">
        <f t="shared" si="2"/>
        <v>42.187499999999993</v>
      </c>
      <c r="O9" s="126"/>
      <c r="P9" s="126"/>
      <c r="Q9" s="29">
        <v>525</v>
      </c>
      <c r="R9" s="126"/>
      <c r="S9" s="29">
        <v>1427</v>
      </c>
      <c r="T9" s="126"/>
      <c r="U9" s="29">
        <f t="shared" si="5"/>
        <v>33.576470588235296</v>
      </c>
      <c r="V9" s="126"/>
      <c r="W9" s="31">
        <f t="shared" si="0"/>
        <v>131.06604747162024</v>
      </c>
      <c r="X9" s="126"/>
      <c r="AA9" s="126"/>
      <c r="AF9" s="32">
        <v>4</v>
      </c>
      <c r="AG9" s="28" t="s">
        <v>236</v>
      </c>
      <c r="AH9" s="129"/>
      <c r="AI9" s="32">
        <v>49.199999999871942</v>
      </c>
      <c r="AK9" s="123"/>
      <c r="AL9" s="32">
        <v>9.1</v>
      </c>
      <c r="AM9" s="123"/>
      <c r="AN9" s="32">
        <v>2249</v>
      </c>
      <c r="AO9" s="35">
        <f t="shared" si="3"/>
        <v>45.711382113940118</v>
      </c>
      <c r="AP9" s="123"/>
      <c r="AR9" s="29">
        <f t="shared" si="4"/>
        <v>178.43478105880132</v>
      </c>
      <c r="AS9" s="123"/>
    </row>
    <row r="10" spans="2:48" x14ac:dyDescent="0.3">
      <c r="B10" s="28">
        <v>5</v>
      </c>
      <c r="C10" s="28">
        <v>2202</v>
      </c>
      <c r="D10" s="125" t="s">
        <v>237</v>
      </c>
      <c r="E10" s="28">
        <v>751</v>
      </c>
      <c r="F10" s="28">
        <v>751</v>
      </c>
      <c r="G10" s="28">
        <f t="shared" si="1"/>
        <v>0</v>
      </c>
      <c r="H10" s="28">
        <v>8.82</v>
      </c>
      <c r="I10" s="126">
        <f>AVERAGE(F10:F14)</f>
        <v>760.6</v>
      </c>
      <c r="J10" s="126">
        <f>AVERAGE(G10:G14)</f>
        <v>18.399999999999999</v>
      </c>
      <c r="K10" s="126">
        <f>AVERAGE(H10:H14)</f>
        <v>9.0440000000000005</v>
      </c>
      <c r="L10" s="127">
        <v>5</v>
      </c>
      <c r="M10" s="29">
        <v>85.8</v>
      </c>
      <c r="N10" s="29">
        <f t="shared" si="2"/>
        <v>85.147392290249428</v>
      </c>
      <c r="O10" s="126">
        <f>AVERAGE(M10:M14)</f>
        <v>82.36</v>
      </c>
      <c r="P10" s="126">
        <f>AVERAGE(N10:N14)</f>
        <v>86.154784486583495</v>
      </c>
      <c r="Q10" s="29">
        <v>525</v>
      </c>
      <c r="R10" s="126">
        <f>AVERAGE(Q10:Q14)</f>
        <v>525</v>
      </c>
      <c r="S10" s="29">
        <v>4258</v>
      </c>
      <c r="T10" s="126">
        <f>AVERAGE(S10:S14)</f>
        <v>3484.2</v>
      </c>
      <c r="U10" s="29">
        <f t="shared" si="5"/>
        <v>49.627039627039629</v>
      </c>
      <c r="V10" s="126">
        <f>AVERAGE(U10:U14)</f>
        <v>42.341731536777566</v>
      </c>
      <c r="W10" s="31">
        <f t="shared" si="0"/>
        <v>193.71958450905819</v>
      </c>
      <c r="X10" s="126">
        <f>AVERAGE(W10:W14)</f>
        <v>165.2813204725089</v>
      </c>
      <c r="AA10" s="126">
        <f>K10/AA3</f>
        <v>0.65536231884057972</v>
      </c>
      <c r="AF10" s="32">
        <v>5</v>
      </c>
      <c r="AG10" s="28" t="s">
        <v>238</v>
      </c>
      <c r="AH10" s="129"/>
      <c r="AI10" s="32">
        <v>47.899999999930152</v>
      </c>
      <c r="AK10" s="123"/>
      <c r="AL10" s="32">
        <v>4.9000000000000004</v>
      </c>
      <c r="AM10" s="123"/>
      <c r="AN10" s="32">
        <v>1493</v>
      </c>
      <c r="AO10" s="35">
        <f t="shared" si="3"/>
        <v>31.169102296496391</v>
      </c>
      <c r="AP10" s="123"/>
      <c r="AR10" s="29">
        <f t="shared" si="4"/>
        <v>121.66886422755171</v>
      </c>
      <c r="AS10" s="123"/>
    </row>
    <row r="11" spans="2:48" x14ac:dyDescent="0.3">
      <c r="B11" s="28">
        <v>6</v>
      </c>
      <c r="C11" s="28">
        <v>2204</v>
      </c>
      <c r="D11" s="125"/>
      <c r="E11" s="28">
        <v>792.5</v>
      </c>
      <c r="F11" s="28">
        <v>767.5</v>
      </c>
      <c r="G11" s="28">
        <f t="shared" si="1"/>
        <v>25</v>
      </c>
      <c r="H11" s="28">
        <v>9.07</v>
      </c>
      <c r="I11" s="126"/>
      <c r="J11" s="126"/>
      <c r="K11" s="126"/>
      <c r="L11" s="127"/>
      <c r="M11" s="29">
        <f>88.9-5.5</f>
        <v>83.4</v>
      </c>
      <c r="N11" s="29">
        <f t="shared" si="2"/>
        <v>87.375964718853353</v>
      </c>
      <c r="O11" s="126"/>
      <c r="P11" s="126"/>
      <c r="Q11" s="29">
        <v>525</v>
      </c>
      <c r="R11" s="126"/>
      <c r="S11" s="29">
        <v>3169</v>
      </c>
      <c r="T11" s="126"/>
      <c r="U11" s="29">
        <f t="shared" si="5"/>
        <v>37.997601918465229</v>
      </c>
      <c r="V11" s="126"/>
      <c r="W11" s="31">
        <f t="shared" si="0"/>
        <v>148.32397240102654</v>
      </c>
      <c r="X11" s="126"/>
      <c r="AA11" s="126"/>
      <c r="AF11" s="32">
        <v>6</v>
      </c>
      <c r="AG11" s="28" t="s">
        <v>239</v>
      </c>
      <c r="AH11" s="129"/>
      <c r="AI11" s="32">
        <v>43.999999999965077</v>
      </c>
      <c r="AK11" s="123"/>
      <c r="AL11" s="32">
        <v>4.9000000000000004</v>
      </c>
      <c r="AM11" s="123"/>
      <c r="AN11" s="32">
        <v>1559</v>
      </c>
      <c r="AO11" s="35">
        <f t="shared" si="3"/>
        <v>35.431818181846303</v>
      </c>
      <c r="AP11" s="123"/>
      <c r="AR11" s="29">
        <f t="shared" si="4"/>
        <v>138.30841307825972</v>
      </c>
      <c r="AS11" s="123"/>
    </row>
    <row r="12" spans="2:48" x14ac:dyDescent="0.3">
      <c r="B12" s="28">
        <v>7</v>
      </c>
      <c r="C12" s="28">
        <v>2205</v>
      </c>
      <c r="D12" s="125"/>
      <c r="E12" s="28">
        <v>790</v>
      </c>
      <c r="F12" s="28">
        <v>768</v>
      </c>
      <c r="G12" s="28">
        <f t="shared" si="1"/>
        <v>22</v>
      </c>
      <c r="H12" s="28">
        <v>9.39</v>
      </c>
      <c r="I12" s="126"/>
      <c r="J12" s="126"/>
      <c r="K12" s="126"/>
      <c r="L12" s="127"/>
      <c r="M12" s="29">
        <f>93.8-14.5</f>
        <v>79.3</v>
      </c>
      <c r="N12" s="29">
        <f t="shared" si="2"/>
        <v>84.132055378061764</v>
      </c>
      <c r="O12" s="126"/>
      <c r="P12" s="126"/>
      <c r="Q12" s="29">
        <v>525</v>
      </c>
      <c r="R12" s="126"/>
      <c r="S12" s="29">
        <v>3226</v>
      </c>
      <c r="T12" s="126"/>
      <c r="U12" s="29">
        <f t="shared" si="5"/>
        <v>40.680958385876423</v>
      </c>
      <c r="V12" s="126"/>
      <c r="W12" s="31">
        <f t="shared" si="0"/>
        <v>158.79847790978079</v>
      </c>
      <c r="X12" s="126"/>
      <c r="AA12" s="126"/>
      <c r="AF12" s="32">
        <v>7</v>
      </c>
      <c r="AG12" s="28" t="s">
        <v>240</v>
      </c>
      <c r="AH12" s="129"/>
      <c r="AI12" s="32">
        <v>45.599999999918509</v>
      </c>
      <c r="AK12" s="123"/>
      <c r="AL12" s="32">
        <v>5</v>
      </c>
      <c r="AM12" s="123"/>
      <c r="AN12" s="32">
        <v>1723</v>
      </c>
      <c r="AO12" s="35">
        <f t="shared" si="3"/>
        <v>37.785087719365769</v>
      </c>
      <c r="AP12" s="123"/>
      <c r="AR12" s="29">
        <f t="shared" si="4"/>
        <v>147.49442136068217</v>
      </c>
      <c r="AS12" s="123"/>
    </row>
    <row r="13" spans="2:48" x14ac:dyDescent="0.3">
      <c r="B13" s="28">
        <v>8</v>
      </c>
      <c r="C13" s="28">
        <v>2207</v>
      </c>
      <c r="D13" s="125"/>
      <c r="E13" s="28">
        <v>786.5</v>
      </c>
      <c r="F13" s="28">
        <v>763.5</v>
      </c>
      <c r="G13" s="28">
        <f t="shared" si="1"/>
        <v>23</v>
      </c>
      <c r="H13" s="28">
        <v>9.14</v>
      </c>
      <c r="I13" s="126"/>
      <c r="J13" s="126"/>
      <c r="K13" s="126"/>
      <c r="L13" s="127"/>
      <c r="M13" s="29">
        <v>74.3</v>
      </c>
      <c r="N13" s="29">
        <f t="shared" si="2"/>
        <v>86.050328227571114</v>
      </c>
      <c r="O13" s="126"/>
      <c r="P13" s="126"/>
      <c r="Q13" s="29">
        <v>525</v>
      </c>
      <c r="R13" s="126"/>
      <c r="S13" s="29">
        <v>3310</v>
      </c>
      <c r="T13" s="126"/>
      <c r="U13" s="29">
        <f t="shared" si="5"/>
        <v>44.549125168236877</v>
      </c>
      <c r="V13" s="126"/>
      <c r="W13" s="31">
        <f t="shared" si="0"/>
        <v>173.89790087601239</v>
      </c>
      <c r="X13" s="126"/>
      <c r="AA13" s="126"/>
      <c r="AF13" s="32">
        <v>8</v>
      </c>
      <c r="AG13" s="28" t="s">
        <v>241</v>
      </c>
      <c r="AH13" s="129"/>
      <c r="AI13" s="32">
        <v>42.099999999941794</v>
      </c>
      <c r="AK13" s="123"/>
      <c r="AL13" s="32">
        <v>5.4</v>
      </c>
      <c r="AM13" s="123"/>
      <c r="AN13" s="32">
        <v>1423</v>
      </c>
      <c r="AO13" s="35">
        <f t="shared" si="3"/>
        <v>33.800475059429154</v>
      </c>
      <c r="AP13" s="123"/>
      <c r="AR13" s="29">
        <f t="shared" si="4"/>
        <v>131.94045088987696</v>
      </c>
      <c r="AS13" s="123"/>
    </row>
    <row r="14" spans="2:48" x14ac:dyDescent="0.3">
      <c r="B14" s="28">
        <v>9</v>
      </c>
      <c r="C14" s="28">
        <v>2208</v>
      </c>
      <c r="D14" s="125"/>
      <c r="E14" s="28">
        <v>775</v>
      </c>
      <c r="F14" s="28">
        <v>753</v>
      </c>
      <c r="G14" s="28">
        <f t="shared" si="1"/>
        <v>22</v>
      </c>
      <c r="H14" s="28">
        <v>8.8000000000000007</v>
      </c>
      <c r="I14" s="126"/>
      <c r="J14" s="126"/>
      <c r="K14" s="126"/>
      <c r="L14" s="127"/>
      <c r="M14" s="29">
        <f>96.8-7.8</f>
        <v>89</v>
      </c>
      <c r="N14" s="29">
        <f t="shared" si="2"/>
        <v>88.068181818181813</v>
      </c>
      <c r="O14" s="126"/>
      <c r="P14" s="126"/>
      <c r="Q14" s="29">
        <v>525</v>
      </c>
      <c r="R14" s="126"/>
      <c r="S14" s="29">
        <v>3458</v>
      </c>
      <c r="T14" s="126"/>
      <c r="U14" s="29">
        <f t="shared" si="5"/>
        <v>38.853932584269664</v>
      </c>
      <c r="V14" s="126"/>
      <c r="W14" s="31">
        <f t="shared" si="0"/>
        <v>151.66666666666666</v>
      </c>
      <c r="X14" s="126"/>
      <c r="AA14" s="126"/>
      <c r="AF14" s="32">
        <v>9</v>
      </c>
      <c r="AG14" s="36" t="s">
        <v>235</v>
      </c>
      <c r="AH14" s="130"/>
      <c r="AI14" s="32">
        <v>97.699999999941795</v>
      </c>
      <c r="AK14" s="124"/>
      <c r="AL14" s="32">
        <v>3.8</v>
      </c>
      <c r="AM14" s="124"/>
      <c r="AN14" s="32">
        <v>3114</v>
      </c>
      <c r="AO14" s="35">
        <f t="shared" si="3"/>
        <v>31.873080859793809</v>
      </c>
      <c r="AP14" s="124"/>
      <c r="AR14" s="29">
        <f t="shared" si="4"/>
        <v>124.41685072463375</v>
      </c>
      <c r="AS14" s="124"/>
    </row>
    <row r="15" spans="2:48" x14ac:dyDescent="0.3">
      <c r="B15" s="32">
        <v>10</v>
      </c>
      <c r="C15" s="28">
        <v>2202</v>
      </c>
      <c r="D15" s="125" t="s">
        <v>242</v>
      </c>
      <c r="E15" s="32">
        <v>78</v>
      </c>
      <c r="F15" s="32">
        <v>75.5</v>
      </c>
      <c r="G15" s="32">
        <f t="shared" si="1"/>
        <v>2.5</v>
      </c>
      <c r="H15" s="32">
        <v>8</v>
      </c>
      <c r="I15" s="126">
        <f>AVERAGE(F15:F19)</f>
        <v>75.8</v>
      </c>
      <c r="J15" s="126">
        <f>AVERAGE(G15:G19)</f>
        <v>2.1</v>
      </c>
      <c r="K15" s="126">
        <f>AVERAGE(H15:H19)</f>
        <v>7.7919999999999998</v>
      </c>
      <c r="L15" s="127">
        <v>5</v>
      </c>
      <c r="M15" s="29">
        <v>10.3</v>
      </c>
      <c r="N15" s="29">
        <f t="shared" si="2"/>
        <v>9.75</v>
      </c>
      <c r="O15" s="126">
        <f>AVERAGE(M15:M19)</f>
        <v>10.280000000000001</v>
      </c>
      <c r="P15" s="126">
        <f>AVERAGE(N15:N19)</f>
        <v>10.025614475092496</v>
      </c>
      <c r="Q15" s="29">
        <v>525</v>
      </c>
      <c r="R15" s="126">
        <f>AVERAGE(Q15:Q19)</f>
        <v>525</v>
      </c>
      <c r="S15" s="29">
        <v>468</v>
      </c>
      <c r="T15" s="126">
        <f>AVERAGE(S15:S19)</f>
        <v>386</v>
      </c>
      <c r="U15" s="29">
        <f t="shared" si="5"/>
        <v>45.436893203883493</v>
      </c>
      <c r="V15" s="126">
        <f>AVERAGE(U15:U19)</f>
        <v>37.618458177524232</v>
      </c>
      <c r="W15" s="31">
        <f t="shared" si="0"/>
        <v>177.36331119059784</v>
      </c>
      <c r="X15" s="126">
        <f>AVERAGE(W15:W19)</f>
        <v>146.84398148244108</v>
      </c>
      <c r="AA15" s="126">
        <f>K15/AA3</f>
        <v>0.56463768115942026</v>
      </c>
      <c r="AF15" s="28">
        <v>10</v>
      </c>
      <c r="AG15" s="36">
        <v>2202</v>
      </c>
      <c r="AH15" s="128" t="s">
        <v>243</v>
      </c>
      <c r="AI15" s="28">
        <v>115.7</v>
      </c>
      <c r="AK15" s="131">
        <f>AVERAGE(AI15:AI38)</f>
        <v>60.812500000007276</v>
      </c>
      <c r="AL15" s="28">
        <v>9.6999999999999993</v>
      </c>
      <c r="AM15" s="131">
        <f>AVERAGE(AL15:AL38)</f>
        <v>11.204166666666667</v>
      </c>
      <c r="AN15" s="28">
        <v>4930</v>
      </c>
      <c r="AO15" s="37">
        <f t="shared" si="3"/>
        <v>42.610198789974071</v>
      </c>
      <c r="AP15" s="131">
        <f>AVERAGE(AO15:AO38)</f>
        <v>54.138865306117623</v>
      </c>
      <c r="AR15" s="29">
        <f t="shared" si="4"/>
        <v>166.32928475033737</v>
      </c>
      <c r="AS15" s="131">
        <f>AVERAGE(AR15:AR38)</f>
        <v>211.33153562475732</v>
      </c>
    </row>
    <row r="16" spans="2:48" x14ac:dyDescent="0.3">
      <c r="B16" s="32">
        <v>11</v>
      </c>
      <c r="C16" s="28">
        <v>2204</v>
      </c>
      <c r="D16" s="125"/>
      <c r="E16" s="32">
        <v>79.5</v>
      </c>
      <c r="F16" s="32">
        <v>74</v>
      </c>
      <c r="G16" s="32">
        <f t="shared" si="1"/>
        <v>5.5</v>
      </c>
      <c r="H16" s="32">
        <v>7.5</v>
      </c>
      <c r="I16" s="126"/>
      <c r="J16" s="126"/>
      <c r="K16" s="126"/>
      <c r="L16" s="127"/>
      <c r="M16" s="29">
        <v>9.6999999999999993</v>
      </c>
      <c r="N16" s="29">
        <f t="shared" si="2"/>
        <v>10.6</v>
      </c>
      <c r="O16" s="126"/>
      <c r="P16" s="126"/>
      <c r="Q16" s="29">
        <v>525</v>
      </c>
      <c r="R16" s="126"/>
      <c r="S16" s="29">
        <v>383</v>
      </c>
      <c r="T16" s="126"/>
      <c r="U16" s="29">
        <f t="shared" si="5"/>
        <v>39.484536082474229</v>
      </c>
      <c r="V16" s="126"/>
      <c r="W16" s="31">
        <f t="shared" si="0"/>
        <v>154.12823295351782</v>
      </c>
      <c r="X16" s="126"/>
      <c r="AA16" s="126"/>
      <c r="AF16" s="28">
        <v>11</v>
      </c>
      <c r="AG16" s="28">
        <v>2203</v>
      </c>
      <c r="AH16" s="129"/>
      <c r="AI16" s="28">
        <v>65.7</v>
      </c>
      <c r="AK16" s="123"/>
      <c r="AL16" s="28">
        <v>18.8</v>
      </c>
      <c r="AM16" s="123"/>
      <c r="AN16" s="28">
        <v>3533</v>
      </c>
      <c r="AO16" s="37">
        <f t="shared" si="3"/>
        <v>53.774733637747332</v>
      </c>
      <c r="AP16" s="123"/>
      <c r="AR16" s="29">
        <f t="shared" si="4"/>
        <v>209.91014446313653</v>
      </c>
      <c r="AS16" s="123"/>
    </row>
    <row r="17" spans="2:45" x14ac:dyDescent="0.3">
      <c r="B17" s="32">
        <v>12</v>
      </c>
      <c r="C17" s="28">
        <v>2205</v>
      </c>
      <c r="D17" s="125"/>
      <c r="E17" s="32">
        <v>76</v>
      </c>
      <c r="F17" s="32">
        <v>75.5</v>
      </c>
      <c r="G17" s="32">
        <f t="shared" si="1"/>
        <v>0.5</v>
      </c>
      <c r="H17" s="32">
        <v>7.11</v>
      </c>
      <c r="I17" s="126"/>
      <c r="J17" s="126"/>
      <c r="K17" s="126"/>
      <c r="L17" s="127"/>
      <c r="M17" s="29">
        <v>11.1</v>
      </c>
      <c r="N17" s="29">
        <f t="shared" si="2"/>
        <v>10.689170182841069</v>
      </c>
      <c r="O17" s="126"/>
      <c r="P17" s="126"/>
      <c r="Q17" s="29">
        <v>525</v>
      </c>
      <c r="R17" s="126"/>
      <c r="S17" s="29">
        <v>372</v>
      </c>
      <c r="T17" s="126"/>
      <c r="U17" s="29">
        <f t="shared" si="5"/>
        <v>33.513513513513516</v>
      </c>
      <c r="V17" s="126"/>
      <c r="W17" s="31">
        <f t="shared" si="0"/>
        <v>130.82029397818872</v>
      </c>
      <c r="X17" s="126"/>
      <c r="AA17" s="126"/>
      <c r="AF17" s="28">
        <v>12</v>
      </c>
      <c r="AG17" s="28">
        <v>2204</v>
      </c>
      <c r="AH17" s="129"/>
      <c r="AI17" s="28">
        <v>52.8</v>
      </c>
      <c r="AK17" s="123"/>
      <c r="AL17" s="28">
        <v>9.1999999999999993</v>
      </c>
      <c r="AM17" s="123"/>
      <c r="AN17" s="28">
        <v>2669</v>
      </c>
      <c r="AO17" s="37">
        <f t="shared" si="3"/>
        <v>50.549242424242429</v>
      </c>
      <c r="AP17" s="123"/>
      <c r="AR17" s="29">
        <f t="shared" si="4"/>
        <v>197.31941121743753</v>
      </c>
      <c r="AS17" s="123"/>
    </row>
    <row r="18" spans="2:45" x14ac:dyDescent="0.3">
      <c r="B18" s="32">
        <v>13</v>
      </c>
      <c r="C18" s="28">
        <v>2207</v>
      </c>
      <c r="D18" s="125"/>
      <c r="E18" s="32">
        <v>77.5</v>
      </c>
      <c r="F18" s="32">
        <v>77</v>
      </c>
      <c r="G18" s="32">
        <f t="shared" si="1"/>
        <v>0.5</v>
      </c>
      <c r="H18" s="32">
        <v>8.3000000000000007</v>
      </c>
      <c r="I18" s="126"/>
      <c r="J18" s="126"/>
      <c r="K18" s="126"/>
      <c r="L18" s="127"/>
      <c r="M18" s="29">
        <v>10.1</v>
      </c>
      <c r="N18" s="29">
        <f t="shared" si="2"/>
        <v>9.3373493975903603</v>
      </c>
      <c r="O18" s="126"/>
      <c r="P18" s="126"/>
      <c r="Q18" s="29">
        <v>525</v>
      </c>
      <c r="R18" s="126"/>
      <c r="S18" s="29">
        <v>354</v>
      </c>
      <c r="T18" s="126"/>
      <c r="U18" s="29">
        <f t="shared" si="5"/>
        <v>35.049504950495049</v>
      </c>
      <c r="V18" s="126"/>
      <c r="W18" s="31">
        <f t="shared" si="0"/>
        <v>136.81605002605522</v>
      </c>
      <c r="X18" s="126"/>
      <c r="AA18" s="126"/>
      <c r="AF18" s="28">
        <v>13</v>
      </c>
      <c r="AG18" s="28">
        <v>2205</v>
      </c>
      <c r="AH18" s="129"/>
      <c r="AI18" s="28">
        <v>87.700000000058211</v>
      </c>
      <c r="AK18" s="123"/>
      <c r="AL18" s="28">
        <v>7.3</v>
      </c>
      <c r="AM18" s="123"/>
      <c r="AN18" s="28">
        <v>3459</v>
      </c>
      <c r="AO18" s="37">
        <f t="shared" si="3"/>
        <v>39.441277080931634</v>
      </c>
      <c r="AP18" s="123"/>
      <c r="AR18" s="29">
        <f t="shared" si="4"/>
        <v>153.95937106153136</v>
      </c>
      <c r="AS18" s="123"/>
    </row>
    <row r="19" spans="2:45" x14ac:dyDescent="0.3">
      <c r="B19" s="32">
        <v>14</v>
      </c>
      <c r="C19" s="28">
        <v>2208</v>
      </c>
      <c r="D19" s="125"/>
      <c r="E19" s="32">
        <v>78.5</v>
      </c>
      <c r="F19" s="32">
        <v>77</v>
      </c>
      <c r="G19" s="32">
        <f t="shared" si="1"/>
        <v>1.5</v>
      </c>
      <c r="H19" s="32">
        <v>8.0500000000000007</v>
      </c>
      <c r="I19" s="126"/>
      <c r="J19" s="126"/>
      <c r="K19" s="126"/>
      <c r="L19" s="127"/>
      <c r="M19" s="29">
        <v>10.199999999999999</v>
      </c>
      <c r="N19" s="29">
        <f t="shared" si="2"/>
        <v>9.7515527950310545</v>
      </c>
      <c r="O19" s="126"/>
      <c r="P19" s="126"/>
      <c r="Q19" s="29">
        <v>525</v>
      </c>
      <c r="R19" s="126"/>
      <c r="S19" s="29">
        <v>353</v>
      </c>
      <c r="T19" s="126"/>
      <c r="U19" s="29">
        <f t="shared" si="5"/>
        <v>34.607843137254903</v>
      </c>
      <c r="V19" s="126"/>
      <c r="W19" s="31">
        <f t="shared" si="0"/>
        <v>135.09201926384588</v>
      </c>
      <c r="X19" s="126"/>
      <c r="AA19" s="126"/>
      <c r="AF19" s="28">
        <v>14</v>
      </c>
      <c r="AG19" s="28">
        <v>2206</v>
      </c>
      <c r="AH19" s="129"/>
      <c r="AI19" s="28">
        <v>43.599999999941794</v>
      </c>
      <c r="AK19" s="123"/>
      <c r="AL19" s="28">
        <v>15.9</v>
      </c>
      <c r="AM19" s="123"/>
      <c r="AN19" s="28">
        <v>2437</v>
      </c>
      <c r="AO19" s="37">
        <f t="shared" si="3"/>
        <v>55.894495412918658</v>
      </c>
      <c r="AP19" s="123"/>
      <c r="AR19" s="29">
        <f t="shared" si="4"/>
        <v>218.18465314691932</v>
      </c>
      <c r="AS19" s="123"/>
    </row>
    <row r="20" spans="2:45" x14ac:dyDescent="0.3">
      <c r="B20" s="28">
        <v>15</v>
      </c>
      <c r="C20" s="28">
        <v>2202</v>
      </c>
      <c r="D20" s="125" t="s">
        <v>244</v>
      </c>
      <c r="E20" s="28">
        <v>798</v>
      </c>
      <c r="F20" s="28">
        <v>797</v>
      </c>
      <c r="G20" s="28">
        <f t="shared" si="1"/>
        <v>1</v>
      </c>
      <c r="H20" s="28">
        <v>7.09</v>
      </c>
      <c r="I20" s="126">
        <f>AVERAGE(F20:F24)</f>
        <v>793.4</v>
      </c>
      <c r="J20" s="126">
        <f>AVERAGE(G20:G24)</f>
        <v>1</v>
      </c>
      <c r="K20" s="126">
        <f>AVERAGE(H20:H24)</f>
        <v>8.0380000000000003</v>
      </c>
      <c r="L20" s="127">
        <v>5</v>
      </c>
      <c r="M20" s="29">
        <v>111</v>
      </c>
      <c r="N20" s="29">
        <f t="shared" si="2"/>
        <v>112.55289139633287</v>
      </c>
      <c r="O20" s="126">
        <f>AVERAGE(M20:M24)</f>
        <v>97.92</v>
      </c>
      <c r="P20" s="126">
        <f>AVERAGE(N20:N24)</f>
        <v>99.912901378317812</v>
      </c>
      <c r="Q20" s="29">
        <v>525</v>
      </c>
      <c r="R20" s="126">
        <f>AVERAGE(Q20:Q24)</f>
        <v>525</v>
      </c>
      <c r="S20" s="29">
        <v>3948</v>
      </c>
      <c r="T20" s="126">
        <f>AVERAGE(S20:S24)</f>
        <v>3605.2</v>
      </c>
      <c r="U20" s="29">
        <f t="shared" si="5"/>
        <v>35.567567567567565</v>
      </c>
      <c r="V20" s="126">
        <f>AVERAGE(U20:U24)</f>
        <v>37.070088701315242</v>
      </c>
      <c r="W20" s="31">
        <f t="shared" si="0"/>
        <v>138.83831199620673</v>
      </c>
      <c r="X20" s="126">
        <f>AVERAGE(W20:W24)</f>
        <v>144.70341642180071</v>
      </c>
      <c r="AA20" s="126">
        <f>K20/AA3</f>
        <v>0.58246376811594203</v>
      </c>
      <c r="AF20" s="28">
        <v>15</v>
      </c>
      <c r="AG20" s="28">
        <v>2207</v>
      </c>
      <c r="AH20" s="129"/>
      <c r="AI20" s="28">
        <v>44.800000000081489</v>
      </c>
      <c r="AK20" s="123"/>
      <c r="AL20" s="28">
        <v>14.1</v>
      </c>
      <c r="AM20" s="123"/>
      <c r="AN20" s="28">
        <v>2498</v>
      </c>
      <c r="AO20" s="37">
        <f t="shared" si="3"/>
        <v>55.758928571327147</v>
      </c>
      <c r="AP20" s="123"/>
      <c r="AR20" s="29">
        <f t="shared" si="4"/>
        <v>217.65546679158405</v>
      </c>
      <c r="AS20" s="123"/>
    </row>
    <row r="21" spans="2:45" x14ac:dyDescent="0.3">
      <c r="B21" s="28">
        <v>16</v>
      </c>
      <c r="C21" s="28">
        <v>2204</v>
      </c>
      <c r="D21" s="125"/>
      <c r="E21" s="28">
        <v>791</v>
      </c>
      <c r="F21" s="28">
        <v>789.5</v>
      </c>
      <c r="G21" s="28">
        <f t="shared" si="1"/>
        <v>1.5</v>
      </c>
      <c r="H21" s="28">
        <v>7.05</v>
      </c>
      <c r="I21" s="126"/>
      <c r="J21" s="126"/>
      <c r="K21" s="126"/>
      <c r="L21" s="127"/>
      <c r="M21" s="29">
        <v>111</v>
      </c>
      <c r="N21" s="29">
        <f t="shared" si="2"/>
        <v>112.19858156028369</v>
      </c>
      <c r="O21" s="126"/>
      <c r="P21" s="126"/>
      <c r="Q21" s="29">
        <v>525</v>
      </c>
      <c r="R21" s="126"/>
      <c r="S21" s="29">
        <v>3898</v>
      </c>
      <c r="T21" s="126"/>
      <c r="U21" s="29">
        <f t="shared" si="5"/>
        <v>35.117117117117118</v>
      </c>
      <c r="V21" s="126"/>
      <c r="W21" s="31">
        <f t="shared" si="0"/>
        <v>137.07997471155366</v>
      </c>
      <c r="X21" s="126"/>
      <c r="AA21" s="126"/>
      <c r="AF21" s="28">
        <v>16</v>
      </c>
      <c r="AG21" s="28">
        <v>2208</v>
      </c>
      <c r="AH21" s="129"/>
      <c r="AI21" s="28">
        <v>89.200000000046572</v>
      </c>
      <c r="AK21" s="123"/>
      <c r="AL21" s="28">
        <v>6.6</v>
      </c>
      <c r="AM21" s="123"/>
      <c r="AN21" s="28">
        <v>3736</v>
      </c>
      <c r="AO21" s="37">
        <f t="shared" si="3"/>
        <v>41.883408071727011</v>
      </c>
      <c r="AP21" s="123"/>
      <c r="AR21" s="29">
        <f t="shared" si="4"/>
        <v>163.49225080630279</v>
      </c>
      <c r="AS21" s="123"/>
    </row>
    <row r="22" spans="2:45" x14ac:dyDescent="0.3">
      <c r="B22" s="28">
        <v>17</v>
      </c>
      <c r="C22" s="28">
        <v>2205</v>
      </c>
      <c r="D22" s="125"/>
      <c r="E22" s="28">
        <v>798.5</v>
      </c>
      <c r="F22" s="28">
        <v>796.5</v>
      </c>
      <c r="G22" s="28">
        <f t="shared" si="1"/>
        <v>2</v>
      </c>
      <c r="H22" s="28">
        <v>8.36</v>
      </c>
      <c r="I22" s="126"/>
      <c r="J22" s="126"/>
      <c r="K22" s="126"/>
      <c r="L22" s="127"/>
      <c r="M22" s="29">
        <v>93.2</v>
      </c>
      <c r="N22" s="29">
        <f t="shared" si="2"/>
        <v>95.514354066985646</v>
      </c>
      <c r="O22" s="126"/>
      <c r="P22" s="126"/>
      <c r="Q22" s="29">
        <v>525</v>
      </c>
      <c r="R22" s="126"/>
      <c r="S22" s="29">
        <v>3230</v>
      </c>
      <c r="T22" s="126"/>
      <c r="U22" s="29">
        <f t="shared" si="5"/>
        <v>34.656652360515018</v>
      </c>
      <c r="V22" s="126"/>
      <c r="W22" s="31">
        <f t="shared" si="0"/>
        <v>135.28254649499283</v>
      </c>
      <c r="X22" s="126"/>
      <c r="AA22" s="126"/>
      <c r="AF22" s="28">
        <v>17</v>
      </c>
      <c r="AG22" s="36" t="s">
        <v>245</v>
      </c>
      <c r="AH22" s="129"/>
      <c r="AI22" s="28">
        <v>241.8000000001397</v>
      </c>
      <c r="AK22" s="123"/>
      <c r="AL22" s="28">
        <v>14.1</v>
      </c>
      <c r="AM22" s="123"/>
      <c r="AN22" s="28">
        <v>9012</v>
      </c>
      <c r="AO22" s="37">
        <f t="shared" si="3"/>
        <v>37.270471463998319</v>
      </c>
      <c r="AP22" s="123"/>
      <c r="AR22" s="29">
        <f t="shared" si="4"/>
        <v>145.48561229367763</v>
      </c>
      <c r="AS22" s="123"/>
    </row>
    <row r="23" spans="2:45" x14ac:dyDescent="0.3">
      <c r="B23" s="28">
        <v>18</v>
      </c>
      <c r="C23" s="28">
        <v>2207</v>
      </c>
      <c r="D23" s="125"/>
      <c r="E23" s="28">
        <v>795.5</v>
      </c>
      <c r="F23" s="28">
        <v>795</v>
      </c>
      <c r="G23" s="28">
        <f t="shared" si="1"/>
        <v>0.5</v>
      </c>
      <c r="H23" s="28">
        <v>8.6</v>
      </c>
      <c r="I23" s="126"/>
      <c r="J23" s="126"/>
      <c r="K23" s="126"/>
      <c r="L23" s="127"/>
      <c r="M23" s="29">
        <v>89.4</v>
      </c>
      <c r="N23" s="29">
        <f t="shared" si="2"/>
        <v>92.5</v>
      </c>
      <c r="O23" s="126"/>
      <c r="P23" s="126"/>
      <c r="Q23" s="29">
        <v>525</v>
      </c>
      <c r="R23" s="126"/>
      <c r="S23" s="29">
        <v>3032</v>
      </c>
      <c r="T23" s="126"/>
      <c r="U23" s="29">
        <f t="shared" si="5"/>
        <v>33.914988814317674</v>
      </c>
      <c r="V23" s="126"/>
      <c r="W23" s="31">
        <f t="shared" si="0"/>
        <v>132.38745633659093</v>
      </c>
      <c r="X23" s="126"/>
      <c r="AA23" s="126"/>
      <c r="AF23" s="28">
        <v>18</v>
      </c>
      <c r="AG23" s="28" t="s">
        <v>246</v>
      </c>
      <c r="AH23" s="129"/>
      <c r="AI23" s="28">
        <v>36.800000000069851</v>
      </c>
      <c r="AK23" s="123"/>
      <c r="AL23" s="28">
        <v>10.9</v>
      </c>
      <c r="AM23" s="123"/>
      <c r="AN23" s="28">
        <v>2835</v>
      </c>
      <c r="AO23" s="37">
        <f t="shared" si="3"/>
        <v>77.038043478114645</v>
      </c>
      <c r="AP23" s="123"/>
      <c r="AR23" s="29">
        <f t="shared" si="4"/>
        <v>300.71867848913172</v>
      </c>
      <c r="AS23" s="123"/>
    </row>
    <row r="24" spans="2:45" x14ac:dyDescent="0.3">
      <c r="B24" s="28">
        <v>19</v>
      </c>
      <c r="C24" s="28">
        <v>2208</v>
      </c>
      <c r="D24" s="125"/>
      <c r="E24" s="28">
        <v>789</v>
      </c>
      <c r="F24" s="28">
        <v>789</v>
      </c>
      <c r="G24" s="28">
        <f t="shared" si="1"/>
        <v>0</v>
      </c>
      <c r="H24" s="28">
        <v>9.09</v>
      </c>
      <c r="I24" s="126"/>
      <c r="J24" s="126"/>
      <c r="K24" s="126"/>
      <c r="L24" s="127"/>
      <c r="M24" s="29">
        <v>85</v>
      </c>
      <c r="N24" s="29">
        <f t="shared" si="2"/>
        <v>86.798679867986806</v>
      </c>
      <c r="O24" s="126"/>
      <c r="P24" s="126"/>
      <c r="Q24" s="29">
        <v>525</v>
      </c>
      <c r="R24" s="126"/>
      <c r="S24" s="29">
        <v>3918</v>
      </c>
      <c r="T24" s="126"/>
      <c r="U24" s="29">
        <f t="shared" si="5"/>
        <v>46.094117647058823</v>
      </c>
      <c r="V24" s="126"/>
      <c r="W24" s="31">
        <f t="shared" si="0"/>
        <v>179.92879256965944</v>
      </c>
      <c r="X24" s="126"/>
      <c r="AA24" s="126"/>
      <c r="AF24" s="28">
        <v>19</v>
      </c>
      <c r="AG24" s="36" t="s">
        <v>247</v>
      </c>
      <c r="AH24" s="129"/>
      <c r="AI24" s="28">
        <v>92.399999999965075</v>
      </c>
      <c r="AK24" s="123"/>
      <c r="AL24" s="28">
        <v>9</v>
      </c>
      <c r="AM24" s="123"/>
      <c r="AN24" s="28">
        <v>4202</v>
      </c>
      <c r="AO24" s="37">
        <f t="shared" si="3"/>
        <v>45.476190476207663</v>
      </c>
      <c r="AP24" s="123"/>
      <c r="AR24" s="29">
        <f t="shared" si="4"/>
        <v>177.51670843782816</v>
      </c>
      <c r="AS24" s="123"/>
    </row>
    <row r="25" spans="2:45" x14ac:dyDescent="0.3">
      <c r="B25" s="32">
        <v>20</v>
      </c>
      <c r="C25" s="28">
        <v>2203</v>
      </c>
      <c r="D25" s="125" t="s">
        <v>248</v>
      </c>
      <c r="E25" s="32">
        <v>583.5</v>
      </c>
      <c r="F25" s="32">
        <v>581</v>
      </c>
      <c r="G25" s="32">
        <f t="shared" si="1"/>
        <v>2.5</v>
      </c>
      <c r="H25" s="32">
        <v>8.42</v>
      </c>
      <c r="I25" s="126">
        <f>AVERAGE(F25:F31)</f>
        <v>588.57142857142856</v>
      </c>
      <c r="J25" s="126">
        <f>AVERAGE(G25:G31)</f>
        <v>10.428571428571429</v>
      </c>
      <c r="K25" s="126">
        <f>AVERAGE(H25:H31)</f>
        <v>8.3671428571428574</v>
      </c>
      <c r="L25" s="127">
        <v>7</v>
      </c>
      <c r="M25" s="29">
        <v>69.900000000000006</v>
      </c>
      <c r="N25" s="29">
        <f t="shared" si="2"/>
        <v>69.299287410926368</v>
      </c>
      <c r="O25" s="126">
        <f>AVERAGE(M25:M31)</f>
        <v>72.63333333333334</v>
      </c>
      <c r="P25" s="126">
        <f>AVERAGE(N25:N31)</f>
        <v>72.64501994220295</v>
      </c>
      <c r="Q25" s="29">
        <v>525</v>
      </c>
      <c r="R25" s="126">
        <f>AVERAGE(Q25:Q31)</f>
        <v>530.71428571428567</v>
      </c>
      <c r="S25" s="29">
        <v>3516</v>
      </c>
      <c r="T25" s="126">
        <f>AVERAGE(S25:S31)</f>
        <v>3503.8333333333335</v>
      </c>
      <c r="U25" s="29">
        <f t="shared" si="5"/>
        <v>50.300429184549351</v>
      </c>
      <c r="V25" s="126">
        <f>AVERAGE(U25:U31)</f>
        <v>48.440197037753848</v>
      </c>
      <c r="W25" s="31">
        <f t="shared" si="0"/>
        <v>196.34816655372333</v>
      </c>
      <c r="X25" s="126">
        <f>AVERAGE(W25:W31)</f>
        <v>189.08673405088129</v>
      </c>
      <c r="AA25" s="126">
        <f>K25/AA3</f>
        <v>0.6063146997929606</v>
      </c>
      <c r="AF25" s="28">
        <v>20</v>
      </c>
      <c r="AG25" s="28" t="s">
        <v>249</v>
      </c>
      <c r="AH25" s="129"/>
      <c r="AI25" s="28">
        <v>77.799999999906873</v>
      </c>
      <c r="AK25" s="123"/>
      <c r="AL25" s="28">
        <v>9.6</v>
      </c>
      <c r="AM25" s="123"/>
      <c r="AN25" s="28">
        <v>3295</v>
      </c>
      <c r="AO25" s="37">
        <f t="shared" si="3"/>
        <v>42.352185090024989</v>
      </c>
      <c r="AP25" s="123"/>
      <c r="AR25" s="29">
        <f t="shared" si="4"/>
        <v>165.32212600930808</v>
      </c>
      <c r="AS25" s="123"/>
    </row>
    <row r="26" spans="2:45" x14ac:dyDescent="0.3">
      <c r="B26" s="32">
        <v>21</v>
      </c>
      <c r="C26" s="28">
        <v>2203</v>
      </c>
      <c r="D26" s="125"/>
      <c r="E26" s="32">
        <v>600</v>
      </c>
      <c r="F26" s="32">
        <v>599</v>
      </c>
      <c r="G26" s="32">
        <f t="shared" si="1"/>
        <v>1</v>
      </c>
      <c r="H26" s="32">
        <v>8.6</v>
      </c>
      <c r="I26" s="126"/>
      <c r="J26" s="126"/>
      <c r="K26" s="126"/>
      <c r="L26" s="127"/>
      <c r="M26" s="29">
        <v>68.7</v>
      </c>
      <c r="N26" s="29">
        <f t="shared" si="2"/>
        <v>69.767441860465112</v>
      </c>
      <c r="O26" s="126"/>
      <c r="P26" s="126"/>
      <c r="Q26" s="29">
        <v>525</v>
      </c>
      <c r="R26" s="126"/>
      <c r="S26" s="29">
        <v>2508</v>
      </c>
      <c r="T26" s="126"/>
      <c r="U26" s="29">
        <f t="shared" si="5"/>
        <v>36.506550218340607</v>
      </c>
      <c r="V26" s="126"/>
      <c r="W26" s="31">
        <f t="shared" si="0"/>
        <v>142.5036390101892</v>
      </c>
      <c r="X26" s="126"/>
      <c r="AA26" s="126"/>
      <c r="AF26" s="28">
        <v>21</v>
      </c>
      <c r="AG26" s="28" t="s">
        <v>250</v>
      </c>
      <c r="AH26" s="129"/>
      <c r="AI26" s="28">
        <v>38.000000000046569</v>
      </c>
      <c r="AK26" s="123"/>
      <c r="AL26" s="28">
        <v>9.8000000000000007</v>
      </c>
      <c r="AM26" s="123"/>
      <c r="AN26" s="28">
        <v>1980</v>
      </c>
      <c r="AO26" s="37">
        <f t="shared" si="3"/>
        <v>52.105263157830883</v>
      </c>
      <c r="AP26" s="123"/>
      <c r="AR26" s="29">
        <f t="shared" si="4"/>
        <v>203.39335180030477</v>
      </c>
      <c r="AS26" s="123"/>
    </row>
    <row r="27" spans="2:45" x14ac:dyDescent="0.3">
      <c r="B27" s="32">
        <v>22</v>
      </c>
      <c r="C27" s="28" t="s">
        <v>73</v>
      </c>
      <c r="D27" s="125"/>
      <c r="E27" s="32">
        <v>596</v>
      </c>
      <c r="F27" s="32">
        <v>595</v>
      </c>
      <c r="G27" s="32">
        <f t="shared" si="1"/>
        <v>1</v>
      </c>
      <c r="H27" s="32">
        <v>9.1300000000000008</v>
      </c>
      <c r="I27" s="126"/>
      <c r="J27" s="126"/>
      <c r="K27" s="126"/>
      <c r="L27" s="127"/>
      <c r="M27" s="29"/>
      <c r="N27" s="29">
        <f t="shared" si="2"/>
        <v>65.279299014238774</v>
      </c>
      <c r="O27" s="126"/>
      <c r="P27" s="126"/>
      <c r="Q27" s="29">
        <v>525</v>
      </c>
      <c r="R27" s="126"/>
      <c r="S27" s="29"/>
      <c r="T27" s="126"/>
      <c r="U27" s="29"/>
      <c r="V27" s="126"/>
      <c r="W27" s="31"/>
      <c r="X27" s="126"/>
      <c r="AA27" s="126"/>
      <c r="AF27" s="28">
        <v>22</v>
      </c>
      <c r="AG27" s="28" t="s">
        <v>251</v>
      </c>
      <c r="AH27" s="129"/>
      <c r="AI27" s="28">
        <v>34.5</v>
      </c>
      <c r="AK27" s="123"/>
      <c r="AL27" s="28">
        <v>10.5</v>
      </c>
      <c r="AM27" s="123"/>
      <c r="AN27" s="28">
        <v>1583</v>
      </c>
      <c r="AO27" s="37">
        <f t="shared" si="3"/>
        <v>45.884057971014492</v>
      </c>
      <c r="AP27" s="123"/>
      <c r="AR27" s="29">
        <f t="shared" si="4"/>
        <v>179.10882278159164</v>
      </c>
      <c r="AS27" s="123"/>
    </row>
    <row r="28" spans="2:45" x14ac:dyDescent="0.3">
      <c r="B28" s="32">
        <v>23</v>
      </c>
      <c r="C28" s="28" t="s">
        <v>250</v>
      </c>
      <c r="D28" s="125"/>
      <c r="E28" s="32">
        <v>587</v>
      </c>
      <c r="F28" s="32">
        <v>584</v>
      </c>
      <c r="G28" s="32">
        <f t="shared" si="1"/>
        <v>3</v>
      </c>
      <c r="H28" s="32">
        <v>8.19</v>
      </c>
      <c r="I28" s="126"/>
      <c r="J28" s="126"/>
      <c r="K28" s="126"/>
      <c r="L28" s="127"/>
      <c r="M28" s="29">
        <v>69.599999999999994</v>
      </c>
      <c r="N28" s="29">
        <f t="shared" si="2"/>
        <v>71.672771672771674</v>
      </c>
      <c r="O28" s="126"/>
      <c r="P28" s="126"/>
      <c r="Q28" s="29">
        <v>525</v>
      </c>
      <c r="R28" s="126"/>
      <c r="S28" s="29">
        <v>2527</v>
      </c>
      <c r="T28" s="126"/>
      <c r="U28" s="29">
        <f t="shared" si="5"/>
        <v>36.30747126436782</v>
      </c>
      <c r="V28" s="126"/>
      <c r="W28" s="31">
        <f t="shared" ref="W28:W37" si="6">(((S28/M28)/1000)*(890*1000))/$AU$3</f>
        <v>141.72653256704982</v>
      </c>
      <c r="X28" s="126"/>
      <c r="AA28" s="126"/>
      <c r="AF28" s="28">
        <v>23</v>
      </c>
      <c r="AG28" s="28" t="s">
        <v>252</v>
      </c>
      <c r="AH28" s="129"/>
      <c r="AI28" s="28">
        <v>34.900000000058206</v>
      </c>
      <c r="AK28" s="123"/>
      <c r="AL28" s="28">
        <v>10.6</v>
      </c>
      <c r="AM28" s="123"/>
      <c r="AN28" s="28">
        <v>1208</v>
      </c>
      <c r="AO28" s="37">
        <f t="shared" si="3"/>
        <v>34.613180515701586</v>
      </c>
      <c r="AP28" s="123"/>
      <c r="AR28" s="29">
        <f t="shared" si="4"/>
        <v>135.11285376743163</v>
      </c>
      <c r="AS28" s="123"/>
    </row>
    <row r="29" spans="2:45" x14ac:dyDescent="0.3">
      <c r="B29" s="32">
        <v>24</v>
      </c>
      <c r="C29" s="28" t="s">
        <v>251</v>
      </c>
      <c r="D29" s="125"/>
      <c r="E29" s="32">
        <v>595.5</v>
      </c>
      <c r="F29" s="32">
        <v>592.5</v>
      </c>
      <c r="G29" s="32">
        <f t="shared" si="1"/>
        <v>3</v>
      </c>
      <c r="H29" s="32">
        <v>6.93</v>
      </c>
      <c r="I29" s="126"/>
      <c r="J29" s="126"/>
      <c r="K29" s="126"/>
      <c r="L29" s="127"/>
      <c r="M29" s="29">
        <v>86.1</v>
      </c>
      <c r="N29" s="29">
        <f t="shared" si="2"/>
        <v>85.930735930735935</v>
      </c>
      <c r="O29" s="126"/>
      <c r="P29" s="126"/>
      <c r="Q29" s="29">
        <v>560</v>
      </c>
      <c r="R29" s="126"/>
      <c r="S29" s="29">
        <v>4689</v>
      </c>
      <c r="T29" s="126"/>
      <c r="U29" s="29">
        <f t="shared" si="5"/>
        <v>54.459930313588856</v>
      </c>
      <c r="V29" s="126"/>
      <c r="W29" s="31">
        <f t="shared" si="6"/>
        <v>212.58481569778107</v>
      </c>
      <c r="X29" s="126"/>
      <c r="AA29" s="126"/>
      <c r="AF29" s="28">
        <v>24</v>
      </c>
      <c r="AG29" s="28" t="s">
        <v>233</v>
      </c>
      <c r="AH29" s="129"/>
      <c r="AI29" s="28">
        <v>21.200000000058207</v>
      </c>
      <c r="AK29" s="123"/>
      <c r="AL29" s="28">
        <v>9.3000000000000007</v>
      </c>
      <c r="AM29" s="123"/>
      <c r="AN29" s="28">
        <v>1070</v>
      </c>
      <c r="AO29" s="37">
        <f t="shared" si="3"/>
        <v>50.471698113068975</v>
      </c>
      <c r="AP29" s="123"/>
      <c r="AR29" s="29">
        <f t="shared" si="4"/>
        <v>197.01671631855871</v>
      </c>
      <c r="AS29" s="123"/>
    </row>
    <row r="30" spans="2:45" x14ac:dyDescent="0.3">
      <c r="B30" s="32">
        <v>25</v>
      </c>
      <c r="C30" s="28" t="s">
        <v>252</v>
      </c>
      <c r="D30" s="125"/>
      <c r="E30" s="32">
        <v>623.5</v>
      </c>
      <c r="F30" s="32">
        <v>591.5</v>
      </c>
      <c r="G30" s="32">
        <f t="shared" si="1"/>
        <v>32</v>
      </c>
      <c r="H30" s="32">
        <v>7.23</v>
      </c>
      <c r="I30" s="126"/>
      <c r="J30" s="126"/>
      <c r="K30" s="126"/>
      <c r="L30" s="127"/>
      <c r="M30" s="29">
        <v>82.2</v>
      </c>
      <c r="N30" s="29">
        <f t="shared" si="2"/>
        <v>86.23789764868603</v>
      </c>
      <c r="O30" s="126"/>
      <c r="P30" s="126"/>
      <c r="Q30" s="29">
        <v>525</v>
      </c>
      <c r="R30" s="126"/>
      <c r="S30" s="29">
        <v>3870</v>
      </c>
      <c r="T30" s="126"/>
      <c r="U30" s="29">
        <f t="shared" si="5"/>
        <v>47.080291970802918</v>
      </c>
      <c r="V30" s="126"/>
      <c r="W30" s="31">
        <f t="shared" si="6"/>
        <v>183.77833269304648</v>
      </c>
      <c r="X30" s="126"/>
      <c r="AA30" s="126"/>
      <c r="AF30" s="28">
        <v>25</v>
      </c>
      <c r="AG30" s="28" t="s">
        <v>235</v>
      </c>
      <c r="AH30" s="129"/>
      <c r="AI30" s="28">
        <v>67.799999999988358</v>
      </c>
      <c r="AK30" s="123"/>
      <c r="AL30" s="28">
        <v>11</v>
      </c>
      <c r="AM30" s="123"/>
      <c r="AN30" s="28">
        <v>2406</v>
      </c>
      <c r="AO30" s="37">
        <f t="shared" si="3"/>
        <v>35.486725663722908</v>
      </c>
      <c r="AP30" s="123"/>
      <c r="AR30" s="29">
        <f t="shared" si="4"/>
        <v>138.52274491540959</v>
      </c>
      <c r="AS30" s="123"/>
    </row>
    <row r="31" spans="2:45" x14ac:dyDescent="0.3">
      <c r="B31" s="32">
        <v>26</v>
      </c>
      <c r="C31" s="38" t="s">
        <v>253</v>
      </c>
      <c r="D31" s="125"/>
      <c r="E31" s="32">
        <v>607.5</v>
      </c>
      <c r="F31" s="32">
        <v>577</v>
      </c>
      <c r="G31" s="32">
        <f t="shared" si="1"/>
        <v>30.5</v>
      </c>
      <c r="H31" s="32">
        <v>10.07</v>
      </c>
      <c r="I31" s="126"/>
      <c r="J31" s="126"/>
      <c r="K31" s="126"/>
      <c r="L31" s="127"/>
      <c r="M31" s="29">
        <v>59.3</v>
      </c>
      <c r="N31" s="29">
        <f t="shared" si="2"/>
        <v>60.327706057596821</v>
      </c>
      <c r="O31" s="126"/>
      <c r="P31" s="126"/>
      <c r="Q31" s="29">
        <v>530</v>
      </c>
      <c r="R31" s="126"/>
      <c r="S31" s="29">
        <v>3913</v>
      </c>
      <c r="T31" s="126"/>
      <c r="U31" s="29">
        <f t="shared" si="5"/>
        <v>65.986509274873526</v>
      </c>
      <c r="V31" s="126"/>
      <c r="W31" s="31">
        <f t="shared" si="6"/>
        <v>257.57891778349756</v>
      </c>
      <c r="X31" s="126"/>
      <c r="AA31" s="126"/>
      <c r="AF31" s="28">
        <v>26</v>
      </c>
      <c r="AG31" s="28" t="s">
        <v>254</v>
      </c>
      <c r="AH31" s="129"/>
      <c r="AI31" s="28">
        <v>35.799999999965074</v>
      </c>
      <c r="AK31" s="123"/>
      <c r="AL31" s="28">
        <v>10.1</v>
      </c>
      <c r="AM31" s="123"/>
      <c r="AN31" s="28">
        <v>1942</v>
      </c>
      <c r="AO31" s="37">
        <f t="shared" si="3"/>
        <v>54.245810055918845</v>
      </c>
      <c r="AP31" s="123"/>
      <c r="AR31" s="29">
        <f t="shared" si="4"/>
        <v>211.7489953937183</v>
      </c>
      <c r="AS31" s="123"/>
    </row>
    <row r="32" spans="2:45" x14ac:dyDescent="0.3">
      <c r="B32" s="28">
        <v>27</v>
      </c>
      <c r="C32" s="28">
        <v>2206</v>
      </c>
      <c r="D32" s="125" t="s">
        <v>255</v>
      </c>
      <c r="E32" s="28">
        <v>435</v>
      </c>
      <c r="F32" s="28">
        <v>410</v>
      </c>
      <c r="G32" s="28">
        <f t="shared" si="1"/>
        <v>25</v>
      </c>
      <c r="H32" s="28">
        <v>8.9600000000000009</v>
      </c>
      <c r="I32" s="126">
        <f>AVERAGE(F32:F37)</f>
        <v>411.83333333333331</v>
      </c>
      <c r="J32" s="126">
        <f>AVERAGE(G32:G37)</f>
        <v>15.283333333333331</v>
      </c>
      <c r="K32" s="126">
        <f>AVERAGE(H32:H37)</f>
        <v>8.35</v>
      </c>
      <c r="L32" s="127">
        <v>6</v>
      </c>
      <c r="M32" s="29">
        <v>47.3</v>
      </c>
      <c r="N32" s="29">
        <f t="shared" si="2"/>
        <v>48.549107142857139</v>
      </c>
      <c r="O32" s="126">
        <f>AVERAGE(M32:M37)</f>
        <v>49.9</v>
      </c>
      <c r="P32" s="126">
        <f>AVERAGE(N32:N37)</f>
        <v>51.294265184711257</v>
      </c>
      <c r="Q32" s="29">
        <v>525</v>
      </c>
      <c r="R32" s="126">
        <f>AVERAGE(Q32:Q37)</f>
        <v>527.5</v>
      </c>
      <c r="S32" s="29">
        <v>1593</v>
      </c>
      <c r="T32" s="126">
        <f>AVERAGE(S32:S37)</f>
        <v>2324.3333333333335</v>
      </c>
      <c r="U32" s="29">
        <f t="shared" si="5"/>
        <v>33.678646934460893</v>
      </c>
      <c r="V32" s="126">
        <f>AVERAGE(U32:U37)</f>
        <v>46.725196113911899</v>
      </c>
      <c r="W32" s="31">
        <f t="shared" si="6"/>
        <v>131.46489373539558</v>
      </c>
      <c r="X32" s="126">
        <f>AVERAGE(W32:W37)</f>
        <v>182.39221290079647</v>
      </c>
      <c r="AA32" s="126">
        <f>K32/AA3</f>
        <v>0.60507246376811585</v>
      </c>
      <c r="AF32" s="28">
        <v>27</v>
      </c>
      <c r="AG32" s="28" t="s">
        <v>256</v>
      </c>
      <c r="AH32" s="129"/>
      <c r="AI32" s="28">
        <v>23.400000000046568</v>
      </c>
      <c r="AK32" s="123"/>
      <c r="AL32" s="28">
        <v>9.4</v>
      </c>
      <c r="AM32" s="123"/>
      <c r="AN32" s="28">
        <v>1369</v>
      </c>
      <c r="AO32" s="37">
        <f t="shared" si="3"/>
        <v>58.504273504157077</v>
      </c>
      <c r="AP32" s="123"/>
      <c r="AR32" s="29">
        <f t="shared" si="4"/>
        <v>228.37194481885876</v>
      </c>
      <c r="AS32" s="123"/>
    </row>
    <row r="33" spans="2:45" x14ac:dyDescent="0.3">
      <c r="B33" s="28">
        <v>28</v>
      </c>
      <c r="C33" s="28">
        <v>2206</v>
      </c>
      <c r="D33" s="125"/>
      <c r="E33" s="28">
        <v>416.5</v>
      </c>
      <c r="F33" s="28">
        <v>415</v>
      </c>
      <c r="G33" s="28">
        <f t="shared" si="1"/>
        <v>1.5</v>
      </c>
      <c r="H33" s="28">
        <v>8.42</v>
      </c>
      <c r="I33" s="126"/>
      <c r="J33" s="126"/>
      <c r="K33" s="126"/>
      <c r="L33" s="127"/>
      <c r="M33" s="29">
        <v>48.1</v>
      </c>
      <c r="N33" s="29">
        <f t="shared" si="2"/>
        <v>49.465558194774346</v>
      </c>
      <c r="O33" s="126"/>
      <c r="P33" s="126"/>
      <c r="Q33" s="29">
        <v>525</v>
      </c>
      <c r="R33" s="126"/>
      <c r="S33" s="29">
        <v>1814</v>
      </c>
      <c r="T33" s="126"/>
      <c r="U33" s="29">
        <f t="shared" si="5"/>
        <v>37.71309771309771</v>
      </c>
      <c r="V33" s="126"/>
      <c r="W33" s="31">
        <f t="shared" si="6"/>
        <v>147.21340773972352</v>
      </c>
      <c r="X33" s="126"/>
      <c r="AA33" s="126"/>
      <c r="AF33" s="28">
        <v>28</v>
      </c>
      <c r="AG33" s="28" t="s">
        <v>257</v>
      </c>
      <c r="AH33" s="129"/>
      <c r="AI33" s="28">
        <v>54.899999999953437</v>
      </c>
      <c r="AK33" s="123"/>
      <c r="AL33" s="28">
        <v>11.3</v>
      </c>
      <c r="AM33" s="123"/>
      <c r="AN33" s="28">
        <v>2696</v>
      </c>
      <c r="AO33" s="37">
        <f t="shared" si="3"/>
        <v>49.107468123903217</v>
      </c>
      <c r="AP33" s="123"/>
      <c r="AR33" s="29">
        <f t="shared" si="4"/>
        <v>191.69143258892046</v>
      </c>
      <c r="AS33" s="123"/>
    </row>
    <row r="34" spans="2:45" x14ac:dyDescent="0.3">
      <c r="B34" s="28">
        <v>29</v>
      </c>
      <c r="C34" s="28" t="s">
        <v>235</v>
      </c>
      <c r="D34" s="125"/>
      <c r="E34" s="28">
        <v>437.5</v>
      </c>
      <c r="F34" s="28">
        <v>410.5</v>
      </c>
      <c r="G34" s="28">
        <f t="shared" si="1"/>
        <v>27</v>
      </c>
      <c r="H34" s="28">
        <v>8.66</v>
      </c>
      <c r="I34" s="126"/>
      <c r="J34" s="126"/>
      <c r="K34" s="126"/>
      <c r="L34" s="127"/>
      <c r="M34" s="29">
        <v>54.3</v>
      </c>
      <c r="N34" s="29">
        <f t="shared" si="2"/>
        <v>50.519630484988454</v>
      </c>
      <c r="O34" s="126"/>
      <c r="P34" s="126"/>
      <c r="Q34" s="29">
        <v>525</v>
      </c>
      <c r="R34" s="126"/>
      <c r="S34" s="29">
        <v>2362</v>
      </c>
      <c r="T34" s="126"/>
      <c r="U34" s="29">
        <f t="shared" si="5"/>
        <v>43.499079189686924</v>
      </c>
      <c r="V34" s="126"/>
      <c r="W34" s="31">
        <f t="shared" si="6"/>
        <v>169.79903718781298</v>
      </c>
      <c r="X34" s="126"/>
      <c r="AA34" s="126"/>
      <c r="AF34" s="28">
        <v>29</v>
      </c>
      <c r="AG34" s="28" t="s">
        <v>258</v>
      </c>
      <c r="AH34" s="129"/>
      <c r="AI34" s="28">
        <v>59.400000000023283</v>
      </c>
      <c r="AK34" s="123"/>
      <c r="AL34" s="28">
        <v>20</v>
      </c>
      <c r="AM34" s="123"/>
      <c r="AN34" s="28">
        <v>2903</v>
      </c>
      <c r="AO34" s="37">
        <f t="shared" si="3"/>
        <v>48.872053872034712</v>
      </c>
      <c r="AP34" s="123"/>
      <c r="AR34" s="29">
        <f t="shared" si="4"/>
        <v>190.77249099171445</v>
      </c>
      <c r="AS34" s="123"/>
    </row>
    <row r="35" spans="2:45" x14ac:dyDescent="0.3">
      <c r="B35" s="28">
        <v>30</v>
      </c>
      <c r="C35" s="28" t="s">
        <v>235</v>
      </c>
      <c r="D35" s="125"/>
      <c r="E35" s="28">
        <v>420.7</v>
      </c>
      <c r="F35" s="28">
        <v>413</v>
      </c>
      <c r="G35" s="28">
        <f t="shared" si="1"/>
        <v>7.6999999999999886</v>
      </c>
      <c r="H35" s="28">
        <v>7.6</v>
      </c>
      <c r="I35" s="126"/>
      <c r="J35" s="126"/>
      <c r="K35" s="126"/>
      <c r="L35" s="127"/>
      <c r="M35" s="29">
        <v>50.1</v>
      </c>
      <c r="N35" s="29">
        <f t="shared" si="2"/>
        <v>55.35526315789474</v>
      </c>
      <c r="O35" s="126"/>
      <c r="P35" s="126"/>
      <c r="Q35" s="29">
        <v>525</v>
      </c>
      <c r="R35" s="126"/>
      <c r="S35" s="29">
        <v>1792</v>
      </c>
      <c r="T35" s="126"/>
      <c r="U35" s="29">
        <f t="shared" si="5"/>
        <v>35.768463073852296</v>
      </c>
      <c r="V35" s="126"/>
      <c r="W35" s="31">
        <f t="shared" si="6"/>
        <v>139.62250936723044</v>
      </c>
      <c r="X35" s="126"/>
      <c r="AA35" s="126"/>
      <c r="AF35" s="28">
        <v>30</v>
      </c>
      <c r="AG35" s="28" t="s">
        <v>259</v>
      </c>
      <c r="AH35" s="129"/>
      <c r="AI35" s="28">
        <v>30.099999999976717</v>
      </c>
      <c r="AK35" s="123"/>
      <c r="AL35" s="28">
        <v>9</v>
      </c>
      <c r="AM35" s="123"/>
      <c r="AN35" s="28">
        <v>2063</v>
      </c>
      <c r="AO35" s="37">
        <f t="shared" si="3"/>
        <v>68.538205980119457</v>
      </c>
      <c r="AP35" s="123"/>
      <c r="AR35" s="29">
        <f t="shared" si="4"/>
        <v>267.53948825572951</v>
      </c>
      <c r="AS35" s="123"/>
    </row>
    <row r="36" spans="2:45" x14ac:dyDescent="0.3">
      <c r="B36" s="28">
        <v>31</v>
      </c>
      <c r="C36" s="28" t="s">
        <v>254</v>
      </c>
      <c r="D36" s="125"/>
      <c r="E36" s="28">
        <v>432.5</v>
      </c>
      <c r="F36" s="28">
        <v>407</v>
      </c>
      <c r="G36" s="28">
        <f t="shared" si="1"/>
        <v>25.5</v>
      </c>
      <c r="H36" s="28">
        <v>8.68</v>
      </c>
      <c r="I36" s="126"/>
      <c r="J36" s="126"/>
      <c r="K36" s="126"/>
      <c r="L36" s="127"/>
      <c r="M36" s="29">
        <v>47.3</v>
      </c>
      <c r="N36" s="29">
        <f t="shared" si="2"/>
        <v>49.827188940092171</v>
      </c>
      <c r="O36" s="126"/>
      <c r="P36" s="126"/>
      <c r="Q36" s="29">
        <v>525</v>
      </c>
      <c r="R36" s="126"/>
      <c r="S36" s="29">
        <v>3764</v>
      </c>
      <c r="T36" s="126"/>
      <c r="U36" s="29">
        <f t="shared" si="5"/>
        <v>79.577167019027485</v>
      </c>
      <c r="V36" s="126"/>
      <c r="W36" s="31">
        <f t="shared" si="6"/>
        <v>310.63016950409849</v>
      </c>
      <c r="X36" s="126"/>
      <c r="AA36" s="126"/>
      <c r="AF36" s="28">
        <v>31</v>
      </c>
      <c r="AG36" s="28" t="s">
        <v>260</v>
      </c>
      <c r="AH36" s="129"/>
      <c r="AI36" s="28">
        <v>61.899999999965075</v>
      </c>
      <c r="AK36" s="123"/>
      <c r="AL36" s="28">
        <v>9.5</v>
      </c>
      <c r="AM36" s="123"/>
      <c r="AN36" s="28">
        <v>4372</v>
      </c>
      <c r="AO36" s="37">
        <f t="shared" si="3"/>
        <v>70.630048465306416</v>
      </c>
      <c r="AP36" s="123"/>
      <c r="AR36" s="29">
        <f t="shared" si="4"/>
        <v>275.70501374615225</v>
      </c>
      <c r="AS36" s="123"/>
    </row>
    <row r="37" spans="2:45" x14ac:dyDescent="0.3">
      <c r="B37" s="28">
        <v>32</v>
      </c>
      <c r="C37" s="28" t="s">
        <v>254</v>
      </c>
      <c r="D37" s="125"/>
      <c r="E37" s="28">
        <v>420.5</v>
      </c>
      <c r="F37" s="28">
        <v>415.5</v>
      </c>
      <c r="G37" s="28">
        <f t="shared" si="1"/>
        <v>5</v>
      </c>
      <c r="H37" s="28">
        <v>7.78</v>
      </c>
      <c r="I37" s="126"/>
      <c r="J37" s="126"/>
      <c r="K37" s="126"/>
      <c r="L37" s="127"/>
      <c r="M37" s="29">
        <v>52.3</v>
      </c>
      <c r="N37" s="29">
        <f t="shared" si="2"/>
        <v>54.048843187660665</v>
      </c>
      <c r="O37" s="126"/>
      <c r="P37" s="126"/>
      <c r="Q37" s="29">
        <v>540</v>
      </c>
      <c r="R37" s="126"/>
      <c r="S37" s="29">
        <v>2621</v>
      </c>
      <c r="T37" s="126"/>
      <c r="U37" s="29">
        <f t="shared" si="5"/>
        <v>50.114722753346086</v>
      </c>
      <c r="V37" s="126"/>
      <c r="W37" s="31">
        <f t="shared" si="6"/>
        <v>195.62325987051761</v>
      </c>
      <c r="X37" s="126"/>
      <c r="AA37" s="126"/>
      <c r="AF37" s="28">
        <v>32</v>
      </c>
      <c r="AG37" s="28" t="s">
        <v>261</v>
      </c>
      <c r="AH37" s="129"/>
      <c r="AI37" s="28">
        <v>24.899999999965075</v>
      </c>
      <c r="AK37" s="123"/>
      <c r="AL37" s="28">
        <v>10.5</v>
      </c>
      <c r="AM37" s="123"/>
      <c r="AN37" s="28">
        <v>2922</v>
      </c>
      <c r="AO37" s="37">
        <f t="shared" si="3"/>
        <v>117.34939759052604</v>
      </c>
      <c r="AP37" s="123"/>
      <c r="AR37" s="29">
        <f t="shared" si="4"/>
        <v>458.07440287529903</v>
      </c>
      <c r="AS37" s="123"/>
    </row>
    <row r="38" spans="2:45" x14ac:dyDescent="0.3">
      <c r="B38" s="32">
        <v>33</v>
      </c>
      <c r="C38" s="28" t="s">
        <v>73</v>
      </c>
      <c r="D38" s="125" t="s">
        <v>262</v>
      </c>
      <c r="E38" s="32">
        <v>736.5</v>
      </c>
      <c r="F38" s="32">
        <v>713.5</v>
      </c>
      <c r="G38" s="32">
        <f t="shared" si="1"/>
        <v>23</v>
      </c>
      <c r="H38" s="32">
        <v>10.96</v>
      </c>
      <c r="I38" s="126">
        <f>AVERAGE(F38:F42)</f>
        <v>718.42</v>
      </c>
      <c r="J38" s="126">
        <f>AVERAGE(G38:G42)</f>
        <v>10.3</v>
      </c>
      <c r="K38" s="126">
        <f>AVERAGE(H38:H42)</f>
        <v>9.218</v>
      </c>
      <c r="L38" s="127">
        <v>5</v>
      </c>
      <c r="M38" s="29"/>
      <c r="N38" s="29">
        <f t="shared" si="2"/>
        <v>67.198905109489047</v>
      </c>
      <c r="O38" s="126">
        <f>AVERAGE(M38:M42)</f>
        <v>80.800000000000011</v>
      </c>
      <c r="P38" s="126">
        <f>AVERAGE(N38:N42)</f>
        <v>80.04441118010331</v>
      </c>
      <c r="Q38" s="29">
        <v>525</v>
      </c>
      <c r="R38" s="126">
        <f>AVERAGE(Q38:Q42)</f>
        <v>539</v>
      </c>
      <c r="S38" s="29"/>
      <c r="T38" s="126">
        <f>AVERAGE(S38:S42)</f>
        <v>3498.5</v>
      </c>
      <c r="U38" s="29"/>
      <c r="V38" s="126">
        <f>AVERAGE(U38:U42)</f>
        <v>42.314723623012817</v>
      </c>
      <c r="W38" s="31"/>
      <c r="X38" s="126">
        <f>AVERAGE(W38:W42)</f>
        <v>165.17589484421671</v>
      </c>
      <c r="AA38" s="126">
        <f>K38/AA3</f>
        <v>0.66797101449275353</v>
      </c>
      <c r="AF38" s="28">
        <v>33</v>
      </c>
      <c r="AG38" s="28" t="s">
        <v>263</v>
      </c>
      <c r="AH38" s="130"/>
      <c r="AI38" s="28">
        <v>24.39999999991851</v>
      </c>
      <c r="AK38" s="124"/>
      <c r="AL38" s="28">
        <v>12.7</v>
      </c>
      <c r="AM38" s="124"/>
      <c r="AN38" s="28">
        <v>1744</v>
      </c>
      <c r="AO38" s="37">
        <f t="shared" si="3"/>
        <v>71.47540983630428</v>
      </c>
      <c r="AP38" s="124"/>
      <c r="AR38" s="29">
        <f t="shared" si="4"/>
        <v>279.00488927329303</v>
      </c>
      <c r="AS38" s="124"/>
    </row>
    <row r="39" spans="2:45" x14ac:dyDescent="0.3">
      <c r="B39" s="32">
        <v>34</v>
      </c>
      <c r="C39" s="28" t="s">
        <v>250</v>
      </c>
      <c r="D39" s="125"/>
      <c r="E39" s="32">
        <v>789</v>
      </c>
      <c r="F39" s="32">
        <v>767</v>
      </c>
      <c r="G39" s="32">
        <f t="shared" si="1"/>
        <v>22</v>
      </c>
      <c r="H39" s="32">
        <v>8.01</v>
      </c>
      <c r="I39" s="126"/>
      <c r="J39" s="126"/>
      <c r="K39" s="126"/>
      <c r="L39" s="127"/>
      <c r="M39" s="29">
        <v>90.4</v>
      </c>
      <c r="N39" s="29">
        <f t="shared" si="2"/>
        <v>98.50187265917603</v>
      </c>
      <c r="O39" s="126"/>
      <c r="P39" s="126"/>
      <c r="Q39" s="29">
        <v>525</v>
      </c>
      <c r="R39" s="126"/>
      <c r="S39" s="29">
        <v>6287</v>
      </c>
      <c r="T39" s="126"/>
      <c r="U39" s="29">
        <f t="shared" si="5"/>
        <v>69.546460176991147</v>
      </c>
      <c r="V39" s="126"/>
      <c r="W39" s="31">
        <f>(((S39/M39)/1000)*(890*1000))/$AU$3</f>
        <v>271.47521735755316</v>
      </c>
      <c r="X39" s="126"/>
      <c r="AA39" s="126"/>
      <c r="AF39" s="32">
        <v>34</v>
      </c>
      <c r="AG39" s="28">
        <v>2202</v>
      </c>
      <c r="AH39" s="128" t="s">
        <v>264</v>
      </c>
      <c r="AI39" s="32">
        <v>25.4</v>
      </c>
      <c r="AK39" s="131">
        <f>AVERAGE(AI39:AI43)</f>
        <v>32.040000000009314</v>
      </c>
      <c r="AL39" s="32">
        <v>3.5</v>
      </c>
      <c r="AM39" s="131">
        <f>AVERAGE(AL39:AL43)</f>
        <v>2.3400000000000003</v>
      </c>
      <c r="AN39" s="32">
        <v>1953</v>
      </c>
      <c r="AO39" s="35">
        <f t="shared" si="3"/>
        <v>76.88976377952757</v>
      </c>
      <c r="AP39" s="131">
        <f>AVERAGE(AO39:AO43)</f>
        <v>68.572277301325443</v>
      </c>
      <c r="AR39" s="29">
        <f t="shared" si="4"/>
        <v>300.13986738499796</v>
      </c>
      <c r="AS39" s="131">
        <f>AVERAGE(AR39:AR43)</f>
        <v>267.67248595692826</v>
      </c>
    </row>
    <row r="40" spans="2:45" x14ac:dyDescent="0.3">
      <c r="B40" s="32">
        <v>35</v>
      </c>
      <c r="C40" s="28" t="s">
        <v>251</v>
      </c>
      <c r="D40" s="125"/>
      <c r="E40" s="32">
        <v>691</v>
      </c>
      <c r="F40" s="32">
        <v>689.5</v>
      </c>
      <c r="G40" s="32">
        <f t="shared" si="1"/>
        <v>1.5</v>
      </c>
      <c r="H40" s="32">
        <v>9.25</v>
      </c>
      <c r="I40" s="126"/>
      <c r="J40" s="126"/>
      <c r="K40" s="126"/>
      <c r="L40" s="127"/>
      <c r="M40" s="29">
        <v>76</v>
      </c>
      <c r="N40" s="29">
        <f t="shared" si="2"/>
        <v>74.702702702702709</v>
      </c>
      <c r="O40" s="126"/>
      <c r="P40" s="126"/>
      <c r="Q40" s="29">
        <v>580</v>
      </c>
      <c r="R40" s="126"/>
      <c r="S40" s="29">
        <v>1935</v>
      </c>
      <c r="T40" s="126"/>
      <c r="U40" s="29">
        <f t="shared" si="5"/>
        <v>25.460526315789473</v>
      </c>
      <c r="V40" s="126"/>
      <c r="W40" s="31">
        <f>(((S40/M40)/1000)*(890*1000))/$AU$3</f>
        <v>99.385387811634345</v>
      </c>
      <c r="X40" s="126"/>
      <c r="AA40" s="126"/>
      <c r="AF40" s="32">
        <v>35</v>
      </c>
      <c r="AG40" s="28">
        <v>2204</v>
      </c>
      <c r="AH40" s="129"/>
      <c r="AI40" s="32">
        <v>32.4</v>
      </c>
      <c r="AK40" s="123"/>
      <c r="AL40" s="32">
        <v>2.8</v>
      </c>
      <c r="AM40" s="123"/>
      <c r="AN40" s="32">
        <v>1876</v>
      </c>
      <c r="AO40" s="35">
        <f t="shared" si="3"/>
        <v>57.901234567901234</v>
      </c>
      <c r="AP40" s="123"/>
      <c r="AR40" s="29">
        <f t="shared" si="4"/>
        <v>226.01797704136885</v>
      </c>
      <c r="AS40" s="123"/>
    </row>
    <row r="41" spans="2:45" x14ac:dyDescent="0.3">
      <c r="B41" s="32">
        <v>36</v>
      </c>
      <c r="C41" s="28" t="s">
        <v>252</v>
      </c>
      <c r="D41" s="125"/>
      <c r="E41" s="32">
        <v>710</v>
      </c>
      <c r="F41" s="32">
        <v>708.5</v>
      </c>
      <c r="G41" s="32">
        <f t="shared" si="1"/>
        <v>1.5</v>
      </c>
      <c r="H41" s="32">
        <v>8.69</v>
      </c>
      <c r="I41" s="126"/>
      <c r="J41" s="126"/>
      <c r="K41" s="126"/>
      <c r="L41" s="127"/>
      <c r="M41" s="29">
        <v>80.400000000000006</v>
      </c>
      <c r="N41" s="29">
        <f t="shared" si="2"/>
        <v>81.703107019562722</v>
      </c>
      <c r="O41" s="126"/>
      <c r="P41" s="126"/>
      <c r="Q41" s="29">
        <v>525</v>
      </c>
      <c r="R41" s="126"/>
      <c r="S41" s="29">
        <v>1993</v>
      </c>
      <c r="T41" s="126"/>
      <c r="U41" s="29">
        <f t="shared" si="5"/>
        <v>24.788557213930346</v>
      </c>
      <c r="V41" s="126"/>
      <c r="W41" s="31">
        <f>(((S41/M41)/1000)*(890*1000))/$AU$3</f>
        <v>96.762350528061432</v>
      </c>
      <c r="X41" s="126"/>
      <c r="AA41" s="126"/>
      <c r="AF41" s="32">
        <v>36</v>
      </c>
      <c r="AG41" s="28">
        <v>2205</v>
      </c>
      <c r="AH41" s="129"/>
      <c r="AI41" s="32">
        <v>11.799999999976716</v>
      </c>
      <c r="AK41" s="123"/>
      <c r="AL41" s="32">
        <v>1.8</v>
      </c>
      <c r="AM41" s="123"/>
      <c r="AN41" s="32">
        <v>1072</v>
      </c>
      <c r="AO41" s="35">
        <f t="shared" si="3"/>
        <v>90.847457627297899</v>
      </c>
      <c r="AP41" s="123"/>
      <c r="AR41" s="29">
        <f t="shared" si="4"/>
        <v>354.6238477556804</v>
      </c>
      <c r="AS41" s="123"/>
    </row>
    <row r="42" spans="2:45" x14ac:dyDescent="0.3">
      <c r="B42" s="32">
        <v>37</v>
      </c>
      <c r="C42" s="38" t="s">
        <v>253</v>
      </c>
      <c r="D42" s="125"/>
      <c r="E42" s="32">
        <v>717.1</v>
      </c>
      <c r="F42" s="32">
        <v>713.6</v>
      </c>
      <c r="G42" s="32">
        <f t="shared" si="1"/>
        <v>3.5</v>
      </c>
      <c r="H42" s="32">
        <v>9.18</v>
      </c>
      <c r="I42" s="126"/>
      <c r="J42" s="126"/>
      <c r="K42" s="126"/>
      <c r="L42" s="127"/>
      <c r="M42" s="29">
        <v>76.400000000000006</v>
      </c>
      <c r="N42" s="29">
        <f t="shared" si="2"/>
        <v>78.115468409586057</v>
      </c>
      <c r="O42" s="126"/>
      <c r="P42" s="126"/>
      <c r="Q42" s="29">
        <v>540</v>
      </c>
      <c r="R42" s="126"/>
      <c r="S42" s="29">
        <v>3779</v>
      </c>
      <c r="T42" s="126"/>
      <c r="U42" s="29">
        <f t="shared" si="5"/>
        <v>49.46335078534031</v>
      </c>
      <c r="V42" s="126"/>
      <c r="W42" s="31">
        <f>(((S42/M42)/1000)*(890*1000))/$AU$3</f>
        <v>193.08062367961787</v>
      </c>
      <c r="X42" s="126"/>
      <c r="AA42" s="126"/>
      <c r="AF42" s="32">
        <v>37</v>
      </c>
      <c r="AG42" s="28">
        <v>2207</v>
      </c>
      <c r="AH42" s="129"/>
      <c r="AI42" s="32">
        <v>10.700000000058207</v>
      </c>
      <c r="AK42" s="123"/>
      <c r="AL42" s="32">
        <v>1.8</v>
      </c>
      <c r="AM42" s="123"/>
      <c r="AN42" s="32">
        <v>822</v>
      </c>
      <c r="AO42" s="35">
        <f t="shared" si="3"/>
        <v>76.822429906124157</v>
      </c>
      <c r="AP42" s="123"/>
      <c r="AR42" s="29">
        <f t="shared" si="4"/>
        <v>299.87702901951974</v>
      </c>
      <c r="AS42" s="123"/>
    </row>
    <row r="43" spans="2:45" x14ac:dyDescent="0.3">
      <c r="B43" s="28">
        <v>38</v>
      </c>
      <c r="C43" s="28" t="s">
        <v>73</v>
      </c>
      <c r="D43" s="125" t="s">
        <v>265</v>
      </c>
      <c r="E43" s="28">
        <v>165.5</v>
      </c>
      <c r="F43" s="28">
        <v>164.5</v>
      </c>
      <c r="G43" s="28">
        <f t="shared" si="1"/>
        <v>1</v>
      </c>
      <c r="H43" s="28">
        <v>8.6</v>
      </c>
      <c r="I43" s="126">
        <f>AVERAGE(F43:F47)</f>
        <v>161.94</v>
      </c>
      <c r="J43" s="126">
        <f>AVERAGE(G43:G47)</f>
        <v>2.4</v>
      </c>
      <c r="K43" s="126">
        <f>AVERAGE(H43:H47)</f>
        <v>8.2339999999999982</v>
      </c>
      <c r="L43" s="127">
        <v>5</v>
      </c>
      <c r="M43" s="29"/>
      <c r="N43" s="29">
        <f t="shared" si="2"/>
        <v>19.244186046511629</v>
      </c>
      <c r="O43" s="126">
        <f>AVERAGE(M43:M47)</f>
        <v>19.224999999999998</v>
      </c>
      <c r="P43" s="126">
        <f>AVERAGE(N43:N47)</f>
        <v>19.983077952932888</v>
      </c>
      <c r="Q43" s="29">
        <v>525</v>
      </c>
      <c r="R43" s="126">
        <f>AVERAGE(Q43:Q47)</f>
        <v>528</v>
      </c>
      <c r="S43" s="29"/>
      <c r="T43" s="126">
        <f>AVERAGE(S43:S47)</f>
        <v>705</v>
      </c>
      <c r="U43" s="29"/>
      <c r="V43" s="126">
        <f>AVERAGE(U43:U47)</f>
        <v>37.063102092762101</v>
      </c>
      <c r="W43" s="31"/>
      <c r="X43" s="126">
        <f>AVERAGE(W43:W47)</f>
        <v>144.67614413402748</v>
      </c>
      <c r="AA43" s="126">
        <f>K43/AA3</f>
        <v>0.59666666666666646</v>
      </c>
      <c r="AF43" s="32">
        <v>38</v>
      </c>
      <c r="AG43" s="28">
        <v>2208</v>
      </c>
      <c r="AH43" s="130"/>
      <c r="AI43" s="32">
        <v>79.900000000011644</v>
      </c>
      <c r="AK43" s="124"/>
      <c r="AL43" s="32">
        <v>1.8</v>
      </c>
      <c r="AM43" s="124"/>
      <c r="AN43" s="32">
        <v>3228</v>
      </c>
      <c r="AO43" s="35">
        <f t="shared" si="3"/>
        <v>40.400500625776338</v>
      </c>
      <c r="AP43" s="124"/>
      <c r="AR43" s="29">
        <f t="shared" si="4"/>
        <v>157.7037085830743</v>
      </c>
      <c r="AS43" s="124"/>
    </row>
    <row r="44" spans="2:45" x14ac:dyDescent="0.3">
      <c r="B44" s="28">
        <v>39</v>
      </c>
      <c r="C44" s="28" t="s">
        <v>250</v>
      </c>
      <c r="D44" s="125"/>
      <c r="E44" s="28">
        <v>162</v>
      </c>
      <c r="F44" s="28">
        <v>160.5</v>
      </c>
      <c r="G44" s="28">
        <f t="shared" si="1"/>
        <v>1.5</v>
      </c>
      <c r="H44" s="28">
        <v>8.08</v>
      </c>
      <c r="I44" s="126"/>
      <c r="J44" s="126"/>
      <c r="K44" s="126"/>
      <c r="L44" s="127"/>
      <c r="M44" s="29">
        <v>19.7</v>
      </c>
      <c r="N44" s="29">
        <f t="shared" si="2"/>
        <v>20.049504950495049</v>
      </c>
      <c r="O44" s="126"/>
      <c r="P44" s="126"/>
      <c r="Q44" s="29">
        <v>525</v>
      </c>
      <c r="R44" s="126"/>
      <c r="S44" s="29">
        <v>930</v>
      </c>
      <c r="T44" s="126"/>
      <c r="U44" s="29">
        <f t="shared" si="5"/>
        <v>47.208121827411169</v>
      </c>
      <c r="V44" s="126"/>
      <c r="W44" s="31">
        <f t="shared" ref="W44:W93" si="7">(((S44/M44)/1000)*(890*1000))/$AU$3</f>
        <v>184.27731765963131</v>
      </c>
      <c r="X44" s="126"/>
      <c r="AA44" s="126"/>
      <c r="AF44" s="28">
        <v>39</v>
      </c>
      <c r="AG44" s="28">
        <v>2202</v>
      </c>
      <c r="AH44" s="128" t="s">
        <v>266</v>
      </c>
      <c r="AI44" s="28">
        <v>54.8</v>
      </c>
      <c r="AK44" s="131">
        <f>AVERAGE(AI44:AI48)</f>
        <v>48.939999999955759</v>
      </c>
      <c r="AL44" s="28">
        <v>2.6</v>
      </c>
      <c r="AM44" s="131">
        <f>AVERAGE(AL44:AL48)</f>
        <v>2.56</v>
      </c>
      <c r="AN44" s="28">
        <v>3867</v>
      </c>
      <c r="AO44" s="37">
        <f t="shared" si="3"/>
        <v>70.565693430656935</v>
      </c>
      <c r="AP44" s="131">
        <f>AVERAGE(AO44:AO48)</f>
        <v>70.556219189727685</v>
      </c>
      <c r="AR44" s="29">
        <f t="shared" si="4"/>
        <v>275.45380330388014</v>
      </c>
      <c r="AS44" s="131">
        <f>AVERAGE(AR44:AR48)</f>
        <v>275.41682052130534</v>
      </c>
    </row>
    <row r="45" spans="2:45" x14ac:dyDescent="0.3">
      <c r="B45" s="28">
        <v>40</v>
      </c>
      <c r="C45" s="28" t="s">
        <v>251</v>
      </c>
      <c r="D45" s="125"/>
      <c r="E45" s="28">
        <v>167</v>
      </c>
      <c r="F45" s="28">
        <v>162</v>
      </c>
      <c r="G45" s="28">
        <f t="shared" si="1"/>
        <v>5</v>
      </c>
      <c r="H45" s="28">
        <v>7.8</v>
      </c>
      <c r="I45" s="126"/>
      <c r="J45" s="126"/>
      <c r="K45" s="126"/>
      <c r="L45" s="127"/>
      <c r="M45" s="29">
        <v>19.899999999999999</v>
      </c>
      <c r="N45" s="29">
        <f t="shared" si="2"/>
        <v>21.410256410256412</v>
      </c>
      <c r="O45" s="126"/>
      <c r="P45" s="126"/>
      <c r="Q45" s="29">
        <v>525</v>
      </c>
      <c r="R45" s="126"/>
      <c r="S45" s="29">
        <v>530</v>
      </c>
      <c r="T45" s="126"/>
      <c r="U45" s="29">
        <f t="shared" si="5"/>
        <v>26.633165829145732</v>
      </c>
      <c r="V45" s="126"/>
      <c r="W45" s="31">
        <f t="shared" si="7"/>
        <v>103.96279643833202</v>
      </c>
      <c r="X45" s="126"/>
      <c r="AA45" s="126"/>
      <c r="AF45" s="28">
        <v>40</v>
      </c>
      <c r="AG45" s="28">
        <v>2204</v>
      </c>
      <c r="AH45" s="129"/>
      <c r="AI45" s="28">
        <v>36.9</v>
      </c>
      <c r="AK45" s="123"/>
      <c r="AL45" s="28">
        <v>2.5</v>
      </c>
      <c r="AM45" s="123"/>
      <c r="AN45" s="28">
        <v>2809</v>
      </c>
      <c r="AO45" s="37">
        <f t="shared" si="3"/>
        <v>76.124661246612476</v>
      </c>
      <c r="AP45" s="123"/>
      <c r="AR45" s="29">
        <f t="shared" si="4"/>
        <v>297.15328293633814</v>
      </c>
      <c r="AS45" s="123"/>
    </row>
    <row r="46" spans="2:45" x14ac:dyDescent="0.3">
      <c r="B46" s="28">
        <v>41</v>
      </c>
      <c r="C46" s="28" t="s">
        <v>252</v>
      </c>
      <c r="D46" s="125"/>
      <c r="E46" s="28">
        <v>164</v>
      </c>
      <c r="F46" s="28">
        <v>162.5</v>
      </c>
      <c r="G46" s="28">
        <f t="shared" si="1"/>
        <v>1.5</v>
      </c>
      <c r="H46" s="28">
        <v>8.2899999999999991</v>
      </c>
      <c r="I46" s="126"/>
      <c r="J46" s="126"/>
      <c r="K46" s="126"/>
      <c r="L46" s="127"/>
      <c r="M46" s="29">
        <v>19.5</v>
      </c>
      <c r="N46" s="29">
        <f t="shared" si="2"/>
        <v>19.782870928829919</v>
      </c>
      <c r="O46" s="126"/>
      <c r="P46" s="126"/>
      <c r="Q46" s="29">
        <v>525</v>
      </c>
      <c r="R46" s="126"/>
      <c r="S46" s="29">
        <v>407</v>
      </c>
      <c r="T46" s="126"/>
      <c r="U46" s="29">
        <f t="shared" si="5"/>
        <v>20.871794871794872</v>
      </c>
      <c r="V46" s="126"/>
      <c r="W46" s="31">
        <f t="shared" si="7"/>
        <v>81.473234367971216</v>
      </c>
      <c r="X46" s="126"/>
      <c r="AA46" s="126"/>
      <c r="AF46" s="28">
        <v>41</v>
      </c>
      <c r="AG46" s="28">
        <v>2205</v>
      </c>
      <c r="AH46" s="129"/>
      <c r="AI46" s="28">
        <v>25.099999999883586</v>
      </c>
      <c r="AK46" s="123"/>
      <c r="AL46" s="28">
        <v>2.4</v>
      </c>
      <c r="AM46" s="123"/>
      <c r="AN46" s="28">
        <v>2337</v>
      </c>
      <c r="AO46" s="37">
        <f t="shared" si="3"/>
        <v>93.107569721547378</v>
      </c>
      <c r="AP46" s="123"/>
      <c r="AR46" s="29">
        <f t="shared" si="4"/>
        <v>363.44621514112794</v>
      </c>
      <c r="AS46" s="123"/>
    </row>
    <row r="47" spans="2:45" x14ac:dyDescent="0.3">
      <c r="B47" s="28">
        <v>42</v>
      </c>
      <c r="C47" s="38" t="s">
        <v>253</v>
      </c>
      <c r="D47" s="125"/>
      <c r="E47" s="28">
        <v>163.19999999999999</v>
      </c>
      <c r="F47" s="28">
        <v>160.19999999999999</v>
      </c>
      <c r="G47" s="28">
        <f t="shared" si="1"/>
        <v>3</v>
      </c>
      <c r="H47" s="28">
        <v>8.4</v>
      </c>
      <c r="I47" s="126"/>
      <c r="J47" s="126"/>
      <c r="K47" s="126"/>
      <c r="L47" s="127"/>
      <c r="M47" s="29">
        <v>17.8</v>
      </c>
      <c r="N47" s="29">
        <f t="shared" si="2"/>
        <v>19.428571428571427</v>
      </c>
      <c r="O47" s="126"/>
      <c r="P47" s="126"/>
      <c r="Q47" s="29">
        <v>540</v>
      </c>
      <c r="R47" s="126"/>
      <c r="S47" s="29">
        <v>953</v>
      </c>
      <c r="T47" s="126"/>
      <c r="U47" s="29">
        <f t="shared" si="5"/>
        <v>53.539325842696627</v>
      </c>
      <c r="V47" s="126"/>
      <c r="W47" s="31">
        <f t="shared" si="7"/>
        <v>208.99122807017545</v>
      </c>
      <c r="X47" s="126"/>
      <c r="AA47" s="126"/>
      <c r="AF47" s="28">
        <v>42</v>
      </c>
      <c r="AG47" s="28">
        <v>2207</v>
      </c>
      <c r="AH47" s="129"/>
      <c r="AI47" s="28">
        <v>58.599999999918509</v>
      </c>
      <c r="AK47" s="123"/>
      <c r="AL47" s="28">
        <v>2.5</v>
      </c>
      <c r="AM47" s="123"/>
      <c r="AN47" s="28">
        <v>3290</v>
      </c>
      <c r="AO47" s="37">
        <f t="shared" si="3"/>
        <v>56.143344709975686</v>
      </c>
      <c r="AP47" s="123"/>
      <c r="AR47" s="29">
        <f t="shared" si="4"/>
        <v>219.15603856087</v>
      </c>
      <c r="AS47" s="123"/>
    </row>
    <row r="48" spans="2:45" x14ac:dyDescent="0.3">
      <c r="B48" s="32">
        <v>43</v>
      </c>
      <c r="C48" s="28" t="s">
        <v>245</v>
      </c>
      <c r="D48" s="125" t="s">
        <v>267</v>
      </c>
      <c r="E48" s="32">
        <v>473</v>
      </c>
      <c r="F48" s="32">
        <v>452</v>
      </c>
      <c r="G48" s="32">
        <f t="shared" si="1"/>
        <v>21</v>
      </c>
      <c r="H48" s="32">
        <v>6.64</v>
      </c>
      <c r="I48" s="126">
        <f>AVERAGE(F48:F57)</f>
        <v>455.45</v>
      </c>
      <c r="J48" s="126">
        <f>AVERAGE(G48:G57)</f>
        <v>20.869999999999997</v>
      </c>
      <c r="K48" s="126">
        <f>AVERAGE(H48:H57)</f>
        <v>8.1210000000000004</v>
      </c>
      <c r="L48" s="127">
        <v>10</v>
      </c>
      <c r="M48" s="29">
        <v>69</v>
      </c>
      <c r="N48" s="29">
        <f t="shared" si="2"/>
        <v>71.234939759036152</v>
      </c>
      <c r="O48" s="126">
        <f>AVERAGE(M48:M57)</f>
        <v>56.05</v>
      </c>
      <c r="P48" s="126">
        <f>AVERAGE(N48:N57)</f>
        <v>58.185681062117432</v>
      </c>
      <c r="Q48" s="29">
        <v>525</v>
      </c>
      <c r="R48" s="126">
        <f>AVERAGE(Q48:Q57)</f>
        <v>525</v>
      </c>
      <c r="S48" s="29">
        <v>5687</v>
      </c>
      <c r="T48" s="126">
        <f>AVERAGE(S48:S57)</f>
        <v>3312.3</v>
      </c>
      <c r="U48" s="29">
        <f t="shared" si="5"/>
        <v>82.420289855072468</v>
      </c>
      <c r="V48" s="126">
        <f>AVERAGE(U48:U57)</f>
        <v>57.729048654636678</v>
      </c>
      <c r="W48" s="31">
        <f t="shared" si="7"/>
        <v>321.7283244342741</v>
      </c>
      <c r="X48" s="126">
        <f>AVERAGE(W48:W57)</f>
        <v>225.34584781853792</v>
      </c>
      <c r="AA48" s="126">
        <f>K48/AA3</f>
        <v>0.58847826086956523</v>
      </c>
      <c r="AF48" s="28">
        <v>43</v>
      </c>
      <c r="AG48" s="28">
        <v>2208</v>
      </c>
      <c r="AH48" s="130"/>
      <c r="AI48" s="28">
        <v>69.29999999997672</v>
      </c>
      <c r="AK48" s="124"/>
      <c r="AL48" s="28">
        <v>2.8</v>
      </c>
      <c r="AM48" s="124"/>
      <c r="AN48" s="28">
        <v>3939</v>
      </c>
      <c r="AO48" s="37">
        <f t="shared" si="3"/>
        <v>56.839826839845934</v>
      </c>
      <c r="AP48" s="124"/>
      <c r="AR48" s="29">
        <f t="shared" si="4"/>
        <v>221.87476266431085</v>
      </c>
      <c r="AS48" s="124"/>
    </row>
    <row r="49" spans="2:45" x14ac:dyDescent="0.3">
      <c r="B49" s="32">
        <v>44</v>
      </c>
      <c r="C49" s="28" t="s">
        <v>245</v>
      </c>
      <c r="D49" s="125"/>
      <c r="E49" s="32">
        <v>476</v>
      </c>
      <c r="F49" s="32">
        <v>462</v>
      </c>
      <c r="G49" s="32">
        <f t="shared" si="1"/>
        <v>14</v>
      </c>
      <c r="H49" s="32">
        <v>8.26</v>
      </c>
      <c r="I49" s="126"/>
      <c r="J49" s="126"/>
      <c r="K49" s="126"/>
      <c r="L49" s="127"/>
      <c r="M49" s="29">
        <v>54</v>
      </c>
      <c r="N49" s="29">
        <f t="shared" si="2"/>
        <v>57.627118644067799</v>
      </c>
      <c r="O49" s="126"/>
      <c r="P49" s="126"/>
      <c r="Q49" s="29">
        <v>525</v>
      </c>
      <c r="R49" s="126"/>
      <c r="S49" s="29">
        <v>1958</v>
      </c>
      <c r="T49" s="126"/>
      <c r="U49" s="29">
        <f t="shared" si="5"/>
        <v>36.25925925925926</v>
      </c>
      <c r="V49" s="126"/>
      <c r="W49" s="31">
        <f t="shared" si="7"/>
        <v>141.53833658219625</v>
      </c>
      <c r="X49" s="126"/>
      <c r="AA49" s="126"/>
      <c r="AF49" s="32">
        <v>44</v>
      </c>
      <c r="AG49" s="28">
        <v>2203</v>
      </c>
      <c r="AH49" s="128" t="s">
        <v>268</v>
      </c>
      <c r="AI49" s="32">
        <v>53.3</v>
      </c>
      <c r="AK49" s="131">
        <f>AVERAGE(AI49:AI52)</f>
        <v>49.200000000034919</v>
      </c>
      <c r="AL49" s="32">
        <v>4.5999999999999996</v>
      </c>
      <c r="AM49" s="131">
        <f>AVERAGE(AL49:AL52)</f>
        <v>5.625</v>
      </c>
      <c r="AN49" s="32">
        <v>2693</v>
      </c>
      <c r="AO49" s="35">
        <f t="shared" si="3"/>
        <v>50.525328330206385</v>
      </c>
      <c r="AP49" s="131">
        <f>AVERAGE(AO49:AO52)</f>
        <v>43.688784823264584</v>
      </c>
      <c r="AR49" s="29">
        <f t="shared" si="4"/>
        <v>197.22606234159508</v>
      </c>
      <c r="AS49" s="131">
        <f>AVERAGE(AR49:AR52)</f>
        <v>170.53955479256786</v>
      </c>
    </row>
    <row r="50" spans="2:45" x14ac:dyDescent="0.3">
      <c r="B50" s="32">
        <v>45</v>
      </c>
      <c r="C50" s="28" t="s">
        <v>246</v>
      </c>
      <c r="D50" s="125"/>
      <c r="E50" s="32">
        <v>458</v>
      </c>
      <c r="F50" s="32">
        <v>458</v>
      </c>
      <c r="G50" s="32">
        <f t="shared" si="1"/>
        <v>0</v>
      </c>
      <c r="H50" s="32">
        <v>7.91</v>
      </c>
      <c r="I50" s="126"/>
      <c r="J50" s="126"/>
      <c r="K50" s="126"/>
      <c r="L50" s="127"/>
      <c r="M50" s="29">
        <v>58.9</v>
      </c>
      <c r="N50" s="29">
        <f t="shared" si="2"/>
        <v>57.901390644753477</v>
      </c>
      <c r="O50" s="126"/>
      <c r="P50" s="126"/>
      <c r="Q50" s="29">
        <v>525</v>
      </c>
      <c r="R50" s="126"/>
      <c r="S50" s="29">
        <v>4150</v>
      </c>
      <c r="T50" s="126"/>
      <c r="U50" s="29">
        <f>S50/M50</f>
        <v>70.458404074702884</v>
      </c>
      <c r="V50" s="126"/>
      <c r="W50" s="31">
        <f t="shared" si="7"/>
        <v>275.03499836177883</v>
      </c>
      <c r="X50" s="126"/>
      <c r="AA50" s="126"/>
      <c r="AF50" s="32">
        <v>45</v>
      </c>
      <c r="AG50" s="28" t="s">
        <v>250</v>
      </c>
      <c r="AH50" s="129"/>
      <c r="AI50" s="32">
        <v>69.000000000046569</v>
      </c>
      <c r="AK50" s="123"/>
      <c r="AL50" s="32">
        <v>5.8</v>
      </c>
      <c r="AM50" s="123"/>
      <c r="AN50" s="32">
        <v>3084</v>
      </c>
      <c r="AO50" s="35">
        <f t="shared" si="3"/>
        <v>44.695652173882877</v>
      </c>
      <c r="AP50" s="123"/>
      <c r="AR50" s="29">
        <f t="shared" si="4"/>
        <v>174.46987032787615</v>
      </c>
      <c r="AS50" s="123"/>
    </row>
    <row r="51" spans="2:45" x14ac:dyDescent="0.3">
      <c r="B51" s="32">
        <v>46</v>
      </c>
      <c r="C51" s="28" t="s">
        <v>246</v>
      </c>
      <c r="D51" s="125"/>
      <c r="E51" s="32">
        <v>470</v>
      </c>
      <c r="F51" s="32">
        <v>450</v>
      </c>
      <c r="G51" s="32">
        <f t="shared" si="1"/>
        <v>20</v>
      </c>
      <c r="H51" s="32">
        <v>8.77</v>
      </c>
      <c r="I51" s="126"/>
      <c r="J51" s="126"/>
      <c r="K51" s="126"/>
      <c r="L51" s="127"/>
      <c r="M51" s="29">
        <v>50.1</v>
      </c>
      <c r="N51" s="29">
        <f t="shared" si="2"/>
        <v>53.591790193842648</v>
      </c>
      <c r="O51" s="126"/>
      <c r="P51" s="126"/>
      <c r="Q51" s="29">
        <v>525</v>
      </c>
      <c r="R51" s="126"/>
      <c r="S51" s="29">
        <v>3219</v>
      </c>
      <c r="T51" s="126"/>
      <c r="U51" s="29">
        <f t="shared" si="5"/>
        <v>64.251497005988028</v>
      </c>
      <c r="V51" s="126"/>
      <c r="W51" s="31">
        <f t="shared" si="7"/>
        <v>250.80628217249716</v>
      </c>
      <c r="X51" s="126"/>
      <c r="AA51" s="126"/>
      <c r="AF51" s="32">
        <v>46</v>
      </c>
      <c r="AG51" s="28" t="s">
        <v>251</v>
      </c>
      <c r="AH51" s="129"/>
      <c r="AI51" s="32">
        <v>40.100000000023286</v>
      </c>
      <c r="AK51" s="123"/>
      <c r="AL51" s="32">
        <v>6.3</v>
      </c>
      <c r="AM51" s="123"/>
      <c r="AN51" s="32">
        <v>1569</v>
      </c>
      <c r="AO51" s="35">
        <f t="shared" si="3"/>
        <v>39.127182044865059</v>
      </c>
      <c r="AP51" s="123"/>
      <c r="AR51" s="29">
        <f t="shared" si="4"/>
        <v>152.73329833302591</v>
      </c>
      <c r="AS51" s="123"/>
    </row>
    <row r="52" spans="2:45" x14ac:dyDescent="0.3">
      <c r="B52" s="32">
        <v>47</v>
      </c>
      <c r="C52" s="28" t="s">
        <v>247</v>
      </c>
      <c r="D52" s="125"/>
      <c r="E52" s="32">
        <v>479.5</v>
      </c>
      <c r="F52" s="32">
        <v>457.5</v>
      </c>
      <c r="G52" s="32">
        <f t="shared" si="1"/>
        <v>22</v>
      </c>
      <c r="H52" s="32">
        <v>7.59</v>
      </c>
      <c r="I52" s="126"/>
      <c r="J52" s="126"/>
      <c r="K52" s="126"/>
      <c r="L52" s="127"/>
      <c r="M52" s="29">
        <v>60.3</v>
      </c>
      <c r="N52" s="29">
        <f t="shared" si="2"/>
        <v>63.175230566534914</v>
      </c>
      <c r="O52" s="126"/>
      <c r="P52" s="126"/>
      <c r="Q52" s="29">
        <v>525</v>
      </c>
      <c r="R52" s="126"/>
      <c r="S52" s="29">
        <v>4547</v>
      </c>
      <c r="T52" s="126"/>
      <c r="U52" s="29">
        <f t="shared" si="5"/>
        <v>75.406301824212278</v>
      </c>
      <c r="V52" s="126"/>
      <c r="W52" s="31">
        <f t="shared" si="7"/>
        <v>294.34916062960053</v>
      </c>
      <c r="X52" s="126"/>
      <c r="AA52" s="126"/>
      <c r="AF52" s="32">
        <v>47</v>
      </c>
      <c r="AG52" s="28" t="s">
        <v>252</v>
      </c>
      <c r="AH52" s="130"/>
      <c r="AI52" s="32">
        <v>34.400000000069852</v>
      </c>
      <c r="AK52" s="124"/>
      <c r="AL52" s="32">
        <v>5.8</v>
      </c>
      <c r="AM52" s="124"/>
      <c r="AN52" s="32">
        <v>1390</v>
      </c>
      <c r="AO52" s="35">
        <f t="shared" si="3"/>
        <v>40.406976744104</v>
      </c>
      <c r="AP52" s="124"/>
      <c r="AR52" s="29">
        <f t="shared" si="4"/>
        <v>157.72898816777439</v>
      </c>
      <c r="AS52" s="124"/>
    </row>
    <row r="53" spans="2:45" x14ac:dyDescent="0.3">
      <c r="B53" s="32">
        <v>48</v>
      </c>
      <c r="C53" s="28" t="s">
        <v>247</v>
      </c>
      <c r="D53" s="125"/>
      <c r="E53" s="32">
        <v>476</v>
      </c>
      <c r="F53" s="32">
        <v>456</v>
      </c>
      <c r="G53" s="32">
        <f t="shared" si="1"/>
        <v>20</v>
      </c>
      <c r="H53" s="32">
        <v>8.74</v>
      </c>
      <c r="I53" s="126"/>
      <c r="J53" s="126"/>
      <c r="K53" s="126"/>
      <c r="L53" s="127"/>
      <c r="M53" s="29">
        <v>50.8</v>
      </c>
      <c r="N53" s="29">
        <f t="shared" si="2"/>
        <v>54.462242562929063</v>
      </c>
      <c r="O53" s="126"/>
      <c r="P53" s="126"/>
      <c r="Q53" s="29">
        <v>525</v>
      </c>
      <c r="R53" s="126"/>
      <c r="S53" s="29">
        <v>1867</v>
      </c>
      <c r="T53" s="126"/>
      <c r="U53" s="29">
        <f t="shared" si="5"/>
        <v>36.751968503937007</v>
      </c>
      <c r="V53" s="126"/>
      <c r="W53" s="31">
        <f t="shared" si="7"/>
        <v>143.46163144080674</v>
      </c>
      <c r="X53" s="126"/>
      <c r="AA53" s="126"/>
      <c r="AF53" s="28">
        <v>48</v>
      </c>
      <c r="AG53" s="28">
        <v>2206</v>
      </c>
      <c r="AH53" s="128" t="s">
        <v>269</v>
      </c>
      <c r="AI53" s="28">
        <v>34.499999999941792</v>
      </c>
      <c r="AK53" s="131">
        <f>AVERAGE(AI53:AI55)</f>
        <v>27.533333333344974</v>
      </c>
      <c r="AL53" s="28">
        <v>2.5</v>
      </c>
      <c r="AM53" s="131">
        <f>AVERAGE(AL53:AL55)</f>
        <v>4.166666666666667</v>
      </c>
      <c r="AN53" s="28">
        <v>1360</v>
      </c>
      <c r="AO53" s="37">
        <f t="shared" si="3"/>
        <v>39.420289855138975</v>
      </c>
      <c r="AP53" s="131">
        <f>AVERAGE(AO53:AO55)</f>
        <v>44.273942346060267</v>
      </c>
      <c r="AR53" s="29">
        <f t="shared" si="4"/>
        <v>153.87744724155129</v>
      </c>
      <c r="AS53" s="131">
        <f>AVERAGE(AR53:AR55)</f>
        <v>172.82372231576156</v>
      </c>
    </row>
    <row r="54" spans="2:45" x14ac:dyDescent="0.3">
      <c r="B54" s="32">
        <v>49</v>
      </c>
      <c r="C54" s="28" t="s">
        <v>249</v>
      </c>
      <c r="D54" s="125"/>
      <c r="E54" s="32">
        <v>423</v>
      </c>
      <c r="F54" s="32">
        <v>457.5</v>
      </c>
      <c r="G54" s="32">
        <v>34.5</v>
      </c>
      <c r="H54" s="32">
        <v>7.39</v>
      </c>
      <c r="I54" s="126"/>
      <c r="J54" s="126"/>
      <c r="K54" s="126"/>
      <c r="L54" s="127"/>
      <c r="M54" s="29">
        <v>60.7</v>
      </c>
      <c r="N54" s="29">
        <f t="shared" si="2"/>
        <v>57.239512855209746</v>
      </c>
      <c r="O54" s="126"/>
      <c r="P54" s="126"/>
      <c r="Q54" s="29">
        <v>525</v>
      </c>
      <c r="R54" s="126"/>
      <c r="S54" s="29">
        <v>4110</v>
      </c>
      <c r="T54" s="126"/>
      <c r="U54" s="29">
        <f t="shared" si="5"/>
        <v>67.710049423393741</v>
      </c>
      <c r="V54" s="126"/>
      <c r="W54" s="31">
        <f t="shared" si="7"/>
        <v>264.30677187201945</v>
      </c>
      <c r="X54" s="126"/>
      <c r="AA54" s="126"/>
      <c r="AF54" s="28">
        <v>49</v>
      </c>
      <c r="AG54" s="28" t="s">
        <v>235</v>
      </c>
      <c r="AH54" s="129"/>
      <c r="AI54" s="28">
        <v>23.199999999976718</v>
      </c>
      <c r="AK54" s="123"/>
      <c r="AL54" s="28">
        <v>5.4</v>
      </c>
      <c r="AM54" s="123"/>
      <c r="AN54" s="28">
        <v>1074</v>
      </c>
      <c r="AO54" s="37">
        <f t="shared" si="3"/>
        <v>46.29310344832232</v>
      </c>
      <c r="AP54" s="123"/>
      <c r="AR54" s="29">
        <f t="shared" si="4"/>
        <v>180.70553539038099</v>
      </c>
      <c r="AS54" s="123"/>
    </row>
    <row r="55" spans="2:45" x14ac:dyDescent="0.3">
      <c r="B55" s="32">
        <v>50</v>
      </c>
      <c r="C55" s="28" t="s">
        <v>249</v>
      </c>
      <c r="D55" s="125"/>
      <c r="E55" s="32">
        <v>465.5</v>
      </c>
      <c r="F55" s="32">
        <v>453.5</v>
      </c>
      <c r="G55" s="32">
        <f t="shared" si="1"/>
        <v>12</v>
      </c>
      <c r="H55" s="32">
        <v>8.77</v>
      </c>
      <c r="I55" s="126"/>
      <c r="J55" s="126"/>
      <c r="K55" s="126"/>
      <c r="L55" s="127"/>
      <c r="M55" s="29">
        <v>50.6</v>
      </c>
      <c r="N55" s="29">
        <f t="shared" si="2"/>
        <v>53.078677309007986</v>
      </c>
      <c r="O55" s="126"/>
      <c r="P55" s="126"/>
      <c r="Q55" s="29">
        <v>525</v>
      </c>
      <c r="R55" s="126"/>
      <c r="S55" s="29">
        <v>1608</v>
      </c>
      <c r="T55" s="126"/>
      <c r="U55" s="29">
        <f t="shared" si="5"/>
        <v>31.778656126482211</v>
      </c>
      <c r="V55" s="126"/>
      <c r="W55" s="31">
        <f t="shared" si="7"/>
        <v>124.04826294986475</v>
      </c>
      <c r="X55" s="126"/>
      <c r="AA55" s="126"/>
      <c r="AF55" s="28">
        <v>50</v>
      </c>
      <c r="AG55" s="28" t="s">
        <v>254</v>
      </c>
      <c r="AH55" s="130"/>
      <c r="AI55" s="28">
        <v>24.900000000116414</v>
      </c>
      <c r="AK55" s="124"/>
      <c r="AL55" s="28">
        <v>4.5999999999999996</v>
      </c>
      <c r="AM55" s="124"/>
      <c r="AN55" s="28">
        <v>1173</v>
      </c>
      <c r="AO55" s="37">
        <f t="shared" si="3"/>
        <v>47.108433734719512</v>
      </c>
      <c r="AP55" s="124"/>
      <c r="AR55" s="29">
        <f t="shared" si="4"/>
        <v>183.88818431535248</v>
      </c>
      <c r="AS55" s="124"/>
    </row>
    <row r="56" spans="2:45" x14ac:dyDescent="0.3">
      <c r="B56" s="32">
        <v>51</v>
      </c>
      <c r="C56" s="28" t="s">
        <v>256</v>
      </c>
      <c r="D56" s="125"/>
      <c r="E56" s="32">
        <v>499</v>
      </c>
      <c r="F56" s="32">
        <v>457</v>
      </c>
      <c r="G56" s="32">
        <f t="shared" si="1"/>
        <v>42</v>
      </c>
      <c r="H56" s="32">
        <v>8.6199999999999992</v>
      </c>
      <c r="I56" s="126"/>
      <c r="J56" s="126"/>
      <c r="K56" s="126"/>
      <c r="L56" s="127"/>
      <c r="M56" s="29">
        <v>54.4</v>
      </c>
      <c r="N56" s="29">
        <f t="shared" si="2"/>
        <v>57.888631090487245</v>
      </c>
      <c r="O56" s="126"/>
      <c r="P56" s="126"/>
      <c r="Q56" s="29">
        <v>525</v>
      </c>
      <c r="R56" s="126"/>
      <c r="S56" s="29">
        <v>3495</v>
      </c>
      <c r="T56" s="126"/>
      <c r="U56" s="29">
        <f t="shared" si="5"/>
        <v>64.246323529411768</v>
      </c>
      <c r="V56" s="126"/>
      <c r="W56" s="31">
        <f t="shared" si="7"/>
        <v>250.78608746130033</v>
      </c>
      <c r="X56" s="126"/>
      <c r="AA56" s="126"/>
      <c r="AF56" s="32">
        <v>51</v>
      </c>
      <c r="AG56" s="28" t="s">
        <v>245</v>
      </c>
      <c r="AH56" s="128" t="s">
        <v>270</v>
      </c>
      <c r="AI56" s="32">
        <v>25.799999999871943</v>
      </c>
      <c r="AK56" s="131">
        <f>AVERAGE(AI56:AI60)</f>
        <v>27.040000000016295</v>
      </c>
      <c r="AL56" s="32">
        <v>7</v>
      </c>
      <c r="AM56" s="131">
        <f>AVERAGE(AL56:AL60)</f>
        <v>6.339999999999999</v>
      </c>
      <c r="AN56" s="32">
        <v>1659</v>
      </c>
      <c r="AO56" s="35">
        <f t="shared" si="3"/>
        <v>64.302325581714513</v>
      </c>
      <c r="AP56" s="131">
        <f>AVERAGE(AO56:AO60)</f>
        <v>52.771720478950421</v>
      </c>
      <c r="AR56" s="29">
        <f t="shared" si="4"/>
        <v>251.0046919637102</v>
      </c>
      <c r="AS56" s="131">
        <f>AVERAGE(AR56:AR60)</f>
        <v>205.99487379941178</v>
      </c>
    </row>
    <row r="57" spans="2:45" x14ac:dyDescent="0.3">
      <c r="B57" s="32">
        <v>52</v>
      </c>
      <c r="C57" s="28" t="s">
        <v>256</v>
      </c>
      <c r="D57" s="125"/>
      <c r="E57" s="32">
        <v>474.2</v>
      </c>
      <c r="F57" s="32">
        <v>451</v>
      </c>
      <c r="G57" s="32">
        <f t="shared" si="1"/>
        <v>23.199999999999989</v>
      </c>
      <c r="H57" s="32">
        <v>8.52</v>
      </c>
      <c r="I57" s="126"/>
      <c r="J57" s="126"/>
      <c r="K57" s="126"/>
      <c r="L57" s="127"/>
      <c r="M57" s="29">
        <v>51.7</v>
      </c>
      <c r="N57" s="29">
        <f t="shared" si="2"/>
        <v>55.657276995305168</v>
      </c>
      <c r="O57" s="126"/>
      <c r="P57" s="126"/>
      <c r="Q57" s="29">
        <v>525</v>
      </c>
      <c r="R57" s="126"/>
      <c r="S57" s="29">
        <v>2482</v>
      </c>
      <c r="T57" s="126"/>
      <c r="U57" s="29">
        <f t="shared" si="5"/>
        <v>48.007736943907155</v>
      </c>
      <c r="V57" s="126"/>
      <c r="W57" s="31">
        <f t="shared" si="7"/>
        <v>187.39862228104107</v>
      </c>
      <c r="X57" s="126"/>
      <c r="AA57" s="126"/>
      <c r="AF57" s="32">
        <v>52</v>
      </c>
      <c r="AG57" s="28" t="s">
        <v>246</v>
      </c>
      <c r="AH57" s="129"/>
      <c r="AI57" s="32">
        <v>37.500000000081492</v>
      </c>
      <c r="AK57" s="123"/>
      <c r="AL57" s="32">
        <v>6.4</v>
      </c>
      <c r="AM57" s="123"/>
      <c r="AN57" s="32">
        <v>2454</v>
      </c>
      <c r="AO57" s="35">
        <f t="shared" si="3"/>
        <v>65.43999999985779</v>
      </c>
      <c r="AP57" s="123"/>
      <c r="AR57" s="29">
        <f t="shared" si="4"/>
        <v>255.44561403453261</v>
      </c>
      <c r="AS57" s="123"/>
    </row>
    <row r="58" spans="2:45" x14ac:dyDescent="0.3">
      <c r="B58" s="28">
        <v>53</v>
      </c>
      <c r="C58" s="28" t="s">
        <v>233</v>
      </c>
      <c r="D58" s="125" t="s">
        <v>271</v>
      </c>
      <c r="E58" s="28">
        <v>552.5</v>
      </c>
      <c r="F58" s="28">
        <v>545</v>
      </c>
      <c r="G58" s="28">
        <f t="shared" si="1"/>
        <v>7.5</v>
      </c>
      <c r="H58" s="28">
        <v>7.95</v>
      </c>
      <c r="I58" s="126">
        <f>AVERAGE(F58:F65)</f>
        <v>549.8125</v>
      </c>
      <c r="J58" s="126">
        <f>AVERAGE(G58:G65)</f>
        <v>5.5749999999999886</v>
      </c>
      <c r="K58" s="126">
        <f>AVERAGE(H58:H65)</f>
        <v>8.2962500000000006</v>
      </c>
      <c r="L58" s="127">
        <v>8</v>
      </c>
      <c r="M58" s="29">
        <v>68.8</v>
      </c>
      <c r="N58" s="29">
        <f t="shared" si="2"/>
        <v>69.496855345911953</v>
      </c>
      <c r="O58" s="126">
        <f>AVERAGE(M58:M65)</f>
        <v>70.137500000000003</v>
      </c>
      <c r="P58" s="126">
        <f>AVERAGE(N58:N65)</f>
        <v>67.871995963046245</v>
      </c>
      <c r="Q58" s="29">
        <v>525</v>
      </c>
      <c r="R58" s="126">
        <f>AVERAGE(Q58:Q65)</f>
        <v>518.75</v>
      </c>
      <c r="S58" s="29">
        <v>2836</v>
      </c>
      <c r="T58" s="126">
        <f>AVERAGE(S58:S65)</f>
        <v>2347.125</v>
      </c>
      <c r="U58" s="29">
        <f t="shared" si="5"/>
        <v>41.220930232558139</v>
      </c>
      <c r="V58" s="126">
        <f>AVERAGE(U58:U65)</f>
        <v>33.479956926694015</v>
      </c>
      <c r="W58" s="31">
        <f t="shared" si="7"/>
        <v>160.90626274989802</v>
      </c>
      <c r="X58" s="126">
        <f>AVERAGE(W58:W65)</f>
        <v>130.68930554718278</v>
      </c>
      <c r="AA58" s="126">
        <f>K58/AA3</f>
        <v>0.60117753623188408</v>
      </c>
      <c r="AF58" s="32">
        <v>53</v>
      </c>
      <c r="AG58" s="28" t="s">
        <v>247</v>
      </c>
      <c r="AH58" s="129"/>
      <c r="AI58" s="32">
        <v>22.700000000058207</v>
      </c>
      <c r="AK58" s="123"/>
      <c r="AL58" s="32">
        <v>6.3</v>
      </c>
      <c r="AM58" s="123"/>
      <c r="AN58" s="32">
        <v>1185</v>
      </c>
      <c r="AO58" s="35">
        <f t="shared" si="3"/>
        <v>52.202643171672314</v>
      </c>
      <c r="AP58" s="123"/>
      <c r="AR58" s="29">
        <f t="shared" si="4"/>
        <v>203.77347553854545</v>
      </c>
      <c r="AS58" s="123"/>
    </row>
    <row r="59" spans="2:45" x14ac:dyDescent="0.3">
      <c r="B59" s="28">
        <v>54</v>
      </c>
      <c r="C59" s="28" t="s">
        <v>233</v>
      </c>
      <c r="D59" s="125"/>
      <c r="E59" s="28">
        <v>555.79999999999995</v>
      </c>
      <c r="F59" s="28">
        <v>551.5</v>
      </c>
      <c r="G59" s="28">
        <f t="shared" si="1"/>
        <v>4.2999999999999545</v>
      </c>
      <c r="H59" s="28">
        <v>7.67</v>
      </c>
      <c r="I59" s="126"/>
      <c r="J59" s="126"/>
      <c r="K59" s="126"/>
      <c r="L59" s="127"/>
      <c r="M59" s="29">
        <v>74.2</v>
      </c>
      <c r="N59" s="29">
        <f t="shared" si="2"/>
        <v>72.464146023468047</v>
      </c>
      <c r="O59" s="126"/>
      <c r="P59" s="126"/>
      <c r="Q59" s="29">
        <v>525</v>
      </c>
      <c r="R59" s="126"/>
      <c r="S59" s="29">
        <v>2490</v>
      </c>
      <c r="T59" s="126"/>
      <c r="U59" s="29">
        <f t="shared" si="5"/>
        <v>33.55795148247978</v>
      </c>
      <c r="V59" s="126"/>
      <c r="W59" s="31">
        <f t="shared" si="7"/>
        <v>130.99375797985527</v>
      </c>
      <c r="X59" s="126"/>
      <c r="AA59" s="126"/>
      <c r="AF59" s="32">
        <v>54</v>
      </c>
      <c r="AG59" s="28" t="s">
        <v>249</v>
      </c>
      <c r="AH59" s="129"/>
      <c r="AI59" s="32">
        <v>26.600000000069848</v>
      </c>
      <c r="AK59" s="123"/>
      <c r="AL59" s="32">
        <v>6.1</v>
      </c>
      <c r="AM59" s="123"/>
      <c r="AN59" s="32">
        <v>1202</v>
      </c>
      <c r="AO59" s="35">
        <f t="shared" si="3"/>
        <v>45.18796992469337</v>
      </c>
      <c r="AP59" s="123"/>
      <c r="AR59" s="29">
        <f t="shared" si="4"/>
        <v>176.39163698674167</v>
      </c>
      <c r="AS59" s="123"/>
    </row>
    <row r="60" spans="2:45" x14ac:dyDescent="0.3">
      <c r="B60" s="28">
        <v>55</v>
      </c>
      <c r="C60" s="28" t="s">
        <v>236</v>
      </c>
      <c r="D60" s="125"/>
      <c r="E60" s="28">
        <v>559.5</v>
      </c>
      <c r="F60" s="28">
        <v>551</v>
      </c>
      <c r="G60" s="28">
        <f t="shared" si="1"/>
        <v>8.5</v>
      </c>
      <c r="H60" s="28">
        <v>10.86</v>
      </c>
      <c r="I60" s="126"/>
      <c r="J60" s="126"/>
      <c r="K60" s="126"/>
      <c r="L60" s="127"/>
      <c r="M60" s="29">
        <v>72.7</v>
      </c>
      <c r="N60" s="29">
        <f t="shared" si="2"/>
        <v>51.519337016574589</v>
      </c>
      <c r="O60" s="126"/>
      <c r="P60" s="126"/>
      <c r="Q60" s="29">
        <v>525</v>
      </c>
      <c r="R60" s="126"/>
      <c r="S60" s="29">
        <v>2341</v>
      </c>
      <c r="T60" s="126"/>
      <c r="U60" s="29">
        <f t="shared" si="5"/>
        <v>32.200825309491059</v>
      </c>
      <c r="V60" s="126"/>
      <c r="W60" s="31">
        <f t="shared" si="7"/>
        <v>125.69620405897825</v>
      </c>
      <c r="X60" s="126"/>
      <c r="AA60" s="126"/>
      <c r="AF60" s="32">
        <v>55</v>
      </c>
      <c r="AG60" s="28" t="s">
        <v>256</v>
      </c>
      <c r="AH60" s="130"/>
      <c r="AI60" s="32">
        <v>22.6</v>
      </c>
      <c r="AK60" s="124"/>
      <c r="AL60" s="32">
        <v>5.9</v>
      </c>
      <c r="AM60" s="124"/>
      <c r="AN60" s="32">
        <v>830</v>
      </c>
      <c r="AO60" s="35">
        <f t="shared" si="3"/>
        <v>36.725663716814154</v>
      </c>
      <c r="AP60" s="124"/>
      <c r="AR60" s="29">
        <f t="shared" si="4"/>
        <v>143.35895047352895</v>
      </c>
      <c r="AS60" s="124"/>
    </row>
    <row r="61" spans="2:45" x14ac:dyDescent="0.3">
      <c r="B61" s="28">
        <v>56</v>
      </c>
      <c r="C61" s="28" t="s">
        <v>236</v>
      </c>
      <c r="D61" s="125"/>
      <c r="E61" s="28">
        <v>555.79999999999995</v>
      </c>
      <c r="F61" s="28">
        <v>551</v>
      </c>
      <c r="G61" s="28">
        <f t="shared" si="1"/>
        <v>4.7999999999999545</v>
      </c>
      <c r="H61" s="28">
        <v>7.68</v>
      </c>
      <c r="I61" s="126"/>
      <c r="J61" s="126"/>
      <c r="K61" s="126"/>
      <c r="L61" s="127"/>
      <c r="M61" s="29">
        <v>71.8</v>
      </c>
      <c r="N61" s="29">
        <f t="shared" si="2"/>
        <v>72.369791666666657</v>
      </c>
      <c r="O61" s="126"/>
      <c r="P61" s="126"/>
      <c r="Q61" s="29">
        <v>525</v>
      </c>
      <c r="R61" s="126"/>
      <c r="S61" s="29">
        <v>2276</v>
      </c>
      <c r="T61" s="126"/>
      <c r="U61" s="29">
        <f t="shared" si="5"/>
        <v>31.699164345403901</v>
      </c>
      <c r="V61" s="126"/>
      <c r="W61" s="31">
        <f t="shared" si="7"/>
        <v>123.73796608512927</v>
      </c>
      <c r="X61" s="126"/>
      <c r="AA61" s="126"/>
      <c r="AF61" s="28">
        <v>56</v>
      </c>
      <c r="AG61" s="28" t="s">
        <v>250</v>
      </c>
      <c r="AH61" s="128" t="s">
        <v>272</v>
      </c>
      <c r="AI61" s="28">
        <v>24.399999999895225</v>
      </c>
      <c r="AK61" s="131">
        <f>AVERAGE(AI61:AI63)</f>
        <v>29.499999999980599</v>
      </c>
      <c r="AL61" s="28">
        <v>2.2999999999999998</v>
      </c>
      <c r="AM61" s="131">
        <f>AVERAGE(AL61:AL63)</f>
        <v>2.8333333333333335</v>
      </c>
      <c r="AN61" s="28">
        <v>1651</v>
      </c>
      <c r="AO61" s="37">
        <f t="shared" si="3"/>
        <v>67.663934426520058</v>
      </c>
      <c r="AP61" s="131">
        <f>AVERAGE(AO61:AO63)</f>
        <v>53.873048399751191</v>
      </c>
      <c r="AR61" s="29">
        <f t="shared" si="4"/>
        <v>264.12676157720551</v>
      </c>
      <c r="AS61" s="131">
        <f>AVERAGE(AR61:AR63)</f>
        <v>210.29391699902877</v>
      </c>
    </row>
    <row r="62" spans="2:45" x14ac:dyDescent="0.3">
      <c r="B62" s="28">
        <v>57</v>
      </c>
      <c r="C62" s="28" t="s">
        <v>239</v>
      </c>
      <c r="D62" s="125"/>
      <c r="E62" s="28">
        <v>555.5</v>
      </c>
      <c r="F62" s="28">
        <v>551.5</v>
      </c>
      <c r="G62" s="28">
        <f t="shared" si="1"/>
        <v>4</v>
      </c>
      <c r="H62" s="28">
        <v>8.23</v>
      </c>
      <c r="I62" s="126"/>
      <c r="J62" s="126"/>
      <c r="K62" s="126"/>
      <c r="L62" s="127"/>
      <c r="M62" s="29">
        <v>66.900000000000006</v>
      </c>
      <c r="N62" s="29">
        <f t="shared" si="2"/>
        <v>67.496962332928305</v>
      </c>
      <c r="O62" s="126"/>
      <c r="P62" s="126"/>
      <c r="Q62" s="29">
        <v>525</v>
      </c>
      <c r="R62" s="126"/>
      <c r="S62" s="29">
        <v>2167</v>
      </c>
      <c r="T62" s="126"/>
      <c r="U62" s="29">
        <f t="shared" si="5"/>
        <v>32.391629297458891</v>
      </c>
      <c r="V62" s="126"/>
      <c r="W62" s="31">
        <f t="shared" si="7"/>
        <v>126.44100909972987</v>
      </c>
      <c r="X62" s="126"/>
      <c r="AA62" s="126"/>
      <c r="AF62" s="28">
        <v>57</v>
      </c>
      <c r="AG62" s="28" t="s">
        <v>251</v>
      </c>
      <c r="AH62" s="129"/>
      <c r="AI62" s="28">
        <v>30.500000000093131</v>
      </c>
      <c r="AK62" s="123"/>
      <c r="AL62" s="28">
        <v>3.6</v>
      </c>
      <c r="AM62" s="123"/>
      <c r="AN62" s="28">
        <v>1583</v>
      </c>
      <c r="AO62" s="37">
        <f t="shared" si="3"/>
        <v>51.901639344103813</v>
      </c>
      <c r="AP62" s="123"/>
      <c r="AR62" s="29">
        <f t="shared" si="4"/>
        <v>202.59850445724734</v>
      </c>
      <c r="AS62" s="123"/>
    </row>
    <row r="63" spans="2:45" x14ac:dyDescent="0.3">
      <c r="B63" s="28">
        <v>58</v>
      </c>
      <c r="C63" s="28" t="s">
        <v>239</v>
      </c>
      <c r="D63" s="125"/>
      <c r="E63" s="28">
        <v>545</v>
      </c>
      <c r="F63" s="28">
        <v>543</v>
      </c>
      <c r="G63" s="28">
        <f t="shared" si="1"/>
        <v>2</v>
      </c>
      <c r="H63" s="28">
        <v>7.29</v>
      </c>
      <c r="I63" s="126"/>
      <c r="J63" s="126"/>
      <c r="K63" s="126"/>
      <c r="L63" s="127"/>
      <c r="M63" s="29">
        <v>74.3</v>
      </c>
      <c r="N63" s="29">
        <f t="shared" si="2"/>
        <v>74.759945130315501</v>
      </c>
      <c r="O63" s="126"/>
      <c r="P63" s="126"/>
      <c r="Q63" s="29">
        <v>525</v>
      </c>
      <c r="R63" s="126"/>
      <c r="S63" s="29">
        <v>2458</v>
      </c>
      <c r="T63" s="126"/>
      <c r="U63" s="29">
        <f t="shared" si="5"/>
        <v>33.082099596231494</v>
      </c>
      <c r="V63" s="126"/>
      <c r="W63" s="31">
        <f t="shared" si="7"/>
        <v>129.13626596774574</v>
      </c>
      <c r="X63" s="126"/>
      <c r="AA63" s="126"/>
      <c r="AF63" s="28">
        <v>58</v>
      </c>
      <c r="AG63" s="28" t="s">
        <v>252</v>
      </c>
      <c r="AH63" s="130"/>
      <c r="AI63" s="28">
        <v>33.599999999953432</v>
      </c>
      <c r="AK63" s="124"/>
      <c r="AL63" s="28">
        <v>2.6</v>
      </c>
      <c r="AM63" s="124"/>
      <c r="AN63" s="28">
        <v>1413</v>
      </c>
      <c r="AO63" s="37">
        <f t="shared" si="3"/>
        <v>42.053571428629709</v>
      </c>
      <c r="AP63" s="124"/>
      <c r="AR63" s="29">
        <f t="shared" si="4"/>
        <v>164.1564849626335</v>
      </c>
      <c r="AS63" s="124"/>
    </row>
    <row r="64" spans="2:45" x14ac:dyDescent="0.3">
      <c r="B64" s="28">
        <v>59</v>
      </c>
      <c r="C64" s="28" t="s">
        <v>241</v>
      </c>
      <c r="D64" s="125"/>
      <c r="E64" s="28">
        <v>562</v>
      </c>
      <c r="F64" s="28">
        <v>554.5</v>
      </c>
      <c r="G64" s="28">
        <f t="shared" si="1"/>
        <v>7.5</v>
      </c>
      <c r="H64" s="28">
        <v>7.73</v>
      </c>
      <c r="I64" s="126"/>
      <c r="J64" s="126"/>
      <c r="K64" s="126"/>
      <c r="L64" s="127"/>
      <c r="M64" s="29">
        <v>71.400000000000006</v>
      </c>
      <c r="N64" s="29">
        <f t="shared" si="2"/>
        <v>72.703751617076321</v>
      </c>
      <c r="O64" s="126"/>
      <c r="P64" s="126"/>
      <c r="Q64" s="29">
        <v>500</v>
      </c>
      <c r="R64" s="126"/>
      <c r="S64" s="29">
        <v>2225</v>
      </c>
      <c r="T64" s="126"/>
      <c r="U64" s="29">
        <f t="shared" si="5"/>
        <v>31.162464985994394</v>
      </c>
      <c r="V64" s="126"/>
      <c r="W64" s="31">
        <f t="shared" si="7"/>
        <v>121.64295542778514</v>
      </c>
      <c r="X64" s="126"/>
      <c r="AA64" s="126"/>
      <c r="AF64" s="32">
        <v>59</v>
      </c>
      <c r="AG64" s="28" t="s">
        <v>233</v>
      </c>
      <c r="AH64" s="128" t="s">
        <v>273</v>
      </c>
      <c r="AI64" s="32">
        <v>28.000000000058208</v>
      </c>
      <c r="AK64" s="131">
        <f>AVERAGE(AI64:AI67)</f>
        <v>25.500000000046569</v>
      </c>
      <c r="AL64" s="32">
        <v>4</v>
      </c>
      <c r="AM64" s="131">
        <f>AVERAGE(AL64:AL67)</f>
        <v>3.1750000000000003</v>
      </c>
      <c r="AN64" s="32">
        <v>1232</v>
      </c>
      <c r="AO64" s="35">
        <f t="shared" si="3"/>
        <v>43.999999999908532</v>
      </c>
      <c r="AP64" s="131">
        <f>AVERAGE(AO64:AO67)</f>
        <v>35.341297317852963</v>
      </c>
      <c r="AR64" s="29">
        <f t="shared" si="4"/>
        <v>171.75438596455521</v>
      </c>
      <c r="AS64" s="131">
        <f>AVERAGE(AR64:AR67)</f>
        <v>137.95506409161902</v>
      </c>
    </row>
    <row r="65" spans="2:45" x14ac:dyDescent="0.3">
      <c r="B65" s="28">
        <v>60</v>
      </c>
      <c r="C65" s="28" t="s">
        <v>241</v>
      </c>
      <c r="D65" s="125"/>
      <c r="E65" s="28">
        <v>557</v>
      </c>
      <c r="F65" s="28">
        <v>551</v>
      </c>
      <c r="G65" s="28">
        <f t="shared" si="1"/>
        <v>6</v>
      </c>
      <c r="H65" s="28">
        <v>8.9600000000000009</v>
      </c>
      <c r="I65" s="126"/>
      <c r="J65" s="126"/>
      <c r="K65" s="126"/>
      <c r="L65" s="127"/>
      <c r="M65" s="29">
        <v>61</v>
      </c>
      <c r="N65" s="29">
        <f t="shared" si="2"/>
        <v>62.165178571428562</v>
      </c>
      <c r="O65" s="126"/>
      <c r="P65" s="126"/>
      <c r="Q65" s="29">
        <v>500</v>
      </c>
      <c r="R65" s="126"/>
      <c r="S65" s="29">
        <v>1984</v>
      </c>
      <c r="T65" s="126"/>
      <c r="U65" s="29">
        <f t="shared" si="5"/>
        <v>32.524590163934427</v>
      </c>
      <c r="V65" s="126"/>
      <c r="W65" s="31">
        <f t="shared" si="7"/>
        <v>126.96002300834053</v>
      </c>
      <c r="X65" s="126"/>
      <c r="AA65" s="126"/>
      <c r="AF65" s="32">
        <v>60</v>
      </c>
      <c r="AG65" s="28" t="s">
        <v>236</v>
      </c>
      <c r="AH65" s="129"/>
      <c r="AI65" s="32">
        <v>35.900000000069852</v>
      </c>
      <c r="AK65" s="123"/>
      <c r="AL65" s="32">
        <v>2.8</v>
      </c>
      <c r="AM65" s="123"/>
      <c r="AN65" s="32">
        <v>1162</v>
      </c>
      <c r="AO65" s="35">
        <f t="shared" si="3"/>
        <v>32.367688022221145</v>
      </c>
      <c r="AP65" s="123"/>
      <c r="AR65" s="29">
        <f t="shared" si="4"/>
        <v>126.34755412182817</v>
      </c>
      <c r="AS65" s="123"/>
    </row>
    <row r="66" spans="2:45" x14ac:dyDescent="0.3">
      <c r="B66" s="32">
        <v>61</v>
      </c>
      <c r="C66" s="28" t="s">
        <v>234</v>
      </c>
      <c r="D66" s="125" t="s">
        <v>274</v>
      </c>
      <c r="E66" s="32">
        <v>493.5</v>
      </c>
      <c r="F66" s="32">
        <v>489</v>
      </c>
      <c r="G66" s="32">
        <f t="shared" si="1"/>
        <v>4.5</v>
      </c>
      <c r="H66" s="32">
        <v>6.71</v>
      </c>
      <c r="I66" s="126">
        <f>AVERAGE(F66:F71)</f>
        <v>491.83333333333331</v>
      </c>
      <c r="J66" s="126">
        <f>AVERAGE(G66:G71)</f>
        <v>16</v>
      </c>
      <c r="K66" s="126">
        <f>AVERAGE(H66:H71)</f>
        <v>8.0483333333333338</v>
      </c>
      <c r="L66" s="127">
        <v>6</v>
      </c>
      <c r="M66" s="29">
        <v>74.5</v>
      </c>
      <c r="N66" s="29">
        <f t="shared" si="2"/>
        <v>73.546944858420275</v>
      </c>
      <c r="O66" s="126">
        <f>AVERAGE(M66:M71)</f>
        <v>61.366666666666667</v>
      </c>
      <c r="P66" s="126">
        <f>AVERAGE(N66:N71)</f>
        <v>63.544467875893012</v>
      </c>
      <c r="Q66" s="29">
        <v>525</v>
      </c>
      <c r="R66" s="126">
        <f>AVERAGE(Q66:Q71)</f>
        <v>525</v>
      </c>
      <c r="S66" s="29">
        <v>4695</v>
      </c>
      <c r="T66" s="126">
        <f>AVERAGE(S66:S71)</f>
        <v>3099.6666666666665</v>
      </c>
      <c r="U66" s="29">
        <f t="shared" si="5"/>
        <v>63.020134228187921</v>
      </c>
      <c r="V66" s="126">
        <f>AVERAGE(U66:U71)</f>
        <v>49.043997206480299</v>
      </c>
      <c r="W66" s="31">
        <f t="shared" si="7"/>
        <v>245.99964676792652</v>
      </c>
      <c r="X66" s="126">
        <f>AVERAGE(W66:W71)</f>
        <v>191.44367330599766</v>
      </c>
      <c r="AA66" s="126">
        <f>K66/AA3</f>
        <v>0.5832125603864734</v>
      </c>
      <c r="AF66" s="32">
        <v>61</v>
      </c>
      <c r="AG66" s="28" t="s">
        <v>239</v>
      </c>
      <c r="AH66" s="129"/>
      <c r="AI66" s="32">
        <v>17.400000000081491</v>
      </c>
      <c r="AK66" s="123"/>
      <c r="AL66" s="32">
        <v>2.5</v>
      </c>
      <c r="AM66" s="123"/>
      <c r="AN66" s="32">
        <v>498</v>
      </c>
      <c r="AO66" s="35">
        <f t="shared" si="3"/>
        <v>28.620689655038372</v>
      </c>
      <c r="AP66" s="123"/>
      <c r="AR66" s="29">
        <f t="shared" si="4"/>
        <v>111.72111312712347</v>
      </c>
      <c r="AS66" s="123"/>
    </row>
    <row r="67" spans="2:45" x14ac:dyDescent="0.3">
      <c r="B67" s="32">
        <v>62</v>
      </c>
      <c r="C67" s="28" t="s">
        <v>234</v>
      </c>
      <c r="D67" s="125"/>
      <c r="E67" s="32">
        <v>513</v>
      </c>
      <c r="F67" s="32">
        <v>491</v>
      </c>
      <c r="G67" s="32">
        <f t="shared" si="1"/>
        <v>22</v>
      </c>
      <c r="H67" s="32">
        <v>8.24</v>
      </c>
      <c r="I67" s="126"/>
      <c r="J67" s="126"/>
      <c r="K67" s="126"/>
      <c r="L67" s="127"/>
      <c r="M67" s="29">
        <v>56.5</v>
      </c>
      <c r="N67" s="29">
        <f t="shared" si="2"/>
        <v>62.257281553398059</v>
      </c>
      <c r="O67" s="126"/>
      <c r="P67" s="126"/>
      <c r="Q67" s="29">
        <v>525</v>
      </c>
      <c r="R67" s="126"/>
      <c r="S67" s="29">
        <v>1869</v>
      </c>
      <c r="T67" s="126"/>
      <c r="U67" s="29">
        <f t="shared" si="5"/>
        <v>33.079646017699112</v>
      </c>
      <c r="V67" s="126"/>
      <c r="W67" s="31">
        <f t="shared" si="7"/>
        <v>129.12668840242196</v>
      </c>
      <c r="X67" s="126"/>
      <c r="AA67" s="126"/>
      <c r="AF67" s="32">
        <v>62</v>
      </c>
      <c r="AG67" s="28" t="s">
        <v>241</v>
      </c>
      <c r="AH67" s="130"/>
      <c r="AI67" s="32">
        <v>20.699999999976718</v>
      </c>
      <c r="AK67" s="124"/>
      <c r="AL67" s="32">
        <v>3.4</v>
      </c>
      <c r="AM67" s="124"/>
      <c r="AN67" s="32">
        <v>753</v>
      </c>
      <c r="AO67" s="35">
        <f t="shared" si="3"/>
        <v>36.376811594243811</v>
      </c>
      <c r="AP67" s="124"/>
      <c r="AR67" s="29">
        <f t="shared" si="4"/>
        <v>141.99720315296926</v>
      </c>
      <c r="AS67" s="124"/>
    </row>
    <row r="68" spans="2:45" x14ac:dyDescent="0.3">
      <c r="B68" s="32">
        <v>63</v>
      </c>
      <c r="C68" s="28" t="s">
        <v>238</v>
      </c>
      <c r="D68" s="125"/>
      <c r="E68" s="32">
        <v>499</v>
      </c>
      <c r="F68" s="32">
        <v>495</v>
      </c>
      <c r="G68" s="32">
        <f t="shared" si="1"/>
        <v>4</v>
      </c>
      <c r="H68" s="32">
        <v>7.89</v>
      </c>
      <c r="I68" s="126"/>
      <c r="J68" s="126"/>
      <c r="K68" s="126"/>
      <c r="L68" s="127"/>
      <c r="M68" s="29">
        <v>63.7</v>
      </c>
      <c r="N68" s="29">
        <f t="shared" si="2"/>
        <v>63.244613434727505</v>
      </c>
      <c r="O68" s="126"/>
      <c r="P68" s="126"/>
      <c r="Q68" s="29">
        <v>525</v>
      </c>
      <c r="R68" s="126"/>
      <c r="S68" s="29">
        <v>4176</v>
      </c>
      <c r="T68" s="126"/>
      <c r="U68" s="29">
        <f t="shared" si="5"/>
        <v>65.557299843014121</v>
      </c>
      <c r="V68" s="126"/>
      <c r="W68" s="31">
        <f t="shared" si="7"/>
        <v>255.90349500123929</v>
      </c>
      <c r="X68" s="126"/>
      <c r="AA68" s="126"/>
      <c r="AF68" s="28">
        <v>63</v>
      </c>
      <c r="AG68" s="28" t="s">
        <v>234</v>
      </c>
      <c r="AH68" s="128" t="s">
        <v>275</v>
      </c>
      <c r="AI68" s="28">
        <v>14.699999999941792</v>
      </c>
      <c r="AK68" s="131">
        <f>AVERAGE(AI68:AI72)</f>
        <v>15.479999999958091</v>
      </c>
      <c r="AL68" s="28">
        <v>10.3</v>
      </c>
      <c r="AM68" s="131">
        <f>AVERAGE(AL68:AL72)</f>
        <v>11.7</v>
      </c>
      <c r="AN68" s="28">
        <v>1081</v>
      </c>
      <c r="AO68" s="37">
        <f t="shared" si="3"/>
        <v>73.537414966277581</v>
      </c>
      <c r="AP68" s="131">
        <f>AVERAGE(AO68:AO72)</f>
        <v>78.519535870830595</v>
      </c>
      <c r="AR68" s="29">
        <f t="shared" si="4"/>
        <v>287.0539443859081</v>
      </c>
      <c r="AS68" s="131">
        <f>AVERAGE(AR68:AR72)</f>
        <v>306.50169703964565</v>
      </c>
    </row>
    <row r="69" spans="2:45" x14ac:dyDescent="0.3">
      <c r="B69" s="32">
        <v>64</v>
      </c>
      <c r="C69" s="28" t="s">
        <v>238</v>
      </c>
      <c r="D69" s="125"/>
      <c r="E69" s="32">
        <v>530</v>
      </c>
      <c r="F69" s="32">
        <v>497.5</v>
      </c>
      <c r="G69" s="32">
        <f t="shared" si="1"/>
        <v>32.5</v>
      </c>
      <c r="H69" s="32">
        <v>8.73</v>
      </c>
      <c r="I69" s="126"/>
      <c r="J69" s="126"/>
      <c r="K69" s="126"/>
      <c r="L69" s="127"/>
      <c r="M69" s="29">
        <v>55.6</v>
      </c>
      <c r="N69" s="29">
        <f t="shared" si="2"/>
        <v>60.710194730813285</v>
      </c>
      <c r="O69" s="126"/>
      <c r="P69" s="126"/>
      <c r="Q69" s="29">
        <v>525</v>
      </c>
      <c r="R69" s="126"/>
      <c r="S69" s="29">
        <v>1858</v>
      </c>
      <c r="T69" s="126"/>
      <c r="U69" s="29">
        <f t="shared" si="5"/>
        <v>33.417266187050359</v>
      </c>
      <c r="V69" s="126"/>
      <c r="W69" s="31">
        <f t="shared" si="7"/>
        <v>130.44459169506501</v>
      </c>
      <c r="X69" s="126"/>
      <c r="AA69" s="126"/>
      <c r="AF69" s="28">
        <v>64</v>
      </c>
      <c r="AG69" s="28" t="s">
        <v>238</v>
      </c>
      <c r="AH69" s="129"/>
      <c r="AI69" s="28">
        <v>12.400000000046566</v>
      </c>
      <c r="AK69" s="123"/>
      <c r="AL69" s="28">
        <v>11.4</v>
      </c>
      <c r="AM69" s="123"/>
      <c r="AN69" s="28">
        <v>1019</v>
      </c>
      <c r="AO69" s="37">
        <f t="shared" si="3"/>
        <v>82.177419354530102</v>
      </c>
      <c r="AP69" s="123"/>
      <c r="AR69" s="29">
        <f t="shared" si="4"/>
        <v>320.78027730496399</v>
      </c>
      <c r="AS69" s="123"/>
    </row>
    <row r="70" spans="2:45" x14ac:dyDescent="0.3">
      <c r="B70" s="32">
        <v>65</v>
      </c>
      <c r="C70" s="28" t="s">
        <v>240</v>
      </c>
      <c r="D70" s="125"/>
      <c r="E70" s="32">
        <v>487</v>
      </c>
      <c r="F70" s="32">
        <v>482</v>
      </c>
      <c r="G70" s="32">
        <f t="shared" si="1"/>
        <v>5</v>
      </c>
      <c r="H70" s="32">
        <v>7.64</v>
      </c>
      <c r="I70" s="126"/>
      <c r="J70" s="126"/>
      <c r="K70" s="126"/>
      <c r="L70" s="127"/>
      <c r="M70" s="29">
        <v>64.3</v>
      </c>
      <c r="N70" s="29">
        <f t="shared" si="2"/>
        <v>63.7434554973822</v>
      </c>
      <c r="O70" s="126"/>
      <c r="P70" s="126"/>
      <c r="Q70" s="29">
        <v>525</v>
      </c>
      <c r="R70" s="126"/>
      <c r="S70" s="29">
        <v>4107</v>
      </c>
      <c r="T70" s="126"/>
      <c r="U70" s="29">
        <f t="shared" si="5"/>
        <v>63.87247278382582</v>
      </c>
      <c r="V70" s="126"/>
      <c r="W70" s="31">
        <f t="shared" si="7"/>
        <v>249.32675779651308</v>
      </c>
      <c r="X70" s="126"/>
      <c r="AA70" s="126"/>
      <c r="AF70" s="28">
        <v>65</v>
      </c>
      <c r="AG70" s="28" t="s">
        <v>240</v>
      </c>
      <c r="AH70" s="129"/>
      <c r="AI70" s="28">
        <v>9.0999999999767169</v>
      </c>
      <c r="AK70" s="123"/>
      <c r="AL70" s="28">
        <v>9</v>
      </c>
      <c r="AM70" s="123"/>
      <c r="AN70" s="28">
        <v>796</v>
      </c>
      <c r="AO70" s="37">
        <f t="shared" si="3"/>
        <v>87.472527472751281</v>
      </c>
      <c r="AP70" s="123"/>
      <c r="AR70" s="29">
        <f t="shared" si="4"/>
        <v>341.44977829275723</v>
      </c>
      <c r="AS70" s="123"/>
    </row>
    <row r="71" spans="2:45" x14ac:dyDescent="0.3">
      <c r="B71" s="32">
        <v>66</v>
      </c>
      <c r="C71" s="28" t="s">
        <v>240</v>
      </c>
      <c r="D71" s="125"/>
      <c r="E71" s="32">
        <v>524.5</v>
      </c>
      <c r="F71" s="32">
        <v>496.5</v>
      </c>
      <c r="G71" s="32">
        <f t="shared" ref="G71:G93" si="8">E71-F71</f>
        <v>28</v>
      </c>
      <c r="H71" s="32">
        <v>9.08</v>
      </c>
      <c r="I71" s="126"/>
      <c r="J71" s="126"/>
      <c r="K71" s="126"/>
      <c r="L71" s="127"/>
      <c r="M71" s="29">
        <v>53.6</v>
      </c>
      <c r="N71" s="29">
        <f t="shared" ref="N71:N93" si="9">E71/H71</f>
        <v>57.764317180616743</v>
      </c>
      <c r="O71" s="126"/>
      <c r="P71" s="126"/>
      <c r="Q71" s="29">
        <v>525</v>
      </c>
      <c r="R71" s="126"/>
      <c r="S71" s="29">
        <v>1893</v>
      </c>
      <c r="T71" s="126"/>
      <c r="U71" s="29">
        <f t="shared" si="5"/>
        <v>35.317164179104473</v>
      </c>
      <c r="V71" s="126"/>
      <c r="W71" s="31">
        <f t="shared" si="7"/>
        <v>137.86086017282008</v>
      </c>
      <c r="X71" s="126"/>
      <c r="AA71" s="126"/>
      <c r="AF71" s="28">
        <v>66</v>
      </c>
      <c r="AG71" s="28" t="s">
        <v>257</v>
      </c>
      <c r="AH71" s="129"/>
      <c r="AI71" s="28">
        <v>15.499999999883585</v>
      </c>
      <c r="AK71" s="123"/>
      <c r="AL71" s="28">
        <v>12</v>
      </c>
      <c r="AM71" s="123"/>
      <c r="AN71" s="28">
        <v>948</v>
      </c>
      <c r="AO71" s="37">
        <f t="shared" ref="AO71:AO75" si="10">AN71/AI71</f>
        <v>61.161290323040006</v>
      </c>
      <c r="AP71" s="123"/>
      <c r="AR71" s="29">
        <f t="shared" ref="AR71:AR75" si="11">((AO71/1000)*(890*1000))/$AU$3</f>
        <v>238.74363327853334</v>
      </c>
      <c r="AS71" s="123"/>
    </row>
    <row r="72" spans="2:45" x14ac:dyDescent="0.3">
      <c r="B72" s="28">
        <v>67</v>
      </c>
      <c r="C72" s="28" t="s">
        <v>257</v>
      </c>
      <c r="D72" s="125" t="s">
        <v>276</v>
      </c>
      <c r="E72" s="28">
        <v>240.5</v>
      </c>
      <c r="F72" s="28">
        <v>206.5</v>
      </c>
      <c r="G72" s="28">
        <f t="shared" si="8"/>
        <v>34</v>
      </c>
      <c r="H72" s="28">
        <v>8.07</v>
      </c>
      <c r="I72" s="126">
        <f>AVERAGE(F72:F87)</f>
        <v>207.36250000000001</v>
      </c>
      <c r="J72" s="126">
        <f>AVERAGE(G72:G87)</f>
        <v>27.587500000000002</v>
      </c>
      <c r="K72" s="126">
        <f>AVERAGE(H72:H87)</f>
        <v>9.2793750000000017</v>
      </c>
      <c r="L72" s="127">
        <v>16</v>
      </c>
      <c r="M72" s="29">
        <v>26.1</v>
      </c>
      <c r="N72" s="29">
        <f t="shared" si="9"/>
        <v>29.801734820322181</v>
      </c>
      <c r="O72" s="126">
        <f>AVERAGE(M72:M87)</f>
        <v>22.556249999999999</v>
      </c>
      <c r="P72" s="126">
        <f>AVERAGE(N72:N87)</f>
        <v>25.813416428569173</v>
      </c>
      <c r="Q72" s="29">
        <v>525</v>
      </c>
      <c r="R72" s="126">
        <f>AVERAGE(Q72:Q87)</f>
        <v>554.375</v>
      </c>
      <c r="S72" s="29">
        <v>1039</v>
      </c>
      <c r="T72" s="126">
        <f>AVERAGE(S72:S87)</f>
        <v>1125.75</v>
      </c>
      <c r="U72" s="29">
        <f t="shared" ref="U72:U93" si="12">S72/M72</f>
        <v>39.808429118773944</v>
      </c>
      <c r="V72" s="126">
        <f>AVERAGE(U72:U87)</f>
        <v>49.860699215481873</v>
      </c>
      <c r="W72" s="31">
        <f t="shared" si="7"/>
        <v>155.39255226188075</v>
      </c>
      <c r="X72" s="126">
        <f>AVERAGE(W72:W87)</f>
        <v>194.63167676218805</v>
      </c>
      <c r="AA72" s="126">
        <f>K72/AA3</f>
        <v>0.67241847826086965</v>
      </c>
      <c r="AF72" s="28">
        <v>67</v>
      </c>
      <c r="AG72" s="28" t="s">
        <v>261</v>
      </c>
      <c r="AH72" s="130"/>
      <c r="AI72" s="28">
        <v>25.699999999941792</v>
      </c>
      <c r="AK72" s="124"/>
      <c r="AL72" s="28">
        <v>15.8</v>
      </c>
      <c r="AM72" s="124"/>
      <c r="AN72" s="28">
        <v>2268</v>
      </c>
      <c r="AO72" s="37">
        <f t="shared" si="10"/>
        <v>88.24902723755396</v>
      </c>
      <c r="AP72" s="124"/>
      <c r="AR72" s="29">
        <f t="shared" si="11"/>
        <v>344.48085193606585</v>
      </c>
      <c r="AS72" s="124"/>
    </row>
    <row r="73" spans="2:45" x14ac:dyDescent="0.3">
      <c r="B73" s="28">
        <v>68</v>
      </c>
      <c r="C73" s="28" t="s">
        <v>257</v>
      </c>
      <c r="D73" s="125"/>
      <c r="E73" s="28">
        <v>236.3</v>
      </c>
      <c r="F73" s="28">
        <v>206</v>
      </c>
      <c r="G73" s="28">
        <f t="shared" si="8"/>
        <v>30.300000000000011</v>
      </c>
      <c r="H73" s="28">
        <v>8.3800000000000008</v>
      </c>
      <c r="I73" s="126"/>
      <c r="J73" s="126"/>
      <c r="K73" s="126"/>
      <c r="L73" s="127"/>
      <c r="M73" s="29">
        <v>23.3</v>
      </c>
      <c r="N73" s="29">
        <f t="shared" si="9"/>
        <v>28.198090692124104</v>
      </c>
      <c r="O73" s="126"/>
      <c r="P73" s="126"/>
      <c r="Q73" s="29">
        <v>525</v>
      </c>
      <c r="R73" s="126"/>
      <c r="S73" s="29">
        <v>880</v>
      </c>
      <c r="T73" s="126"/>
      <c r="U73" s="29">
        <f t="shared" si="12"/>
        <v>37.768240343347635</v>
      </c>
      <c r="V73" s="126"/>
      <c r="W73" s="31">
        <f t="shared" si="7"/>
        <v>147.42865748061141</v>
      </c>
      <c r="X73" s="126"/>
      <c r="AA73" s="126"/>
      <c r="AF73" s="32">
        <v>68</v>
      </c>
      <c r="AG73" s="28" t="s">
        <v>258</v>
      </c>
      <c r="AH73" s="128" t="s">
        <v>277</v>
      </c>
      <c r="AI73" s="32">
        <v>89.200000000058211</v>
      </c>
      <c r="AK73" s="131">
        <f>AVERAGE(AI73:AI75)</f>
        <v>71.566666666666677</v>
      </c>
      <c r="AL73" s="32">
        <v>14.8</v>
      </c>
      <c r="AM73" s="131">
        <f>AVERAGE(AL73:AL75)</f>
        <v>12.933333333333335</v>
      </c>
      <c r="AN73" s="32">
        <v>5613</v>
      </c>
      <c r="AO73" s="35">
        <f t="shared" si="10"/>
        <v>62.926008968568802</v>
      </c>
      <c r="AP73" s="131">
        <f>AVERAGE(AO73:AO75)</f>
        <v>59.618082032706049</v>
      </c>
      <c r="AR73" s="29">
        <f t="shared" si="11"/>
        <v>245.63222799134311</v>
      </c>
      <c r="AS73" s="131">
        <f>AVERAGE(AR73:AR75)</f>
        <v>232.71970618029994</v>
      </c>
    </row>
    <row r="74" spans="2:45" x14ac:dyDescent="0.3">
      <c r="B74" s="28">
        <v>69</v>
      </c>
      <c r="C74" s="28" t="s">
        <v>261</v>
      </c>
      <c r="D74" s="125"/>
      <c r="E74" s="28">
        <v>234.5</v>
      </c>
      <c r="F74" s="28">
        <v>205.2</v>
      </c>
      <c r="G74" s="28">
        <f t="shared" si="8"/>
        <v>29.300000000000011</v>
      </c>
      <c r="H74" s="28">
        <v>8.07</v>
      </c>
      <c r="I74" s="126"/>
      <c r="J74" s="126"/>
      <c r="K74" s="126"/>
      <c r="L74" s="127"/>
      <c r="M74" s="29">
        <v>25.7</v>
      </c>
      <c r="N74" s="29">
        <f t="shared" si="9"/>
        <v>29.058240396530358</v>
      </c>
      <c r="O74" s="126"/>
      <c r="P74" s="126"/>
      <c r="Q74" s="29">
        <v>570</v>
      </c>
      <c r="R74" s="126"/>
      <c r="S74" s="29">
        <v>1734</v>
      </c>
      <c r="T74" s="126"/>
      <c r="U74" s="29">
        <f t="shared" si="12"/>
        <v>67.47081712062257</v>
      </c>
      <c r="V74" s="126"/>
      <c r="W74" s="31">
        <f t="shared" si="7"/>
        <v>263.37292647962317</v>
      </c>
      <c r="X74" s="126"/>
      <c r="AA74" s="126"/>
      <c r="AF74" s="32">
        <v>69</v>
      </c>
      <c r="AG74" s="28" t="s">
        <v>259</v>
      </c>
      <c r="AH74" s="129"/>
      <c r="AI74" s="32">
        <v>61.399999999871945</v>
      </c>
      <c r="AK74" s="123"/>
      <c r="AL74" s="32">
        <v>11.9</v>
      </c>
      <c r="AM74" s="123"/>
      <c r="AN74" s="32">
        <v>3684</v>
      </c>
      <c r="AO74" s="35">
        <f t="shared" si="10"/>
        <v>60.000000000125134</v>
      </c>
      <c r="AP74" s="123"/>
      <c r="AR74" s="29">
        <f t="shared" si="11"/>
        <v>234.21052631627791</v>
      </c>
      <c r="AS74" s="123"/>
    </row>
    <row r="75" spans="2:45" x14ac:dyDescent="0.3">
      <c r="B75" s="28">
        <v>70</v>
      </c>
      <c r="C75" s="28" t="s">
        <v>261</v>
      </c>
      <c r="D75" s="125"/>
      <c r="E75" s="28">
        <v>218</v>
      </c>
      <c r="F75" s="28">
        <v>195</v>
      </c>
      <c r="G75" s="28">
        <f t="shared" si="8"/>
        <v>23</v>
      </c>
      <c r="H75" s="28">
        <v>7.18</v>
      </c>
      <c r="I75" s="126"/>
      <c r="J75" s="126"/>
      <c r="K75" s="126"/>
      <c r="L75" s="127"/>
      <c r="M75" s="29">
        <v>26.7</v>
      </c>
      <c r="N75" s="29">
        <f t="shared" si="9"/>
        <v>30.362116991643454</v>
      </c>
      <c r="O75" s="126"/>
      <c r="P75" s="126"/>
      <c r="Q75" s="29">
        <v>570</v>
      </c>
      <c r="R75" s="126"/>
      <c r="S75" s="29">
        <v>1614</v>
      </c>
      <c r="T75" s="126"/>
      <c r="U75" s="29">
        <f t="shared" si="12"/>
        <v>60.449438202247194</v>
      </c>
      <c r="V75" s="126"/>
      <c r="W75" s="31">
        <f t="shared" si="7"/>
        <v>235.96491228070175</v>
      </c>
      <c r="X75" s="126"/>
      <c r="AA75" s="126"/>
      <c r="AF75" s="32">
        <v>70</v>
      </c>
      <c r="AG75" s="28" t="s">
        <v>260</v>
      </c>
      <c r="AH75" s="130"/>
      <c r="AI75" s="32">
        <v>64.100000000069855</v>
      </c>
      <c r="AK75" s="124"/>
      <c r="AL75" s="32">
        <v>12.1</v>
      </c>
      <c r="AM75" s="124"/>
      <c r="AN75" s="32">
        <v>3585</v>
      </c>
      <c r="AO75" s="35">
        <f t="shared" si="10"/>
        <v>55.928237129424232</v>
      </c>
      <c r="AP75" s="124"/>
      <c r="AR75" s="29">
        <f t="shared" si="11"/>
        <v>218.31636423327882</v>
      </c>
      <c r="AS75" s="124"/>
    </row>
    <row r="76" spans="2:45" x14ac:dyDescent="0.3">
      <c r="B76" s="28">
        <v>71</v>
      </c>
      <c r="C76" s="38" t="s">
        <v>263</v>
      </c>
      <c r="D76" s="125"/>
      <c r="E76" s="28">
        <v>242.7</v>
      </c>
      <c r="F76" s="28">
        <v>218.2</v>
      </c>
      <c r="G76" s="28">
        <f t="shared" si="8"/>
        <v>24.5</v>
      </c>
      <c r="H76" s="28">
        <v>7.08</v>
      </c>
      <c r="I76" s="126"/>
      <c r="J76" s="126"/>
      <c r="K76" s="126"/>
      <c r="L76" s="127"/>
      <c r="M76" s="29">
        <v>29.3</v>
      </c>
      <c r="N76" s="29">
        <f t="shared" si="9"/>
        <v>34.279661016949149</v>
      </c>
      <c r="O76" s="126"/>
      <c r="P76" s="126"/>
      <c r="Q76" s="29">
        <v>570</v>
      </c>
      <c r="R76" s="126"/>
      <c r="S76" s="29">
        <v>1546</v>
      </c>
      <c r="T76" s="126"/>
      <c r="U76" s="29">
        <f t="shared" si="12"/>
        <v>52.764505119453922</v>
      </c>
      <c r="V76" s="126"/>
      <c r="W76" s="31">
        <f t="shared" si="7"/>
        <v>205.96670858032454</v>
      </c>
      <c r="X76" s="126"/>
      <c r="AA76" s="126"/>
      <c r="AO76" s="39"/>
    </row>
    <row r="77" spans="2:45" x14ac:dyDescent="0.3">
      <c r="B77" s="28">
        <v>72</v>
      </c>
      <c r="C77" s="38" t="s">
        <v>263</v>
      </c>
      <c r="D77" s="125"/>
      <c r="E77" s="28">
        <v>211.5</v>
      </c>
      <c r="F77" s="28">
        <v>210.5</v>
      </c>
      <c r="G77" s="28">
        <f t="shared" si="8"/>
        <v>1</v>
      </c>
      <c r="H77" s="28">
        <v>7.98</v>
      </c>
      <c r="I77" s="126"/>
      <c r="J77" s="126"/>
      <c r="K77" s="126"/>
      <c r="L77" s="127"/>
      <c r="M77" s="29">
        <v>25.4</v>
      </c>
      <c r="N77" s="29">
        <f t="shared" si="9"/>
        <v>26.503759398496239</v>
      </c>
      <c r="O77" s="126"/>
      <c r="P77" s="126"/>
      <c r="Q77" s="29">
        <v>570</v>
      </c>
      <c r="R77" s="126"/>
      <c r="S77" s="29">
        <v>1059</v>
      </c>
      <c r="T77" s="126"/>
      <c r="U77" s="29">
        <f t="shared" si="12"/>
        <v>41.692913385826778</v>
      </c>
      <c r="V77" s="126"/>
      <c r="W77" s="31">
        <f t="shared" si="7"/>
        <v>162.74865312888525</v>
      </c>
      <c r="X77" s="126"/>
      <c r="AA77" s="126"/>
      <c r="AO77" s="39"/>
    </row>
    <row r="78" spans="2:45" x14ac:dyDescent="0.3">
      <c r="B78" s="28">
        <v>73</v>
      </c>
      <c r="C78" s="38" t="s">
        <v>278</v>
      </c>
      <c r="D78" s="125"/>
      <c r="E78" s="28">
        <v>249</v>
      </c>
      <c r="F78" s="28">
        <v>221</v>
      </c>
      <c r="G78" s="28">
        <f t="shared" si="8"/>
        <v>28</v>
      </c>
      <c r="H78" s="28">
        <v>10.34</v>
      </c>
      <c r="I78" s="126"/>
      <c r="J78" s="126"/>
      <c r="K78" s="126"/>
      <c r="L78" s="127"/>
      <c r="M78" s="29">
        <v>21.6</v>
      </c>
      <c r="N78" s="29">
        <f t="shared" si="9"/>
        <v>24.081237911025145</v>
      </c>
      <c r="O78" s="126"/>
      <c r="P78" s="126"/>
      <c r="Q78" s="29">
        <v>560</v>
      </c>
      <c r="R78" s="126"/>
      <c r="S78" s="29">
        <v>1106</v>
      </c>
      <c r="T78" s="126"/>
      <c r="U78" s="29">
        <f t="shared" si="12"/>
        <v>51.203703703703702</v>
      </c>
      <c r="V78" s="126"/>
      <c r="W78" s="31">
        <f t="shared" si="7"/>
        <v>199.87410656270305</v>
      </c>
      <c r="X78" s="126"/>
      <c r="AA78" s="126"/>
      <c r="AO78" s="39"/>
    </row>
    <row r="79" spans="2:45" x14ac:dyDescent="0.3">
      <c r="B79" s="28">
        <v>74</v>
      </c>
      <c r="C79" s="38" t="s">
        <v>278</v>
      </c>
      <c r="D79" s="125"/>
      <c r="E79" s="28">
        <v>231.3</v>
      </c>
      <c r="F79" s="28">
        <v>204</v>
      </c>
      <c r="G79" s="28">
        <f t="shared" si="8"/>
        <v>27.300000000000011</v>
      </c>
      <c r="H79" s="28">
        <v>9.4</v>
      </c>
      <c r="I79" s="126"/>
      <c r="J79" s="126"/>
      <c r="K79" s="126"/>
      <c r="L79" s="127"/>
      <c r="M79" s="29">
        <v>20.3</v>
      </c>
      <c r="N79" s="29">
        <f t="shared" si="9"/>
        <v>24.606382978723406</v>
      </c>
      <c r="O79" s="126"/>
      <c r="P79" s="126"/>
      <c r="Q79" s="29">
        <v>560</v>
      </c>
      <c r="R79" s="126"/>
      <c r="S79" s="29">
        <v>1042</v>
      </c>
      <c r="T79" s="126"/>
      <c r="U79" s="29">
        <f t="shared" si="12"/>
        <v>51.330049261083744</v>
      </c>
      <c r="V79" s="126"/>
      <c r="W79" s="31">
        <f t="shared" si="7"/>
        <v>200.36729755423039</v>
      </c>
      <c r="X79" s="126"/>
      <c r="AA79" s="126"/>
      <c r="AG79" s="19" t="s">
        <v>197</v>
      </c>
      <c r="AH79" s="19">
        <v>2022</v>
      </c>
      <c r="AO79" s="39"/>
    </row>
    <row r="80" spans="2:45" x14ac:dyDescent="0.3">
      <c r="B80" s="28">
        <v>75</v>
      </c>
      <c r="C80" s="38" t="s">
        <v>279</v>
      </c>
      <c r="D80" s="125"/>
      <c r="E80" s="28">
        <v>222.8</v>
      </c>
      <c r="F80" s="28">
        <v>198.8</v>
      </c>
      <c r="G80" s="28">
        <f t="shared" si="8"/>
        <v>24</v>
      </c>
      <c r="H80" s="28">
        <v>10.199999999999999</v>
      </c>
      <c r="I80" s="126"/>
      <c r="J80" s="126"/>
      <c r="K80" s="126"/>
      <c r="L80" s="127"/>
      <c r="M80" s="29">
        <v>21.5</v>
      </c>
      <c r="N80" s="29">
        <f t="shared" si="9"/>
        <v>21.843137254901965</v>
      </c>
      <c r="O80" s="126"/>
      <c r="P80" s="126"/>
      <c r="Q80" s="29">
        <v>540</v>
      </c>
      <c r="R80" s="126"/>
      <c r="S80" s="29">
        <v>943</v>
      </c>
      <c r="T80" s="126"/>
      <c r="U80" s="29">
        <f t="shared" si="12"/>
        <v>43.860465116279073</v>
      </c>
      <c r="V80" s="126"/>
      <c r="W80" s="31">
        <f t="shared" si="7"/>
        <v>171.20971032231742</v>
      </c>
      <c r="X80" s="126"/>
      <c r="AA80" s="126"/>
      <c r="AF80" s="28" t="s">
        <v>198</v>
      </c>
      <c r="AG80" s="28" t="s">
        <v>199</v>
      </c>
      <c r="AH80" s="28" t="s">
        <v>219</v>
      </c>
      <c r="AI80" s="28" t="s">
        <v>280</v>
      </c>
      <c r="AO80" s="39"/>
    </row>
    <row r="81" spans="2:45" x14ac:dyDescent="0.3">
      <c r="B81" s="28">
        <v>76</v>
      </c>
      <c r="C81" s="38" t="s">
        <v>279</v>
      </c>
      <c r="D81" s="125"/>
      <c r="E81" s="28">
        <v>235.5</v>
      </c>
      <c r="F81" s="28">
        <v>209.5</v>
      </c>
      <c r="G81" s="28">
        <f t="shared" si="8"/>
        <v>26</v>
      </c>
      <c r="H81" s="28">
        <v>9.93</v>
      </c>
      <c r="I81" s="126"/>
      <c r="J81" s="126"/>
      <c r="K81" s="126"/>
      <c r="L81" s="127"/>
      <c r="M81" s="29">
        <v>20</v>
      </c>
      <c r="N81" s="29">
        <f t="shared" si="9"/>
        <v>23.716012084592144</v>
      </c>
      <c r="O81" s="126"/>
      <c r="P81" s="126"/>
      <c r="Q81" s="29">
        <v>540</v>
      </c>
      <c r="R81" s="126"/>
      <c r="S81" s="29">
        <v>1054</v>
      </c>
      <c r="T81" s="126"/>
      <c r="U81" s="29">
        <f t="shared" si="12"/>
        <v>52.7</v>
      </c>
      <c r="V81" s="126"/>
      <c r="W81" s="31">
        <f t="shared" si="7"/>
        <v>205.71491228070175</v>
      </c>
      <c r="X81" s="126"/>
      <c r="AA81" s="126"/>
      <c r="AF81" s="32">
        <v>1</v>
      </c>
      <c r="AG81" s="36" t="s">
        <v>73</v>
      </c>
      <c r="AH81" s="128" t="s">
        <v>243</v>
      </c>
      <c r="AI81" s="32">
        <v>626.5</v>
      </c>
      <c r="AK81" s="131">
        <f>AVERAGE(AI81:AI87)</f>
        <v>148.58571428572259</v>
      </c>
      <c r="AL81" s="40">
        <v>8</v>
      </c>
      <c r="AM81" s="131">
        <f>AVERAGE(AL81:AL87)</f>
        <v>10.271428571428572</v>
      </c>
      <c r="AN81" s="28">
        <v>24979</v>
      </c>
      <c r="AO81" s="37">
        <f t="shared" ref="AO81:AO95" si="13">AN81/AI81</f>
        <v>39.870710295291303</v>
      </c>
      <c r="AP81" s="131">
        <f>AVERAGE(AO81:AO87)</f>
        <v>49.533678874021348</v>
      </c>
      <c r="AR81" s="29">
        <f t="shared" ref="AR81:AR95" si="14">((AO81/1000)*(890*1000))/$AU$3</f>
        <v>155.63566738074235</v>
      </c>
      <c r="AS81" s="131">
        <f>AVERAGE(AR81:AR87)</f>
        <v>193.35514999069736</v>
      </c>
    </row>
    <row r="82" spans="2:45" x14ac:dyDescent="0.3">
      <c r="B82" s="28">
        <v>77</v>
      </c>
      <c r="C82" s="38" t="s">
        <v>281</v>
      </c>
      <c r="D82" s="125"/>
      <c r="E82" s="28">
        <v>240</v>
      </c>
      <c r="F82" s="28">
        <v>215</v>
      </c>
      <c r="G82" s="28">
        <f t="shared" si="8"/>
        <v>25</v>
      </c>
      <c r="H82" s="28">
        <v>10.98</v>
      </c>
      <c r="I82" s="126"/>
      <c r="J82" s="126"/>
      <c r="K82" s="126"/>
      <c r="L82" s="127"/>
      <c r="M82" s="29">
        <v>20.399999999999999</v>
      </c>
      <c r="N82" s="29">
        <f t="shared" si="9"/>
        <v>21.857923497267759</v>
      </c>
      <c r="O82" s="126"/>
      <c r="P82" s="126"/>
      <c r="Q82" s="29">
        <v>560</v>
      </c>
      <c r="R82" s="126"/>
      <c r="S82" s="29">
        <v>877</v>
      </c>
      <c r="T82" s="126"/>
      <c r="U82" s="29">
        <f t="shared" si="12"/>
        <v>42.990196078431374</v>
      </c>
      <c r="V82" s="126"/>
      <c r="W82" s="31">
        <f t="shared" si="7"/>
        <v>167.81260749914</v>
      </c>
      <c r="X82" s="126"/>
      <c r="AA82" s="126"/>
      <c r="AF82" s="32">
        <v>2</v>
      </c>
      <c r="AG82" s="36" t="s">
        <v>253</v>
      </c>
      <c r="AH82" s="129"/>
      <c r="AI82" s="32">
        <v>206.8000000000815</v>
      </c>
      <c r="AK82" s="123"/>
      <c r="AL82" s="40">
        <v>14.1</v>
      </c>
      <c r="AM82" s="123"/>
      <c r="AN82" s="28">
        <v>7321</v>
      </c>
      <c r="AO82" s="37">
        <f t="shared" si="13"/>
        <v>35.401353965169804</v>
      </c>
      <c r="AP82" s="123"/>
      <c r="AR82" s="29">
        <f t="shared" si="14"/>
        <v>138.189495741233</v>
      </c>
      <c r="AS82" s="123"/>
    </row>
    <row r="83" spans="2:45" x14ac:dyDescent="0.3">
      <c r="B83" s="28">
        <v>78</v>
      </c>
      <c r="C83" s="38" t="s">
        <v>281</v>
      </c>
      <c r="D83" s="125"/>
      <c r="E83" s="28">
        <v>231.3</v>
      </c>
      <c r="F83" s="28">
        <v>209.3</v>
      </c>
      <c r="G83" s="28">
        <f t="shared" si="8"/>
        <v>22</v>
      </c>
      <c r="H83" s="28">
        <v>10.53</v>
      </c>
      <c r="I83" s="126"/>
      <c r="J83" s="126"/>
      <c r="K83" s="126"/>
      <c r="L83" s="127"/>
      <c r="M83" s="29">
        <v>19</v>
      </c>
      <c r="N83" s="29">
        <f t="shared" si="9"/>
        <v>21.965811965811969</v>
      </c>
      <c r="O83" s="126"/>
      <c r="P83" s="126"/>
      <c r="Q83" s="29">
        <v>550</v>
      </c>
      <c r="R83" s="126"/>
      <c r="S83" s="29">
        <v>1095</v>
      </c>
      <c r="T83" s="126"/>
      <c r="U83" s="29">
        <f t="shared" si="12"/>
        <v>57.631578947368418</v>
      </c>
      <c r="V83" s="126"/>
      <c r="W83" s="31">
        <f t="shared" si="7"/>
        <v>224.96537396121883</v>
      </c>
      <c r="X83" s="126"/>
      <c r="AA83" s="126"/>
      <c r="AF83" s="32">
        <v>3</v>
      </c>
      <c r="AG83" s="28" t="s">
        <v>278</v>
      </c>
      <c r="AH83" s="129"/>
      <c r="AI83" s="32">
        <v>65.5</v>
      </c>
      <c r="AK83" s="123"/>
      <c r="AL83" s="40">
        <v>9.5</v>
      </c>
      <c r="AM83" s="123"/>
      <c r="AN83" s="28">
        <v>3437</v>
      </c>
      <c r="AO83" s="37">
        <f t="shared" si="13"/>
        <v>52.473282442748094</v>
      </c>
      <c r="AP83" s="123"/>
      <c r="AR83" s="29">
        <f t="shared" si="14"/>
        <v>204.82991830721843</v>
      </c>
      <c r="AS83" s="123"/>
    </row>
    <row r="84" spans="2:45" x14ac:dyDescent="0.3">
      <c r="B84" s="28">
        <v>79</v>
      </c>
      <c r="C84" s="38" t="s">
        <v>282</v>
      </c>
      <c r="D84" s="125"/>
      <c r="E84" s="28">
        <v>233</v>
      </c>
      <c r="F84" s="28">
        <v>201</v>
      </c>
      <c r="G84" s="28">
        <f t="shared" si="8"/>
        <v>32</v>
      </c>
      <c r="H84" s="28">
        <v>8.44</v>
      </c>
      <c r="I84" s="126"/>
      <c r="J84" s="126"/>
      <c r="K84" s="126"/>
      <c r="L84" s="127"/>
      <c r="M84" s="29">
        <v>25.2</v>
      </c>
      <c r="N84" s="29">
        <f t="shared" si="9"/>
        <v>27.60663507109005</v>
      </c>
      <c r="O84" s="126"/>
      <c r="P84" s="126"/>
      <c r="Q84" s="29">
        <v>550</v>
      </c>
      <c r="R84" s="126"/>
      <c r="S84" s="29">
        <v>1285</v>
      </c>
      <c r="T84" s="126"/>
      <c r="U84" s="29">
        <f t="shared" si="12"/>
        <v>50.992063492063494</v>
      </c>
      <c r="V84" s="126"/>
      <c r="W84" s="31">
        <f t="shared" si="7"/>
        <v>199.04796714007242</v>
      </c>
      <c r="X84" s="126"/>
      <c r="AA84" s="126"/>
      <c r="AF84" s="32">
        <v>4</v>
      </c>
      <c r="AG84" s="28" t="s">
        <v>279</v>
      </c>
      <c r="AH84" s="129"/>
      <c r="AI84" s="32">
        <v>56.500000000034923</v>
      </c>
      <c r="AK84" s="123"/>
      <c r="AL84" s="40">
        <v>8.6</v>
      </c>
      <c r="AM84" s="123"/>
      <c r="AN84" s="28">
        <v>2454</v>
      </c>
      <c r="AO84" s="37">
        <f t="shared" si="13"/>
        <v>43.433628318557226</v>
      </c>
      <c r="AP84" s="123"/>
      <c r="AR84" s="29">
        <f t="shared" si="14"/>
        <v>169.54354913822777</v>
      </c>
      <c r="AS84" s="123"/>
    </row>
    <row r="85" spans="2:45" x14ac:dyDescent="0.3">
      <c r="B85" s="28">
        <v>80</v>
      </c>
      <c r="C85" s="38" t="s">
        <v>282</v>
      </c>
      <c r="D85" s="125"/>
      <c r="E85" s="28">
        <v>244</v>
      </c>
      <c r="F85" s="28">
        <v>199</v>
      </c>
      <c r="G85" s="28">
        <f t="shared" si="8"/>
        <v>45</v>
      </c>
      <c r="H85" s="28">
        <v>9.86</v>
      </c>
      <c r="I85" s="126"/>
      <c r="J85" s="126"/>
      <c r="K85" s="126"/>
      <c r="L85" s="127"/>
      <c r="M85" s="29">
        <v>18.5</v>
      </c>
      <c r="N85" s="29">
        <f t="shared" si="9"/>
        <v>24.746450304259636</v>
      </c>
      <c r="O85" s="126"/>
      <c r="P85" s="126"/>
      <c r="Q85" s="29">
        <v>560</v>
      </c>
      <c r="R85" s="126"/>
      <c r="S85" s="29">
        <v>996</v>
      </c>
      <c r="T85" s="126"/>
      <c r="U85" s="29">
        <f t="shared" si="12"/>
        <v>53.837837837837839</v>
      </c>
      <c r="V85" s="126"/>
      <c r="W85" s="31">
        <f t="shared" si="7"/>
        <v>210.15647226173544</v>
      </c>
      <c r="X85" s="126"/>
      <c r="AA85" s="126"/>
      <c r="AF85" s="32">
        <v>5</v>
      </c>
      <c r="AG85" s="28" t="s">
        <v>281</v>
      </c>
      <c r="AH85" s="129"/>
      <c r="AI85" s="32">
        <v>36.699999999988357</v>
      </c>
      <c r="AK85" s="123"/>
      <c r="AL85" s="40">
        <v>13.6</v>
      </c>
      <c r="AM85" s="123"/>
      <c r="AN85" s="28">
        <v>2025</v>
      </c>
      <c r="AO85" s="37">
        <f t="shared" si="13"/>
        <v>55.177111716638755</v>
      </c>
      <c r="AP85" s="123"/>
      <c r="AR85" s="29">
        <f t="shared" si="14"/>
        <v>215.38433959565128</v>
      </c>
      <c r="AS85" s="123"/>
    </row>
    <row r="86" spans="2:45" x14ac:dyDescent="0.3">
      <c r="B86" s="28">
        <v>81</v>
      </c>
      <c r="C86" s="38" t="s">
        <v>283</v>
      </c>
      <c r="D86" s="125"/>
      <c r="E86" s="28">
        <v>235</v>
      </c>
      <c r="F86" s="28">
        <v>210</v>
      </c>
      <c r="G86" s="28">
        <f t="shared" si="8"/>
        <v>25</v>
      </c>
      <c r="H86" s="28">
        <v>11.08</v>
      </c>
      <c r="I86" s="126"/>
      <c r="J86" s="126"/>
      <c r="K86" s="126"/>
      <c r="L86" s="127"/>
      <c r="M86" s="29">
        <v>20</v>
      </c>
      <c r="N86" s="29">
        <f t="shared" si="9"/>
        <v>21.209386281588447</v>
      </c>
      <c r="O86" s="126"/>
      <c r="P86" s="126"/>
      <c r="Q86" s="29">
        <v>560</v>
      </c>
      <c r="R86" s="126"/>
      <c r="S86" s="29">
        <v>690</v>
      </c>
      <c r="T86" s="126"/>
      <c r="U86" s="29">
        <f t="shared" si="12"/>
        <v>34.5</v>
      </c>
      <c r="V86" s="126"/>
      <c r="W86" s="31">
        <f t="shared" si="7"/>
        <v>134.67105263157896</v>
      </c>
      <c r="X86" s="126"/>
      <c r="AA86" s="126"/>
      <c r="AF86" s="32">
        <v>6</v>
      </c>
      <c r="AG86" s="28" t="s">
        <v>282</v>
      </c>
      <c r="AH86" s="129"/>
      <c r="AI86" s="32">
        <v>22.200000000069849</v>
      </c>
      <c r="AK86" s="123"/>
      <c r="AL86" s="40">
        <v>9</v>
      </c>
      <c r="AM86" s="123"/>
      <c r="AN86" s="28">
        <v>1343</v>
      </c>
      <c r="AO86" s="37">
        <f t="shared" si="13"/>
        <v>60.495495495305157</v>
      </c>
      <c r="AP86" s="123"/>
      <c r="AR86" s="29">
        <f t="shared" si="14"/>
        <v>236.14469732816485</v>
      </c>
      <c r="AS86" s="123"/>
    </row>
    <row r="87" spans="2:45" x14ac:dyDescent="0.3">
      <c r="B87" s="28">
        <v>82</v>
      </c>
      <c r="C87" s="38" t="s">
        <v>283</v>
      </c>
      <c r="D87" s="125"/>
      <c r="E87" s="28">
        <v>253.8</v>
      </c>
      <c r="F87" s="28">
        <v>208.8</v>
      </c>
      <c r="G87" s="28">
        <f t="shared" si="8"/>
        <v>45</v>
      </c>
      <c r="H87" s="28">
        <v>10.95</v>
      </c>
      <c r="I87" s="126"/>
      <c r="J87" s="126"/>
      <c r="K87" s="126"/>
      <c r="L87" s="127"/>
      <c r="M87" s="29">
        <v>17.899999999999999</v>
      </c>
      <c r="N87" s="29">
        <f t="shared" si="9"/>
        <v>23.178082191780824</v>
      </c>
      <c r="O87" s="126"/>
      <c r="P87" s="126"/>
      <c r="Q87" s="29">
        <v>560</v>
      </c>
      <c r="R87" s="126"/>
      <c r="S87" s="29">
        <v>1052</v>
      </c>
      <c r="T87" s="126"/>
      <c r="U87" s="29">
        <f t="shared" si="12"/>
        <v>58.770949720670394</v>
      </c>
      <c r="V87" s="126"/>
      <c r="W87" s="31">
        <f t="shared" si="7"/>
        <v>229.41291776928355</v>
      </c>
      <c r="X87" s="126"/>
      <c r="AA87" s="126"/>
      <c r="AF87" s="32">
        <v>7</v>
      </c>
      <c r="AG87" s="28" t="s">
        <v>283</v>
      </c>
      <c r="AH87" s="130"/>
      <c r="AI87" s="32">
        <v>25.899999999883583</v>
      </c>
      <c r="AK87" s="124"/>
      <c r="AL87" s="40">
        <v>9.1</v>
      </c>
      <c r="AM87" s="124"/>
      <c r="AN87" s="28">
        <v>1551</v>
      </c>
      <c r="AO87" s="37">
        <f t="shared" si="13"/>
        <v>59.884169884439054</v>
      </c>
      <c r="AP87" s="124"/>
      <c r="AR87" s="29">
        <f t="shared" si="14"/>
        <v>233.75838244364365</v>
      </c>
      <c r="AS87" s="124"/>
    </row>
    <row r="88" spans="2:45" x14ac:dyDescent="0.3">
      <c r="B88" s="32">
        <v>83</v>
      </c>
      <c r="C88" s="28" t="s">
        <v>258</v>
      </c>
      <c r="D88" s="125" t="s">
        <v>284</v>
      </c>
      <c r="E88" s="32">
        <v>831</v>
      </c>
      <c r="F88" s="32">
        <v>793</v>
      </c>
      <c r="G88" s="32">
        <f t="shared" si="8"/>
        <v>38</v>
      </c>
      <c r="H88" s="32">
        <v>8.27</v>
      </c>
      <c r="I88" s="126">
        <f>AVERAGE(F88:F93)</f>
        <v>792.5</v>
      </c>
      <c r="J88" s="126">
        <f>AVERAGE(G88:G93)</f>
        <v>28.25</v>
      </c>
      <c r="K88" s="126">
        <f>AVERAGE(H88:H93)</f>
        <v>7.93</v>
      </c>
      <c r="L88" s="127">
        <v>6</v>
      </c>
      <c r="M88" s="29">
        <v>96.8</v>
      </c>
      <c r="N88" s="29">
        <f t="shared" si="9"/>
        <v>100.48367593712213</v>
      </c>
      <c r="O88" s="126">
        <f>AVERAGE(M88:M93)</f>
        <v>100.11666666666667</v>
      </c>
      <c r="P88" s="126">
        <f>AVERAGE(N88:N93)</f>
        <v>103.88998729070953</v>
      </c>
      <c r="Q88" s="29">
        <v>525</v>
      </c>
      <c r="R88" s="126">
        <f>AVERAGE(Q88:Q93)</f>
        <v>540</v>
      </c>
      <c r="S88" s="29">
        <v>4607</v>
      </c>
      <c r="T88" s="126">
        <f>AVERAGE(S88:S93)</f>
        <v>6513.666666666667</v>
      </c>
      <c r="U88" s="29">
        <f t="shared" si="12"/>
        <v>47.59297520661157</v>
      </c>
      <c r="V88" s="126">
        <f>AVERAGE(U88:U93)</f>
        <v>64.425453260930382</v>
      </c>
      <c r="W88" s="31">
        <f t="shared" si="7"/>
        <v>185.7795962012469</v>
      </c>
      <c r="X88" s="126">
        <f>AVERAGE(W88:W93)</f>
        <v>251.48532193959667</v>
      </c>
      <c r="AA88" s="126">
        <f>K88/AA3</f>
        <v>0.57463768115942027</v>
      </c>
      <c r="AF88" s="28">
        <v>8</v>
      </c>
      <c r="AG88" s="36" t="s">
        <v>263</v>
      </c>
      <c r="AH88" s="128" t="s">
        <v>275</v>
      </c>
      <c r="AI88" s="28">
        <v>97.200000000058211</v>
      </c>
      <c r="AK88" s="131">
        <f>AVERAGE(AI88:AI93)</f>
        <v>38.700000000009702</v>
      </c>
      <c r="AL88" s="40">
        <v>14.3</v>
      </c>
      <c r="AM88" s="131">
        <f>AVERAGE(AL88:AL93)</f>
        <v>11.383333333333333</v>
      </c>
      <c r="AN88" s="28">
        <v>3990</v>
      </c>
      <c r="AO88" s="37">
        <f t="shared" si="13"/>
        <v>41.049382716024802</v>
      </c>
      <c r="AP88" s="131">
        <f>AVERAGE(AO88:AO93)</f>
        <v>57.94892075039008</v>
      </c>
      <c r="AR88" s="29">
        <f t="shared" si="14"/>
        <v>160.23662551430735</v>
      </c>
      <c r="AS88" s="131">
        <f>AVERAGE(AR88:AR93)</f>
        <v>226.20412047301394</v>
      </c>
    </row>
    <row r="89" spans="2:45" x14ac:dyDescent="0.3">
      <c r="B89" s="32">
        <v>84</v>
      </c>
      <c r="C89" s="28" t="s">
        <v>258</v>
      </c>
      <c r="D89" s="125"/>
      <c r="E89" s="32">
        <v>815</v>
      </c>
      <c r="F89" s="32">
        <v>790</v>
      </c>
      <c r="G89" s="32">
        <f t="shared" si="8"/>
        <v>25</v>
      </c>
      <c r="H89" s="32">
        <v>7.92</v>
      </c>
      <c r="I89" s="126"/>
      <c r="J89" s="126"/>
      <c r="K89" s="126"/>
      <c r="L89" s="127"/>
      <c r="M89" s="29">
        <v>98.7</v>
      </c>
      <c r="N89" s="29">
        <f t="shared" si="9"/>
        <v>102.9040404040404</v>
      </c>
      <c r="O89" s="126"/>
      <c r="P89" s="126"/>
      <c r="Q89" s="29">
        <v>525</v>
      </c>
      <c r="R89" s="126"/>
      <c r="S89" s="29">
        <v>6431</v>
      </c>
      <c r="T89" s="126"/>
      <c r="U89" s="29">
        <f t="shared" si="12"/>
        <v>65.157041540020259</v>
      </c>
      <c r="V89" s="126"/>
      <c r="W89" s="31">
        <f t="shared" si="7"/>
        <v>254.34108320446504</v>
      </c>
      <c r="X89" s="126"/>
      <c r="AA89" s="126"/>
      <c r="AF89" s="28">
        <v>9</v>
      </c>
      <c r="AG89" s="28" t="s">
        <v>278</v>
      </c>
      <c r="AH89" s="129"/>
      <c r="AI89" s="28">
        <v>35.599999999941794</v>
      </c>
      <c r="AK89" s="123"/>
      <c r="AL89" s="40">
        <v>13.4</v>
      </c>
      <c r="AM89" s="123"/>
      <c r="AN89" s="28">
        <v>2116</v>
      </c>
      <c r="AO89" s="37">
        <f t="shared" si="13"/>
        <v>59.438202247288196</v>
      </c>
      <c r="AP89" s="123"/>
      <c r="AR89" s="29">
        <f t="shared" si="14"/>
        <v>232.01754386002847</v>
      </c>
      <c r="AS89" s="123"/>
    </row>
    <row r="90" spans="2:45" x14ac:dyDescent="0.3">
      <c r="B90" s="32">
        <v>85</v>
      </c>
      <c r="C90" s="28" t="s">
        <v>259</v>
      </c>
      <c r="D90" s="125"/>
      <c r="E90" s="32">
        <v>813.7</v>
      </c>
      <c r="F90" s="32">
        <v>791.7</v>
      </c>
      <c r="G90" s="32">
        <f t="shared" si="8"/>
        <v>22</v>
      </c>
      <c r="H90" s="32">
        <v>7.89</v>
      </c>
      <c r="I90" s="126"/>
      <c r="J90" s="126"/>
      <c r="K90" s="126"/>
      <c r="L90" s="127"/>
      <c r="M90" s="29">
        <v>101.2</v>
      </c>
      <c r="N90" s="29">
        <f t="shared" si="9"/>
        <v>103.13054499366288</v>
      </c>
      <c r="O90" s="126"/>
      <c r="P90" s="126"/>
      <c r="Q90" s="29">
        <v>525</v>
      </c>
      <c r="R90" s="126"/>
      <c r="S90" s="29">
        <v>4925</v>
      </c>
      <c r="T90" s="126"/>
      <c r="U90" s="29">
        <f t="shared" si="12"/>
        <v>48.666007905138336</v>
      </c>
      <c r="V90" s="126"/>
      <c r="W90" s="31">
        <f t="shared" si="7"/>
        <v>189.9681887525137</v>
      </c>
      <c r="X90" s="126"/>
      <c r="AA90" s="126"/>
      <c r="AF90" s="28">
        <v>10</v>
      </c>
      <c r="AG90" s="28" t="s">
        <v>279</v>
      </c>
      <c r="AH90" s="129"/>
      <c r="AI90" s="28">
        <v>13.600000000034925</v>
      </c>
      <c r="AK90" s="123"/>
      <c r="AL90" s="40">
        <v>9.5</v>
      </c>
      <c r="AM90" s="123"/>
      <c r="AN90" s="28">
        <v>974</v>
      </c>
      <c r="AO90" s="37">
        <f t="shared" si="13"/>
        <v>71.617647058639619</v>
      </c>
      <c r="AP90" s="123"/>
      <c r="AR90" s="29">
        <f t="shared" si="14"/>
        <v>279.56011351837395</v>
      </c>
      <c r="AS90" s="123"/>
    </row>
    <row r="91" spans="2:45" x14ac:dyDescent="0.3">
      <c r="B91" s="32">
        <v>86</v>
      </c>
      <c r="C91" s="28" t="s">
        <v>259</v>
      </c>
      <c r="D91" s="125"/>
      <c r="E91" s="32">
        <v>810.5</v>
      </c>
      <c r="F91" s="32">
        <v>788</v>
      </c>
      <c r="G91" s="32">
        <f t="shared" si="8"/>
        <v>22.5</v>
      </c>
      <c r="H91" s="32">
        <v>7.87</v>
      </c>
      <c r="I91" s="126"/>
      <c r="J91" s="126"/>
      <c r="K91" s="126"/>
      <c r="L91" s="127"/>
      <c r="M91" s="29">
        <v>99.3</v>
      </c>
      <c r="N91" s="29">
        <f t="shared" si="9"/>
        <v>102.98602287166455</v>
      </c>
      <c r="O91" s="126"/>
      <c r="P91" s="126"/>
      <c r="Q91" s="29">
        <v>525</v>
      </c>
      <c r="R91" s="126"/>
      <c r="S91" s="29">
        <v>8105</v>
      </c>
      <c r="T91" s="126"/>
      <c r="U91" s="29">
        <f t="shared" si="12"/>
        <v>81.621349446122863</v>
      </c>
      <c r="V91" s="126"/>
      <c r="W91" s="31">
        <f t="shared" si="7"/>
        <v>318.6096535396901</v>
      </c>
      <c r="X91" s="126"/>
      <c r="AA91" s="126"/>
      <c r="AF91" s="28">
        <v>11</v>
      </c>
      <c r="AG91" s="28" t="s">
        <v>281</v>
      </c>
      <c r="AH91" s="129"/>
      <c r="AI91" s="28">
        <v>15.499999999988358</v>
      </c>
      <c r="AK91" s="123"/>
      <c r="AL91" s="40">
        <v>10.8</v>
      </c>
      <c r="AM91" s="123"/>
      <c r="AN91" s="28">
        <v>1148</v>
      </c>
      <c r="AO91" s="37">
        <f t="shared" si="13"/>
        <v>74.064516129087892</v>
      </c>
      <c r="AP91" s="123"/>
      <c r="AR91" s="29">
        <f t="shared" si="14"/>
        <v>289.11148839863256</v>
      </c>
      <c r="AS91" s="123"/>
    </row>
    <row r="92" spans="2:45" x14ac:dyDescent="0.3">
      <c r="B92" s="32">
        <v>87</v>
      </c>
      <c r="C92" s="28" t="s">
        <v>260</v>
      </c>
      <c r="D92" s="125"/>
      <c r="E92" s="32">
        <v>823</v>
      </c>
      <c r="F92" s="32">
        <v>800</v>
      </c>
      <c r="G92" s="32">
        <f t="shared" si="8"/>
        <v>23</v>
      </c>
      <c r="H92" s="32">
        <v>8.58</v>
      </c>
      <c r="I92" s="126"/>
      <c r="J92" s="126"/>
      <c r="K92" s="126"/>
      <c r="L92" s="127"/>
      <c r="M92" s="29">
        <v>93.8</v>
      </c>
      <c r="N92" s="29">
        <f t="shared" si="9"/>
        <v>95.920745920745915</v>
      </c>
      <c r="O92" s="126"/>
      <c r="P92" s="126"/>
      <c r="Q92" s="29">
        <v>570</v>
      </c>
      <c r="R92" s="126"/>
      <c r="S92" s="29">
        <v>4947</v>
      </c>
      <c r="T92" s="126"/>
      <c r="U92" s="29">
        <f t="shared" si="12"/>
        <v>52.739872068230277</v>
      </c>
      <c r="V92" s="126"/>
      <c r="W92" s="31">
        <f t="shared" si="7"/>
        <v>205.87055324879364</v>
      </c>
      <c r="X92" s="126"/>
      <c r="AA92" s="126"/>
      <c r="AF92" s="28">
        <v>12</v>
      </c>
      <c r="AG92" s="28" t="s">
        <v>282</v>
      </c>
      <c r="AH92" s="129"/>
      <c r="AI92" s="28">
        <v>29.700000000034926</v>
      </c>
      <c r="AK92" s="123"/>
      <c r="AL92" s="40">
        <v>9.9</v>
      </c>
      <c r="AM92" s="123"/>
      <c r="AN92" s="28">
        <v>1580</v>
      </c>
      <c r="AO92" s="37">
        <f t="shared" si="13"/>
        <v>53.198653198590641</v>
      </c>
      <c r="AP92" s="123"/>
      <c r="AR92" s="29">
        <f t="shared" si="14"/>
        <v>207.66140941555119</v>
      </c>
      <c r="AS92" s="123"/>
    </row>
    <row r="93" spans="2:45" x14ac:dyDescent="0.3">
      <c r="B93" s="32">
        <v>88</v>
      </c>
      <c r="C93" s="28" t="s">
        <v>260</v>
      </c>
      <c r="D93" s="125"/>
      <c r="E93" s="32">
        <v>831.3</v>
      </c>
      <c r="F93" s="32">
        <v>792.3</v>
      </c>
      <c r="G93" s="32">
        <f t="shared" si="8"/>
        <v>39</v>
      </c>
      <c r="H93" s="32">
        <v>7.05</v>
      </c>
      <c r="I93" s="126"/>
      <c r="J93" s="126"/>
      <c r="K93" s="126"/>
      <c r="L93" s="127"/>
      <c r="M93" s="29">
        <v>110.9</v>
      </c>
      <c r="N93" s="29">
        <f t="shared" si="9"/>
        <v>117.91489361702128</v>
      </c>
      <c r="O93" s="126"/>
      <c r="P93" s="126"/>
      <c r="Q93" s="29">
        <v>570</v>
      </c>
      <c r="R93" s="126"/>
      <c r="S93" s="29">
        <v>10067</v>
      </c>
      <c r="T93" s="126"/>
      <c r="U93" s="29">
        <f t="shared" si="12"/>
        <v>90.775473399458974</v>
      </c>
      <c r="V93" s="126"/>
      <c r="W93" s="31">
        <f t="shared" si="7"/>
        <v>354.34285669087058</v>
      </c>
      <c r="X93" s="126"/>
      <c r="AA93" s="126"/>
      <c r="AF93" s="28">
        <v>13</v>
      </c>
      <c r="AG93" s="28" t="s">
        <v>283</v>
      </c>
      <c r="AH93" s="130"/>
      <c r="AI93" s="28">
        <v>40.6</v>
      </c>
      <c r="AK93" s="124"/>
      <c r="AL93" s="40">
        <v>10.4</v>
      </c>
      <c r="AM93" s="124"/>
      <c r="AN93" s="28">
        <v>1962</v>
      </c>
      <c r="AO93" s="37">
        <f t="shared" si="13"/>
        <v>48.325123152709359</v>
      </c>
      <c r="AP93" s="124"/>
      <c r="AR93" s="29">
        <f t="shared" si="14"/>
        <v>188.63754213119003</v>
      </c>
      <c r="AS93" s="124"/>
    </row>
    <row r="94" spans="2:45" x14ac:dyDescent="0.3">
      <c r="AF94" s="32">
        <v>14</v>
      </c>
      <c r="AG94" s="28" t="s">
        <v>253</v>
      </c>
      <c r="AH94" s="28" t="s">
        <v>268</v>
      </c>
      <c r="AI94" s="32">
        <v>21.299999999930151</v>
      </c>
      <c r="AK94" s="29">
        <f>AVERAGE(AI94)</f>
        <v>21.299999999930151</v>
      </c>
      <c r="AL94" s="40">
        <v>4.5</v>
      </c>
      <c r="AM94" s="29">
        <f>AVERAGE(AL94)</f>
        <v>4.5</v>
      </c>
      <c r="AN94" s="28">
        <v>1401</v>
      </c>
      <c r="AO94" s="37">
        <f t="shared" si="13"/>
        <v>65.774647887539643</v>
      </c>
      <c r="AP94" s="29">
        <f>AVERAGE(AO94)</f>
        <v>65.774647887539643</v>
      </c>
      <c r="AR94" s="29">
        <f t="shared" si="14"/>
        <v>256.75191499960647</v>
      </c>
      <c r="AS94" s="29">
        <f>AVERAGE(AR94)</f>
        <v>256.75191499960647</v>
      </c>
    </row>
    <row r="95" spans="2:45" x14ac:dyDescent="0.3">
      <c r="AF95" s="28">
        <v>15</v>
      </c>
      <c r="AG95" s="28" t="s">
        <v>253</v>
      </c>
      <c r="AH95" s="28" t="s">
        <v>272</v>
      </c>
      <c r="AI95" s="28">
        <v>46.799999999895228</v>
      </c>
      <c r="AK95" s="29">
        <f>AVERAGE(AI95)</f>
        <v>46.799999999895228</v>
      </c>
      <c r="AL95" s="40">
        <v>5.4</v>
      </c>
      <c r="AM95" s="29">
        <f>AVERAGE(AL95)</f>
        <v>5.4</v>
      </c>
      <c r="AN95" s="28">
        <v>3458</v>
      </c>
      <c r="AO95" s="37">
        <f t="shared" si="13"/>
        <v>73.8888888890543</v>
      </c>
      <c r="AP95" s="29">
        <f>AVERAGE(AO95)</f>
        <v>73.8888888890543</v>
      </c>
      <c r="AR95" s="29">
        <f t="shared" si="14"/>
        <v>288.42592592657161</v>
      </c>
      <c r="AS95" s="29">
        <f>AVERAGE(AR95)</f>
        <v>288.42592592657161</v>
      </c>
    </row>
    <row r="96" spans="2:45" x14ac:dyDescent="0.3">
      <c r="AO96" s="39"/>
    </row>
    <row r="97" spans="2:45" ht="13.8" customHeight="1" x14ac:dyDescent="0.3">
      <c r="AO97" s="39"/>
    </row>
    <row r="98" spans="2:45" x14ac:dyDescent="0.3">
      <c r="C98" s="19" t="s">
        <v>196</v>
      </c>
      <c r="D98" s="19">
        <v>2023</v>
      </c>
      <c r="AO98" s="39"/>
    </row>
    <row r="99" spans="2:45" x14ac:dyDescent="0.3">
      <c r="B99" s="28" t="s">
        <v>198</v>
      </c>
      <c r="C99" s="28" t="s">
        <v>199</v>
      </c>
      <c r="D99" s="28" t="s">
        <v>191</v>
      </c>
      <c r="E99" s="28" t="s">
        <v>179</v>
      </c>
      <c r="F99" s="28" t="s">
        <v>200</v>
      </c>
      <c r="G99" s="28" t="s">
        <v>201</v>
      </c>
      <c r="H99" s="28" t="s">
        <v>202</v>
      </c>
      <c r="I99" s="28" t="s">
        <v>203</v>
      </c>
      <c r="J99" s="28" t="s">
        <v>204</v>
      </c>
      <c r="K99" s="28" t="s">
        <v>205</v>
      </c>
      <c r="L99" s="28" t="s">
        <v>206</v>
      </c>
      <c r="AH99" s="28" t="s">
        <v>243</v>
      </c>
      <c r="AK99" s="29">
        <f>AVERAGE(AK81,AK15)</f>
        <v>104.69910714286493</v>
      </c>
      <c r="AM99" s="29">
        <f>AVERAGE(AM81,AM15)</f>
        <v>10.737797619047619</v>
      </c>
      <c r="AO99" s="39"/>
      <c r="AP99" s="29">
        <f>AVERAGE(AP81,AP15)</f>
        <v>51.836272090069485</v>
      </c>
      <c r="AS99" s="29">
        <f>AVERAGE(AS81,AS15)</f>
        <v>202.34334280772734</v>
      </c>
    </row>
    <row r="100" spans="2:45" x14ac:dyDescent="0.3">
      <c r="B100" s="28">
        <v>1</v>
      </c>
      <c r="C100" s="28" t="s">
        <v>253</v>
      </c>
      <c r="D100" s="28" t="s">
        <v>248</v>
      </c>
      <c r="E100" s="28">
        <v>607.5</v>
      </c>
      <c r="F100" s="28">
        <v>577</v>
      </c>
      <c r="G100" s="28">
        <v>10.07</v>
      </c>
      <c r="H100" s="28">
        <v>11.28</v>
      </c>
      <c r="I100" s="29">
        <f>F100</f>
        <v>577</v>
      </c>
      <c r="J100" s="29"/>
      <c r="K100" s="29">
        <f>H100</f>
        <v>11.28</v>
      </c>
      <c r="L100" s="30">
        <v>1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AH100" s="28" t="s">
        <v>275</v>
      </c>
      <c r="AK100" s="29">
        <f>AVERAGE(AK88,AK68)</f>
        <v>27.089999999983895</v>
      </c>
      <c r="AM100" s="29">
        <f>AVERAGE(AM88,AM68)</f>
        <v>11.541666666666666</v>
      </c>
      <c r="AO100" s="39"/>
      <c r="AP100" s="29">
        <f>AVERAGE(AP88,AP68)</f>
        <v>68.234228310610334</v>
      </c>
      <c r="AS100" s="29">
        <f>AVERAGE(AS88,AS68)</f>
        <v>266.35290875632978</v>
      </c>
    </row>
    <row r="101" spans="2:45" x14ac:dyDescent="0.3">
      <c r="B101" s="28">
        <v>2</v>
      </c>
      <c r="C101" s="28" t="s">
        <v>253</v>
      </c>
      <c r="D101" s="28" t="s">
        <v>285</v>
      </c>
      <c r="E101" s="28">
        <v>163.19999999999999</v>
      </c>
      <c r="F101" s="28">
        <v>160.19999999999999</v>
      </c>
      <c r="G101" s="28">
        <f>E101-F101</f>
        <v>3</v>
      </c>
      <c r="H101" s="28">
        <v>8.4</v>
      </c>
      <c r="I101" s="29">
        <f t="shared" ref="I101:I102" si="15">F101</f>
        <v>160.19999999999999</v>
      </c>
      <c r="J101" s="42"/>
      <c r="K101" s="29">
        <f t="shared" ref="K101:K102" si="16">H101</f>
        <v>8.4</v>
      </c>
      <c r="L101" s="28">
        <v>1</v>
      </c>
      <c r="AH101" s="28" t="s">
        <v>268</v>
      </c>
      <c r="AK101" s="29">
        <f>AVERAGE(AK94,AK49)</f>
        <v>35.249999999982535</v>
      </c>
      <c r="AM101" s="29">
        <f>AVERAGE(AM94,AM49)</f>
        <v>5.0625</v>
      </c>
      <c r="AO101" s="39"/>
      <c r="AP101" s="29">
        <f>AVERAGE(AP94,AP49)</f>
        <v>54.731716355402114</v>
      </c>
      <c r="AS101" s="29">
        <f>AVERAGE(AS94,AS49)</f>
        <v>213.64573489608716</v>
      </c>
    </row>
    <row r="102" spans="2:45" x14ac:dyDescent="0.3">
      <c r="B102" s="28">
        <v>3</v>
      </c>
      <c r="C102" s="28" t="s">
        <v>253</v>
      </c>
      <c r="D102" s="28" t="s">
        <v>262</v>
      </c>
      <c r="E102" s="28">
        <v>717.1</v>
      </c>
      <c r="F102" s="28">
        <v>713.6</v>
      </c>
      <c r="G102" s="28">
        <f t="shared" ref="G102:G112" si="17">E102-F102</f>
        <v>3.5</v>
      </c>
      <c r="H102" s="28">
        <v>9.18</v>
      </c>
      <c r="I102" s="29">
        <f t="shared" si="15"/>
        <v>713.6</v>
      </c>
      <c r="J102" s="42"/>
      <c r="K102" s="29">
        <f t="shared" si="16"/>
        <v>9.18</v>
      </c>
      <c r="L102" s="28">
        <v>1</v>
      </c>
      <c r="AH102" s="28" t="s">
        <v>272</v>
      </c>
      <c r="AK102" s="29">
        <f>AVERAGE(AK95,AK61)</f>
        <v>38.149999999937911</v>
      </c>
      <c r="AM102" s="29">
        <f>AVERAGE(AM95,AM61)</f>
        <v>4.1166666666666671</v>
      </c>
      <c r="AO102" s="39"/>
      <c r="AP102" s="29">
        <f>AVERAGE(AP95,AP61)</f>
        <v>63.880968644402742</v>
      </c>
      <c r="AS102" s="29">
        <f>AVERAGE(AS95,AS61)</f>
        <v>249.35992146280017</v>
      </c>
    </row>
    <row r="103" spans="2:45" x14ac:dyDescent="0.3">
      <c r="B103" s="28">
        <v>4</v>
      </c>
      <c r="C103" s="28" t="s">
        <v>278</v>
      </c>
      <c r="D103" s="125" t="s">
        <v>276</v>
      </c>
      <c r="E103" s="28">
        <v>242.7</v>
      </c>
      <c r="F103" s="28">
        <v>221</v>
      </c>
      <c r="G103" s="28">
        <f t="shared" si="17"/>
        <v>21.699999999999989</v>
      </c>
      <c r="H103" s="28">
        <v>10.34</v>
      </c>
      <c r="I103" s="125">
        <f>AVERAGE(F103:F112)</f>
        <v>207.34</v>
      </c>
      <c r="J103" s="125">
        <f>AVERAGE(G103:G112)</f>
        <v>25.919999999999998</v>
      </c>
      <c r="K103" s="126">
        <f>AVERAGE(H103:H112)</f>
        <v>10.171000000000001</v>
      </c>
      <c r="L103" s="125">
        <v>10</v>
      </c>
      <c r="AO103" s="39"/>
    </row>
    <row r="104" spans="2:45" x14ac:dyDescent="0.3">
      <c r="B104" s="28">
        <v>5</v>
      </c>
      <c r="C104" s="28" t="s">
        <v>278</v>
      </c>
      <c r="D104" s="125"/>
      <c r="E104" s="28">
        <v>211.5</v>
      </c>
      <c r="F104" s="28">
        <v>201</v>
      </c>
      <c r="G104" s="28">
        <f t="shared" si="17"/>
        <v>10.5</v>
      </c>
      <c r="H104" s="28">
        <v>9.4</v>
      </c>
      <c r="I104" s="125"/>
      <c r="J104" s="125"/>
      <c r="K104" s="126"/>
      <c r="L104" s="125"/>
      <c r="AO104" s="39"/>
    </row>
    <row r="105" spans="2:45" x14ac:dyDescent="0.3">
      <c r="B105" s="28">
        <v>6</v>
      </c>
      <c r="C105" s="28" t="s">
        <v>279</v>
      </c>
      <c r="D105" s="125"/>
      <c r="E105" s="28">
        <v>222.8</v>
      </c>
      <c r="F105" s="28">
        <v>198.8</v>
      </c>
      <c r="G105" s="28">
        <f t="shared" si="17"/>
        <v>24</v>
      </c>
      <c r="H105" s="28">
        <v>10.199999999999999</v>
      </c>
      <c r="I105" s="125"/>
      <c r="J105" s="125"/>
      <c r="K105" s="126"/>
      <c r="L105" s="125"/>
      <c r="AE105" s="24" t="s">
        <v>198</v>
      </c>
      <c r="AF105" s="28" t="s">
        <v>191</v>
      </c>
      <c r="AG105" s="24" t="s">
        <v>199</v>
      </c>
      <c r="AH105" s="24" t="s">
        <v>219</v>
      </c>
      <c r="AI105" s="26" t="s">
        <v>220</v>
      </c>
      <c r="AJ105" s="24" t="s">
        <v>221</v>
      </c>
      <c r="AK105" s="27" t="s">
        <v>222</v>
      </c>
      <c r="AL105" s="24" t="s">
        <v>223</v>
      </c>
      <c r="AM105" s="24" t="s">
        <v>224</v>
      </c>
      <c r="AN105" s="24" t="s">
        <v>225</v>
      </c>
      <c r="AO105" s="24" t="s">
        <v>226</v>
      </c>
      <c r="AP105" s="24" t="s">
        <v>227</v>
      </c>
      <c r="AR105" s="24" t="s">
        <v>228</v>
      </c>
      <c r="AS105" s="24" t="s">
        <v>229</v>
      </c>
    </row>
    <row r="106" spans="2:45" x14ac:dyDescent="0.3">
      <c r="B106" s="28">
        <v>7</v>
      </c>
      <c r="C106" s="28" t="s">
        <v>279</v>
      </c>
      <c r="D106" s="125"/>
      <c r="E106" s="28">
        <v>235.5</v>
      </c>
      <c r="F106" s="28">
        <v>209.5</v>
      </c>
      <c r="G106" s="28">
        <f t="shared" si="17"/>
        <v>26</v>
      </c>
      <c r="H106" s="28">
        <v>9.93</v>
      </c>
      <c r="I106" s="125"/>
      <c r="J106" s="125"/>
      <c r="K106" s="126"/>
      <c r="L106" s="125"/>
      <c r="AE106" s="28">
        <v>1</v>
      </c>
      <c r="AF106" s="42" t="s">
        <v>232</v>
      </c>
      <c r="AG106" s="28">
        <v>2201</v>
      </c>
      <c r="AH106" s="139" t="s">
        <v>231</v>
      </c>
      <c r="AI106" s="28">
        <v>51.099999999976717</v>
      </c>
      <c r="AK106" s="29">
        <f>AVERAGE(AI106)</f>
        <v>51.099999999976717</v>
      </c>
      <c r="AL106" s="28">
        <v>3.3</v>
      </c>
      <c r="AM106" s="29">
        <f>AVERAGE(AL106)</f>
        <v>3.3</v>
      </c>
      <c r="AN106" s="28">
        <v>1916</v>
      </c>
      <c r="AO106" s="37">
        <f t="shared" ref="AO106:AO169" si="18">AN106/AI106</f>
        <v>37.495107632111015</v>
      </c>
      <c r="AP106" s="29">
        <f>AVERAGE(AO106)</f>
        <v>37.495107632111015</v>
      </c>
      <c r="AR106" s="31">
        <f t="shared" ref="AR106:AR169" si="19">((AO106/1000)*(890*1000))/$AU$3</f>
        <v>146.36248154639827</v>
      </c>
      <c r="AS106" s="31">
        <f>AVERAGE(AR106)</f>
        <v>146.36248154639827</v>
      </c>
    </row>
    <row r="107" spans="2:45" x14ac:dyDescent="0.3">
      <c r="B107" s="28">
        <v>8</v>
      </c>
      <c r="C107" s="28" t="s">
        <v>281</v>
      </c>
      <c r="D107" s="125"/>
      <c r="E107" s="28">
        <v>240</v>
      </c>
      <c r="F107" s="28">
        <v>215</v>
      </c>
      <c r="G107" s="28">
        <f t="shared" si="17"/>
        <v>25</v>
      </c>
      <c r="H107" s="28">
        <v>10.98</v>
      </c>
      <c r="I107" s="125"/>
      <c r="J107" s="125"/>
      <c r="K107" s="126"/>
      <c r="L107" s="125"/>
      <c r="AE107" s="28">
        <v>3</v>
      </c>
      <c r="AF107" s="142" t="s">
        <v>274</v>
      </c>
      <c r="AG107" s="28" t="s">
        <v>234</v>
      </c>
      <c r="AH107" s="140"/>
      <c r="AI107" s="28">
        <v>24.299999999988358</v>
      </c>
      <c r="AK107" s="125">
        <f>AVERAGE(AI107:AI109)</f>
        <v>39.266666666612338</v>
      </c>
      <c r="AL107" s="28">
        <v>6.5</v>
      </c>
      <c r="AM107" s="125">
        <f>AVERAGE(AL107:AL109)</f>
        <v>5.4666666666666659</v>
      </c>
      <c r="AN107" s="28">
        <v>1207</v>
      </c>
      <c r="AO107" s="37">
        <f t="shared" si="18"/>
        <v>49.670781893027915</v>
      </c>
      <c r="AP107" s="132">
        <f>AVERAGE(AO107:AO109)</f>
        <v>39.541657302963358</v>
      </c>
      <c r="AR107" s="29">
        <f t="shared" si="19"/>
        <v>193.89033282804755</v>
      </c>
      <c r="AS107" s="132">
        <f>AVERAGE(AR107:AR109)</f>
        <v>154.35120613876049</v>
      </c>
    </row>
    <row r="108" spans="2:45" x14ac:dyDescent="0.3">
      <c r="B108" s="28">
        <v>9</v>
      </c>
      <c r="C108" s="28" t="s">
        <v>281</v>
      </c>
      <c r="D108" s="125"/>
      <c r="E108" s="28">
        <v>234.3</v>
      </c>
      <c r="F108" s="28">
        <v>209.3</v>
      </c>
      <c r="G108" s="28">
        <f t="shared" si="17"/>
        <v>25</v>
      </c>
      <c r="H108" s="28">
        <v>10.53</v>
      </c>
      <c r="I108" s="125"/>
      <c r="J108" s="125"/>
      <c r="K108" s="126"/>
      <c r="L108" s="125"/>
      <c r="AE108" s="28">
        <v>5</v>
      </c>
      <c r="AF108" s="142"/>
      <c r="AG108" s="28" t="s">
        <v>238</v>
      </c>
      <c r="AH108" s="140"/>
      <c r="AI108" s="28">
        <v>47.899999999930152</v>
      </c>
      <c r="AK108" s="125"/>
      <c r="AL108" s="28">
        <v>4.9000000000000004</v>
      </c>
      <c r="AM108" s="125"/>
      <c r="AN108" s="28">
        <v>1493</v>
      </c>
      <c r="AO108" s="37">
        <f t="shared" si="18"/>
        <v>31.169102296496391</v>
      </c>
      <c r="AP108" s="125"/>
      <c r="AR108" s="29">
        <f t="shared" si="19"/>
        <v>121.66886422755171</v>
      </c>
      <c r="AS108" s="125"/>
    </row>
    <row r="109" spans="2:45" x14ac:dyDescent="0.3">
      <c r="B109" s="28">
        <v>10</v>
      </c>
      <c r="C109" s="28" t="s">
        <v>282</v>
      </c>
      <c r="D109" s="125"/>
      <c r="E109" s="28">
        <v>233</v>
      </c>
      <c r="F109" s="28">
        <v>201</v>
      </c>
      <c r="G109" s="28">
        <f t="shared" si="17"/>
        <v>32</v>
      </c>
      <c r="H109" s="28">
        <v>8.44</v>
      </c>
      <c r="I109" s="125"/>
      <c r="J109" s="125"/>
      <c r="K109" s="126"/>
      <c r="L109" s="125"/>
      <c r="AE109" s="28">
        <v>7</v>
      </c>
      <c r="AF109" s="142"/>
      <c r="AG109" s="28" t="s">
        <v>240</v>
      </c>
      <c r="AH109" s="140"/>
      <c r="AI109" s="28">
        <v>45.599999999918509</v>
      </c>
      <c r="AK109" s="125"/>
      <c r="AL109" s="28">
        <v>5</v>
      </c>
      <c r="AM109" s="125"/>
      <c r="AN109" s="28">
        <v>1723</v>
      </c>
      <c r="AO109" s="37">
        <f t="shared" si="18"/>
        <v>37.785087719365769</v>
      </c>
      <c r="AP109" s="125"/>
      <c r="AR109" s="29">
        <f t="shared" si="19"/>
        <v>147.49442136068217</v>
      </c>
      <c r="AS109" s="125"/>
    </row>
    <row r="110" spans="2:45" x14ac:dyDescent="0.3">
      <c r="B110" s="28">
        <v>11</v>
      </c>
      <c r="C110" s="28" t="s">
        <v>282</v>
      </c>
      <c r="D110" s="125"/>
      <c r="E110" s="28">
        <v>224</v>
      </c>
      <c r="F110" s="28">
        <v>199</v>
      </c>
      <c r="G110" s="28">
        <f t="shared" si="17"/>
        <v>25</v>
      </c>
      <c r="H110" s="28">
        <v>9.86</v>
      </c>
      <c r="I110" s="125"/>
      <c r="J110" s="125"/>
      <c r="K110" s="126"/>
      <c r="L110" s="125"/>
      <c r="AE110" s="28">
        <v>2</v>
      </c>
      <c r="AF110" s="125" t="s">
        <v>271</v>
      </c>
      <c r="AG110" s="28" t="s">
        <v>233</v>
      </c>
      <c r="AH110" s="140"/>
      <c r="AI110" s="28">
        <v>21.499999999883585</v>
      </c>
      <c r="AK110" s="125">
        <f>AVERAGE(AI110:AI113)</f>
        <v>39.199999999915597</v>
      </c>
      <c r="AL110" s="28">
        <v>4.5</v>
      </c>
      <c r="AM110" s="125">
        <f>AVERAGE(AL110:AL113)</f>
        <v>5.9749999999999996</v>
      </c>
      <c r="AN110" s="28">
        <v>919</v>
      </c>
      <c r="AO110" s="37">
        <f t="shared" si="18"/>
        <v>42.744186046743074</v>
      </c>
      <c r="AP110" s="132">
        <f>AVERAGE(AO110:AO113)</f>
        <v>39.421965350489657</v>
      </c>
      <c r="AR110" s="29">
        <f t="shared" si="19"/>
        <v>166.85230518246198</v>
      </c>
      <c r="AS110" s="132">
        <f>AVERAGE(AR110:AR113)</f>
        <v>153.88398755234999</v>
      </c>
    </row>
    <row r="111" spans="2:45" x14ac:dyDescent="0.3">
      <c r="B111" s="28">
        <v>12</v>
      </c>
      <c r="C111" s="28" t="s">
        <v>283</v>
      </c>
      <c r="D111" s="125"/>
      <c r="E111" s="28">
        <v>235</v>
      </c>
      <c r="F111" s="28">
        <v>210</v>
      </c>
      <c r="G111" s="28">
        <f t="shared" si="17"/>
        <v>25</v>
      </c>
      <c r="H111" s="28">
        <v>11.08</v>
      </c>
      <c r="I111" s="125"/>
      <c r="J111" s="125"/>
      <c r="K111" s="126"/>
      <c r="L111" s="125"/>
      <c r="AE111" s="28">
        <v>4</v>
      </c>
      <c r="AF111" s="125"/>
      <c r="AG111" s="28" t="s">
        <v>236</v>
      </c>
      <c r="AH111" s="140"/>
      <c r="AI111" s="28">
        <v>49.199999999871942</v>
      </c>
      <c r="AK111" s="125"/>
      <c r="AL111" s="28">
        <v>9.1</v>
      </c>
      <c r="AM111" s="125"/>
      <c r="AN111" s="28">
        <v>2249</v>
      </c>
      <c r="AO111" s="37">
        <f t="shared" si="18"/>
        <v>45.711382113940118</v>
      </c>
      <c r="AP111" s="125"/>
      <c r="AR111" s="29">
        <f t="shared" si="19"/>
        <v>178.43478105880132</v>
      </c>
      <c r="AS111" s="125"/>
    </row>
    <row r="112" spans="2:45" x14ac:dyDescent="0.3">
      <c r="B112" s="28">
        <v>13</v>
      </c>
      <c r="C112" s="28" t="s">
        <v>283</v>
      </c>
      <c r="D112" s="125"/>
      <c r="E112" s="28">
        <v>253.8</v>
      </c>
      <c r="F112" s="28">
        <v>208.8</v>
      </c>
      <c r="G112" s="28">
        <f t="shared" si="17"/>
        <v>45</v>
      </c>
      <c r="H112" s="28">
        <v>10.95</v>
      </c>
      <c r="I112" s="125"/>
      <c r="J112" s="125"/>
      <c r="K112" s="126"/>
      <c r="L112" s="125"/>
      <c r="AE112" s="28">
        <v>6</v>
      </c>
      <c r="AF112" s="125"/>
      <c r="AG112" s="28" t="s">
        <v>239</v>
      </c>
      <c r="AH112" s="140"/>
      <c r="AI112" s="28">
        <v>43.999999999965077</v>
      </c>
      <c r="AK112" s="125"/>
      <c r="AL112" s="28">
        <v>4.9000000000000004</v>
      </c>
      <c r="AM112" s="125"/>
      <c r="AN112" s="28">
        <v>1559</v>
      </c>
      <c r="AO112" s="37">
        <f t="shared" si="18"/>
        <v>35.431818181846303</v>
      </c>
      <c r="AP112" s="125"/>
      <c r="AR112" s="29">
        <f t="shared" si="19"/>
        <v>138.30841307825972</v>
      </c>
      <c r="AS112" s="125"/>
    </row>
    <row r="113" spans="1:45" x14ac:dyDescent="0.3">
      <c r="I113" s="19"/>
      <c r="J113" s="19"/>
      <c r="K113" s="43"/>
      <c r="N113" s="28" t="s">
        <v>191</v>
      </c>
      <c r="O113" s="24" t="s">
        <v>216</v>
      </c>
      <c r="P113" s="28" t="s">
        <v>286</v>
      </c>
      <c r="AE113" s="28">
        <v>8</v>
      </c>
      <c r="AF113" s="125"/>
      <c r="AG113" s="28" t="s">
        <v>241</v>
      </c>
      <c r="AH113" s="140"/>
      <c r="AI113" s="28">
        <v>42.099999999941794</v>
      </c>
      <c r="AK113" s="125"/>
      <c r="AL113" s="28">
        <v>5.4</v>
      </c>
      <c r="AM113" s="125"/>
      <c r="AN113" s="28">
        <v>1423</v>
      </c>
      <c r="AO113" s="37">
        <f t="shared" si="18"/>
        <v>33.800475059429154</v>
      </c>
      <c r="AP113" s="125"/>
      <c r="AR113" s="29">
        <f t="shared" si="19"/>
        <v>131.94045088987696</v>
      </c>
      <c r="AS113" s="125"/>
    </row>
    <row r="114" spans="1:45" x14ac:dyDescent="0.3">
      <c r="N114" s="28" t="s">
        <v>287</v>
      </c>
      <c r="O114" s="29">
        <f>V6</f>
        <v>56</v>
      </c>
      <c r="P114" s="28"/>
      <c r="AE114" s="28">
        <v>9</v>
      </c>
      <c r="AF114" s="38" t="s">
        <v>288</v>
      </c>
      <c r="AG114" s="28" t="s">
        <v>235</v>
      </c>
      <c r="AH114" s="141"/>
      <c r="AI114" s="28">
        <v>97.699999999941795</v>
      </c>
      <c r="AK114" s="29">
        <f>AVERAGE(AI114)</f>
        <v>97.699999999941795</v>
      </c>
      <c r="AL114" s="28">
        <v>3.8</v>
      </c>
      <c r="AM114" s="29">
        <f>AVERAGE(AL114)</f>
        <v>3.8</v>
      </c>
      <c r="AN114" s="28">
        <v>3114</v>
      </c>
      <c r="AO114" s="37">
        <f t="shared" si="18"/>
        <v>31.873080859793809</v>
      </c>
      <c r="AP114" s="29">
        <f>AVERAGE(AO114)</f>
        <v>31.873080859793809</v>
      </c>
      <c r="AR114" s="29">
        <f t="shared" si="19"/>
        <v>124.41685072463375</v>
      </c>
      <c r="AS114" s="31">
        <f>AVERAGE(AR114)</f>
        <v>124.41685072463375</v>
      </c>
    </row>
    <row r="115" spans="1:45" x14ac:dyDescent="0.3">
      <c r="C115" s="19" t="s">
        <v>191</v>
      </c>
      <c r="D115" s="19" t="s">
        <v>289</v>
      </c>
      <c r="E115" s="19" t="s">
        <v>290</v>
      </c>
      <c r="F115" s="19" t="s">
        <v>286</v>
      </c>
      <c r="G115" s="19" t="s">
        <v>291</v>
      </c>
      <c r="N115" s="28" t="s">
        <v>292</v>
      </c>
      <c r="O115" s="29">
        <f>O114</f>
        <v>56</v>
      </c>
      <c r="P115" s="28"/>
      <c r="AE115" s="28">
        <v>10</v>
      </c>
      <c r="AF115" s="133" t="s">
        <v>293</v>
      </c>
      <c r="AG115" s="28">
        <v>2202</v>
      </c>
      <c r="AH115" s="136" t="s">
        <v>243</v>
      </c>
      <c r="AI115" s="28">
        <v>115.7</v>
      </c>
      <c r="AK115" s="125">
        <f>AVERAGE(AI115:AI119)</f>
        <v>78.040000000037253</v>
      </c>
      <c r="AL115" s="28">
        <v>9.6999999999999993</v>
      </c>
      <c r="AM115" s="125">
        <f>AVERAGE(AL115:AL119)</f>
        <v>9.379999999999999</v>
      </c>
      <c r="AN115" s="28">
        <v>4930</v>
      </c>
      <c r="AO115" s="37">
        <f t="shared" si="18"/>
        <v>42.610198789974071</v>
      </c>
      <c r="AP115" s="132">
        <f>AVERAGE(AO115:AO119)</f>
        <v>46.048610987640458</v>
      </c>
      <c r="AR115" s="29">
        <f t="shared" si="19"/>
        <v>166.32928475033737</v>
      </c>
      <c r="AS115" s="132">
        <f>AVERAGE(AR115:AR119)</f>
        <v>179.75115692543858</v>
      </c>
    </row>
    <row r="116" spans="1:45" x14ac:dyDescent="0.3">
      <c r="C116" s="19" t="s">
        <v>287</v>
      </c>
      <c r="D116" s="19" t="s">
        <v>294</v>
      </c>
      <c r="F116" s="19">
        <v>56</v>
      </c>
      <c r="N116" s="28" t="s">
        <v>232</v>
      </c>
      <c r="O116" s="29">
        <f>V7</f>
        <v>35.928929349563674</v>
      </c>
      <c r="P116" s="28">
        <v>371.5</v>
      </c>
      <c r="AE116" s="28">
        <v>12</v>
      </c>
      <c r="AF116" s="134"/>
      <c r="AG116" s="28">
        <v>2204</v>
      </c>
      <c r="AH116" s="137"/>
      <c r="AI116" s="28">
        <v>52.8</v>
      </c>
      <c r="AK116" s="125"/>
      <c r="AL116" s="28">
        <v>9.1999999999999993</v>
      </c>
      <c r="AM116" s="125"/>
      <c r="AN116" s="28">
        <v>2669</v>
      </c>
      <c r="AO116" s="37">
        <f t="shared" si="18"/>
        <v>50.549242424242429</v>
      </c>
      <c r="AP116" s="125"/>
      <c r="AR116" s="29">
        <f t="shared" si="19"/>
        <v>197.31941121743753</v>
      </c>
      <c r="AS116" s="125"/>
    </row>
    <row r="117" spans="1:45" x14ac:dyDescent="0.3">
      <c r="A117" s="21">
        <v>1</v>
      </c>
      <c r="C117" s="19" t="s">
        <v>232</v>
      </c>
      <c r="D117" s="19" t="s">
        <v>294</v>
      </c>
      <c r="E117" s="19" t="s">
        <v>295</v>
      </c>
      <c r="F117" s="19">
        <v>371.5</v>
      </c>
      <c r="G117" s="19">
        <v>11.166666666666666</v>
      </c>
      <c r="N117" s="28" t="s">
        <v>296</v>
      </c>
      <c r="O117" s="29">
        <f>O116</f>
        <v>35.928929349563674</v>
      </c>
      <c r="P117" s="28">
        <v>371.5</v>
      </c>
      <c r="AE117" s="28">
        <v>13</v>
      </c>
      <c r="AF117" s="134"/>
      <c r="AG117" s="28">
        <v>2205</v>
      </c>
      <c r="AH117" s="137"/>
      <c r="AI117" s="28">
        <v>87.700000000058211</v>
      </c>
      <c r="AK117" s="125"/>
      <c r="AL117" s="28">
        <v>7.3</v>
      </c>
      <c r="AM117" s="125"/>
      <c r="AN117" s="28">
        <v>3459</v>
      </c>
      <c r="AO117" s="37">
        <f t="shared" si="18"/>
        <v>39.441277080931634</v>
      </c>
      <c r="AP117" s="125"/>
      <c r="AR117" s="29">
        <f t="shared" si="19"/>
        <v>153.95937106153136</v>
      </c>
      <c r="AS117" s="125"/>
    </row>
    <row r="118" spans="1:45" x14ac:dyDescent="0.3">
      <c r="A118" s="21">
        <v>2</v>
      </c>
      <c r="C118" s="19" t="s">
        <v>237</v>
      </c>
      <c r="D118" s="19" t="s">
        <v>295</v>
      </c>
      <c r="E118" s="19" t="s">
        <v>297</v>
      </c>
      <c r="F118" s="19">
        <v>760.6</v>
      </c>
      <c r="G118" s="19">
        <v>18.399999999999999</v>
      </c>
      <c r="N118" s="28" t="s">
        <v>237</v>
      </c>
      <c r="O118" s="29">
        <f>V10</f>
        <v>42.341731536777566</v>
      </c>
      <c r="P118" s="28">
        <v>760.6</v>
      </c>
      <c r="AE118" s="28">
        <v>15</v>
      </c>
      <c r="AF118" s="134"/>
      <c r="AG118" s="28">
        <v>2207</v>
      </c>
      <c r="AH118" s="137"/>
      <c r="AI118" s="28">
        <v>44.800000000081489</v>
      </c>
      <c r="AK118" s="125"/>
      <c r="AL118" s="28">
        <v>14.1</v>
      </c>
      <c r="AM118" s="125"/>
      <c r="AN118" s="28">
        <v>2498</v>
      </c>
      <c r="AO118" s="37">
        <f t="shared" si="18"/>
        <v>55.758928571327147</v>
      </c>
      <c r="AP118" s="125"/>
      <c r="AR118" s="29">
        <f t="shared" si="19"/>
        <v>217.65546679158405</v>
      </c>
      <c r="AS118" s="125"/>
    </row>
    <row r="119" spans="1:45" x14ac:dyDescent="0.3">
      <c r="A119" s="21">
        <v>3</v>
      </c>
      <c r="C119" s="19" t="s">
        <v>242</v>
      </c>
      <c r="D119" s="19" t="s">
        <v>297</v>
      </c>
      <c r="E119" s="19" t="s">
        <v>298</v>
      </c>
      <c r="F119" s="19">
        <v>75.8</v>
      </c>
      <c r="G119" s="19">
        <v>2.1</v>
      </c>
      <c r="N119" s="28" t="s">
        <v>299</v>
      </c>
      <c r="O119" s="29">
        <f>O118</f>
        <v>42.341731536777566</v>
      </c>
      <c r="P119" s="28">
        <v>760.6</v>
      </c>
      <c r="AE119" s="28">
        <v>16</v>
      </c>
      <c r="AF119" s="135"/>
      <c r="AG119" s="28">
        <v>2208</v>
      </c>
      <c r="AH119" s="137"/>
      <c r="AI119" s="28">
        <v>89.200000000046572</v>
      </c>
      <c r="AK119" s="125"/>
      <c r="AL119" s="28">
        <v>6.6</v>
      </c>
      <c r="AM119" s="125"/>
      <c r="AN119" s="28">
        <v>3736</v>
      </c>
      <c r="AO119" s="37">
        <f t="shared" si="18"/>
        <v>41.883408071727011</v>
      </c>
      <c r="AP119" s="125"/>
      <c r="AR119" s="29">
        <f t="shared" si="19"/>
        <v>163.49225080630279</v>
      </c>
      <c r="AS119" s="125"/>
    </row>
    <row r="120" spans="1:45" x14ac:dyDescent="0.3">
      <c r="A120" s="21">
        <v>4</v>
      </c>
      <c r="C120" s="19" t="s">
        <v>244</v>
      </c>
      <c r="D120" s="19" t="s">
        <v>295</v>
      </c>
      <c r="E120" s="19" t="s">
        <v>298</v>
      </c>
      <c r="F120" s="19">
        <v>793.4</v>
      </c>
      <c r="G120" s="19">
        <v>1</v>
      </c>
      <c r="N120" s="28" t="s">
        <v>242</v>
      </c>
      <c r="O120" s="29">
        <f>V15</f>
        <v>37.618458177524232</v>
      </c>
      <c r="P120" s="28">
        <v>75.8</v>
      </c>
      <c r="AE120" s="28">
        <v>11</v>
      </c>
      <c r="AF120" s="28" t="s">
        <v>248</v>
      </c>
      <c r="AG120" s="28">
        <v>2203</v>
      </c>
      <c r="AH120" s="137"/>
      <c r="AI120" s="28">
        <v>65.7</v>
      </c>
      <c r="AK120" s="29">
        <f>AVERAGE(AI120)</f>
        <v>65.7</v>
      </c>
      <c r="AL120" s="28">
        <v>18.8</v>
      </c>
      <c r="AM120" s="29">
        <f>AVERAGE(AL120)</f>
        <v>18.8</v>
      </c>
      <c r="AN120" s="28">
        <v>3533</v>
      </c>
      <c r="AO120" s="37">
        <f t="shared" si="18"/>
        <v>53.774733637747332</v>
      </c>
      <c r="AP120" s="29">
        <f>AVERAGE(AO120)</f>
        <v>53.774733637747332</v>
      </c>
      <c r="AR120" s="29">
        <f t="shared" si="19"/>
        <v>209.91014446313653</v>
      </c>
      <c r="AS120" s="29">
        <f>AVERAGE(AR120)</f>
        <v>209.91014446313653</v>
      </c>
    </row>
    <row r="121" spans="1:45" x14ac:dyDescent="0.3">
      <c r="A121" s="21">
        <v>5</v>
      </c>
      <c r="C121" s="19" t="s">
        <v>248</v>
      </c>
      <c r="D121" s="19" t="s">
        <v>295</v>
      </c>
      <c r="E121" s="19" t="s">
        <v>300</v>
      </c>
      <c r="F121" s="19">
        <v>588.57142857142856</v>
      </c>
      <c r="G121" s="19">
        <v>10.428571428571429</v>
      </c>
      <c r="N121" s="28" t="s">
        <v>301</v>
      </c>
      <c r="O121" s="29">
        <f t="shared" ref="O121" si="20">O120</f>
        <v>37.618458177524232</v>
      </c>
      <c r="P121" s="28">
        <v>75.8</v>
      </c>
      <c r="AE121" s="28">
        <v>21</v>
      </c>
      <c r="AF121" s="133" t="s">
        <v>302</v>
      </c>
      <c r="AG121" s="28" t="s">
        <v>250</v>
      </c>
      <c r="AH121" s="137"/>
      <c r="AI121" s="28">
        <v>38.000000000046569</v>
      </c>
      <c r="AK121" s="126">
        <f>AVERAGE(AI121:AI123)</f>
        <v>35.80000000003492</v>
      </c>
      <c r="AL121" s="28">
        <v>9.8000000000000007</v>
      </c>
      <c r="AM121" s="126">
        <f>AVERAGE(AL121:AL123)</f>
        <v>10.299999999999999</v>
      </c>
      <c r="AN121" s="28">
        <v>1980</v>
      </c>
      <c r="AO121" s="37">
        <f t="shared" si="18"/>
        <v>52.105263157830883</v>
      </c>
      <c r="AP121" s="126">
        <f>AVERAGE(AO121:AO123)</f>
        <v>44.200833881515656</v>
      </c>
      <c r="AR121" s="29">
        <f t="shared" si="19"/>
        <v>203.39335180030477</v>
      </c>
      <c r="AS121" s="126">
        <f>AVERAGE(AR121:AR123)</f>
        <v>172.53834278310933</v>
      </c>
    </row>
    <row r="122" spans="1:45" x14ac:dyDescent="0.3">
      <c r="A122" s="21">
        <v>6</v>
      </c>
      <c r="C122" s="19" t="s">
        <v>255</v>
      </c>
      <c r="D122" s="19" t="s">
        <v>295</v>
      </c>
      <c r="E122" s="19" t="s">
        <v>303</v>
      </c>
      <c r="F122" s="19">
        <v>411.83333333333331</v>
      </c>
      <c r="G122" s="19">
        <v>15.283333333333331</v>
      </c>
      <c r="N122" s="28" t="s">
        <v>244</v>
      </c>
      <c r="O122" s="29">
        <f>V20</f>
        <v>37.070088701315242</v>
      </c>
      <c r="P122" s="28">
        <v>793.4</v>
      </c>
      <c r="AE122" s="28">
        <v>22</v>
      </c>
      <c r="AF122" s="134"/>
      <c r="AG122" s="28" t="s">
        <v>251</v>
      </c>
      <c r="AH122" s="137"/>
      <c r="AI122" s="28">
        <v>34.5</v>
      </c>
      <c r="AK122" s="126"/>
      <c r="AL122" s="28">
        <v>10.5</v>
      </c>
      <c r="AM122" s="126"/>
      <c r="AN122" s="28">
        <v>1583</v>
      </c>
      <c r="AO122" s="37">
        <f t="shared" si="18"/>
        <v>45.884057971014492</v>
      </c>
      <c r="AP122" s="126"/>
      <c r="AR122" s="29">
        <f t="shared" si="19"/>
        <v>179.10882278159164</v>
      </c>
      <c r="AS122" s="126"/>
    </row>
    <row r="123" spans="1:45" x14ac:dyDescent="0.3">
      <c r="A123" s="21">
        <v>7</v>
      </c>
      <c r="C123" s="19" t="s">
        <v>262</v>
      </c>
      <c r="D123" s="19" t="s">
        <v>295</v>
      </c>
      <c r="E123" s="19" t="s">
        <v>304</v>
      </c>
      <c r="F123" s="19">
        <v>718.42</v>
      </c>
      <c r="G123" s="19">
        <v>10.3</v>
      </c>
      <c r="N123" s="28" t="s">
        <v>305</v>
      </c>
      <c r="O123" s="29">
        <f t="shared" ref="O123" si="21">O122</f>
        <v>37.070088701315242</v>
      </c>
      <c r="P123" s="28">
        <v>793.4</v>
      </c>
      <c r="AE123" s="28">
        <v>23</v>
      </c>
      <c r="AF123" s="135"/>
      <c r="AG123" s="28" t="s">
        <v>252</v>
      </c>
      <c r="AH123" s="137"/>
      <c r="AI123" s="28">
        <v>34.900000000058206</v>
      </c>
      <c r="AK123" s="126"/>
      <c r="AL123" s="28">
        <v>10.6</v>
      </c>
      <c r="AM123" s="126"/>
      <c r="AN123" s="28">
        <v>1208</v>
      </c>
      <c r="AO123" s="37">
        <f t="shared" si="18"/>
        <v>34.613180515701586</v>
      </c>
      <c r="AP123" s="126"/>
      <c r="AR123" s="29">
        <f t="shared" si="19"/>
        <v>135.11285376743163</v>
      </c>
      <c r="AS123" s="126"/>
    </row>
    <row r="124" spans="1:45" x14ac:dyDescent="0.3">
      <c r="A124" s="21">
        <v>8</v>
      </c>
      <c r="C124" s="19" t="s">
        <v>265</v>
      </c>
      <c r="D124" s="19" t="s">
        <v>304</v>
      </c>
      <c r="E124" s="19" t="s">
        <v>300</v>
      </c>
      <c r="F124" s="19">
        <v>161.94</v>
      </c>
      <c r="G124" s="19">
        <v>2.4</v>
      </c>
      <c r="N124" s="28" t="s">
        <v>248</v>
      </c>
      <c r="O124" s="29">
        <f>V25</f>
        <v>48.440197037753848</v>
      </c>
      <c r="P124" s="28">
        <v>588.57142857142856</v>
      </c>
      <c r="AE124" s="28">
        <v>26</v>
      </c>
      <c r="AF124" s="128" t="s">
        <v>255</v>
      </c>
      <c r="AG124" s="28" t="s">
        <v>254</v>
      </c>
      <c r="AH124" s="137"/>
      <c r="AI124" s="28">
        <v>35.799999999965074</v>
      </c>
      <c r="AK124" s="126">
        <f>AVERAGE(AI124:AI125)</f>
        <v>39.699999999953434</v>
      </c>
      <c r="AL124" s="28">
        <v>10.1</v>
      </c>
      <c r="AM124" s="126">
        <f>AVERAGE(AL124:AL125)</f>
        <v>13</v>
      </c>
      <c r="AN124" s="28">
        <v>1942</v>
      </c>
      <c r="AO124" s="37">
        <f t="shared" si="18"/>
        <v>54.245810055918845</v>
      </c>
      <c r="AP124" s="126">
        <f>AVERAGE(AO124:AO125)</f>
        <v>55.070152734418755</v>
      </c>
      <c r="AR124" s="29">
        <f t="shared" si="19"/>
        <v>211.7489953937183</v>
      </c>
      <c r="AS124" s="126">
        <f>AVERAGE(AR124:AR125)</f>
        <v>214.9668242703188</v>
      </c>
    </row>
    <row r="125" spans="1:45" x14ac:dyDescent="0.3">
      <c r="A125" s="21">
        <v>9</v>
      </c>
      <c r="C125" s="19" t="s">
        <v>267</v>
      </c>
      <c r="D125" s="19" t="s">
        <v>295</v>
      </c>
      <c r="E125" s="19" t="s">
        <v>306</v>
      </c>
      <c r="F125" s="19">
        <v>455.45</v>
      </c>
      <c r="G125" s="19">
        <v>13.969999999999999</v>
      </c>
      <c r="N125" s="28" t="s">
        <v>307</v>
      </c>
      <c r="O125" s="29">
        <f t="shared" ref="O125" si="22">O124</f>
        <v>48.440197037753848</v>
      </c>
      <c r="P125" s="28">
        <v>588.57142857142856</v>
      </c>
      <c r="AE125" s="28">
        <v>14</v>
      </c>
      <c r="AF125" s="130"/>
      <c r="AG125" s="28">
        <v>2206</v>
      </c>
      <c r="AH125" s="137"/>
      <c r="AI125" s="28">
        <v>43.599999999941794</v>
      </c>
      <c r="AK125" s="126"/>
      <c r="AL125" s="28">
        <v>15.9</v>
      </c>
      <c r="AM125" s="126"/>
      <c r="AN125" s="28">
        <v>2437</v>
      </c>
      <c r="AO125" s="37">
        <f t="shared" si="18"/>
        <v>55.894495412918658</v>
      </c>
      <c r="AP125" s="126"/>
      <c r="AR125" s="29">
        <f t="shared" si="19"/>
        <v>218.18465314691932</v>
      </c>
      <c r="AS125" s="126"/>
    </row>
    <row r="126" spans="1:45" x14ac:dyDescent="0.3">
      <c r="A126" s="21">
        <v>10</v>
      </c>
      <c r="C126" s="19" t="s">
        <v>271</v>
      </c>
      <c r="D126" s="19" t="s">
        <v>294</v>
      </c>
      <c r="E126" s="19" t="s">
        <v>308</v>
      </c>
      <c r="F126" s="19">
        <v>549.8125</v>
      </c>
      <c r="G126" s="19">
        <v>5.5749999999999886</v>
      </c>
      <c r="N126" s="28" t="s">
        <v>255</v>
      </c>
      <c r="O126" s="29">
        <f>V32</f>
        <v>46.725196113911899</v>
      </c>
      <c r="P126" s="28">
        <v>411.83333333333331</v>
      </c>
      <c r="AE126" s="28">
        <v>25</v>
      </c>
      <c r="AF126" s="44" t="s">
        <v>288</v>
      </c>
      <c r="AG126" s="28" t="s">
        <v>235</v>
      </c>
      <c r="AH126" s="137"/>
      <c r="AI126" s="28">
        <v>67.799999999988358</v>
      </c>
      <c r="AK126" s="29">
        <f>AVERAGE(AI126)</f>
        <v>67.799999999988358</v>
      </c>
      <c r="AL126" s="28">
        <v>11</v>
      </c>
      <c r="AM126" s="29">
        <f>AVERAGE(AL126)</f>
        <v>11</v>
      </c>
      <c r="AN126" s="28">
        <v>2406</v>
      </c>
      <c r="AO126" s="37">
        <f t="shared" si="18"/>
        <v>35.486725663722908</v>
      </c>
      <c r="AP126" s="29">
        <f>AVERAGE(AO126)</f>
        <v>35.486725663722908</v>
      </c>
      <c r="AR126" s="29">
        <f t="shared" si="19"/>
        <v>138.52274491540959</v>
      </c>
      <c r="AS126" s="29">
        <f>AVERAGE(AR126)</f>
        <v>138.52274491540959</v>
      </c>
    </row>
    <row r="127" spans="1:45" x14ac:dyDescent="0.3">
      <c r="A127" s="21">
        <v>11</v>
      </c>
      <c r="C127" s="19" t="s">
        <v>274</v>
      </c>
      <c r="D127" s="19" t="s">
        <v>294</v>
      </c>
      <c r="E127" s="19" t="s">
        <v>309</v>
      </c>
      <c r="F127" s="19">
        <v>491.83333333333331</v>
      </c>
      <c r="G127" s="19">
        <v>16</v>
      </c>
      <c r="N127" s="28" t="s">
        <v>310</v>
      </c>
      <c r="O127" s="29">
        <f t="shared" ref="O127" si="23">O126</f>
        <v>46.725196113911899</v>
      </c>
      <c r="P127" s="28">
        <v>411.83333333333331</v>
      </c>
      <c r="AE127" s="28">
        <v>32</v>
      </c>
      <c r="AF127" s="128" t="s">
        <v>276</v>
      </c>
      <c r="AG127" s="28" t="s">
        <v>261</v>
      </c>
      <c r="AH127" s="137"/>
      <c r="AI127" s="28">
        <v>24.899999999965075</v>
      </c>
      <c r="AK127" s="126">
        <f>AVERAGE(AI127:AI129)</f>
        <v>34.733333333279006</v>
      </c>
      <c r="AL127" s="28">
        <v>10.5</v>
      </c>
      <c r="AM127" s="126">
        <f>AVERAGE(AL127:AL129)</f>
        <v>11.5</v>
      </c>
      <c r="AN127" s="28">
        <v>2922</v>
      </c>
      <c r="AO127" s="37">
        <f t="shared" si="18"/>
        <v>117.34939759052604</v>
      </c>
      <c r="AP127" s="126">
        <f>AVERAGE(AO127:AO129)</f>
        <v>79.310758516911179</v>
      </c>
      <c r="AR127" s="29">
        <f t="shared" si="19"/>
        <v>458.07440287529903</v>
      </c>
      <c r="AS127" s="126">
        <f>AVERAGE(AR127:AR129)</f>
        <v>309.59024157917082</v>
      </c>
    </row>
    <row r="128" spans="1:45" x14ac:dyDescent="0.3">
      <c r="A128" s="21">
        <v>12</v>
      </c>
      <c r="C128" s="19" t="s">
        <v>276</v>
      </c>
      <c r="D128" s="19" t="s">
        <v>295</v>
      </c>
      <c r="E128" s="19" t="s">
        <v>309</v>
      </c>
      <c r="F128" s="19">
        <v>207.36250000000001</v>
      </c>
      <c r="G128" s="19">
        <v>27.587500000000002</v>
      </c>
      <c r="N128" s="28" t="s">
        <v>262</v>
      </c>
      <c r="O128" s="29">
        <f>V38</f>
        <v>42.314723623012817</v>
      </c>
      <c r="P128" s="28">
        <v>718.42</v>
      </c>
      <c r="AE128" s="28">
        <v>33</v>
      </c>
      <c r="AF128" s="129"/>
      <c r="AG128" s="28" t="s">
        <v>263</v>
      </c>
      <c r="AH128" s="137"/>
      <c r="AI128" s="28">
        <v>24.39999999991851</v>
      </c>
      <c r="AK128" s="126"/>
      <c r="AL128" s="28">
        <v>12.7</v>
      </c>
      <c r="AM128" s="126"/>
      <c r="AN128" s="28">
        <v>1744</v>
      </c>
      <c r="AO128" s="37">
        <f t="shared" si="18"/>
        <v>71.47540983630428</v>
      </c>
      <c r="AP128" s="126"/>
      <c r="AR128" s="29">
        <f t="shared" si="19"/>
        <v>279.00488927329303</v>
      </c>
      <c r="AS128" s="126"/>
    </row>
    <row r="129" spans="1:45" x14ac:dyDescent="0.3">
      <c r="A129" s="21">
        <v>13</v>
      </c>
      <c r="C129" s="19" t="s">
        <v>284</v>
      </c>
      <c r="D129" s="19" t="s">
        <v>295</v>
      </c>
      <c r="E129" s="19" t="s">
        <v>311</v>
      </c>
      <c r="F129" s="19">
        <v>792.5</v>
      </c>
      <c r="G129" s="19">
        <v>28.25</v>
      </c>
      <c r="N129" s="28" t="s">
        <v>312</v>
      </c>
      <c r="O129" s="29">
        <f t="shared" ref="O129" si="24">O128</f>
        <v>42.314723623012817</v>
      </c>
      <c r="P129" s="28">
        <v>718.42</v>
      </c>
      <c r="AE129" s="28">
        <v>28</v>
      </c>
      <c r="AF129" s="130"/>
      <c r="AG129" s="28" t="s">
        <v>257</v>
      </c>
      <c r="AH129" s="137"/>
      <c r="AI129" s="28">
        <v>54.899999999953437</v>
      </c>
      <c r="AK129" s="126"/>
      <c r="AL129" s="28">
        <v>11.3</v>
      </c>
      <c r="AM129" s="126"/>
      <c r="AN129" s="28">
        <v>2696</v>
      </c>
      <c r="AO129" s="37">
        <f t="shared" si="18"/>
        <v>49.107468123903217</v>
      </c>
      <c r="AP129" s="126"/>
      <c r="AR129" s="29">
        <f t="shared" si="19"/>
        <v>191.69143258892046</v>
      </c>
      <c r="AS129" s="126"/>
    </row>
    <row r="130" spans="1:45" x14ac:dyDescent="0.3">
      <c r="N130" s="28" t="s">
        <v>265</v>
      </c>
      <c r="O130" s="29">
        <f>V43</f>
        <v>37.063102092762101</v>
      </c>
      <c r="P130" s="28">
        <v>161.94</v>
      </c>
      <c r="AE130" s="28">
        <v>24</v>
      </c>
      <c r="AF130" s="44" t="s">
        <v>313</v>
      </c>
      <c r="AG130" s="28" t="s">
        <v>233</v>
      </c>
      <c r="AH130" s="137"/>
      <c r="AI130" s="28">
        <v>21.200000000058207</v>
      </c>
      <c r="AK130" s="29">
        <f>AVERAGE(AI130)</f>
        <v>21.200000000058207</v>
      </c>
      <c r="AL130" s="28">
        <v>9.3000000000000007</v>
      </c>
      <c r="AM130" s="29">
        <f>AVERAGE(AL130)</f>
        <v>9.3000000000000007</v>
      </c>
      <c r="AN130" s="28">
        <v>1070</v>
      </c>
      <c r="AO130" s="37">
        <f t="shared" si="18"/>
        <v>50.471698113068975</v>
      </c>
      <c r="AP130" s="29">
        <f>AVERAGE(AO130)</f>
        <v>50.471698113068975</v>
      </c>
      <c r="AR130" s="29">
        <f t="shared" si="19"/>
        <v>197.01671631855871</v>
      </c>
      <c r="AS130" s="29">
        <f>AVERAGE(AR130)</f>
        <v>197.01671631855871</v>
      </c>
    </row>
    <row r="131" spans="1:45" ht="28.8" x14ac:dyDescent="0.3">
      <c r="C131" s="28" t="s">
        <v>219</v>
      </c>
      <c r="D131" s="28" t="s">
        <v>314</v>
      </c>
      <c r="E131" s="28" t="s">
        <v>315</v>
      </c>
      <c r="F131" s="45" t="s">
        <v>316</v>
      </c>
      <c r="H131" s="28" t="s">
        <v>219</v>
      </c>
      <c r="I131" s="28" t="s">
        <v>314</v>
      </c>
      <c r="J131" s="28" t="s">
        <v>315</v>
      </c>
      <c r="K131" s="45" t="s">
        <v>316</v>
      </c>
      <c r="N131" s="28" t="s">
        <v>285</v>
      </c>
      <c r="O131" s="29">
        <f t="shared" ref="O131" si="25">O130</f>
        <v>37.063102092762101</v>
      </c>
      <c r="P131" s="28">
        <v>161.94</v>
      </c>
      <c r="AE131" s="28">
        <v>29</v>
      </c>
      <c r="AF131" s="128" t="s">
        <v>284</v>
      </c>
      <c r="AG131" s="28" t="s">
        <v>258</v>
      </c>
      <c r="AH131" s="137"/>
      <c r="AI131" s="28">
        <v>59.400000000023283</v>
      </c>
      <c r="AK131" s="126">
        <f>AVERAGE(AI131:AI133)</f>
        <v>50.466666666655023</v>
      </c>
      <c r="AL131" s="28">
        <v>20</v>
      </c>
      <c r="AM131" s="126">
        <f>AVERAGE(AL131:AL133)</f>
        <v>12.833333333333334</v>
      </c>
      <c r="AN131" s="28">
        <v>2903</v>
      </c>
      <c r="AO131" s="37">
        <f t="shared" si="18"/>
        <v>48.872053872034712</v>
      </c>
      <c r="AP131" s="126">
        <f>AVERAGE(AO131:AO133)</f>
        <v>62.680102772486862</v>
      </c>
      <c r="AR131" s="29">
        <f t="shared" si="19"/>
        <v>190.77249099171445</v>
      </c>
      <c r="AS131" s="126">
        <f>AVERAGE(AR131:AR133)</f>
        <v>244.6723309978654</v>
      </c>
    </row>
    <row r="132" spans="1:45" x14ac:dyDescent="0.3">
      <c r="C132" s="28" t="s">
        <v>294</v>
      </c>
      <c r="D132" s="28">
        <v>47.044444444379771</v>
      </c>
      <c r="E132" s="28">
        <v>5.2666666666666657</v>
      </c>
      <c r="F132" s="29">
        <f>AP6</f>
        <v>38.409002422528175</v>
      </c>
      <c r="H132" s="28" t="s">
        <v>231</v>
      </c>
      <c r="I132" s="28">
        <v>47.044444444379771</v>
      </c>
      <c r="J132" s="28">
        <v>5.2666666666666657</v>
      </c>
      <c r="K132" s="29">
        <v>38.409002422528175</v>
      </c>
      <c r="N132" s="28" t="s">
        <v>267</v>
      </c>
      <c r="O132" s="29">
        <f>V48</f>
        <v>57.729048654636678</v>
      </c>
      <c r="P132" s="28">
        <v>455.45</v>
      </c>
      <c r="AE132" s="28">
        <v>30</v>
      </c>
      <c r="AF132" s="129"/>
      <c r="AG132" s="28" t="s">
        <v>259</v>
      </c>
      <c r="AH132" s="137"/>
      <c r="AI132" s="28">
        <v>30.099999999976717</v>
      </c>
      <c r="AK132" s="126"/>
      <c r="AL132" s="28">
        <v>9</v>
      </c>
      <c r="AM132" s="126"/>
      <c r="AN132" s="28">
        <v>2063</v>
      </c>
      <c r="AO132" s="37">
        <f t="shared" si="18"/>
        <v>68.538205980119457</v>
      </c>
      <c r="AP132" s="126"/>
      <c r="AR132" s="29">
        <f t="shared" si="19"/>
        <v>267.53948825572951</v>
      </c>
      <c r="AS132" s="126"/>
    </row>
    <row r="133" spans="1:45" x14ac:dyDescent="0.3">
      <c r="C133" s="28" t="s">
        <v>295</v>
      </c>
      <c r="D133" s="28">
        <v>104.69910714286493</v>
      </c>
      <c r="E133" s="28">
        <v>10.737797619047619</v>
      </c>
      <c r="F133" s="29">
        <f>AP99</f>
        <v>51.836272090069485</v>
      </c>
      <c r="H133" s="28" t="s">
        <v>243</v>
      </c>
      <c r="I133" s="28">
        <v>104.69910714286493</v>
      </c>
      <c r="J133" s="28">
        <v>10.737797619047619</v>
      </c>
      <c r="K133" s="29">
        <v>51.836272090069485</v>
      </c>
      <c r="N133" s="28" t="s">
        <v>317</v>
      </c>
      <c r="O133" s="29">
        <f t="shared" ref="O133" si="26">O132</f>
        <v>57.729048654636678</v>
      </c>
      <c r="P133" s="28">
        <v>455.45</v>
      </c>
      <c r="AE133" s="28">
        <v>31</v>
      </c>
      <c r="AF133" s="130"/>
      <c r="AG133" s="28" t="s">
        <v>260</v>
      </c>
      <c r="AH133" s="137"/>
      <c r="AI133" s="28">
        <v>61.899999999965075</v>
      </c>
      <c r="AK133" s="126"/>
      <c r="AL133" s="28">
        <v>9.5</v>
      </c>
      <c r="AM133" s="126"/>
      <c r="AN133" s="28">
        <v>4372</v>
      </c>
      <c r="AO133" s="37">
        <f t="shared" si="18"/>
        <v>70.630048465306416</v>
      </c>
      <c r="AP133" s="126"/>
      <c r="AR133" s="29">
        <f t="shared" si="19"/>
        <v>275.70501374615225</v>
      </c>
      <c r="AS133" s="126"/>
    </row>
    <row r="134" spans="1:45" x14ac:dyDescent="0.3">
      <c r="C134" s="28" t="s">
        <v>309</v>
      </c>
      <c r="D134" s="28">
        <v>27.089999999983895</v>
      </c>
      <c r="E134" s="28">
        <v>11.541666666666666</v>
      </c>
      <c r="F134" s="29">
        <f>AP68</f>
        <v>78.519535870830595</v>
      </c>
      <c r="H134" s="28" t="s">
        <v>275</v>
      </c>
      <c r="I134" s="28">
        <v>27.089999999983895</v>
      </c>
      <c r="J134" s="28">
        <v>11.541666666666666</v>
      </c>
      <c r="K134" s="29">
        <v>78.519535870830595</v>
      </c>
      <c r="N134" s="28" t="s">
        <v>271</v>
      </c>
      <c r="O134" s="29">
        <f>V58</f>
        <v>33.479956926694015</v>
      </c>
      <c r="P134" s="28">
        <v>549.8125</v>
      </c>
      <c r="AE134" s="28">
        <v>17</v>
      </c>
      <c r="AF134" s="133" t="s">
        <v>267</v>
      </c>
      <c r="AG134" s="28" t="s">
        <v>245</v>
      </c>
      <c r="AH134" s="137"/>
      <c r="AI134" s="28">
        <v>241.8000000001397</v>
      </c>
      <c r="AK134" s="125">
        <f>AVERAGE(AI134:AI138)</f>
        <v>94.440000000025606</v>
      </c>
      <c r="AL134" s="28">
        <v>14.1</v>
      </c>
      <c r="AM134" s="125">
        <f>AVERAGE(AL134:AL138)</f>
        <v>10.6</v>
      </c>
      <c r="AN134" s="28">
        <v>9012</v>
      </c>
      <c r="AO134" s="37">
        <f t="shared" si="18"/>
        <v>37.270471463998319</v>
      </c>
      <c r="AP134" s="125">
        <f>AVERAGE(AO134:AO138)</f>
        <v>52.128232802500541</v>
      </c>
      <c r="AR134" s="29">
        <f t="shared" si="19"/>
        <v>145.48561229367763</v>
      </c>
      <c r="AS134" s="125">
        <f>AVERAGE(AR134:AR138)</f>
        <v>203.48301400976089</v>
      </c>
    </row>
    <row r="135" spans="1:45" x14ac:dyDescent="0.3">
      <c r="C135" s="28" t="s">
        <v>300</v>
      </c>
      <c r="D135" s="28">
        <v>35.249999999982535</v>
      </c>
      <c r="E135" s="28">
        <v>5.0625</v>
      </c>
      <c r="F135" s="29">
        <f>AP101</f>
        <v>54.731716355402114</v>
      </c>
      <c r="H135" s="28" t="s">
        <v>268</v>
      </c>
      <c r="I135" s="28">
        <v>35.249999999982535</v>
      </c>
      <c r="J135" s="28">
        <v>5.0625</v>
      </c>
      <c r="K135" s="29">
        <v>54.731716355402114</v>
      </c>
      <c r="N135" s="28" t="s">
        <v>318</v>
      </c>
      <c r="O135" s="29">
        <f t="shared" ref="O135" si="27">O134</f>
        <v>33.479956926694015</v>
      </c>
      <c r="P135" s="28">
        <v>549.8125</v>
      </c>
      <c r="AE135" s="28">
        <v>18</v>
      </c>
      <c r="AF135" s="134"/>
      <c r="AG135" s="28" t="s">
        <v>246</v>
      </c>
      <c r="AH135" s="137"/>
      <c r="AI135" s="28">
        <v>36.800000000069851</v>
      </c>
      <c r="AK135" s="125"/>
      <c r="AL135" s="28">
        <v>10.9</v>
      </c>
      <c r="AM135" s="125"/>
      <c r="AN135" s="28">
        <v>2835</v>
      </c>
      <c r="AO135" s="37">
        <f t="shared" si="18"/>
        <v>77.038043478114645</v>
      </c>
      <c r="AP135" s="125"/>
      <c r="AR135" s="29">
        <f t="shared" si="19"/>
        <v>300.71867848913172</v>
      </c>
      <c r="AS135" s="125"/>
    </row>
    <row r="136" spans="1:45" x14ac:dyDescent="0.3">
      <c r="C136" s="28" t="s">
        <v>304</v>
      </c>
      <c r="D136" s="28">
        <v>38.149999999937911</v>
      </c>
      <c r="E136" s="28">
        <v>4.1166666666666671</v>
      </c>
      <c r="F136" s="29">
        <f>AP102</f>
        <v>63.880968644402742</v>
      </c>
      <c r="H136" s="28" t="s">
        <v>272</v>
      </c>
      <c r="I136" s="28">
        <v>38.149999999937911</v>
      </c>
      <c r="J136" s="28">
        <v>4.1166666666666671</v>
      </c>
      <c r="K136" s="29">
        <v>63.880968644402742</v>
      </c>
      <c r="N136" s="28" t="s">
        <v>274</v>
      </c>
      <c r="O136" s="29">
        <f>V66</f>
        <v>49.043997206480299</v>
      </c>
      <c r="P136" s="28">
        <v>491.83333333333331</v>
      </c>
      <c r="AE136" s="28">
        <v>19</v>
      </c>
      <c r="AF136" s="134"/>
      <c r="AG136" s="28" t="s">
        <v>247</v>
      </c>
      <c r="AH136" s="137"/>
      <c r="AI136" s="28">
        <v>92.399999999965075</v>
      </c>
      <c r="AK136" s="125"/>
      <c r="AL136" s="28">
        <v>9</v>
      </c>
      <c r="AM136" s="125"/>
      <c r="AN136" s="28">
        <v>4202</v>
      </c>
      <c r="AO136" s="37">
        <f t="shared" si="18"/>
        <v>45.476190476207663</v>
      </c>
      <c r="AP136" s="125"/>
      <c r="AR136" s="29">
        <f t="shared" si="19"/>
        <v>177.51670843782816</v>
      </c>
      <c r="AS136" s="125"/>
    </row>
    <row r="137" spans="1:45" x14ac:dyDescent="0.3">
      <c r="C137" s="28" t="s">
        <v>297</v>
      </c>
      <c r="D137" s="28">
        <v>32.040000000009314</v>
      </c>
      <c r="E137" s="28">
        <v>2.3400000000000003</v>
      </c>
      <c r="F137" s="29">
        <f>AP39</f>
        <v>68.572277301325443</v>
      </c>
      <c r="H137" s="28" t="s">
        <v>264</v>
      </c>
      <c r="I137" s="28">
        <v>32.040000000009314</v>
      </c>
      <c r="J137" s="28">
        <v>2.3400000000000003</v>
      </c>
      <c r="K137" s="29">
        <v>68.572277301325443</v>
      </c>
      <c r="N137" s="28" t="s">
        <v>319</v>
      </c>
      <c r="O137" s="29">
        <f t="shared" ref="O137" si="28">O136</f>
        <v>49.043997206480299</v>
      </c>
      <c r="P137" s="28">
        <v>491.83333333333331</v>
      </c>
      <c r="AE137" s="28">
        <v>20</v>
      </c>
      <c r="AF137" s="134"/>
      <c r="AG137" s="28" t="s">
        <v>249</v>
      </c>
      <c r="AH137" s="137"/>
      <c r="AI137" s="28">
        <v>77.799999999906873</v>
      </c>
      <c r="AK137" s="125"/>
      <c r="AL137" s="28">
        <v>9.6</v>
      </c>
      <c r="AM137" s="125"/>
      <c r="AN137" s="28">
        <v>3295</v>
      </c>
      <c r="AO137" s="37">
        <f t="shared" si="18"/>
        <v>42.352185090024989</v>
      </c>
      <c r="AP137" s="125"/>
      <c r="AR137" s="29">
        <f t="shared" si="19"/>
        <v>165.32212600930808</v>
      </c>
      <c r="AS137" s="125"/>
    </row>
    <row r="138" spans="1:45" x14ac:dyDescent="0.3">
      <c r="C138" s="28" t="s">
        <v>298</v>
      </c>
      <c r="D138" s="28">
        <v>48.939999999955759</v>
      </c>
      <c r="E138" s="28">
        <v>2.56</v>
      </c>
      <c r="F138" s="29">
        <f>AP44</f>
        <v>70.556219189727685</v>
      </c>
      <c r="H138" s="28" t="s">
        <v>266</v>
      </c>
      <c r="I138" s="28">
        <v>48.939999999955759</v>
      </c>
      <c r="J138" s="28">
        <v>2.56</v>
      </c>
      <c r="K138" s="29">
        <v>70.556219189727685</v>
      </c>
      <c r="N138" s="28" t="s">
        <v>276</v>
      </c>
      <c r="O138" s="29">
        <f>V72</f>
        <v>49.860699215481873</v>
      </c>
      <c r="P138" s="28">
        <v>207.36250000000001</v>
      </c>
      <c r="AE138" s="28">
        <v>27</v>
      </c>
      <c r="AF138" s="135"/>
      <c r="AG138" s="28" t="s">
        <v>256</v>
      </c>
      <c r="AH138" s="138"/>
      <c r="AI138" s="28">
        <v>23.400000000046568</v>
      </c>
      <c r="AK138" s="125"/>
      <c r="AL138" s="28">
        <v>9.4</v>
      </c>
      <c r="AM138" s="125"/>
      <c r="AN138" s="28">
        <v>1369</v>
      </c>
      <c r="AO138" s="37">
        <f t="shared" si="18"/>
        <v>58.504273504157077</v>
      </c>
      <c r="AP138" s="125"/>
      <c r="AR138" s="29">
        <f t="shared" si="19"/>
        <v>228.37194481885876</v>
      </c>
      <c r="AS138" s="125"/>
    </row>
    <row r="139" spans="1:45" x14ac:dyDescent="0.3">
      <c r="C139" s="28" t="s">
        <v>303</v>
      </c>
      <c r="D139" s="28">
        <v>27.533333333344974</v>
      </c>
      <c r="E139" s="28">
        <v>4.166666666666667</v>
      </c>
      <c r="F139" s="29">
        <f>AP53</f>
        <v>44.273942346060267</v>
      </c>
      <c r="H139" s="28" t="s">
        <v>269</v>
      </c>
      <c r="I139" s="28">
        <v>27.533333333344974</v>
      </c>
      <c r="J139" s="28">
        <v>4.166666666666667</v>
      </c>
      <c r="K139" s="29">
        <v>44.273942346060267</v>
      </c>
      <c r="N139" s="28" t="s">
        <v>320</v>
      </c>
      <c r="O139" s="29">
        <f t="shared" ref="O139:O141" si="29">O138</f>
        <v>49.860699215481873</v>
      </c>
      <c r="P139" s="28">
        <v>207.36250000000001</v>
      </c>
      <c r="AE139" s="28">
        <v>34</v>
      </c>
      <c r="AF139" s="143" t="s">
        <v>293</v>
      </c>
      <c r="AG139" s="28">
        <v>2202</v>
      </c>
      <c r="AH139" s="139" t="s">
        <v>264</v>
      </c>
      <c r="AI139" s="28">
        <v>25.4</v>
      </c>
      <c r="AK139" s="128">
        <f>AVERAGE(AI139:AI143)</f>
        <v>32.040000000009314</v>
      </c>
      <c r="AL139" s="28">
        <v>3.5</v>
      </c>
      <c r="AM139" s="128">
        <f>AVERAGE(AL139:AL143)</f>
        <v>2.3400000000000003</v>
      </c>
      <c r="AN139" s="28">
        <v>1953</v>
      </c>
      <c r="AO139" s="37">
        <f t="shared" si="18"/>
        <v>76.88976377952757</v>
      </c>
      <c r="AP139" s="128">
        <f>AVERAGE(AO139:AO143)</f>
        <v>68.572277301325443</v>
      </c>
      <c r="AR139" s="29">
        <f t="shared" si="19"/>
        <v>300.13986738499796</v>
      </c>
      <c r="AS139" s="128">
        <f>AVERAGE(AR139:AR143)</f>
        <v>267.67248595692826</v>
      </c>
    </row>
    <row r="140" spans="1:45" x14ac:dyDescent="0.3">
      <c r="C140" s="28" t="s">
        <v>306</v>
      </c>
      <c r="D140" s="28">
        <v>27.040000000016295</v>
      </c>
      <c r="E140" s="28">
        <v>6.339999999999999</v>
      </c>
      <c r="F140" s="29">
        <f>AP56</f>
        <v>52.771720478950421</v>
      </c>
      <c r="H140" s="28" t="s">
        <v>270</v>
      </c>
      <c r="I140" s="28">
        <v>27.040000000016295</v>
      </c>
      <c r="J140" s="28">
        <v>6.339999999999999</v>
      </c>
      <c r="K140" s="29">
        <v>52.771720478950421</v>
      </c>
      <c r="N140" s="28" t="s">
        <v>284</v>
      </c>
      <c r="O140" s="29">
        <f>V88</f>
        <v>64.425453260930382</v>
      </c>
      <c r="P140" s="28">
        <v>792.5</v>
      </c>
      <c r="AE140" s="28">
        <v>35</v>
      </c>
      <c r="AF140" s="144"/>
      <c r="AG140" s="28">
        <v>2204</v>
      </c>
      <c r="AH140" s="140"/>
      <c r="AI140" s="28">
        <v>32.4</v>
      </c>
      <c r="AK140" s="129"/>
      <c r="AL140" s="28">
        <v>2.8</v>
      </c>
      <c r="AM140" s="129"/>
      <c r="AN140" s="28">
        <v>1876</v>
      </c>
      <c r="AO140" s="37">
        <f t="shared" si="18"/>
        <v>57.901234567901234</v>
      </c>
      <c r="AP140" s="129"/>
      <c r="AR140" s="29">
        <f t="shared" si="19"/>
        <v>226.01797704136885</v>
      </c>
      <c r="AS140" s="129"/>
    </row>
    <row r="141" spans="1:45" x14ac:dyDescent="0.3">
      <c r="C141" s="28" t="s">
        <v>308</v>
      </c>
      <c r="D141" s="28">
        <v>25.500000000046569</v>
      </c>
      <c r="E141" s="28">
        <v>3.1750000000000003</v>
      </c>
      <c r="F141" s="29">
        <f>AP64</f>
        <v>35.341297317852963</v>
      </c>
      <c r="H141" s="28" t="s">
        <v>273</v>
      </c>
      <c r="I141" s="28">
        <v>25.500000000046569</v>
      </c>
      <c r="J141" s="28">
        <v>3.1750000000000003</v>
      </c>
      <c r="K141" s="29">
        <v>35.341297317852963</v>
      </c>
      <c r="N141" s="28" t="s">
        <v>321</v>
      </c>
      <c r="O141" s="29">
        <f t="shared" si="29"/>
        <v>64.425453260930382</v>
      </c>
      <c r="P141" s="28">
        <v>792.5</v>
      </c>
      <c r="AE141" s="28">
        <v>36</v>
      </c>
      <c r="AF141" s="144"/>
      <c r="AG141" s="28">
        <v>2205</v>
      </c>
      <c r="AH141" s="140"/>
      <c r="AI141" s="28">
        <v>11.799999999976716</v>
      </c>
      <c r="AK141" s="129"/>
      <c r="AL141" s="28">
        <v>1.8</v>
      </c>
      <c r="AM141" s="129"/>
      <c r="AN141" s="28">
        <v>1072</v>
      </c>
      <c r="AO141" s="37">
        <f t="shared" si="18"/>
        <v>90.847457627297899</v>
      </c>
      <c r="AP141" s="129"/>
      <c r="AR141" s="29">
        <f t="shared" si="19"/>
        <v>354.6238477556804</v>
      </c>
      <c r="AS141" s="129"/>
    </row>
    <row r="142" spans="1:45" x14ac:dyDescent="0.3">
      <c r="C142" s="28" t="s">
        <v>311</v>
      </c>
      <c r="D142" s="28">
        <v>71.566666666666677</v>
      </c>
      <c r="E142" s="28">
        <v>12.933333333333335</v>
      </c>
      <c r="F142" s="29">
        <f>AP73</f>
        <v>59.618082032706049</v>
      </c>
      <c r="H142" s="28" t="s">
        <v>277</v>
      </c>
      <c r="I142" s="28">
        <v>71.566666666666677</v>
      </c>
      <c r="J142" s="28">
        <v>12.933333333333335</v>
      </c>
      <c r="K142" s="29">
        <v>59.618082032706049</v>
      </c>
      <c r="AE142" s="28">
        <v>37</v>
      </c>
      <c r="AF142" s="144"/>
      <c r="AG142" s="28">
        <v>2207</v>
      </c>
      <c r="AH142" s="140"/>
      <c r="AI142" s="28">
        <v>10.700000000058207</v>
      </c>
      <c r="AK142" s="129"/>
      <c r="AL142" s="28">
        <v>1.8</v>
      </c>
      <c r="AM142" s="129"/>
      <c r="AN142" s="28">
        <v>822</v>
      </c>
      <c r="AO142" s="37">
        <f t="shared" si="18"/>
        <v>76.822429906124157</v>
      </c>
      <c r="AP142" s="129"/>
      <c r="AR142" s="29">
        <f t="shared" si="19"/>
        <v>299.87702901951974</v>
      </c>
      <c r="AS142" s="129"/>
    </row>
    <row r="143" spans="1:45" x14ac:dyDescent="0.3">
      <c r="AE143" s="28">
        <v>38</v>
      </c>
      <c r="AF143" s="145"/>
      <c r="AG143" s="28">
        <v>2208</v>
      </c>
      <c r="AH143" s="141"/>
      <c r="AI143" s="28">
        <v>79.900000000011644</v>
      </c>
      <c r="AK143" s="130"/>
      <c r="AL143" s="28">
        <v>1.8</v>
      </c>
      <c r="AM143" s="130"/>
      <c r="AN143" s="28">
        <v>3228</v>
      </c>
      <c r="AO143" s="37">
        <f t="shared" si="18"/>
        <v>40.400500625776338</v>
      </c>
      <c r="AP143" s="130"/>
      <c r="AR143" s="29">
        <f t="shared" si="19"/>
        <v>157.7037085830743</v>
      </c>
      <c r="AS143" s="130"/>
    </row>
    <row r="144" spans="1:45" x14ac:dyDescent="0.3">
      <c r="AE144" s="28">
        <v>39</v>
      </c>
      <c r="AF144" s="133" t="s">
        <v>293</v>
      </c>
      <c r="AG144" s="28">
        <v>2202</v>
      </c>
      <c r="AH144" s="136" t="s">
        <v>266</v>
      </c>
      <c r="AI144" s="28">
        <v>54.8</v>
      </c>
      <c r="AK144" s="128">
        <f>AVERAGE(AI144:AI148)</f>
        <v>48.939999999955759</v>
      </c>
      <c r="AL144" s="28">
        <v>2.6</v>
      </c>
      <c r="AM144" s="128">
        <f>AVERAGE(AL144:AL148)</f>
        <v>2.56</v>
      </c>
      <c r="AN144" s="28">
        <v>3867</v>
      </c>
      <c r="AO144" s="37">
        <f t="shared" si="18"/>
        <v>70.565693430656935</v>
      </c>
      <c r="AP144" s="128">
        <f>AVERAGE(AO144:AO148)</f>
        <v>70.556219189727685</v>
      </c>
      <c r="AR144" s="29">
        <f t="shared" si="19"/>
        <v>275.45380330388014</v>
      </c>
      <c r="AS144" s="128">
        <f>AVERAGE(AR144:AR148)</f>
        <v>275.41682052130534</v>
      </c>
    </row>
    <row r="145" spans="3:45" x14ac:dyDescent="0.3">
      <c r="AE145" s="28">
        <v>40</v>
      </c>
      <c r="AF145" s="134"/>
      <c r="AG145" s="28">
        <v>2204</v>
      </c>
      <c r="AH145" s="137"/>
      <c r="AI145" s="28">
        <v>36.9</v>
      </c>
      <c r="AK145" s="129"/>
      <c r="AL145" s="28">
        <v>2.5</v>
      </c>
      <c r="AM145" s="129"/>
      <c r="AN145" s="28">
        <v>2809</v>
      </c>
      <c r="AO145" s="37">
        <f t="shared" si="18"/>
        <v>76.124661246612476</v>
      </c>
      <c r="AP145" s="129"/>
      <c r="AR145" s="29">
        <f t="shared" si="19"/>
        <v>297.15328293633814</v>
      </c>
      <c r="AS145" s="129"/>
    </row>
    <row r="146" spans="3:45" x14ac:dyDescent="0.3">
      <c r="C146" s="28" t="s">
        <v>191</v>
      </c>
      <c r="D146" s="28" t="s">
        <v>289</v>
      </c>
      <c r="E146" s="28" t="s">
        <v>290</v>
      </c>
      <c r="F146" s="28" t="s">
        <v>322</v>
      </c>
      <c r="G146" s="28" t="s">
        <v>323</v>
      </c>
      <c r="H146" s="28" t="s">
        <v>324</v>
      </c>
      <c r="I146" s="28" t="s">
        <v>325</v>
      </c>
      <c r="J146" s="28" t="s">
        <v>326</v>
      </c>
      <c r="K146" s="28" t="s">
        <v>327</v>
      </c>
      <c r="L146" s="28" t="s">
        <v>328</v>
      </c>
      <c r="M146" s="28" t="s">
        <v>286</v>
      </c>
      <c r="N146" s="28" t="s">
        <v>291</v>
      </c>
      <c r="AE146" s="28">
        <v>41</v>
      </c>
      <c r="AF146" s="134"/>
      <c r="AG146" s="28">
        <v>2205</v>
      </c>
      <c r="AH146" s="137"/>
      <c r="AI146" s="28">
        <v>25.099999999883586</v>
      </c>
      <c r="AK146" s="129"/>
      <c r="AL146" s="28">
        <v>2.4</v>
      </c>
      <c r="AM146" s="129"/>
      <c r="AN146" s="28">
        <v>2337</v>
      </c>
      <c r="AO146" s="37">
        <f t="shared" si="18"/>
        <v>93.107569721547378</v>
      </c>
      <c r="AP146" s="129"/>
      <c r="AR146" s="29">
        <f t="shared" si="19"/>
        <v>363.44621514112794</v>
      </c>
      <c r="AS146" s="129"/>
    </row>
    <row r="147" spans="3:45" x14ac:dyDescent="0.3">
      <c r="C147" s="28" t="s">
        <v>293</v>
      </c>
      <c r="D147" s="28" t="s">
        <v>295</v>
      </c>
      <c r="E147" s="28" t="s">
        <v>297</v>
      </c>
      <c r="F147" s="28" t="s">
        <v>298</v>
      </c>
      <c r="G147" s="28">
        <f>AK115</f>
        <v>78.040000000037253</v>
      </c>
      <c r="H147" s="28">
        <f>AK139</f>
        <v>32.040000000009314</v>
      </c>
      <c r="I147" s="28">
        <f>AK144</f>
        <v>48.939999999955759</v>
      </c>
      <c r="J147" s="28">
        <f>AM115</f>
        <v>9.379999999999999</v>
      </c>
      <c r="K147" s="28">
        <f>AM139</f>
        <v>2.3400000000000003</v>
      </c>
      <c r="L147" s="28">
        <f>AM144</f>
        <v>2.56</v>
      </c>
      <c r="M147" s="29">
        <f>I10+I15+I20</f>
        <v>1629.8</v>
      </c>
      <c r="N147" s="29">
        <f>J10+J15+J20</f>
        <v>21.5</v>
      </c>
      <c r="AE147" s="28">
        <v>42</v>
      </c>
      <c r="AF147" s="134"/>
      <c r="AG147" s="28">
        <v>2207</v>
      </c>
      <c r="AH147" s="137"/>
      <c r="AI147" s="28">
        <v>58.599999999918509</v>
      </c>
      <c r="AK147" s="129"/>
      <c r="AL147" s="28">
        <v>2.5</v>
      </c>
      <c r="AM147" s="129"/>
      <c r="AN147" s="28">
        <v>3290</v>
      </c>
      <c r="AO147" s="37">
        <f t="shared" si="18"/>
        <v>56.143344709975686</v>
      </c>
      <c r="AP147" s="129"/>
      <c r="AR147" s="29">
        <f t="shared" si="19"/>
        <v>219.15603856087</v>
      </c>
      <c r="AS147" s="129"/>
    </row>
    <row r="148" spans="3:45" x14ac:dyDescent="0.3">
      <c r="C148" s="28" t="s">
        <v>329</v>
      </c>
      <c r="D148" s="28" t="s">
        <v>295</v>
      </c>
      <c r="E148" s="28" t="s">
        <v>300</v>
      </c>
      <c r="F148" s="28" t="s">
        <v>73</v>
      </c>
      <c r="G148" s="29">
        <f>AK120</f>
        <v>65.7</v>
      </c>
      <c r="H148" s="29">
        <f>AK149</f>
        <v>53.3</v>
      </c>
      <c r="I148" s="28">
        <v>0</v>
      </c>
      <c r="J148" s="29">
        <f>AM120</f>
        <v>18.8</v>
      </c>
      <c r="K148" s="29">
        <f>AM149</f>
        <v>4.5999999999999996</v>
      </c>
      <c r="L148" s="28">
        <v>0</v>
      </c>
      <c r="M148" s="29">
        <f>I25*2</f>
        <v>1177.1428571428571</v>
      </c>
      <c r="N148" s="29">
        <f>J25*2</f>
        <v>20.857142857142858</v>
      </c>
      <c r="AE148" s="28">
        <v>43</v>
      </c>
      <c r="AF148" s="135"/>
      <c r="AG148" s="28">
        <v>2208</v>
      </c>
      <c r="AH148" s="138"/>
      <c r="AI148" s="28">
        <v>69.29999999997672</v>
      </c>
      <c r="AK148" s="130"/>
      <c r="AL148" s="28">
        <v>2.8</v>
      </c>
      <c r="AM148" s="130"/>
      <c r="AN148" s="28">
        <v>3939</v>
      </c>
      <c r="AO148" s="37">
        <f t="shared" si="18"/>
        <v>56.839826839845934</v>
      </c>
      <c r="AP148" s="130"/>
      <c r="AR148" s="29">
        <f t="shared" si="19"/>
        <v>221.87476266431085</v>
      </c>
      <c r="AS148" s="130"/>
    </row>
    <row r="149" spans="3:45" x14ac:dyDescent="0.3">
      <c r="C149" s="28" t="s">
        <v>330</v>
      </c>
      <c r="D149" s="28" t="s">
        <v>294</v>
      </c>
      <c r="E149" s="28" t="s">
        <v>295</v>
      </c>
      <c r="F149" s="28" t="s">
        <v>73</v>
      </c>
      <c r="G149" s="29">
        <f>AK121</f>
        <v>35.80000000003492</v>
      </c>
      <c r="H149" s="29">
        <f>AK106</f>
        <v>51.099999999976717</v>
      </c>
      <c r="I149" s="28">
        <v>0</v>
      </c>
      <c r="J149" s="29">
        <f>AM121</f>
        <v>10.299999999999999</v>
      </c>
      <c r="K149" s="29">
        <f>AM106</f>
        <v>3.3</v>
      </c>
      <c r="L149" s="28">
        <v>0</v>
      </c>
      <c r="M149" s="29">
        <f>I7*2</f>
        <v>743</v>
      </c>
      <c r="N149" s="29">
        <f>J7*2</f>
        <v>22.333333333333332</v>
      </c>
      <c r="AE149" s="28">
        <v>44</v>
      </c>
      <c r="AF149" s="38" t="s">
        <v>248</v>
      </c>
      <c r="AG149" s="28">
        <v>2203</v>
      </c>
      <c r="AH149" s="139" t="s">
        <v>268</v>
      </c>
      <c r="AI149" s="28">
        <v>53.3</v>
      </c>
      <c r="AK149" s="31">
        <f>AVERAGE(AI149)</f>
        <v>53.3</v>
      </c>
      <c r="AL149" s="28">
        <v>4.5999999999999996</v>
      </c>
      <c r="AM149" s="31">
        <f>AVERAGE(AL149)</f>
        <v>4.5999999999999996</v>
      </c>
      <c r="AN149" s="28">
        <v>2693</v>
      </c>
      <c r="AO149" s="37">
        <f t="shared" si="18"/>
        <v>50.525328330206385</v>
      </c>
      <c r="AP149" s="31">
        <f>AVERAGE(AO149)</f>
        <v>50.525328330206385</v>
      </c>
      <c r="AR149" s="29">
        <f t="shared" si="19"/>
        <v>197.22606234159508</v>
      </c>
      <c r="AS149" s="31">
        <f>AVERAGE(AR149)</f>
        <v>197.22606234159508</v>
      </c>
    </row>
    <row r="150" spans="3:45" x14ac:dyDescent="0.3">
      <c r="C150" s="28" t="s">
        <v>331</v>
      </c>
      <c r="D150" s="28" t="s">
        <v>295</v>
      </c>
      <c r="E150" s="28" t="s">
        <v>303</v>
      </c>
      <c r="F150" s="28" t="s">
        <v>73</v>
      </c>
      <c r="G150" s="29">
        <f>AK124</f>
        <v>39.699999999953434</v>
      </c>
      <c r="H150" s="28">
        <f>AK153</f>
        <v>27.533333333344974</v>
      </c>
      <c r="I150" s="28">
        <v>0</v>
      </c>
      <c r="J150" s="29">
        <f>AM124</f>
        <v>13</v>
      </c>
      <c r="K150" s="28">
        <f>AM153</f>
        <v>4.166666666666667</v>
      </c>
      <c r="L150" s="28">
        <v>0</v>
      </c>
      <c r="M150" s="29">
        <f>I32*2</f>
        <v>823.66666666666663</v>
      </c>
      <c r="N150" s="29">
        <f>J32*2</f>
        <v>30.566666666666663</v>
      </c>
      <c r="AE150" s="28">
        <v>45</v>
      </c>
      <c r="AF150" s="128" t="s">
        <v>302</v>
      </c>
      <c r="AG150" s="28" t="s">
        <v>250</v>
      </c>
      <c r="AH150" s="140"/>
      <c r="AI150" s="28">
        <v>69.000000000046569</v>
      </c>
      <c r="AK150" s="125">
        <f>AVERAGE(AI150:AI152)</f>
        <v>47.833333333379905</v>
      </c>
      <c r="AL150" s="28">
        <v>5.8</v>
      </c>
      <c r="AM150" s="125">
        <f>AVERAGE(AL150:AL152)</f>
        <v>5.9666666666666659</v>
      </c>
      <c r="AN150" s="28">
        <v>3084</v>
      </c>
      <c r="AO150" s="37">
        <f t="shared" si="18"/>
        <v>44.695652173882877</v>
      </c>
      <c r="AP150" s="132">
        <f>AVERAGE(AO150:AO152)</f>
        <v>41.409936987617314</v>
      </c>
      <c r="AR150" s="29">
        <f t="shared" si="19"/>
        <v>174.46987032787615</v>
      </c>
      <c r="AS150" s="132">
        <f>AVERAGE(AR150:AR152)</f>
        <v>161.64405227622549</v>
      </c>
    </row>
    <row r="151" spans="3:45" x14ac:dyDescent="0.3">
      <c r="C151" s="28" t="s">
        <v>332</v>
      </c>
      <c r="D151" s="28" t="s">
        <v>295</v>
      </c>
      <c r="E151" s="28" t="s">
        <v>306</v>
      </c>
      <c r="F151" s="28" t="s">
        <v>73</v>
      </c>
      <c r="G151" s="28">
        <f>AK134</f>
        <v>94.440000000025606</v>
      </c>
      <c r="H151" s="28">
        <f>AK156</f>
        <v>27.040000000016295</v>
      </c>
      <c r="I151" s="28">
        <v>0</v>
      </c>
      <c r="J151" s="28">
        <f>AM134</f>
        <v>10.6</v>
      </c>
      <c r="K151" s="28">
        <f>AM156</f>
        <v>6.339999999999999</v>
      </c>
      <c r="L151" s="28">
        <v>0</v>
      </c>
      <c r="M151" s="29">
        <f>I48*2</f>
        <v>910.9</v>
      </c>
      <c r="N151" s="29">
        <f>J48*2</f>
        <v>41.739999999999995</v>
      </c>
      <c r="AE151" s="28">
        <v>46</v>
      </c>
      <c r="AF151" s="129"/>
      <c r="AG151" s="28" t="s">
        <v>251</v>
      </c>
      <c r="AH151" s="140"/>
      <c r="AI151" s="28">
        <v>40.100000000023286</v>
      </c>
      <c r="AK151" s="125"/>
      <c r="AL151" s="28">
        <v>6.3</v>
      </c>
      <c r="AM151" s="125"/>
      <c r="AN151" s="28">
        <v>1569</v>
      </c>
      <c r="AO151" s="37">
        <f t="shared" si="18"/>
        <v>39.127182044865059</v>
      </c>
      <c r="AP151" s="125"/>
      <c r="AR151" s="29">
        <f t="shared" si="19"/>
        <v>152.73329833302591</v>
      </c>
      <c r="AS151" s="125"/>
    </row>
    <row r="152" spans="3:45" x14ac:dyDescent="0.3">
      <c r="C152" s="28" t="s">
        <v>333</v>
      </c>
      <c r="D152" s="28" t="s">
        <v>294</v>
      </c>
      <c r="E152" s="28" t="s">
        <v>308</v>
      </c>
      <c r="F152" s="28" t="s">
        <v>73</v>
      </c>
      <c r="G152" s="28">
        <f>AK110</f>
        <v>39.199999999915597</v>
      </c>
      <c r="H152" s="28">
        <f>AK164</f>
        <v>25.500000000046569</v>
      </c>
      <c r="I152" s="28">
        <v>0</v>
      </c>
      <c r="J152" s="28">
        <f>AM110</f>
        <v>5.9749999999999996</v>
      </c>
      <c r="K152" s="28">
        <f>AM164</f>
        <v>3.1750000000000003</v>
      </c>
      <c r="L152" s="28">
        <v>0</v>
      </c>
      <c r="M152" s="29">
        <f>I58*2</f>
        <v>1099.625</v>
      </c>
      <c r="N152" s="29">
        <f>J58*2</f>
        <v>11.149999999999977</v>
      </c>
      <c r="AE152" s="28">
        <v>47</v>
      </c>
      <c r="AF152" s="130"/>
      <c r="AG152" s="28" t="s">
        <v>252</v>
      </c>
      <c r="AH152" s="141"/>
      <c r="AI152" s="28">
        <v>34.400000000069852</v>
      </c>
      <c r="AK152" s="125"/>
      <c r="AL152" s="28">
        <v>5.8</v>
      </c>
      <c r="AM152" s="125"/>
      <c r="AN152" s="28">
        <v>1390</v>
      </c>
      <c r="AO152" s="37">
        <f t="shared" si="18"/>
        <v>40.406976744104</v>
      </c>
      <c r="AP152" s="125"/>
      <c r="AR152" s="29">
        <f t="shared" si="19"/>
        <v>157.72898816777439</v>
      </c>
      <c r="AS152" s="125"/>
    </row>
    <row r="153" spans="3:45" x14ac:dyDescent="0.3">
      <c r="C153" s="28" t="s">
        <v>192</v>
      </c>
      <c r="D153" s="28" t="s">
        <v>294</v>
      </c>
      <c r="E153" s="28" t="s">
        <v>309</v>
      </c>
      <c r="F153" s="28" t="s">
        <v>73</v>
      </c>
      <c r="G153" s="28">
        <f>AK107</f>
        <v>39.266666666612338</v>
      </c>
      <c r="H153" s="29">
        <f>AK168*2.3</f>
        <v>27.753333333306553</v>
      </c>
      <c r="I153" s="28">
        <v>0</v>
      </c>
      <c r="J153" s="28">
        <f>AM107</f>
        <v>5.4666666666666659</v>
      </c>
      <c r="K153" s="29">
        <f>AM168</f>
        <v>10.233333333333334</v>
      </c>
      <c r="L153" s="28">
        <v>0</v>
      </c>
      <c r="M153" s="29">
        <f>I66*2</f>
        <v>983.66666666666663</v>
      </c>
      <c r="N153" s="29">
        <f>J66*2</f>
        <v>32</v>
      </c>
      <c r="AE153" s="28">
        <v>48</v>
      </c>
      <c r="AF153" s="133" t="s">
        <v>255</v>
      </c>
      <c r="AG153" s="28">
        <v>2206</v>
      </c>
      <c r="AH153" s="136" t="s">
        <v>269</v>
      </c>
      <c r="AI153" s="28">
        <v>34.499999999941792</v>
      </c>
      <c r="AK153" s="125">
        <f>AVERAGE(AI153:AI155)</f>
        <v>27.533333333344974</v>
      </c>
      <c r="AL153" s="28">
        <v>2.5</v>
      </c>
      <c r="AM153" s="125">
        <f>AVERAGE(AL153:AL155)</f>
        <v>4.166666666666667</v>
      </c>
      <c r="AN153" s="28">
        <v>1360</v>
      </c>
      <c r="AO153" s="37">
        <f t="shared" si="18"/>
        <v>39.420289855138975</v>
      </c>
      <c r="AP153" s="132">
        <f>AVERAGE(AO153:AO155)</f>
        <v>44.273942346060267</v>
      </c>
      <c r="AR153" s="29">
        <f t="shared" si="19"/>
        <v>153.87744724155129</v>
      </c>
      <c r="AS153" s="132">
        <f>AVERAGE(AR153:AR155)</f>
        <v>172.82372231576156</v>
      </c>
    </row>
    <row r="154" spans="3:45" x14ac:dyDescent="0.3">
      <c r="C154" s="28" t="s">
        <v>334</v>
      </c>
      <c r="D154" s="28" t="s">
        <v>295</v>
      </c>
      <c r="E154" s="28" t="s">
        <v>309</v>
      </c>
      <c r="F154" s="28" t="s">
        <v>73</v>
      </c>
      <c r="G154" s="29">
        <f>AK199</f>
        <v>38.046666666637179</v>
      </c>
      <c r="H154" s="29">
        <f>AK201</f>
        <v>36.716666666644358</v>
      </c>
      <c r="I154" s="28">
        <v>0</v>
      </c>
      <c r="J154" s="29">
        <f>AM199</f>
        <v>10.73</v>
      </c>
      <c r="K154" s="29">
        <f>AM201</f>
        <v>11.441666666666666</v>
      </c>
      <c r="L154" s="28">
        <v>0</v>
      </c>
      <c r="M154" s="29">
        <f>I72*2</f>
        <v>414.72500000000002</v>
      </c>
      <c r="N154" s="29">
        <f>J72*2</f>
        <v>55.175000000000004</v>
      </c>
      <c r="AE154" s="28">
        <v>49</v>
      </c>
      <c r="AF154" s="134"/>
      <c r="AG154" s="28" t="s">
        <v>235</v>
      </c>
      <c r="AH154" s="137"/>
      <c r="AI154" s="28">
        <v>23.199999999976718</v>
      </c>
      <c r="AK154" s="125"/>
      <c r="AL154" s="28">
        <v>5.4</v>
      </c>
      <c r="AM154" s="125"/>
      <c r="AN154" s="28">
        <v>1074</v>
      </c>
      <c r="AO154" s="37">
        <f t="shared" si="18"/>
        <v>46.29310344832232</v>
      </c>
      <c r="AP154" s="125"/>
      <c r="AR154" s="29">
        <f t="shared" si="19"/>
        <v>180.70553539038099</v>
      </c>
      <c r="AS154" s="125"/>
    </row>
    <row r="155" spans="3:45" x14ac:dyDescent="0.3">
      <c r="C155" s="28" t="s">
        <v>335</v>
      </c>
      <c r="D155" s="28" t="s">
        <v>295</v>
      </c>
      <c r="E155" s="28" t="s">
        <v>311</v>
      </c>
      <c r="F155" s="28" t="s">
        <v>73</v>
      </c>
      <c r="G155" s="29">
        <f>AK131</f>
        <v>50.466666666655023</v>
      </c>
      <c r="H155" s="29">
        <f>AK173</f>
        <v>71.566666666666677</v>
      </c>
      <c r="I155" s="28">
        <v>0</v>
      </c>
      <c r="J155" s="29">
        <f>AM131</f>
        <v>12.833333333333334</v>
      </c>
      <c r="K155" s="29">
        <f>AM173</f>
        <v>12.933333333333335</v>
      </c>
      <c r="L155" s="28">
        <v>0</v>
      </c>
      <c r="M155" s="29">
        <f>I88*2</f>
        <v>1585</v>
      </c>
      <c r="N155" s="29">
        <f>J88*2</f>
        <v>56.5</v>
      </c>
      <c r="AE155" s="28">
        <v>50</v>
      </c>
      <c r="AF155" s="135"/>
      <c r="AG155" s="28" t="s">
        <v>254</v>
      </c>
      <c r="AH155" s="138"/>
      <c r="AI155" s="28">
        <v>24.900000000116414</v>
      </c>
      <c r="AK155" s="125"/>
      <c r="AL155" s="28">
        <v>4.5999999999999996</v>
      </c>
      <c r="AM155" s="125"/>
      <c r="AN155" s="28">
        <v>1173</v>
      </c>
      <c r="AO155" s="37">
        <f t="shared" si="18"/>
        <v>47.108433734719512</v>
      </c>
      <c r="AP155" s="125"/>
      <c r="AR155" s="29">
        <f t="shared" si="19"/>
        <v>183.88818431535248</v>
      </c>
      <c r="AS155" s="125"/>
    </row>
    <row r="156" spans="3:45" x14ac:dyDescent="0.3">
      <c r="C156" s="28" t="s">
        <v>336</v>
      </c>
      <c r="D156" s="28" t="s">
        <v>295</v>
      </c>
      <c r="E156" s="28" t="s">
        <v>304</v>
      </c>
      <c r="F156" s="28" t="s">
        <v>300</v>
      </c>
      <c r="G156" s="29">
        <f>AK200</f>
        <v>27.90000000001746</v>
      </c>
      <c r="H156" s="29">
        <f>AK203</f>
        <v>38.149999999937911</v>
      </c>
      <c r="I156" s="29">
        <f>AK202</f>
        <v>34.566666666655024</v>
      </c>
      <c r="J156" s="29">
        <f>AM199</f>
        <v>10.73</v>
      </c>
      <c r="K156" s="29">
        <f>AM203</f>
        <v>4.1166666666666671</v>
      </c>
      <c r="L156" s="29">
        <f>AM202</f>
        <v>5.2333333333333325</v>
      </c>
      <c r="M156" s="29">
        <f>I38+I43+I25</f>
        <v>1468.9314285714286</v>
      </c>
      <c r="N156" s="29">
        <f>J38+J43+J25</f>
        <v>23.12857142857143</v>
      </c>
      <c r="AE156" s="28">
        <v>51</v>
      </c>
      <c r="AF156" s="143" t="s">
        <v>267</v>
      </c>
      <c r="AG156" s="28" t="s">
        <v>245</v>
      </c>
      <c r="AH156" s="139" t="s">
        <v>270</v>
      </c>
      <c r="AI156" s="28">
        <v>25.799999999871943</v>
      </c>
      <c r="AK156" s="125">
        <f>AVERAGE(AI156:AI160)</f>
        <v>27.040000000016295</v>
      </c>
      <c r="AL156" s="28">
        <v>7</v>
      </c>
      <c r="AM156" s="125">
        <f>AVERAGE(AL156:AL160)</f>
        <v>6.339999999999999</v>
      </c>
      <c r="AN156" s="28">
        <v>1659</v>
      </c>
      <c r="AO156" s="37">
        <f t="shared" si="18"/>
        <v>64.302325581714513</v>
      </c>
      <c r="AP156" s="125">
        <f>AVERAGE(AO156:AO160)</f>
        <v>52.771720478950421</v>
      </c>
      <c r="AR156" s="29">
        <f t="shared" si="19"/>
        <v>251.0046919637102</v>
      </c>
      <c r="AS156" s="125">
        <f>AVERAGE(AR156:AR160)</f>
        <v>205.99487379941178</v>
      </c>
    </row>
    <row r="157" spans="3:45" x14ac:dyDescent="0.3">
      <c r="C157" s="28" t="s">
        <v>337</v>
      </c>
      <c r="D157" s="28" t="s">
        <v>295</v>
      </c>
      <c r="E157" s="28" t="s">
        <v>297</v>
      </c>
      <c r="F157" s="28" t="s">
        <v>73</v>
      </c>
      <c r="G157" s="28">
        <f>AK115</f>
        <v>78.040000000037253</v>
      </c>
      <c r="H157" s="28">
        <f>AK139</f>
        <v>32.040000000009314</v>
      </c>
      <c r="I157" s="28">
        <v>0</v>
      </c>
      <c r="J157" s="28">
        <f>AM115</f>
        <v>9.379999999999999</v>
      </c>
      <c r="K157" s="28">
        <f>AM139</f>
        <v>2.3400000000000003</v>
      </c>
      <c r="L157" s="28">
        <v>0</v>
      </c>
      <c r="M157" s="29">
        <f>I10*2</f>
        <v>1521.2</v>
      </c>
      <c r="N157" s="29">
        <f>J10*2</f>
        <v>36.799999999999997</v>
      </c>
      <c r="AE157" s="28">
        <v>52</v>
      </c>
      <c r="AF157" s="144"/>
      <c r="AG157" s="28" t="s">
        <v>246</v>
      </c>
      <c r="AH157" s="140"/>
      <c r="AI157" s="28">
        <v>37.500000000081492</v>
      </c>
      <c r="AK157" s="125"/>
      <c r="AL157" s="28">
        <v>6.4</v>
      </c>
      <c r="AM157" s="125"/>
      <c r="AN157" s="28">
        <v>2454</v>
      </c>
      <c r="AO157" s="37">
        <f t="shared" si="18"/>
        <v>65.43999999985779</v>
      </c>
      <c r="AP157" s="125"/>
      <c r="AR157" s="29">
        <f t="shared" si="19"/>
        <v>255.44561403453261</v>
      </c>
      <c r="AS157" s="125"/>
    </row>
    <row r="158" spans="3:45" x14ac:dyDescent="0.3">
      <c r="C158" s="28" t="s">
        <v>338</v>
      </c>
      <c r="D158" s="28" t="s">
        <v>295</v>
      </c>
      <c r="E158" s="28" t="s">
        <v>298</v>
      </c>
      <c r="F158" s="28" t="s">
        <v>73</v>
      </c>
      <c r="G158" s="28">
        <f>AK115</f>
        <v>78.040000000037253</v>
      </c>
      <c r="H158" s="28">
        <f>AK144</f>
        <v>48.939999999955759</v>
      </c>
      <c r="I158" s="28">
        <v>0</v>
      </c>
      <c r="J158" s="28">
        <f>AM115</f>
        <v>9.379999999999999</v>
      </c>
      <c r="K158" s="28">
        <f>AM144</f>
        <v>2.56</v>
      </c>
      <c r="L158" s="28">
        <v>0</v>
      </c>
      <c r="M158" s="29">
        <f>I20*2</f>
        <v>1586.8</v>
      </c>
      <c r="N158" s="29">
        <f>J20*2</f>
        <v>2</v>
      </c>
      <c r="AE158" s="28">
        <v>53</v>
      </c>
      <c r="AF158" s="144"/>
      <c r="AG158" s="28" t="s">
        <v>247</v>
      </c>
      <c r="AH158" s="140"/>
      <c r="AI158" s="28">
        <v>22.700000000058207</v>
      </c>
      <c r="AK158" s="125"/>
      <c r="AL158" s="28">
        <v>6.3</v>
      </c>
      <c r="AM158" s="125"/>
      <c r="AN158" s="28">
        <v>1185</v>
      </c>
      <c r="AO158" s="37">
        <f t="shared" si="18"/>
        <v>52.202643171672314</v>
      </c>
      <c r="AP158" s="125"/>
      <c r="AR158" s="29">
        <f t="shared" si="19"/>
        <v>203.77347553854545</v>
      </c>
      <c r="AS158" s="125"/>
    </row>
    <row r="159" spans="3:45" x14ac:dyDescent="0.3">
      <c r="C159" s="28" t="s">
        <v>339</v>
      </c>
      <c r="D159" s="28" t="s">
        <v>295</v>
      </c>
      <c r="E159" s="28" t="s">
        <v>304</v>
      </c>
      <c r="F159" s="28" t="s">
        <v>73</v>
      </c>
      <c r="G159" s="29">
        <f>AK200</f>
        <v>27.90000000001746</v>
      </c>
      <c r="H159" s="29">
        <f>AK203</f>
        <v>38.149999999937911</v>
      </c>
      <c r="I159" s="28">
        <v>0</v>
      </c>
      <c r="J159" s="29">
        <f>AM200</f>
        <v>12.2</v>
      </c>
      <c r="K159" s="29">
        <f>AM203</f>
        <v>4.1166666666666671</v>
      </c>
      <c r="L159" s="28">
        <v>0</v>
      </c>
      <c r="M159" s="29">
        <f>I38*2</f>
        <v>1436.84</v>
      </c>
      <c r="N159" s="29">
        <f>J38*2</f>
        <v>20.6</v>
      </c>
      <c r="AE159" s="28">
        <v>54</v>
      </c>
      <c r="AF159" s="144"/>
      <c r="AG159" s="28" t="s">
        <v>249</v>
      </c>
      <c r="AH159" s="140"/>
      <c r="AI159" s="28">
        <v>26.600000000069848</v>
      </c>
      <c r="AK159" s="125"/>
      <c r="AL159" s="28">
        <v>6.1</v>
      </c>
      <c r="AM159" s="125"/>
      <c r="AN159" s="28">
        <v>1202</v>
      </c>
      <c r="AO159" s="37">
        <f t="shared" si="18"/>
        <v>45.18796992469337</v>
      </c>
      <c r="AP159" s="125"/>
      <c r="AR159" s="29">
        <f t="shared" si="19"/>
        <v>176.39163698674167</v>
      </c>
      <c r="AS159" s="125"/>
    </row>
    <row r="160" spans="3:45" x14ac:dyDescent="0.3">
      <c r="AE160" s="28">
        <v>55</v>
      </c>
      <c r="AF160" s="145"/>
      <c r="AG160" s="28" t="s">
        <v>256</v>
      </c>
      <c r="AH160" s="141"/>
      <c r="AI160" s="28">
        <v>22.6</v>
      </c>
      <c r="AK160" s="125"/>
      <c r="AL160" s="28">
        <v>5.9</v>
      </c>
      <c r="AM160" s="125"/>
      <c r="AN160" s="28">
        <v>830</v>
      </c>
      <c r="AO160" s="37">
        <f t="shared" si="18"/>
        <v>36.725663716814154</v>
      </c>
      <c r="AP160" s="125"/>
      <c r="AR160" s="29">
        <f t="shared" si="19"/>
        <v>143.35895047352895</v>
      </c>
      <c r="AS160" s="125"/>
    </row>
    <row r="161" spans="3:45" x14ac:dyDescent="0.3">
      <c r="AE161" s="28">
        <v>56</v>
      </c>
      <c r="AF161" s="133" t="s">
        <v>302</v>
      </c>
      <c r="AG161" s="28" t="s">
        <v>250</v>
      </c>
      <c r="AH161" s="136" t="s">
        <v>272</v>
      </c>
      <c r="AI161" s="28">
        <v>24.399999999895225</v>
      </c>
      <c r="AK161" s="125">
        <f>AVERAGE(AI161:AI163)</f>
        <v>29.499999999980599</v>
      </c>
      <c r="AL161" s="28">
        <v>2.2999999999999998</v>
      </c>
      <c r="AM161" s="125">
        <f>AVERAGE(AL161:AL163)</f>
        <v>2.8333333333333335</v>
      </c>
      <c r="AN161" s="28">
        <v>1651</v>
      </c>
      <c r="AO161" s="37">
        <f t="shared" si="18"/>
        <v>67.663934426520058</v>
      </c>
      <c r="AP161" s="125">
        <f>AVERAGE(AO161:AO163)</f>
        <v>53.873048399751191</v>
      </c>
      <c r="AR161" s="29">
        <f t="shared" si="19"/>
        <v>264.12676157720551</v>
      </c>
      <c r="AS161" s="125">
        <f>AVERAGE(AR161:AR163)</f>
        <v>210.29391699902877</v>
      </c>
    </row>
    <row r="162" spans="3:45" x14ac:dyDescent="0.3">
      <c r="C162" s="28" t="s">
        <v>191</v>
      </c>
      <c r="D162" s="28" t="s">
        <v>219</v>
      </c>
      <c r="E162" s="28" t="s">
        <v>340</v>
      </c>
      <c r="AE162" s="28">
        <v>57</v>
      </c>
      <c r="AF162" s="134"/>
      <c r="AG162" s="28" t="s">
        <v>251</v>
      </c>
      <c r="AH162" s="137"/>
      <c r="AI162" s="28">
        <v>30.500000000093131</v>
      </c>
      <c r="AK162" s="125"/>
      <c r="AL162" s="28">
        <v>3.6</v>
      </c>
      <c r="AM162" s="125"/>
      <c r="AN162" s="28">
        <v>1583</v>
      </c>
      <c r="AO162" s="37">
        <f t="shared" si="18"/>
        <v>51.901639344103813</v>
      </c>
      <c r="AP162" s="125"/>
      <c r="AR162" s="29">
        <f t="shared" si="19"/>
        <v>202.59850445724734</v>
      </c>
      <c r="AS162" s="125"/>
    </row>
    <row r="163" spans="3:45" x14ac:dyDescent="0.3">
      <c r="C163" s="28" t="s">
        <v>232</v>
      </c>
      <c r="D163" s="28" t="s">
        <v>294</v>
      </c>
      <c r="E163" s="28">
        <v>37.495107632111015</v>
      </c>
      <c r="AE163" s="28">
        <v>58</v>
      </c>
      <c r="AF163" s="135"/>
      <c r="AG163" s="28" t="s">
        <v>252</v>
      </c>
      <c r="AH163" s="138"/>
      <c r="AI163" s="28">
        <v>33.599999999953432</v>
      </c>
      <c r="AK163" s="125"/>
      <c r="AL163" s="28">
        <v>2.6</v>
      </c>
      <c r="AM163" s="125"/>
      <c r="AN163" s="28">
        <v>1413</v>
      </c>
      <c r="AO163" s="37">
        <f t="shared" si="18"/>
        <v>42.053571428629709</v>
      </c>
      <c r="AP163" s="125"/>
      <c r="AR163" s="29">
        <f t="shared" si="19"/>
        <v>164.1564849626335</v>
      </c>
      <c r="AS163" s="125"/>
    </row>
    <row r="164" spans="3:45" x14ac:dyDescent="0.3">
      <c r="C164" s="28" t="s">
        <v>274</v>
      </c>
      <c r="D164" s="28" t="s">
        <v>294</v>
      </c>
      <c r="E164" s="28">
        <v>39.541657302963358</v>
      </c>
      <c r="AE164" s="28">
        <v>59</v>
      </c>
      <c r="AF164" s="142" t="s">
        <v>271</v>
      </c>
      <c r="AG164" s="28" t="s">
        <v>233</v>
      </c>
      <c r="AH164" s="139" t="s">
        <v>273</v>
      </c>
      <c r="AI164" s="28">
        <v>28.000000000058208</v>
      </c>
      <c r="AK164" s="125">
        <f>AVERAGE(AI164:AI167)</f>
        <v>25.500000000046569</v>
      </c>
      <c r="AL164" s="28">
        <v>4</v>
      </c>
      <c r="AM164" s="125">
        <f>AVERAGE(AL164:AL167)</f>
        <v>3.1750000000000003</v>
      </c>
      <c r="AN164" s="28">
        <v>1232</v>
      </c>
      <c r="AO164" s="37">
        <f t="shared" si="18"/>
        <v>43.999999999908532</v>
      </c>
      <c r="AP164" s="125">
        <f>AVERAGE(AO164:AO167)</f>
        <v>35.341297317852963</v>
      </c>
      <c r="AR164" s="29">
        <f t="shared" si="19"/>
        <v>171.75438596455521</v>
      </c>
      <c r="AS164" s="125">
        <f>AVERAGE(AR164:AR167)</f>
        <v>137.95506409161902</v>
      </c>
    </row>
    <row r="165" spans="3:45" x14ac:dyDescent="0.3">
      <c r="C165" s="28" t="s">
        <v>271</v>
      </c>
      <c r="D165" s="28" t="s">
        <v>294</v>
      </c>
      <c r="E165" s="28">
        <v>39.421965350489657</v>
      </c>
      <c r="AE165" s="28">
        <v>60</v>
      </c>
      <c r="AF165" s="142"/>
      <c r="AG165" s="28" t="s">
        <v>236</v>
      </c>
      <c r="AH165" s="140"/>
      <c r="AI165" s="28">
        <v>35.900000000069852</v>
      </c>
      <c r="AK165" s="125"/>
      <c r="AL165" s="28">
        <v>2.8</v>
      </c>
      <c r="AM165" s="125"/>
      <c r="AN165" s="28">
        <v>1162</v>
      </c>
      <c r="AO165" s="37">
        <f t="shared" si="18"/>
        <v>32.367688022221145</v>
      </c>
      <c r="AP165" s="125"/>
      <c r="AR165" s="29">
        <f t="shared" si="19"/>
        <v>126.34755412182817</v>
      </c>
      <c r="AS165" s="125"/>
    </row>
    <row r="166" spans="3:45" x14ac:dyDescent="0.3">
      <c r="C166" s="28" t="s">
        <v>288</v>
      </c>
      <c r="D166" s="28" t="s">
        <v>294</v>
      </c>
      <c r="E166" s="28">
        <v>31.873080859793809</v>
      </c>
      <c r="AE166" s="28">
        <v>61</v>
      </c>
      <c r="AF166" s="142"/>
      <c r="AG166" s="28" t="s">
        <v>239</v>
      </c>
      <c r="AH166" s="140"/>
      <c r="AI166" s="28">
        <v>17.400000000081491</v>
      </c>
      <c r="AK166" s="125"/>
      <c r="AL166" s="28">
        <v>2.5</v>
      </c>
      <c r="AM166" s="125"/>
      <c r="AN166" s="28">
        <v>498</v>
      </c>
      <c r="AO166" s="37">
        <f t="shared" si="18"/>
        <v>28.620689655038372</v>
      </c>
      <c r="AP166" s="125"/>
      <c r="AR166" s="29">
        <f t="shared" si="19"/>
        <v>111.72111312712347</v>
      </c>
      <c r="AS166" s="125"/>
    </row>
    <row r="167" spans="3:45" x14ac:dyDescent="0.3">
      <c r="C167" s="28" t="s">
        <v>293</v>
      </c>
      <c r="D167" s="28" t="s">
        <v>295</v>
      </c>
      <c r="E167" s="28">
        <v>46.048610987640458</v>
      </c>
      <c r="AE167" s="28">
        <v>62</v>
      </c>
      <c r="AF167" s="142"/>
      <c r="AG167" s="28" t="s">
        <v>241</v>
      </c>
      <c r="AH167" s="141"/>
      <c r="AI167" s="28">
        <v>20.699999999976718</v>
      </c>
      <c r="AK167" s="125"/>
      <c r="AL167" s="28">
        <v>3.4</v>
      </c>
      <c r="AM167" s="125"/>
      <c r="AN167" s="28">
        <v>753</v>
      </c>
      <c r="AO167" s="37">
        <f t="shared" si="18"/>
        <v>36.376811594243811</v>
      </c>
      <c r="AP167" s="125"/>
      <c r="AR167" s="29">
        <f t="shared" si="19"/>
        <v>141.99720315296926</v>
      </c>
      <c r="AS167" s="125"/>
    </row>
    <row r="168" spans="3:45" x14ac:dyDescent="0.3">
      <c r="C168" s="28" t="s">
        <v>248</v>
      </c>
      <c r="D168" s="28" t="s">
        <v>295</v>
      </c>
      <c r="E168" s="28">
        <v>53.774733637747332</v>
      </c>
      <c r="AE168" s="28">
        <v>63</v>
      </c>
      <c r="AF168" s="133" t="s">
        <v>274</v>
      </c>
      <c r="AG168" s="28" t="s">
        <v>234</v>
      </c>
      <c r="AH168" s="136" t="s">
        <v>275</v>
      </c>
      <c r="AI168" s="28">
        <v>14.699999999941792</v>
      </c>
      <c r="AK168" s="126">
        <f>AVERAGE(AI168:AI170)</f>
        <v>12.066666666655024</v>
      </c>
      <c r="AL168" s="28">
        <v>10.3</v>
      </c>
      <c r="AM168" s="126">
        <f>AVERAGE(AL168:AL170)</f>
        <v>10.233333333333334</v>
      </c>
      <c r="AN168" s="28">
        <v>1081</v>
      </c>
      <c r="AO168" s="37">
        <f t="shared" si="18"/>
        <v>73.537414966277581</v>
      </c>
      <c r="AP168" s="126">
        <f>AVERAGE(AO168:AO170)</f>
        <v>81.062453931186326</v>
      </c>
      <c r="AR168" s="29">
        <f t="shared" si="19"/>
        <v>287.0539443859081</v>
      </c>
      <c r="AS168" s="126">
        <f>AVERAGE(AR168:AR170)</f>
        <v>316.42799999454309</v>
      </c>
    </row>
    <row r="169" spans="3:45" x14ac:dyDescent="0.3">
      <c r="C169" s="28" t="s">
        <v>302</v>
      </c>
      <c r="D169" s="28" t="s">
        <v>295</v>
      </c>
      <c r="E169" s="28">
        <v>205.12541694075784</v>
      </c>
      <c r="AE169" s="28">
        <v>64</v>
      </c>
      <c r="AF169" s="134"/>
      <c r="AG169" s="28" t="s">
        <v>238</v>
      </c>
      <c r="AH169" s="137"/>
      <c r="AI169" s="28">
        <v>12.400000000046566</v>
      </c>
      <c r="AK169" s="126"/>
      <c r="AL169" s="28">
        <v>11.4</v>
      </c>
      <c r="AM169" s="126"/>
      <c r="AN169" s="28">
        <v>1019</v>
      </c>
      <c r="AO169" s="37">
        <f t="shared" si="18"/>
        <v>82.177419354530102</v>
      </c>
      <c r="AP169" s="126"/>
      <c r="AR169" s="29">
        <f t="shared" si="19"/>
        <v>320.78027730496399</v>
      </c>
      <c r="AS169" s="126"/>
    </row>
    <row r="170" spans="3:45" x14ac:dyDescent="0.3">
      <c r="C170" s="28" t="s">
        <v>255</v>
      </c>
      <c r="D170" s="28" t="s">
        <v>295</v>
      </c>
      <c r="E170" s="28">
        <v>55.070152734418755</v>
      </c>
      <c r="AE170" s="28">
        <v>65</v>
      </c>
      <c r="AF170" s="135"/>
      <c r="AG170" s="28" t="s">
        <v>240</v>
      </c>
      <c r="AH170" s="137"/>
      <c r="AI170" s="28">
        <v>9.0999999999767169</v>
      </c>
      <c r="AK170" s="126"/>
      <c r="AL170" s="28">
        <v>9</v>
      </c>
      <c r="AM170" s="126"/>
      <c r="AN170" s="28">
        <v>796</v>
      </c>
      <c r="AO170" s="37">
        <f t="shared" ref="AO170:AO175" si="30">AN170/AI170</f>
        <v>87.472527472751281</v>
      </c>
      <c r="AP170" s="126"/>
      <c r="AR170" s="29">
        <f t="shared" ref="AR170:AR175" si="31">((AO170/1000)*(890*1000))/$AU$3</f>
        <v>341.44977829275723</v>
      </c>
      <c r="AS170" s="126"/>
    </row>
    <row r="171" spans="3:45" x14ac:dyDescent="0.3">
      <c r="C171" s="28" t="s">
        <v>288</v>
      </c>
      <c r="D171" s="28" t="s">
        <v>295</v>
      </c>
      <c r="E171" s="28">
        <v>35.486725663722908</v>
      </c>
      <c r="AE171" s="28">
        <v>66</v>
      </c>
      <c r="AF171" s="128" t="s">
        <v>276</v>
      </c>
      <c r="AG171" s="28" t="s">
        <v>257</v>
      </c>
      <c r="AH171" s="137"/>
      <c r="AI171" s="28">
        <v>15.499999999883585</v>
      </c>
      <c r="AK171" s="126">
        <f>AVERAGE(AI171:AI172)</f>
        <v>20.59999999991269</v>
      </c>
      <c r="AL171" s="28">
        <v>12</v>
      </c>
      <c r="AM171" s="126">
        <f>AVERAGE(AL171:AL172)</f>
        <v>13.9</v>
      </c>
      <c r="AN171" s="28">
        <v>948</v>
      </c>
      <c r="AO171" s="37">
        <f t="shared" si="30"/>
        <v>61.161290323040006</v>
      </c>
      <c r="AP171" s="126">
        <f>AVERAGE(AO171:AO172)</f>
        <v>74.705158780296983</v>
      </c>
      <c r="AR171" s="29">
        <f t="shared" si="31"/>
        <v>238.74363327853334</v>
      </c>
      <c r="AS171" s="126">
        <f>AVERAGE(AR171:AR172)</f>
        <v>291.61224260729961</v>
      </c>
    </row>
    <row r="172" spans="3:45" x14ac:dyDescent="0.3">
      <c r="C172" s="28" t="s">
        <v>276</v>
      </c>
      <c r="D172" s="28" t="s">
        <v>295</v>
      </c>
      <c r="E172" s="28">
        <v>66.801748044224411</v>
      </c>
      <c r="AE172" s="28">
        <v>67</v>
      </c>
      <c r="AF172" s="130"/>
      <c r="AG172" s="28" t="s">
        <v>261</v>
      </c>
      <c r="AH172" s="138"/>
      <c r="AI172" s="28">
        <v>25.699999999941792</v>
      </c>
      <c r="AK172" s="126"/>
      <c r="AL172" s="28">
        <v>15.8</v>
      </c>
      <c r="AM172" s="126"/>
      <c r="AN172" s="28">
        <v>2268</v>
      </c>
      <c r="AO172" s="37">
        <f t="shared" si="30"/>
        <v>88.24902723755396</v>
      </c>
      <c r="AP172" s="126"/>
      <c r="AR172" s="29">
        <f t="shared" si="31"/>
        <v>344.48085193606585</v>
      </c>
      <c r="AS172" s="126"/>
    </row>
    <row r="173" spans="3:45" x14ac:dyDescent="0.3">
      <c r="C173" s="28" t="s">
        <v>313</v>
      </c>
      <c r="D173" s="28" t="s">
        <v>295</v>
      </c>
      <c r="E173" s="28">
        <v>50.471698113068975</v>
      </c>
      <c r="AE173" s="28">
        <v>68</v>
      </c>
      <c r="AF173" s="143" t="s">
        <v>284</v>
      </c>
      <c r="AG173" s="28" t="s">
        <v>258</v>
      </c>
      <c r="AH173" s="139" t="s">
        <v>277</v>
      </c>
      <c r="AI173" s="28">
        <v>89.200000000058211</v>
      </c>
      <c r="AK173" s="126">
        <f>AVERAGE(AI173:AI175)</f>
        <v>71.566666666666677</v>
      </c>
      <c r="AL173" s="28">
        <v>14.8</v>
      </c>
      <c r="AM173" s="126">
        <f>AVERAGE(AL173:AL175)</f>
        <v>12.933333333333335</v>
      </c>
      <c r="AN173" s="28">
        <v>5613</v>
      </c>
      <c r="AO173" s="37">
        <f t="shared" si="30"/>
        <v>62.926008968568802</v>
      </c>
      <c r="AP173" s="126">
        <f>AVERAGE(AO173:AO175)</f>
        <v>59.618082032706049</v>
      </c>
      <c r="AR173" s="29">
        <f t="shared" si="31"/>
        <v>245.63222799134311</v>
      </c>
      <c r="AS173" s="126">
        <f>AVERAGE(AR173:AR175)</f>
        <v>232.71970618029994</v>
      </c>
    </row>
    <row r="174" spans="3:45" x14ac:dyDescent="0.3">
      <c r="C174" s="28" t="s">
        <v>284</v>
      </c>
      <c r="D174" s="28" t="s">
        <v>295</v>
      </c>
      <c r="E174" s="28">
        <v>62.680102772486862</v>
      </c>
      <c r="AE174" s="28">
        <v>69</v>
      </c>
      <c r="AF174" s="144"/>
      <c r="AG174" s="28" t="s">
        <v>259</v>
      </c>
      <c r="AH174" s="140"/>
      <c r="AI174" s="28">
        <v>61.399999999871945</v>
      </c>
      <c r="AK174" s="126"/>
      <c r="AL174" s="28">
        <v>11.9</v>
      </c>
      <c r="AM174" s="126"/>
      <c r="AN174" s="28">
        <v>3684</v>
      </c>
      <c r="AO174" s="37">
        <f t="shared" si="30"/>
        <v>60.000000000125134</v>
      </c>
      <c r="AP174" s="126"/>
      <c r="AR174" s="29">
        <f t="shared" si="31"/>
        <v>234.21052631627791</v>
      </c>
      <c r="AS174" s="126"/>
    </row>
    <row r="175" spans="3:45" x14ac:dyDescent="0.3">
      <c r="C175" s="28" t="s">
        <v>267</v>
      </c>
      <c r="D175" s="28" t="s">
        <v>295</v>
      </c>
      <c r="E175" s="28">
        <v>52.128232802500541</v>
      </c>
      <c r="AE175" s="28">
        <v>70</v>
      </c>
      <c r="AF175" s="145"/>
      <c r="AG175" s="28" t="s">
        <v>260</v>
      </c>
      <c r="AH175" s="141"/>
      <c r="AI175" s="28">
        <v>64.100000000069855</v>
      </c>
      <c r="AK175" s="126"/>
      <c r="AL175" s="28">
        <v>12.1</v>
      </c>
      <c r="AM175" s="126"/>
      <c r="AN175" s="28">
        <v>3585</v>
      </c>
      <c r="AO175" s="37">
        <f t="shared" si="30"/>
        <v>55.928237129424232</v>
      </c>
      <c r="AP175" s="126"/>
      <c r="AR175" s="29">
        <f t="shared" si="31"/>
        <v>218.31636423327882</v>
      </c>
      <c r="AS175" s="126"/>
    </row>
    <row r="176" spans="3:45" x14ac:dyDescent="0.3">
      <c r="C176" s="28" t="s">
        <v>293</v>
      </c>
      <c r="D176" s="28" t="s">
        <v>297</v>
      </c>
      <c r="E176" s="28">
        <v>68.572277301325443</v>
      </c>
      <c r="AO176" s="39"/>
    </row>
    <row r="177" spans="3:45" x14ac:dyDescent="0.3">
      <c r="C177" s="28" t="s">
        <v>293</v>
      </c>
      <c r="D177" s="28" t="s">
        <v>298</v>
      </c>
      <c r="E177" s="28">
        <v>70.556219189727685</v>
      </c>
      <c r="AO177" s="39"/>
    </row>
    <row r="178" spans="3:45" x14ac:dyDescent="0.3">
      <c r="C178" s="28" t="s">
        <v>248</v>
      </c>
      <c r="D178" s="28" t="s">
        <v>300</v>
      </c>
      <c r="E178" s="28">
        <v>50.525328330206385</v>
      </c>
      <c r="AO178" s="39"/>
    </row>
    <row r="179" spans="3:45" x14ac:dyDescent="0.3">
      <c r="C179" s="28" t="s">
        <v>302</v>
      </c>
      <c r="D179" s="28" t="s">
        <v>300</v>
      </c>
      <c r="E179" s="28">
        <v>53.592292437578479</v>
      </c>
      <c r="AG179" s="19" t="s">
        <v>197</v>
      </c>
      <c r="AH179" s="19">
        <v>2023</v>
      </c>
      <c r="AO179" s="39"/>
    </row>
    <row r="180" spans="3:45" x14ac:dyDescent="0.3">
      <c r="C180" s="28" t="s">
        <v>255</v>
      </c>
      <c r="D180" s="28" t="s">
        <v>303</v>
      </c>
      <c r="E180" s="28">
        <v>44.273942346060267</v>
      </c>
      <c r="AE180" s="28" t="s">
        <v>198</v>
      </c>
      <c r="AF180" s="28" t="s">
        <v>191</v>
      </c>
      <c r="AG180" s="28" t="s">
        <v>199</v>
      </c>
      <c r="AH180" s="28" t="s">
        <v>219</v>
      </c>
      <c r="AI180" s="28" t="s">
        <v>280</v>
      </c>
      <c r="AO180" s="39"/>
    </row>
    <row r="181" spans="3:45" x14ac:dyDescent="0.3">
      <c r="C181" s="28" t="s">
        <v>267</v>
      </c>
      <c r="D181" s="28" t="s">
        <v>306</v>
      </c>
      <c r="E181" s="28">
        <v>52.771720478950421</v>
      </c>
      <c r="AE181" s="28">
        <v>1</v>
      </c>
      <c r="AF181" s="38" t="s">
        <v>302</v>
      </c>
      <c r="AG181" s="28" t="s">
        <v>73</v>
      </c>
      <c r="AH181" s="139" t="s">
        <v>243</v>
      </c>
      <c r="AI181" s="28">
        <v>626.5</v>
      </c>
      <c r="AK181" s="29">
        <f>AVERAGE(AI181)</f>
        <v>626.5</v>
      </c>
      <c r="AL181" s="40">
        <v>8</v>
      </c>
      <c r="AM181" s="29">
        <f>AVERAGE(AL181)</f>
        <v>8</v>
      </c>
      <c r="AN181" s="28">
        <v>24979</v>
      </c>
      <c r="AO181" s="37">
        <f t="shared" ref="AO181:AO195" si="32">AN181/AI181</f>
        <v>39.870710295291303</v>
      </c>
      <c r="AP181" s="29">
        <f>AVERAGE(AO181)</f>
        <v>39.870710295291303</v>
      </c>
      <c r="AR181" s="29">
        <f t="shared" ref="AR181:AR195" si="33">((AO181/1000)*(890*1000))/$AU$3</f>
        <v>155.63566738074235</v>
      </c>
      <c r="AS181" s="29">
        <f>AVERAGE(AR181)</f>
        <v>155.63566738074235</v>
      </c>
    </row>
    <row r="182" spans="3:45" x14ac:dyDescent="0.3">
      <c r="C182" s="28" t="s">
        <v>302</v>
      </c>
      <c r="D182" s="28" t="s">
        <v>304</v>
      </c>
      <c r="E182" s="28">
        <v>63.880968644402742</v>
      </c>
      <c r="AE182" s="28">
        <v>2</v>
      </c>
      <c r="AF182" s="28" t="s">
        <v>302</v>
      </c>
      <c r="AG182" s="36" t="s">
        <v>253</v>
      </c>
      <c r="AH182" s="140"/>
      <c r="AI182" s="36">
        <v>20</v>
      </c>
      <c r="AK182" s="29">
        <f>AVERAGE(AI182)</f>
        <v>20</v>
      </c>
      <c r="AL182" s="40">
        <v>14.1</v>
      </c>
      <c r="AM182" s="29">
        <f>AVERAGE(AL182)</f>
        <v>14.1</v>
      </c>
      <c r="AN182" s="28">
        <v>7321</v>
      </c>
      <c r="AO182" s="37">
        <f t="shared" si="32"/>
        <v>366.05</v>
      </c>
      <c r="AP182" s="29">
        <f>AVERAGE(AO182)</f>
        <v>366.05</v>
      </c>
      <c r="AR182" s="29">
        <f t="shared" si="33"/>
        <v>1428.8793859649122</v>
      </c>
      <c r="AS182" s="29">
        <f>AVERAGE(AR182)</f>
        <v>1428.8793859649122</v>
      </c>
    </row>
    <row r="183" spans="3:45" x14ac:dyDescent="0.3">
      <c r="C183" s="28" t="s">
        <v>271</v>
      </c>
      <c r="D183" s="28" t="s">
        <v>308</v>
      </c>
      <c r="E183" s="28">
        <v>35.341297317852963</v>
      </c>
      <c r="AE183" s="28">
        <v>3</v>
      </c>
      <c r="AF183" s="142" t="s">
        <v>276</v>
      </c>
      <c r="AG183" s="28" t="s">
        <v>278</v>
      </c>
      <c r="AH183" s="140"/>
      <c r="AI183" s="28">
        <v>65.5</v>
      </c>
      <c r="AK183" s="131">
        <f>AVERAGE(AI183:AI187)</f>
        <v>41.359999999995345</v>
      </c>
      <c r="AL183" s="40">
        <v>9.5</v>
      </c>
      <c r="AM183" s="131">
        <f>AVERAGE(AL183:AL187)</f>
        <v>9.9600000000000009</v>
      </c>
      <c r="AN183" s="28">
        <v>3437</v>
      </c>
      <c r="AO183" s="37">
        <f t="shared" si="32"/>
        <v>52.473282442748094</v>
      </c>
      <c r="AP183" s="131">
        <f>AVERAGE(AO183:AO187)</f>
        <v>54.292737571537657</v>
      </c>
      <c r="AR183" s="29">
        <f t="shared" si="33"/>
        <v>204.82991830721843</v>
      </c>
      <c r="AS183" s="131">
        <f>AVERAGE(AR183:AR187)</f>
        <v>211.9321773625812</v>
      </c>
    </row>
    <row r="184" spans="3:45" x14ac:dyDescent="0.3">
      <c r="C184" s="28" t="s">
        <v>274</v>
      </c>
      <c r="D184" s="28" t="s">
        <v>309</v>
      </c>
      <c r="E184" s="28">
        <v>81.062453931186326</v>
      </c>
      <c r="AE184" s="28">
        <v>4</v>
      </c>
      <c r="AF184" s="142"/>
      <c r="AG184" s="28" t="s">
        <v>279</v>
      </c>
      <c r="AH184" s="140"/>
      <c r="AI184" s="28">
        <v>56.500000000034923</v>
      </c>
      <c r="AK184" s="123"/>
      <c r="AL184" s="40">
        <v>8.6</v>
      </c>
      <c r="AM184" s="123"/>
      <c r="AN184" s="28">
        <v>2454</v>
      </c>
      <c r="AO184" s="37">
        <f t="shared" si="32"/>
        <v>43.433628318557226</v>
      </c>
      <c r="AP184" s="123"/>
      <c r="AR184" s="29">
        <f t="shared" si="33"/>
        <v>169.54354913822777</v>
      </c>
      <c r="AS184" s="123"/>
    </row>
    <row r="185" spans="3:45" x14ac:dyDescent="0.3">
      <c r="C185" s="28" t="s">
        <v>276</v>
      </c>
      <c r="D185" s="28" t="s">
        <v>309</v>
      </c>
      <c r="E185" s="28">
        <v>68.629839633650633</v>
      </c>
      <c r="AE185" s="28">
        <v>5</v>
      </c>
      <c r="AF185" s="142"/>
      <c r="AG185" s="28" t="s">
        <v>281</v>
      </c>
      <c r="AH185" s="140"/>
      <c r="AI185" s="28">
        <v>36.699999999988357</v>
      </c>
      <c r="AK185" s="123"/>
      <c r="AL185" s="40">
        <v>13.6</v>
      </c>
      <c r="AM185" s="123"/>
      <c r="AN185" s="28">
        <v>2025</v>
      </c>
      <c r="AO185" s="37">
        <f t="shared" si="32"/>
        <v>55.177111716638755</v>
      </c>
      <c r="AP185" s="123"/>
      <c r="AR185" s="29">
        <f t="shared" si="33"/>
        <v>215.38433959565128</v>
      </c>
      <c r="AS185" s="123"/>
    </row>
    <row r="186" spans="3:45" x14ac:dyDescent="0.3">
      <c r="C186" s="28" t="s">
        <v>284</v>
      </c>
      <c r="D186" s="28" t="s">
        <v>311</v>
      </c>
      <c r="E186" s="28">
        <v>59.618082032706049</v>
      </c>
      <c r="AE186" s="28">
        <v>6</v>
      </c>
      <c r="AF186" s="142"/>
      <c r="AG186" s="28" t="s">
        <v>282</v>
      </c>
      <c r="AH186" s="140"/>
      <c r="AI186" s="28">
        <v>22.200000000069849</v>
      </c>
      <c r="AK186" s="123"/>
      <c r="AL186" s="40">
        <v>9</v>
      </c>
      <c r="AM186" s="123"/>
      <c r="AN186" s="28">
        <v>1343</v>
      </c>
      <c r="AO186" s="37">
        <f t="shared" si="32"/>
        <v>60.495495495305157</v>
      </c>
      <c r="AP186" s="123"/>
      <c r="AR186" s="29">
        <f t="shared" si="33"/>
        <v>236.14469732816485</v>
      </c>
      <c r="AS186" s="123"/>
    </row>
    <row r="187" spans="3:45" x14ac:dyDescent="0.3">
      <c r="AE187" s="28">
        <v>7</v>
      </c>
      <c r="AF187" s="142"/>
      <c r="AG187" s="28" t="s">
        <v>283</v>
      </c>
      <c r="AH187" s="141"/>
      <c r="AI187" s="28">
        <v>25.899999999883583</v>
      </c>
      <c r="AK187" s="124"/>
      <c r="AL187" s="40">
        <v>9.1</v>
      </c>
      <c r="AM187" s="124"/>
      <c r="AN187" s="28">
        <v>1551</v>
      </c>
      <c r="AO187" s="37">
        <f t="shared" si="32"/>
        <v>59.884169884439054</v>
      </c>
      <c r="AP187" s="124"/>
      <c r="AR187" s="29">
        <f t="shared" si="33"/>
        <v>233.75838244364365</v>
      </c>
      <c r="AS187" s="124"/>
    </row>
    <row r="188" spans="3:45" x14ac:dyDescent="0.3">
      <c r="D188" s="46">
        <v>1</v>
      </c>
      <c r="E188" s="46">
        <v>0.85</v>
      </c>
      <c r="F188" s="46">
        <v>0.75</v>
      </c>
      <c r="G188" s="46">
        <v>0.6</v>
      </c>
      <c r="H188" s="46">
        <v>0.5</v>
      </c>
      <c r="AE188" s="28">
        <v>8</v>
      </c>
      <c r="AF188" s="148" t="s">
        <v>276</v>
      </c>
      <c r="AG188" s="28" t="s">
        <v>263</v>
      </c>
      <c r="AH188" s="136" t="s">
        <v>275</v>
      </c>
      <c r="AI188" s="28">
        <v>97.200000000058211</v>
      </c>
      <c r="AK188" s="131">
        <f>AVERAGE(AI188:AI193)</f>
        <v>38.700000000009702</v>
      </c>
      <c r="AL188" s="40">
        <v>14.3</v>
      </c>
      <c r="AM188" s="131">
        <f>AVERAGE(AL188:AL193)</f>
        <v>11.383333333333333</v>
      </c>
      <c r="AN188" s="28">
        <v>3990</v>
      </c>
      <c r="AO188" s="37">
        <f t="shared" si="32"/>
        <v>41.049382716024802</v>
      </c>
      <c r="AP188" s="131">
        <f>AVERAGE(AO188:AO193)</f>
        <v>57.94892075039008</v>
      </c>
      <c r="AR188" s="29">
        <f t="shared" si="33"/>
        <v>160.23662551430735</v>
      </c>
      <c r="AS188" s="131">
        <f>AVERAGE(AR188:AR193)</f>
        <v>226.20412047301394</v>
      </c>
    </row>
    <row r="189" spans="3:45" x14ac:dyDescent="0.3">
      <c r="C189" s="19" t="s">
        <v>341</v>
      </c>
      <c r="D189" s="19">
        <v>2</v>
      </c>
      <c r="E189" s="19">
        <v>3</v>
      </c>
      <c r="F189" s="19">
        <v>4</v>
      </c>
      <c r="G189" s="19">
        <v>5</v>
      </c>
      <c r="H189" s="19">
        <v>6</v>
      </c>
      <c r="AE189" s="28">
        <v>9</v>
      </c>
      <c r="AF189" s="148"/>
      <c r="AG189" s="28" t="s">
        <v>278</v>
      </c>
      <c r="AH189" s="137"/>
      <c r="AI189" s="28">
        <v>35.599999999941794</v>
      </c>
      <c r="AK189" s="123"/>
      <c r="AL189" s="40">
        <v>13.4</v>
      </c>
      <c r="AM189" s="123"/>
      <c r="AN189" s="28">
        <v>2116</v>
      </c>
      <c r="AO189" s="37">
        <f t="shared" si="32"/>
        <v>59.438202247288196</v>
      </c>
      <c r="AP189" s="123"/>
      <c r="AR189" s="29">
        <f t="shared" si="33"/>
        <v>232.01754386002847</v>
      </c>
      <c r="AS189" s="123"/>
    </row>
    <row r="190" spans="3:45" x14ac:dyDescent="0.3">
      <c r="C190" s="19" t="s">
        <v>308</v>
      </c>
      <c r="D190" s="19">
        <v>43.5</v>
      </c>
      <c r="E190" s="19">
        <v>37.25</v>
      </c>
      <c r="F190" s="19">
        <v>33.083333333333329</v>
      </c>
      <c r="G190" s="19">
        <v>26.833333333333332</v>
      </c>
      <c r="H190" s="19">
        <v>22.75</v>
      </c>
      <c r="AE190" s="28">
        <v>10</v>
      </c>
      <c r="AF190" s="148"/>
      <c r="AG190" s="28" t="s">
        <v>279</v>
      </c>
      <c r="AH190" s="137"/>
      <c r="AI190" s="28">
        <v>13.600000000034925</v>
      </c>
      <c r="AK190" s="123"/>
      <c r="AL190" s="40">
        <v>9.5</v>
      </c>
      <c r="AM190" s="123"/>
      <c r="AN190" s="28">
        <v>974</v>
      </c>
      <c r="AO190" s="37">
        <f t="shared" si="32"/>
        <v>71.617647058639619</v>
      </c>
      <c r="AP190" s="123"/>
      <c r="AR190" s="29">
        <f t="shared" si="33"/>
        <v>279.56011351837395</v>
      </c>
      <c r="AS190" s="123"/>
    </row>
    <row r="191" spans="3:45" x14ac:dyDescent="0.3">
      <c r="C191" s="19" t="s">
        <v>311</v>
      </c>
      <c r="D191" s="19">
        <v>52.3</v>
      </c>
      <c r="E191" s="19">
        <v>44.8</v>
      </c>
      <c r="F191" s="19">
        <v>39.799999999999997</v>
      </c>
      <c r="G191" s="19">
        <v>32.299999999999997</v>
      </c>
      <c r="H191" s="19">
        <v>27.4</v>
      </c>
      <c r="AE191" s="28">
        <v>11</v>
      </c>
      <c r="AF191" s="148"/>
      <c r="AG191" s="28" t="s">
        <v>281</v>
      </c>
      <c r="AH191" s="137"/>
      <c r="AI191" s="28">
        <v>15.499999999988358</v>
      </c>
      <c r="AK191" s="123"/>
      <c r="AL191" s="40">
        <v>10.8</v>
      </c>
      <c r="AM191" s="123"/>
      <c r="AN191" s="28">
        <v>1148</v>
      </c>
      <c r="AO191" s="37">
        <f t="shared" si="32"/>
        <v>74.064516129087892</v>
      </c>
      <c r="AP191" s="123"/>
      <c r="AR191" s="29">
        <f t="shared" si="33"/>
        <v>289.11148839863256</v>
      </c>
      <c r="AS191" s="123"/>
    </row>
    <row r="192" spans="3:45" x14ac:dyDescent="0.3">
      <c r="C192" s="19" t="s">
        <v>295</v>
      </c>
      <c r="D192" s="19">
        <v>30.9</v>
      </c>
      <c r="E192" s="19">
        <v>27.15</v>
      </c>
      <c r="F192" s="19">
        <v>24.65</v>
      </c>
      <c r="G192" s="19">
        <v>20.9</v>
      </c>
      <c r="H192" s="19">
        <v>18.45</v>
      </c>
      <c r="AE192" s="28">
        <v>12</v>
      </c>
      <c r="AF192" s="148"/>
      <c r="AG192" s="28" t="s">
        <v>282</v>
      </c>
      <c r="AH192" s="137"/>
      <c r="AI192" s="28">
        <v>29.700000000034926</v>
      </c>
      <c r="AK192" s="123"/>
      <c r="AL192" s="40">
        <v>9.9</v>
      </c>
      <c r="AM192" s="123"/>
      <c r="AN192" s="28">
        <v>1580</v>
      </c>
      <c r="AO192" s="37">
        <f t="shared" si="32"/>
        <v>53.198653198590641</v>
      </c>
      <c r="AP192" s="123"/>
      <c r="AR192" s="29">
        <f t="shared" si="33"/>
        <v>207.66140941555119</v>
      </c>
      <c r="AS192" s="123"/>
    </row>
    <row r="193" spans="3:45" x14ac:dyDescent="0.3">
      <c r="C193" s="19" t="s">
        <v>303</v>
      </c>
      <c r="D193" s="19">
        <v>28.710526315789473</v>
      </c>
      <c r="E193" s="19">
        <v>24.763157894736842</v>
      </c>
      <c r="F193" s="19">
        <v>22.131578947368421</v>
      </c>
      <c r="G193" s="19">
        <v>18.184210526315788</v>
      </c>
      <c r="H193" s="19">
        <v>15.605263157894736</v>
      </c>
      <c r="AE193" s="28">
        <v>13</v>
      </c>
      <c r="AF193" s="148"/>
      <c r="AG193" s="28" t="s">
        <v>283</v>
      </c>
      <c r="AH193" s="138"/>
      <c r="AI193" s="28">
        <v>40.6</v>
      </c>
      <c r="AK193" s="124"/>
      <c r="AL193" s="40">
        <v>10.4</v>
      </c>
      <c r="AM193" s="124"/>
      <c r="AN193" s="28">
        <v>1962</v>
      </c>
      <c r="AO193" s="37">
        <f t="shared" si="32"/>
        <v>48.325123152709359</v>
      </c>
      <c r="AP193" s="124"/>
      <c r="AR193" s="29">
        <f t="shared" si="33"/>
        <v>188.63754213119003</v>
      </c>
      <c r="AS193" s="124"/>
    </row>
    <row r="194" spans="3:45" x14ac:dyDescent="0.3">
      <c r="C194" s="19" t="s">
        <v>309</v>
      </c>
      <c r="D194" s="19">
        <v>45.84</v>
      </c>
      <c r="E194" s="19">
        <v>39.840000000000003</v>
      </c>
      <c r="F194" s="19">
        <v>35.840000000000003</v>
      </c>
      <c r="G194" s="19">
        <v>29.84</v>
      </c>
      <c r="H194" s="19">
        <v>25.92</v>
      </c>
      <c r="AE194" s="28">
        <v>14</v>
      </c>
      <c r="AF194" s="38" t="s">
        <v>302</v>
      </c>
      <c r="AG194" s="28" t="s">
        <v>253</v>
      </c>
      <c r="AH194" s="32" t="s">
        <v>268</v>
      </c>
      <c r="AI194" s="28">
        <v>21.299999999930151</v>
      </c>
      <c r="AK194" s="29">
        <f>AVERAGE(AI194)</f>
        <v>21.299999999930151</v>
      </c>
      <c r="AL194" s="40">
        <v>4.5</v>
      </c>
      <c r="AM194" s="29">
        <f>AVERAGE(AL194)</f>
        <v>4.5</v>
      </c>
      <c r="AN194" s="28">
        <v>1401</v>
      </c>
      <c r="AO194" s="37">
        <f t="shared" si="32"/>
        <v>65.774647887539643</v>
      </c>
      <c r="AP194" s="29">
        <f>AVERAGE(AO194)</f>
        <v>65.774647887539643</v>
      </c>
      <c r="AR194" s="29">
        <f t="shared" si="33"/>
        <v>256.75191499960647</v>
      </c>
      <c r="AS194" s="29">
        <f>AVERAGE(AR194)</f>
        <v>256.75191499960647</v>
      </c>
    </row>
    <row r="195" spans="3:45" x14ac:dyDescent="0.3">
      <c r="C195" s="19" t="s">
        <v>300</v>
      </c>
      <c r="D195" s="19">
        <v>51.8</v>
      </c>
      <c r="E195" s="19">
        <v>44.3</v>
      </c>
      <c r="F195" s="19">
        <v>39.299999999999997</v>
      </c>
      <c r="G195" s="19">
        <v>31.8</v>
      </c>
      <c r="H195" s="19">
        <v>26.9</v>
      </c>
      <c r="AE195" s="28">
        <v>15</v>
      </c>
      <c r="AF195" s="44" t="s">
        <v>302</v>
      </c>
      <c r="AG195" s="28" t="s">
        <v>253</v>
      </c>
      <c r="AH195" s="47" t="s">
        <v>272</v>
      </c>
      <c r="AI195" s="28">
        <v>46.799999999895228</v>
      </c>
      <c r="AK195" s="29">
        <f>AVERAGE(AI195)</f>
        <v>46.799999999895228</v>
      </c>
      <c r="AL195" s="40">
        <v>5.4</v>
      </c>
      <c r="AM195" s="29">
        <f>AVERAGE(AL195)</f>
        <v>5.4</v>
      </c>
      <c r="AN195" s="28">
        <v>3458</v>
      </c>
      <c r="AO195" s="37">
        <f t="shared" si="32"/>
        <v>73.8888888890543</v>
      </c>
      <c r="AP195" s="29">
        <f>AVERAGE(AO195)</f>
        <v>73.8888888890543</v>
      </c>
      <c r="AR195" s="29">
        <f t="shared" si="33"/>
        <v>288.42592592657161</v>
      </c>
      <c r="AS195" s="29">
        <f>AVERAGE(AR195)</f>
        <v>288.42592592657161</v>
      </c>
    </row>
    <row r="196" spans="3:45" x14ac:dyDescent="0.3">
      <c r="C196" s="19" t="s">
        <v>304</v>
      </c>
      <c r="D196" s="19">
        <v>85</v>
      </c>
      <c r="E196" s="19">
        <v>72.5</v>
      </c>
      <c r="F196" s="19">
        <v>64.166666666666657</v>
      </c>
      <c r="G196" s="19">
        <v>51.666666666666664</v>
      </c>
      <c r="H196" s="19">
        <v>43.5</v>
      </c>
      <c r="AO196" s="39"/>
    </row>
    <row r="197" spans="3:45" x14ac:dyDescent="0.3">
      <c r="C197" s="19" t="s">
        <v>306</v>
      </c>
      <c r="D197" s="19">
        <v>49.272727272727273</v>
      </c>
      <c r="E197" s="19">
        <v>42.454545454545453</v>
      </c>
      <c r="F197" s="19">
        <v>37.909090909090907</v>
      </c>
      <c r="G197" s="19">
        <v>31.09090909090909</v>
      </c>
      <c r="H197" s="19">
        <v>26.636363636363637</v>
      </c>
      <c r="AO197" s="39"/>
    </row>
    <row r="198" spans="3:45" x14ac:dyDescent="0.3">
      <c r="C198" s="19" t="s">
        <v>297</v>
      </c>
      <c r="D198" s="19">
        <v>51.8</v>
      </c>
      <c r="E198" s="19">
        <v>44.3</v>
      </c>
      <c r="F198" s="19">
        <v>39.299999999999997</v>
      </c>
      <c r="G198" s="19">
        <v>31.8</v>
      </c>
      <c r="H198" s="19">
        <v>26.9</v>
      </c>
      <c r="AO198" s="39"/>
    </row>
    <row r="199" spans="3:45" x14ac:dyDescent="0.3">
      <c r="C199" s="19" t="s">
        <v>298</v>
      </c>
      <c r="D199" s="19">
        <v>41.84</v>
      </c>
      <c r="E199" s="19">
        <v>35.840000000000003</v>
      </c>
      <c r="F199" s="19">
        <v>31.84</v>
      </c>
      <c r="G199" s="19">
        <v>25.84</v>
      </c>
      <c r="H199" s="19">
        <v>21.92</v>
      </c>
      <c r="AF199" s="19" t="s">
        <v>276</v>
      </c>
      <c r="AH199" s="146" t="s">
        <v>243</v>
      </c>
      <c r="AK199" s="29">
        <f>AVERAGE(AK183,AK127)</f>
        <v>38.046666666637179</v>
      </c>
      <c r="AM199" s="29">
        <f>AVERAGE(AM183,AM127)</f>
        <v>10.73</v>
      </c>
      <c r="AO199" s="39"/>
      <c r="AP199" s="29">
        <f>AVERAGE(AP183,AP127)</f>
        <v>66.801748044224411</v>
      </c>
      <c r="AS199" s="29">
        <f>AVERAGE(AS183,AS127)</f>
        <v>260.761209470876</v>
      </c>
    </row>
    <row r="200" spans="3:45" x14ac:dyDescent="0.3">
      <c r="C200" s="19" t="s">
        <v>294</v>
      </c>
      <c r="D200" s="19">
        <v>27.9</v>
      </c>
      <c r="E200" s="19">
        <v>24.15</v>
      </c>
      <c r="F200" s="19">
        <v>21.65</v>
      </c>
      <c r="G200" s="19">
        <v>17.899999999999999</v>
      </c>
      <c r="H200" s="19">
        <v>15.45</v>
      </c>
      <c r="AF200" s="19" t="s">
        <v>302</v>
      </c>
      <c r="AH200" s="147"/>
      <c r="AK200" s="29">
        <f>AVERAGE(AK182,AK121)</f>
        <v>27.90000000001746</v>
      </c>
      <c r="AM200" s="29">
        <f>AVERAGE(AM182,AM121)</f>
        <v>12.2</v>
      </c>
      <c r="AO200" s="39"/>
      <c r="AP200" s="29">
        <f>AVERAGE(AP182,AP121)</f>
        <v>205.12541694075784</v>
      </c>
      <c r="AS200" s="29">
        <f>AVERAGE(AS182,AS121)</f>
        <v>800.70886437401077</v>
      </c>
    </row>
    <row r="201" spans="3:45" x14ac:dyDescent="0.3">
      <c r="AF201" s="19" t="s">
        <v>276</v>
      </c>
      <c r="AH201" s="28" t="s">
        <v>275</v>
      </c>
      <c r="AK201" s="29">
        <f>AVERAGE(AK188,AK127)</f>
        <v>36.716666666644358</v>
      </c>
      <c r="AM201" s="29">
        <f>AVERAGE(AM188,AM127)</f>
        <v>11.441666666666666</v>
      </c>
      <c r="AO201" s="39"/>
      <c r="AP201" s="29">
        <f>AVERAGE(AP188,AP127)</f>
        <v>68.629839633650633</v>
      </c>
      <c r="AS201" s="29">
        <f>AVERAGE(AS188,AS127)</f>
        <v>267.89718102609237</v>
      </c>
    </row>
    <row r="202" spans="3:45" x14ac:dyDescent="0.3">
      <c r="AF202" s="19" t="s">
        <v>302</v>
      </c>
      <c r="AH202" s="28" t="s">
        <v>268</v>
      </c>
      <c r="AK202" s="29">
        <f>AVERAGE(AK194,AK150)</f>
        <v>34.566666666655024</v>
      </c>
      <c r="AM202" s="29">
        <f>AVERAGE(AM194,AM150)</f>
        <v>5.2333333333333325</v>
      </c>
      <c r="AO202" s="39"/>
      <c r="AP202" s="29">
        <f>AVERAGE(AP194,AP150)</f>
        <v>53.592292437578479</v>
      </c>
      <c r="AS202" s="29">
        <f>AVERAGE(AS194,AS150)</f>
        <v>209.19798363791597</v>
      </c>
    </row>
    <row r="203" spans="3:45" x14ac:dyDescent="0.3">
      <c r="AF203" s="19" t="s">
        <v>302</v>
      </c>
      <c r="AH203" s="28" t="s">
        <v>272</v>
      </c>
      <c r="AK203" s="29">
        <f>AVERAGE(AK195,AK161)</f>
        <v>38.149999999937911</v>
      </c>
      <c r="AM203" s="29">
        <f>AVERAGE(AM195,AM161)</f>
        <v>4.1166666666666671</v>
      </c>
      <c r="AP203" s="29">
        <f>AVERAGE(AP195,AP161)</f>
        <v>63.880968644402742</v>
      </c>
      <c r="AS203" s="29">
        <f>AVERAGE(AS195,AS161)</f>
        <v>249.35992146280017</v>
      </c>
    </row>
  </sheetData>
  <mergeCells count="340">
    <mergeCell ref="AH199:AH200"/>
    <mergeCell ref="AF188:AF193"/>
    <mergeCell ref="AH188:AH193"/>
    <mergeCell ref="AK188:AK193"/>
    <mergeCell ref="AM188:AM193"/>
    <mergeCell ref="AP188:AP193"/>
    <mergeCell ref="AS188:AS193"/>
    <mergeCell ref="AH181:AH187"/>
    <mergeCell ref="AF183:AF187"/>
    <mergeCell ref="AK183:AK187"/>
    <mergeCell ref="AM183:AM187"/>
    <mergeCell ref="AP183:AP187"/>
    <mergeCell ref="AS183:AS187"/>
    <mergeCell ref="AS171:AS172"/>
    <mergeCell ref="AF173:AF175"/>
    <mergeCell ref="AH173:AH175"/>
    <mergeCell ref="AK173:AK175"/>
    <mergeCell ref="AM173:AM175"/>
    <mergeCell ref="AP173:AP175"/>
    <mergeCell ref="AS173:AS175"/>
    <mergeCell ref="AF168:AF170"/>
    <mergeCell ref="AH168:AH172"/>
    <mergeCell ref="AK168:AK170"/>
    <mergeCell ref="AM168:AM170"/>
    <mergeCell ref="AP168:AP170"/>
    <mergeCell ref="AS168:AS170"/>
    <mergeCell ref="AF171:AF172"/>
    <mergeCell ref="AK171:AK172"/>
    <mergeCell ref="AM171:AM172"/>
    <mergeCell ref="AP171:AP172"/>
    <mergeCell ref="AF164:AF167"/>
    <mergeCell ref="AH164:AH167"/>
    <mergeCell ref="AK164:AK167"/>
    <mergeCell ref="AM164:AM167"/>
    <mergeCell ref="AP164:AP167"/>
    <mergeCell ref="AS164:AS167"/>
    <mergeCell ref="AF161:AF163"/>
    <mergeCell ref="AH161:AH163"/>
    <mergeCell ref="AK161:AK163"/>
    <mergeCell ref="AM161:AM163"/>
    <mergeCell ref="AP161:AP163"/>
    <mergeCell ref="AS161:AS163"/>
    <mergeCell ref="AF156:AF160"/>
    <mergeCell ref="AH156:AH160"/>
    <mergeCell ref="AK156:AK160"/>
    <mergeCell ref="AM156:AM160"/>
    <mergeCell ref="AP156:AP160"/>
    <mergeCell ref="AS156:AS160"/>
    <mergeCell ref="AF153:AF155"/>
    <mergeCell ref="AH153:AH155"/>
    <mergeCell ref="AK153:AK155"/>
    <mergeCell ref="AM153:AM155"/>
    <mergeCell ref="AP153:AP155"/>
    <mergeCell ref="AS153:AS155"/>
    <mergeCell ref="AH149:AH152"/>
    <mergeCell ref="AF150:AF152"/>
    <mergeCell ref="AK150:AK152"/>
    <mergeCell ref="AM150:AM152"/>
    <mergeCell ref="AP150:AP152"/>
    <mergeCell ref="AS150:AS152"/>
    <mergeCell ref="AS139:AS143"/>
    <mergeCell ref="AF144:AF148"/>
    <mergeCell ref="AH144:AH148"/>
    <mergeCell ref="AK144:AK148"/>
    <mergeCell ref="AM144:AM148"/>
    <mergeCell ref="AP144:AP148"/>
    <mergeCell ref="AS144:AS148"/>
    <mergeCell ref="AF134:AF138"/>
    <mergeCell ref="AK134:AK138"/>
    <mergeCell ref="AM134:AM138"/>
    <mergeCell ref="AP134:AP138"/>
    <mergeCell ref="AS134:AS138"/>
    <mergeCell ref="AF139:AF143"/>
    <mergeCell ref="AH139:AH143"/>
    <mergeCell ref="AK139:AK143"/>
    <mergeCell ref="AM139:AM143"/>
    <mergeCell ref="AP139:AP143"/>
    <mergeCell ref="AF127:AF129"/>
    <mergeCell ref="AK127:AK129"/>
    <mergeCell ref="AM127:AM129"/>
    <mergeCell ref="AP127:AP129"/>
    <mergeCell ref="AS127:AS129"/>
    <mergeCell ref="AF131:AF133"/>
    <mergeCell ref="AK131:AK133"/>
    <mergeCell ref="AM131:AM133"/>
    <mergeCell ref="AP131:AP133"/>
    <mergeCell ref="AS131:AS133"/>
    <mergeCell ref="AP121:AP123"/>
    <mergeCell ref="AS121:AS123"/>
    <mergeCell ref="AF124:AF125"/>
    <mergeCell ref="AK124:AK125"/>
    <mergeCell ref="AM124:AM125"/>
    <mergeCell ref="AP124:AP125"/>
    <mergeCell ref="AS124:AS125"/>
    <mergeCell ref="AS110:AS113"/>
    <mergeCell ref="AF115:AF119"/>
    <mergeCell ref="AH115:AH138"/>
    <mergeCell ref="AK115:AK119"/>
    <mergeCell ref="AM115:AM119"/>
    <mergeCell ref="AP115:AP119"/>
    <mergeCell ref="AS115:AS119"/>
    <mergeCell ref="AF121:AF123"/>
    <mergeCell ref="AK121:AK123"/>
    <mergeCell ref="AM121:AM123"/>
    <mergeCell ref="AH106:AH114"/>
    <mergeCell ref="AF107:AF109"/>
    <mergeCell ref="AK107:AK109"/>
    <mergeCell ref="AM107:AM109"/>
    <mergeCell ref="AP107:AP109"/>
    <mergeCell ref="AS107:AS109"/>
    <mergeCell ref="AF110:AF113"/>
    <mergeCell ref="AK110:AK113"/>
    <mergeCell ref="AM110:AM113"/>
    <mergeCell ref="AP110:AP113"/>
    <mergeCell ref="AH88:AH93"/>
    <mergeCell ref="AK88:AK93"/>
    <mergeCell ref="AM88:AM93"/>
    <mergeCell ref="AP88:AP93"/>
    <mergeCell ref="AS88:AS93"/>
    <mergeCell ref="D103:D112"/>
    <mergeCell ref="I103:I112"/>
    <mergeCell ref="J103:J112"/>
    <mergeCell ref="K103:K112"/>
    <mergeCell ref="L103:L112"/>
    <mergeCell ref="P88:P93"/>
    <mergeCell ref="R88:R93"/>
    <mergeCell ref="T88:T93"/>
    <mergeCell ref="V88:V93"/>
    <mergeCell ref="X88:X93"/>
    <mergeCell ref="AA88:AA93"/>
    <mergeCell ref="D88:D93"/>
    <mergeCell ref="I88:I93"/>
    <mergeCell ref="J88:J93"/>
    <mergeCell ref="K88:K93"/>
    <mergeCell ref="L88:L93"/>
    <mergeCell ref="O88:O93"/>
    <mergeCell ref="AM73:AM75"/>
    <mergeCell ref="AP73:AP75"/>
    <mergeCell ref="AS73:AS75"/>
    <mergeCell ref="AH81:AH87"/>
    <mergeCell ref="AK81:AK87"/>
    <mergeCell ref="AM81:AM87"/>
    <mergeCell ref="AP81:AP87"/>
    <mergeCell ref="AS81:AS87"/>
    <mergeCell ref="T72:T87"/>
    <mergeCell ref="V72:V87"/>
    <mergeCell ref="X72:X87"/>
    <mergeCell ref="AA72:AA87"/>
    <mergeCell ref="AH73:AH75"/>
    <mergeCell ref="AK73:AK75"/>
    <mergeCell ref="AP68:AP72"/>
    <mergeCell ref="AS68:AS72"/>
    <mergeCell ref="X66:X71"/>
    <mergeCell ref="AA66:AA71"/>
    <mergeCell ref="AH68:AH72"/>
    <mergeCell ref="AK68:AK72"/>
    <mergeCell ref="AM68:AM72"/>
    <mergeCell ref="AS64:AS67"/>
    <mergeCell ref="AA58:AA65"/>
    <mergeCell ref="D72:D87"/>
    <mergeCell ref="I72:I87"/>
    <mergeCell ref="J72:J87"/>
    <mergeCell ref="K72:K87"/>
    <mergeCell ref="L72:L87"/>
    <mergeCell ref="O72:O87"/>
    <mergeCell ref="P72:P87"/>
    <mergeCell ref="R72:R87"/>
    <mergeCell ref="V66:V71"/>
    <mergeCell ref="D66:D71"/>
    <mergeCell ref="I66:I71"/>
    <mergeCell ref="J66:J71"/>
    <mergeCell ref="K66:K71"/>
    <mergeCell ref="L66:L71"/>
    <mergeCell ref="O66:O71"/>
    <mergeCell ref="P66:P71"/>
    <mergeCell ref="R66:R71"/>
    <mergeCell ref="T66:T71"/>
    <mergeCell ref="AM56:AM60"/>
    <mergeCell ref="AH61:AH63"/>
    <mergeCell ref="AK61:AK63"/>
    <mergeCell ref="AM61:AM63"/>
    <mergeCell ref="AP61:AP63"/>
    <mergeCell ref="AS61:AS63"/>
    <mergeCell ref="AH64:AH67"/>
    <mergeCell ref="AK64:AK67"/>
    <mergeCell ref="AM64:AM67"/>
    <mergeCell ref="AP64:AP67"/>
    <mergeCell ref="AS56:AS60"/>
    <mergeCell ref="D58:D65"/>
    <mergeCell ref="I58:I65"/>
    <mergeCell ref="J58:J65"/>
    <mergeCell ref="K58:K65"/>
    <mergeCell ref="L58:L65"/>
    <mergeCell ref="AH49:AH52"/>
    <mergeCell ref="AK49:AK52"/>
    <mergeCell ref="AM49:AM52"/>
    <mergeCell ref="AP49:AP52"/>
    <mergeCell ref="AS49:AS52"/>
    <mergeCell ref="AH53:AH55"/>
    <mergeCell ref="AK53:AK55"/>
    <mergeCell ref="AM53:AM55"/>
    <mergeCell ref="AP53:AP55"/>
    <mergeCell ref="AS53:AS55"/>
    <mergeCell ref="P48:P57"/>
    <mergeCell ref="R48:R57"/>
    <mergeCell ref="T48:T57"/>
    <mergeCell ref="V48:V57"/>
    <mergeCell ref="X48:X57"/>
    <mergeCell ref="AA48:AA57"/>
    <mergeCell ref="D48:D57"/>
    <mergeCell ref="O58:O65"/>
    <mergeCell ref="AA20:AA24"/>
    <mergeCell ref="AK15:AK38"/>
    <mergeCell ref="AM15:AM38"/>
    <mergeCell ref="AP15:AP38"/>
    <mergeCell ref="X15:X19"/>
    <mergeCell ref="AA15:AA19"/>
    <mergeCell ref="AH15:AH38"/>
    <mergeCell ref="I48:I57"/>
    <mergeCell ref="J48:J57"/>
    <mergeCell ref="K48:K57"/>
    <mergeCell ref="L48:L57"/>
    <mergeCell ref="O48:O57"/>
    <mergeCell ref="AA43:AA47"/>
    <mergeCell ref="AH44:AH48"/>
    <mergeCell ref="AK44:AK48"/>
    <mergeCell ref="AM44:AM48"/>
    <mergeCell ref="AP56:AP60"/>
    <mergeCell ref="P58:P65"/>
    <mergeCell ref="R58:R65"/>
    <mergeCell ref="T58:T65"/>
    <mergeCell ref="V58:V65"/>
    <mergeCell ref="X58:X65"/>
    <mergeCell ref="AH56:AH60"/>
    <mergeCell ref="AK56:AK60"/>
    <mergeCell ref="V38:V42"/>
    <mergeCell ref="D38:D42"/>
    <mergeCell ref="I38:I42"/>
    <mergeCell ref="J38:J42"/>
    <mergeCell ref="K38:K42"/>
    <mergeCell ref="L38:L42"/>
    <mergeCell ref="O38:O42"/>
    <mergeCell ref="AP44:AP48"/>
    <mergeCell ref="AS44:AS48"/>
    <mergeCell ref="O43:O47"/>
    <mergeCell ref="P43:P47"/>
    <mergeCell ref="R43:R47"/>
    <mergeCell ref="T43:T47"/>
    <mergeCell ref="V43:V47"/>
    <mergeCell ref="X43:X47"/>
    <mergeCell ref="AH39:AH43"/>
    <mergeCell ref="AK39:AK43"/>
    <mergeCell ref="AM39:AM43"/>
    <mergeCell ref="AP39:AP43"/>
    <mergeCell ref="AS39:AS43"/>
    <mergeCell ref="X38:X42"/>
    <mergeCell ref="AA38:AA42"/>
    <mergeCell ref="AS15:AS38"/>
    <mergeCell ref="X20:X24"/>
    <mergeCell ref="O32:O37"/>
    <mergeCell ref="P25:P31"/>
    <mergeCell ref="R25:R31"/>
    <mergeCell ref="T25:T31"/>
    <mergeCell ref="D43:D47"/>
    <mergeCell ref="I43:I47"/>
    <mergeCell ref="J43:J47"/>
    <mergeCell ref="K43:K47"/>
    <mergeCell ref="L43:L47"/>
    <mergeCell ref="P38:P42"/>
    <mergeCell ref="R38:R42"/>
    <mergeCell ref="T38:T42"/>
    <mergeCell ref="AA25:AA31"/>
    <mergeCell ref="V32:V37"/>
    <mergeCell ref="X32:X37"/>
    <mergeCell ref="AA32:AA37"/>
    <mergeCell ref="D20:D24"/>
    <mergeCell ref="I20:I24"/>
    <mergeCell ref="J20:J24"/>
    <mergeCell ref="K20:K24"/>
    <mergeCell ref="L20:L24"/>
    <mergeCell ref="O20:O24"/>
    <mergeCell ref="D25:D31"/>
    <mergeCell ref="I25:I31"/>
    <mergeCell ref="J25:J31"/>
    <mergeCell ref="K25:K31"/>
    <mergeCell ref="L25:L31"/>
    <mergeCell ref="O25:O31"/>
    <mergeCell ref="P32:P37"/>
    <mergeCell ref="R32:R37"/>
    <mergeCell ref="T32:T37"/>
    <mergeCell ref="D32:D37"/>
    <mergeCell ref="I32:I37"/>
    <mergeCell ref="J32:J37"/>
    <mergeCell ref="K32:K37"/>
    <mergeCell ref="L32:L37"/>
    <mergeCell ref="P20:P24"/>
    <mergeCell ref="R20:R24"/>
    <mergeCell ref="T20:T24"/>
    <mergeCell ref="V20:V24"/>
    <mergeCell ref="V7:V9"/>
    <mergeCell ref="X7:X9"/>
    <mergeCell ref="V10:V14"/>
    <mergeCell ref="X10:X14"/>
    <mergeCell ref="V25:V31"/>
    <mergeCell ref="X25:X31"/>
    <mergeCell ref="D15:D19"/>
    <mergeCell ref="I15:I19"/>
    <mergeCell ref="J15:J19"/>
    <mergeCell ref="K15:K19"/>
    <mergeCell ref="L15:L19"/>
    <mergeCell ref="O15:O19"/>
    <mergeCell ref="P15:P19"/>
    <mergeCell ref="AH6:AH14"/>
    <mergeCell ref="R15:R19"/>
    <mergeCell ref="T15:T19"/>
    <mergeCell ref="V15:V19"/>
    <mergeCell ref="AK6:AK14"/>
    <mergeCell ref="AM6:AM14"/>
    <mergeCell ref="AP6:AP14"/>
    <mergeCell ref="AS6:AS14"/>
    <mergeCell ref="D7:D9"/>
    <mergeCell ref="I7:I9"/>
    <mergeCell ref="J7:J9"/>
    <mergeCell ref="K7:K9"/>
    <mergeCell ref="L7:L9"/>
    <mergeCell ref="AA7:AA9"/>
    <mergeCell ref="D10:D14"/>
    <mergeCell ref="I10:I14"/>
    <mergeCell ref="J10:J14"/>
    <mergeCell ref="K10:K14"/>
    <mergeCell ref="L10:L14"/>
    <mergeCell ref="O10:O14"/>
    <mergeCell ref="P10:P14"/>
    <mergeCell ref="R10:R14"/>
    <mergeCell ref="T10:T14"/>
    <mergeCell ref="O7:O9"/>
    <mergeCell ref="P7:P9"/>
    <mergeCell ref="R7:R9"/>
    <mergeCell ref="T7:T9"/>
    <mergeCell ref="AA10:AA14"/>
  </mergeCells>
  <dataValidations count="1">
    <dataValidation type="list" allowBlank="1" showInputMessage="1" showErrorMessage="1" prompt="Pilih Rute_x000a_" sqref="D1" xr:uid="{46089A53-A079-4E1A-86B7-48FDB4C38BE3}">
      <formula1>$C$147:$C$159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9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Z W 9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v T F g o i k e 4 D g A A A B E A A A A T A B w A R m 9 y b X V s Y X M v U 2 V j d G l v b j E u b S C i G A A o o B Q A A A A A A A A A A A A A A A A A A A A A A A A A A A A r T k 0 u y c z P U w i G 0 I b W A F B L A Q I t A B Q A A g A I A G V v T F j 0 d A 9 2 p A A A A P Y A A A A S A A A A A A A A A A A A A A A A A A A A A A B D b 2 5 m a W c v U G F j a 2 F n Z S 5 4 b W x Q S w E C L Q A U A A I A C A B l b 0 x Y D 8 r p q 6 Q A A A D p A A A A E w A A A A A A A A A A A A A A A A D w A A A A W 0 N v b n R l b n R f V H l w Z X N d L n h t b F B L A Q I t A B Q A A g A I A G V v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d p Q j z 6 q 2 Q Y 6 2 K 9 8 8 9 G O Y A A A A A A I A A A A A A B B m A A A A A Q A A I A A A A F R W k z l Y 9 V T t i C 7 n f l o U h F R 8 A a u r S P + q y y F e q 1 p U m 6 b b A A A A A A 6 A A A A A A g A A I A A A A N q v z t 8 v H F 2 X t U V 5 G f i p i 8 H l 6 m n z E k + z K 2 H L c M y y v 4 l 4 U A A A A I 1 N h Q 4 2 M O 8 u m q 3 W J k 6 4 w d Q 7 t 8 U P v p g v e A W S E U M 5 7 Z 7 p + a q P f S R 6 6 J B E v Q a T g r X M x U f 4 r T m s 7 E L 9 s X G 8 z H V V t c O Q c C j y s + V / 0 E 2 W w L Q 4 S m L T Q A A A A A 8 D i c S 6 y c L P F c u K s I y S 7 1 Q 9 T N k s D J P 1 b A / Q r 0 s T u Z 8 x B W C i 5 Z w + M u C Q U b P D k k v s z 2 N t T f i k k + Q X g h j b Y g g I I 0 0 = < / D a t a M a s h u p > 
</file>

<file path=customXml/itemProps1.xml><?xml version="1.0" encoding="utf-8"?>
<ds:datastoreItem xmlns:ds="http://schemas.openxmlformats.org/officeDocument/2006/customXml" ds:itemID="{1CCC753E-2AEE-4468-8D7F-8C20847B7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data, etc</vt:lpstr>
      <vt:lpstr>Route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DARMA TEGAR HUKAMA</dc:creator>
  <cp:lastModifiedBy>DARMA TEGAR HUKAMA</cp:lastModifiedBy>
  <dcterms:created xsi:type="dcterms:W3CDTF">2024-02-12T06:28:10Z</dcterms:created>
  <dcterms:modified xsi:type="dcterms:W3CDTF">2024-03-25T12:19:29Z</dcterms:modified>
</cp:coreProperties>
</file>