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nilomar/Documents/Projects/P04_Pankaj Work/Engineering Solution Folder/Template CE Excel/Misc/"/>
    </mc:Choice>
  </mc:AlternateContent>
  <xr:revisionPtr revIDLastSave="0" documentId="8_{B8627380-FF9E-0843-91F8-72233754B65C}" xr6:coauthVersionLast="36" xr6:coauthVersionMax="36" xr10:uidLastSave="{00000000-0000-0000-0000-000000000000}"/>
  <bookViews>
    <workbookView xWindow="0" yWindow="460" windowWidth="32680" windowHeight="18380" tabRatio="758" xr2:uid="{00000000-000D-0000-FFFF-FFFF00000000}"/>
  </bookViews>
  <sheets>
    <sheet name="Capacity Calcuations" sheetId="2" r:id="rId1"/>
    <sheet name="Graph Base Data" sheetId="1" r:id="rId2"/>
    <sheet name="IE&amp;Hydro Oil in IE Product" sheetId="4" r:id="rId3"/>
    <sheet name="Hydro Oil In NonIE Product" sheetId="5" r:id="rId4"/>
    <sheet name="Volume Database" sheetId="7" r:id="rId5"/>
    <sheet name="Volume Summary" sheetId="8" r:id="rId6"/>
    <sheet name="MP volume" sheetId="9" r:id="rId7"/>
    <sheet name="MP business case Volume" sheetId="10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xlnm._FilterDatabase" localSheetId="4" hidden="1">'Volume Database'!$C$1:$C$123</definedName>
  </definedNames>
  <calcPr calcId="181029"/>
</workbook>
</file>

<file path=xl/calcChain.xml><?xml version="1.0" encoding="utf-8"?>
<calcChain xmlns="http://schemas.openxmlformats.org/spreadsheetml/2006/main">
  <c r="B47" i="10" l="1"/>
  <c r="K46" i="10"/>
  <c r="B46" i="10"/>
  <c r="M45" i="10"/>
  <c r="K45" i="10"/>
  <c r="G45" i="10"/>
  <c r="E45" i="10"/>
  <c r="B45" i="10"/>
  <c r="N44" i="10"/>
  <c r="K44" i="10"/>
  <c r="J44" i="10"/>
  <c r="F44" i="10"/>
  <c r="B44" i="10"/>
  <c r="N43" i="10"/>
  <c r="M43" i="10"/>
  <c r="K43" i="10"/>
  <c r="G43" i="10"/>
  <c r="F43" i="10"/>
  <c r="E43" i="10"/>
  <c r="B43" i="10"/>
  <c r="K42" i="10"/>
  <c r="I42" i="10"/>
  <c r="B42" i="10"/>
  <c r="C39" i="10"/>
  <c r="N38" i="10"/>
  <c r="N46" i="10" s="1"/>
  <c r="M38" i="10"/>
  <c r="M46" i="10" s="1"/>
  <c r="L38" i="10"/>
  <c r="L46" i="10" s="1"/>
  <c r="K38" i="10"/>
  <c r="J38" i="10"/>
  <c r="J46" i="10" s="1"/>
  <c r="I38" i="10"/>
  <c r="I46" i="10" s="1"/>
  <c r="H38" i="10"/>
  <c r="H46" i="10" s="1"/>
  <c r="G38" i="10"/>
  <c r="G46" i="10" s="1"/>
  <c r="F38" i="10"/>
  <c r="F46" i="10" s="1"/>
  <c r="E38" i="10"/>
  <c r="E46" i="10" s="1"/>
  <c r="D38" i="10"/>
  <c r="D46" i="10" s="1"/>
  <c r="N37" i="10"/>
  <c r="N45" i="10" s="1"/>
  <c r="M37" i="10"/>
  <c r="L37" i="10"/>
  <c r="L45" i="10" s="1"/>
  <c r="K37" i="10"/>
  <c r="J37" i="10"/>
  <c r="J45" i="10" s="1"/>
  <c r="I37" i="10"/>
  <c r="I45" i="10" s="1"/>
  <c r="H37" i="10"/>
  <c r="H45" i="10" s="1"/>
  <c r="G37" i="10"/>
  <c r="F37" i="10"/>
  <c r="F45" i="10" s="1"/>
  <c r="E37" i="10"/>
  <c r="D37" i="10"/>
  <c r="D45" i="10" s="1"/>
  <c r="N36" i="10"/>
  <c r="M36" i="10"/>
  <c r="M44" i="10" s="1"/>
  <c r="L36" i="10"/>
  <c r="L44" i="10" s="1"/>
  <c r="K36" i="10"/>
  <c r="J36" i="10"/>
  <c r="I36" i="10"/>
  <c r="I44" i="10" s="1"/>
  <c r="H36" i="10"/>
  <c r="H44" i="10" s="1"/>
  <c r="G36" i="10"/>
  <c r="G44" i="10" s="1"/>
  <c r="F36" i="10"/>
  <c r="E36" i="10"/>
  <c r="E44" i="10" s="1"/>
  <c r="D36" i="10"/>
  <c r="D44" i="10" s="1"/>
  <c r="N35" i="10"/>
  <c r="M35" i="10"/>
  <c r="L35" i="10"/>
  <c r="L43" i="10" s="1"/>
  <c r="K35" i="10"/>
  <c r="J35" i="10"/>
  <c r="J43" i="10" s="1"/>
  <c r="I35" i="10"/>
  <c r="I43" i="10" s="1"/>
  <c r="H35" i="10"/>
  <c r="H43" i="10" s="1"/>
  <c r="G35" i="10"/>
  <c r="F35" i="10"/>
  <c r="E35" i="10"/>
  <c r="D35" i="10"/>
  <c r="D43" i="10" s="1"/>
  <c r="N34" i="10"/>
  <c r="M34" i="10"/>
  <c r="M39" i="10" s="1"/>
  <c r="L34" i="10"/>
  <c r="K34" i="10"/>
  <c r="K39" i="10" s="1"/>
  <c r="J34" i="10"/>
  <c r="J42" i="10" s="1"/>
  <c r="I34" i="10"/>
  <c r="H34" i="10"/>
  <c r="H42" i="10" s="1"/>
  <c r="G34" i="10"/>
  <c r="G42" i="10" s="1"/>
  <c r="G47" i="10" s="1"/>
  <c r="F34" i="10"/>
  <c r="E34" i="10"/>
  <c r="E39" i="10" s="1"/>
  <c r="D34" i="10"/>
  <c r="B30" i="10"/>
  <c r="N29" i="10"/>
  <c r="L29" i="10"/>
  <c r="J29" i="10"/>
  <c r="G29" i="10"/>
  <c r="F29" i="10"/>
  <c r="D29" i="10"/>
  <c r="B29" i="10"/>
  <c r="M28" i="10"/>
  <c r="J28" i="10"/>
  <c r="I28" i="10"/>
  <c r="E28" i="10"/>
  <c r="B28" i="10"/>
  <c r="N27" i="10"/>
  <c r="M27" i="10"/>
  <c r="L27" i="10"/>
  <c r="J27" i="10"/>
  <c r="F27" i="10"/>
  <c r="E27" i="10"/>
  <c r="D27" i="10"/>
  <c r="B27" i="10"/>
  <c r="J26" i="10"/>
  <c r="J30" i="10" s="1"/>
  <c r="H26" i="10"/>
  <c r="B26" i="10"/>
  <c r="N25" i="10"/>
  <c r="L25" i="10"/>
  <c r="K25" i="10"/>
  <c r="J25" i="10"/>
  <c r="F25" i="10"/>
  <c r="D25" i="10"/>
  <c r="B25" i="10"/>
  <c r="J22" i="10"/>
  <c r="N21" i="10"/>
  <c r="M21" i="10"/>
  <c r="M29" i="10" s="1"/>
  <c r="L21" i="10"/>
  <c r="K21" i="10"/>
  <c r="K29" i="10" s="1"/>
  <c r="J21" i="10"/>
  <c r="I21" i="10"/>
  <c r="I29" i="10" s="1"/>
  <c r="H21" i="10"/>
  <c r="H29" i="10" s="1"/>
  <c r="G21" i="10"/>
  <c r="F21" i="10"/>
  <c r="E21" i="10"/>
  <c r="E29" i="10" s="1"/>
  <c r="D21" i="10"/>
  <c r="N20" i="10"/>
  <c r="N28" i="10" s="1"/>
  <c r="M20" i="10"/>
  <c r="L20" i="10"/>
  <c r="L28" i="10" s="1"/>
  <c r="K20" i="10"/>
  <c r="K28" i="10" s="1"/>
  <c r="J20" i="10"/>
  <c r="I20" i="10"/>
  <c r="H20" i="10"/>
  <c r="G20" i="10"/>
  <c r="G28" i="10" s="1"/>
  <c r="F20" i="10"/>
  <c r="F28" i="10" s="1"/>
  <c r="E20" i="10"/>
  <c r="D20" i="10"/>
  <c r="D28" i="10" s="1"/>
  <c r="N19" i="10"/>
  <c r="M19" i="10"/>
  <c r="L19" i="10"/>
  <c r="K19" i="10"/>
  <c r="K27" i="10" s="1"/>
  <c r="J19" i="10"/>
  <c r="I19" i="10"/>
  <c r="I27" i="10" s="1"/>
  <c r="H19" i="10"/>
  <c r="H27" i="10" s="1"/>
  <c r="G19" i="10"/>
  <c r="G27" i="10" s="1"/>
  <c r="F19" i="10"/>
  <c r="E19" i="10"/>
  <c r="D19" i="10"/>
  <c r="N18" i="10"/>
  <c r="M18" i="10"/>
  <c r="M26" i="10" s="1"/>
  <c r="L18" i="10"/>
  <c r="L26" i="10" s="1"/>
  <c r="K18" i="10"/>
  <c r="K26" i="10" s="1"/>
  <c r="J18" i="10"/>
  <c r="I18" i="10"/>
  <c r="I26" i="10" s="1"/>
  <c r="H18" i="10"/>
  <c r="G18" i="10"/>
  <c r="G26" i="10" s="1"/>
  <c r="F18" i="10"/>
  <c r="E18" i="10"/>
  <c r="E26" i="10" s="1"/>
  <c r="D18" i="10"/>
  <c r="D26" i="10" s="1"/>
  <c r="N17" i="10"/>
  <c r="M17" i="10"/>
  <c r="M25" i="10" s="1"/>
  <c r="M30" i="10" s="1"/>
  <c r="L17" i="10"/>
  <c r="L22" i="10" s="1"/>
  <c r="K17" i="10"/>
  <c r="J17" i="10"/>
  <c r="I17" i="10"/>
  <c r="H17" i="10"/>
  <c r="H25" i="10" s="1"/>
  <c r="G17" i="10"/>
  <c r="G22" i="10" s="1"/>
  <c r="F17" i="10"/>
  <c r="E17" i="10"/>
  <c r="E25" i="10" s="1"/>
  <c r="E30" i="10" s="1"/>
  <c r="D17" i="10"/>
  <c r="D22" i="10" s="1"/>
  <c r="N8" i="10"/>
  <c r="M8" i="10"/>
  <c r="L8" i="10"/>
  <c r="K8" i="10"/>
  <c r="J8" i="10"/>
  <c r="I8" i="10"/>
  <c r="H8" i="10"/>
  <c r="G8" i="10"/>
  <c r="F8" i="10"/>
  <c r="E8" i="10"/>
  <c r="P28" i="9"/>
  <c r="O28" i="9"/>
  <c r="N28" i="9"/>
  <c r="M28" i="9"/>
  <c r="L28" i="9"/>
  <c r="K28" i="9"/>
  <c r="J28" i="9"/>
  <c r="I28" i="9"/>
  <c r="H28" i="9"/>
  <c r="G28" i="9"/>
  <c r="E26" i="9"/>
  <c r="Q16" i="9"/>
  <c r="Q15" i="9"/>
  <c r="Q13" i="9"/>
  <c r="E9" i="9"/>
  <c r="O1" i="9"/>
  <c r="P1" i="9" s="1"/>
  <c r="H1" i="9"/>
  <c r="I1" i="9" s="1"/>
  <c r="J1" i="9" s="1"/>
  <c r="K1" i="9" s="1"/>
  <c r="L1" i="9" s="1"/>
  <c r="M1" i="9" s="1"/>
  <c r="N1" i="9" s="1"/>
  <c r="M53" i="8"/>
  <c r="L53" i="8"/>
  <c r="K53" i="8"/>
  <c r="J53" i="8"/>
  <c r="I53" i="8"/>
  <c r="H53" i="8"/>
  <c r="G53" i="8"/>
  <c r="F53" i="8"/>
  <c r="E53" i="8"/>
  <c r="D53" i="8"/>
  <c r="J48" i="8"/>
  <c r="F48" i="8"/>
  <c r="L47" i="8"/>
  <c r="K47" i="8"/>
  <c r="J47" i="8"/>
  <c r="I47" i="8"/>
  <c r="H47" i="8"/>
  <c r="G47" i="8"/>
  <c r="F47" i="8"/>
  <c r="E47" i="8"/>
  <c r="D47" i="8"/>
  <c r="L46" i="8"/>
  <c r="L48" i="8" s="1"/>
  <c r="K46" i="8"/>
  <c r="J46" i="8"/>
  <c r="I46" i="8"/>
  <c r="H46" i="8"/>
  <c r="G46" i="8"/>
  <c r="F46" i="8"/>
  <c r="E46" i="8"/>
  <c r="D46" i="8"/>
  <c r="D48" i="8" s="1"/>
  <c r="L45" i="8"/>
  <c r="K45" i="8"/>
  <c r="K48" i="8" s="1"/>
  <c r="J45" i="8"/>
  <c r="I45" i="8"/>
  <c r="I48" i="8" s="1"/>
  <c r="H45" i="8"/>
  <c r="H48" i="8" s="1"/>
  <c r="G45" i="8"/>
  <c r="G48" i="8" s="1"/>
  <c r="F45" i="8"/>
  <c r="E45" i="8"/>
  <c r="E48" i="8" s="1"/>
  <c r="D45" i="8"/>
  <c r="M30" i="8"/>
  <c r="E30" i="8"/>
  <c r="K27" i="8"/>
  <c r="M26" i="8"/>
  <c r="E26" i="8"/>
  <c r="M22" i="8"/>
  <c r="K22" i="8"/>
  <c r="E22" i="8"/>
  <c r="M19" i="8"/>
  <c r="L19" i="8"/>
  <c r="L30" i="8" s="1"/>
  <c r="K19" i="8"/>
  <c r="J19" i="8"/>
  <c r="I19" i="8"/>
  <c r="H19" i="8"/>
  <c r="H30" i="8" s="1"/>
  <c r="G19" i="8"/>
  <c r="F19" i="8"/>
  <c r="E19" i="8"/>
  <c r="D19" i="8"/>
  <c r="D30" i="8" s="1"/>
  <c r="M18" i="8"/>
  <c r="L18" i="8"/>
  <c r="K18" i="8"/>
  <c r="K30" i="8" s="1"/>
  <c r="J18" i="8"/>
  <c r="J30" i="8" s="1"/>
  <c r="I18" i="8"/>
  <c r="H18" i="8"/>
  <c r="G18" i="8"/>
  <c r="G30" i="8" s="1"/>
  <c r="F18" i="8"/>
  <c r="F30" i="8" s="1"/>
  <c r="E18" i="8"/>
  <c r="D18" i="8"/>
  <c r="M17" i="8"/>
  <c r="L17" i="8"/>
  <c r="K17" i="8"/>
  <c r="J17" i="8"/>
  <c r="I17" i="8"/>
  <c r="H17" i="8"/>
  <c r="G17" i="8"/>
  <c r="F17" i="8"/>
  <c r="E17" i="8"/>
  <c r="D17" i="8"/>
  <c r="M16" i="8"/>
  <c r="L16" i="8"/>
  <c r="L29" i="8" s="1"/>
  <c r="K16" i="8"/>
  <c r="K29" i="8" s="1"/>
  <c r="J16" i="8"/>
  <c r="J29" i="8" s="1"/>
  <c r="I16" i="8"/>
  <c r="I29" i="8" s="1"/>
  <c r="H16" i="8"/>
  <c r="H29" i="8" s="1"/>
  <c r="G16" i="8"/>
  <c r="G29" i="8" s="1"/>
  <c r="F16" i="8"/>
  <c r="F29" i="8" s="1"/>
  <c r="E16" i="8"/>
  <c r="D16" i="8"/>
  <c r="D29" i="8" s="1"/>
  <c r="M15" i="8"/>
  <c r="M28" i="8" s="1"/>
  <c r="L15" i="8"/>
  <c r="L28" i="8" s="1"/>
  <c r="K15" i="8"/>
  <c r="J15" i="8"/>
  <c r="I15" i="8"/>
  <c r="I28" i="8" s="1"/>
  <c r="H15" i="8"/>
  <c r="H28" i="8" s="1"/>
  <c r="G15" i="8"/>
  <c r="F15" i="8"/>
  <c r="E15" i="8"/>
  <c r="E28" i="8" s="1"/>
  <c r="D15" i="8"/>
  <c r="D28" i="8" s="1"/>
  <c r="M14" i="8"/>
  <c r="L14" i="8"/>
  <c r="K14" i="8"/>
  <c r="K28" i="8" s="1"/>
  <c r="J14" i="8"/>
  <c r="J28" i="8" s="1"/>
  <c r="I14" i="8"/>
  <c r="H14" i="8"/>
  <c r="G14" i="8"/>
  <c r="G28" i="8" s="1"/>
  <c r="F14" i="8"/>
  <c r="F28" i="8" s="1"/>
  <c r="E14" i="8"/>
  <c r="D14" i="8"/>
  <c r="M13" i="8"/>
  <c r="L13" i="8"/>
  <c r="K13" i="8"/>
  <c r="J13" i="8"/>
  <c r="I13" i="8"/>
  <c r="I27" i="8" s="1"/>
  <c r="H13" i="8"/>
  <c r="G13" i="8"/>
  <c r="F13" i="8"/>
  <c r="E13" i="8"/>
  <c r="D13" i="8"/>
  <c r="M12" i="8"/>
  <c r="L12" i="8"/>
  <c r="L27" i="8" s="1"/>
  <c r="K12" i="8"/>
  <c r="J12" i="8"/>
  <c r="J27" i="8" s="1"/>
  <c r="I12" i="8"/>
  <c r="H12" i="8"/>
  <c r="H27" i="8" s="1"/>
  <c r="G12" i="8"/>
  <c r="G27" i="8" s="1"/>
  <c r="F12" i="8"/>
  <c r="F27" i="8" s="1"/>
  <c r="E12" i="8"/>
  <c r="D12" i="8"/>
  <c r="D27" i="8" s="1"/>
  <c r="M11" i="8"/>
  <c r="L11" i="8"/>
  <c r="K11" i="8"/>
  <c r="J11" i="8"/>
  <c r="I11" i="8"/>
  <c r="H11" i="8"/>
  <c r="G11" i="8"/>
  <c r="F11" i="8"/>
  <c r="E11" i="8"/>
  <c r="D11" i="8"/>
  <c r="M10" i="8"/>
  <c r="L10" i="8"/>
  <c r="L26" i="8" s="1"/>
  <c r="K10" i="8"/>
  <c r="K26" i="8" s="1"/>
  <c r="J10" i="8"/>
  <c r="J26" i="8" s="1"/>
  <c r="I10" i="8"/>
  <c r="H10" i="8"/>
  <c r="H26" i="8" s="1"/>
  <c r="G10" i="8"/>
  <c r="G26" i="8" s="1"/>
  <c r="F10" i="8"/>
  <c r="F26" i="8" s="1"/>
  <c r="E10" i="8"/>
  <c r="D10" i="8"/>
  <c r="D26" i="8" s="1"/>
  <c r="K8" i="8"/>
  <c r="I7" i="8"/>
  <c r="G7" i="8"/>
  <c r="K6" i="8"/>
  <c r="K24" i="8" s="1"/>
  <c r="E5" i="8"/>
  <c r="G4" i="8"/>
  <c r="G23" i="8" s="1"/>
  <c r="M3" i="8"/>
  <c r="L3" i="8"/>
  <c r="L22" i="8" s="1"/>
  <c r="K3" i="8"/>
  <c r="J3" i="8"/>
  <c r="J22" i="8" s="1"/>
  <c r="I3" i="8"/>
  <c r="H3" i="8"/>
  <c r="H22" i="8" s="1"/>
  <c r="G3" i="8"/>
  <c r="G22" i="8" s="1"/>
  <c r="F3" i="8"/>
  <c r="E3" i="8"/>
  <c r="D3" i="8"/>
  <c r="D22" i="8" s="1"/>
  <c r="G2" i="8"/>
  <c r="H2" i="8" s="1"/>
  <c r="I2" i="8" s="1"/>
  <c r="J2" i="8" s="1"/>
  <c r="K2" i="8" s="1"/>
  <c r="L2" i="8" s="1"/>
  <c r="M2" i="8" s="1"/>
  <c r="F2" i="8"/>
  <c r="E2" i="8"/>
  <c r="N103" i="7"/>
  <c r="L101" i="7"/>
  <c r="P100" i="7"/>
  <c r="N100" i="7"/>
  <c r="Q99" i="7"/>
  <c r="P99" i="7"/>
  <c r="O99" i="7"/>
  <c r="N99" i="7"/>
  <c r="M99" i="7"/>
  <c r="L99" i="7"/>
  <c r="K99" i="7"/>
  <c r="J99" i="7"/>
  <c r="I99" i="7"/>
  <c r="H99" i="7"/>
  <c r="Q98" i="7"/>
  <c r="P98" i="7"/>
  <c r="O98" i="7"/>
  <c r="N98" i="7"/>
  <c r="M98" i="7"/>
  <c r="L98" i="7"/>
  <c r="K98" i="7"/>
  <c r="J98" i="7"/>
  <c r="I98" i="7"/>
  <c r="H98" i="7"/>
  <c r="Q95" i="7"/>
  <c r="P95" i="7"/>
  <c r="O95" i="7"/>
  <c r="N95" i="7"/>
  <c r="M95" i="7"/>
  <c r="L95" i="7"/>
  <c r="K95" i="7"/>
  <c r="J95" i="7"/>
  <c r="I95" i="7"/>
  <c r="H95" i="7"/>
  <c r="L91" i="7"/>
  <c r="Q89" i="7"/>
  <c r="P89" i="7"/>
  <c r="O89" i="7"/>
  <c r="N89" i="7"/>
  <c r="M89" i="7"/>
  <c r="L89" i="7"/>
  <c r="K89" i="7"/>
  <c r="J89" i="7"/>
  <c r="I89" i="7"/>
  <c r="H89" i="7"/>
  <c r="Q73" i="7"/>
  <c r="M9" i="8" s="1"/>
  <c r="P73" i="7"/>
  <c r="O73" i="7"/>
  <c r="N73" i="7"/>
  <c r="M73" i="7"/>
  <c r="L73" i="7"/>
  <c r="K73" i="7"/>
  <c r="J73" i="7"/>
  <c r="I73" i="7"/>
  <c r="E9" i="8" s="1"/>
  <c r="H73" i="7"/>
  <c r="G73" i="7"/>
  <c r="E73" i="7"/>
  <c r="Q72" i="7"/>
  <c r="P72" i="7"/>
  <c r="O72" i="7"/>
  <c r="N72" i="7"/>
  <c r="M72" i="7"/>
  <c r="L72" i="7"/>
  <c r="K72" i="7"/>
  <c r="J72" i="7"/>
  <c r="I72" i="7"/>
  <c r="H72" i="7"/>
  <c r="G72" i="7"/>
  <c r="Q71" i="7"/>
  <c r="P71" i="7"/>
  <c r="O71" i="7"/>
  <c r="N71" i="7"/>
  <c r="M71" i="7"/>
  <c r="L71" i="7"/>
  <c r="K71" i="7"/>
  <c r="J71" i="7"/>
  <c r="J78" i="7" s="1"/>
  <c r="J91" i="7" s="1"/>
  <c r="I71" i="7"/>
  <c r="H71" i="7"/>
  <c r="G71" i="7"/>
  <c r="Q70" i="7"/>
  <c r="P70" i="7"/>
  <c r="O70" i="7"/>
  <c r="N70" i="7"/>
  <c r="J9" i="8" s="1"/>
  <c r="M70" i="7"/>
  <c r="L70" i="7"/>
  <c r="K70" i="7"/>
  <c r="G9" i="8" s="1"/>
  <c r="J70" i="7"/>
  <c r="I70" i="7"/>
  <c r="H70" i="7"/>
  <c r="G70" i="7"/>
  <c r="Q69" i="7"/>
  <c r="P69" i="7"/>
  <c r="P78" i="7" s="1"/>
  <c r="P91" i="7" s="1"/>
  <c r="O69" i="7"/>
  <c r="N69" i="7"/>
  <c r="N78" i="7" s="1"/>
  <c r="N91" i="7" s="1"/>
  <c r="M69" i="7"/>
  <c r="L69" i="7"/>
  <c r="K69" i="7"/>
  <c r="J69" i="7"/>
  <c r="I69" i="7"/>
  <c r="H69" i="7"/>
  <c r="H78" i="7" s="1"/>
  <c r="H91" i="7" s="1"/>
  <c r="G69" i="7"/>
  <c r="Q68" i="7"/>
  <c r="P68" i="7"/>
  <c r="O68" i="7"/>
  <c r="O78" i="7" s="1"/>
  <c r="O91" i="7" s="1"/>
  <c r="N68" i="7"/>
  <c r="M68" i="7"/>
  <c r="L68" i="7"/>
  <c r="L78" i="7" s="1"/>
  <c r="K68" i="7"/>
  <c r="J68" i="7"/>
  <c r="I68" i="7"/>
  <c r="H68" i="7"/>
  <c r="G68" i="7"/>
  <c r="G78" i="7" s="1"/>
  <c r="H67" i="7"/>
  <c r="I67" i="7" s="1"/>
  <c r="J67" i="7" s="1"/>
  <c r="K67" i="7" s="1"/>
  <c r="L67" i="7" s="1"/>
  <c r="M67" i="7" s="1"/>
  <c r="N67" i="7" s="1"/>
  <c r="O67" i="7" s="1"/>
  <c r="P67" i="7" s="1"/>
  <c r="Q67" i="7" s="1"/>
  <c r="N36" i="7"/>
  <c r="P35" i="7"/>
  <c r="Q35" i="7" s="1"/>
  <c r="O35" i="7"/>
  <c r="N35" i="7"/>
  <c r="M35" i="7"/>
  <c r="L35" i="7"/>
  <c r="K35" i="7"/>
  <c r="J35" i="7"/>
  <c r="I35" i="7"/>
  <c r="H35" i="7"/>
  <c r="N34" i="7"/>
  <c r="O34" i="7" s="1"/>
  <c r="P34" i="7" s="1"/>
  <c r="Q34" i="7" s="1"/>
  <c r="M34" i="7"/>
  <c r="L34" i="7"/>
  <c r="K34" i="7"/>
  <c r="J34" i="7"/>
  <c r="J103" i="7" s="1"/>
  <c r="I34" i="7"/>
  <c r="H34" i="7"/>
  <c r="P33" i="7"/>
  <c r="Q33" i="7" s="1"/>
  <c r="Q103" i="7" s="1"/>
  <c r="N33" i="7"/>
  <c r="O33" i="7" s="1"/>
  <c r="O103" i="7" s="1"/>
  <c r="M33" i="7"/>
  <c r="M103" i="7" s="1"/>
  <c r="L33" i="7"/>
  <c r="L103" i="7" s="1"/>
  <c r="K33" i="7"/>
  <c r="K103" i="7" s="1"/>
  <c r="J33" i="7"/>
  <c r="I33" i="7"/>
  <c r="I103" i="7" s="1"/>
  <c r="H33" i="7"/>
  <c r="H103" i="7" s="1"/>
  <c r="P32" i="7"/>
  <c r="Q32" i="7" s="1"/>
  <c r="N32" i="7"/>
  <c r="O32" i="7" s="1"/>
  <c r="M32" i="7"/>
  <c r="L32" i="7"/>
  <c r="K32" i="7"/>
  <c r="J32" i="7"/>
  <c r="I32" i="7"/>
  <c r="H32" i="7"/>
  <c r="P31" i="7"/>
  <c r="Q31" i="7" s="1"/>
  <c r="O31" i="7"/>
  <c r="N31" i="7"/>
  <c r="M31" i="7"/>
  <c r="L31" i="7"/>
  <c r="K31" i="7"/>
  <c r="J31" i="7"/>
  <c r="I31" i="7"/>
  <c r="H31" i="7"/>
  <c r="N30" i="7"/>
  <c r="O30" i="7" s="1"/>
  <c r="P30" i="7" s="1"/>
  <c r="Q30" i="7" s="1"/>
  <c r="M30" i="7"/>
  <c r="L30" i="7"/>
  <c r="K30" i="7"/>
  <c r="J30" i="7"/>
  <c r="J102" i="7" s="1"/>
  <c r="I30" i="7"/>
  <c r="H30" i="7"/>
  <c r="N29" i="7"/>
  <c r="M29" i="7"/>
  <c r="M102" i="7" s="1"/>
  <c r="L29" i="7"/>
  <c r="L102" i="7" s="1"/>
  <c r="K29" i="7"/>
  <c r="K102" i="7" s="1"/>
  <c r="J29" i="7"/>
  <c r="I29" i="7"/>
  <c r="I102" i="7" s="1"/>
  <c r="H29" i="7"/>
  <c r="H102" i="7" s="1"/>
  <c r="F61" i="1" s="1"/>
  <c r="P28" i="7"/>
  <c r="Q28" i="7" s="1"/>
  <c r="N28" i="7"/>
  <c r="O28" i="7" s="1"/>
  <c r="M28" i="7"/>
  <c r="L28" i="7"/>
  <c r="K28" i="7"/>
  <c r="J28" i="7"/>
  <c r="I28" i="7"/>
  <c r="H28" i="7"/>
  <c r="P27" i="7"/>
  <c r="O27" i="7"/>
  <c r="O101" i="7" s="1"/>
  <c r="N27" i="7"/>
  <c r="M27" i="7"/>
  <c r="M101" i="7" s="1"/>
  <c r="L27" i="7"/>
  <c r="K27" i="7"/>
  <c r="K101" i="7" s="1"/>
  <c r="J27" i="7"/>
  <c r="J101" i="7" s="1"/>
  <c r="H60" i="1" s="1"/>
  <c r="I27" i="7"/>
  <c r="I101" i="7" s="1"/>
  <c r="H27" i="7"/>
  <c r="N26" i="7"/>
  <c r="O26" i="7" s="1"/>
  <c r="P26" i="7" s="1"/>
  <c r="Q26" i="7" s="1"/>
  <c r="M26" i="7"/>
  <c r="L26" i="7"/>
  <c r="K26" i="7"/>
  <c r="J26" i="7"/>
  <c r="J36" i="7" s="1"/>
  <c r="I26" i="7"/>
  <c r="H26" i="7"/>
  <c r="P25" i="7"/>
  <c r="Q25" i="7" s="1"/>
  <c r="N25" i="7"/>
  <c r="O25" i="7" s="1"/>
  <c r="M25" i="7"/>
  <c r="M100" i="7" s="1"/>
  <c r="L25" i="7"/>
  <c r="L36" i="7" s="1"/>
  <c r="K25" i="7"/>
  <c r="K100" i="7" s="1"/>
  <c r="J25" i="7"/>
  <c r="J100" i="7" s="1"/>
  <c r="I25" i="7"/>
  <c r="I36" i="7" s="1"/>
  <c r="H25" i="7"/>
  <c r="H36" i="7" s="1"/>
  <c r="Q11" i="7"/>
  <c r="P11" i="7"/>
  <c r="Q10" i="7"/>
  <c r="M7" i="8" s="1"/>
  <c r="P10" i="7"/>
  <c r="O10" i="7"/>
  <c r="K7" i="8" s="1"/>
  <c r="N10" i="7"/>
  <c r="J7" i="8" s="1"/>
  <c r="M10" i="7"/>
  <c r="L10" i="7"/>
  <c r="H7" i="8" s="1"/>
  <c r="K10" i="7"/>
  <c r="J10" i="7"/>
  <c r="F7" i="8" s="1"/>
  <c r="I10" i="7"/>
  <c r="E7" i="8" s="1"/>
  <c r="H10" i="7"/>
  <c r="D7" i="8" s="1"/>
  <c r="Q9" i="7"/>
  <c r="P9" i="7"/>
  <c r="O9" i="7"/>
  <c r="N9" i="7"/>
  <c r="M9" i="7"/>
  <c r="L9" i="7"/>
  <c r="L97" i="7" s="1"/>
  <c r="K9" i="7"/>
  <c r="J9" i="7"/>
  <c r="I9" i="7"/>
  <c r="H9" i="7"/>
  <c r="Q8" i="7"/>
  <c r="P8" i="7"/>
  <c r="O8" i="7"/>
  <c r="O97" i="7" s="1"/>
  <c r="N8" i="7"/>
  <c r="J6" i="8" s="1"/>
  <c r="J24" i="8" s="1"/>
  <c r="M8" i="7"/>
  <c r="L8" i="7"/>
  <c r="K8" i="7"/>
  <c r="K97" i="7" s="1"/>
  <c r="J8" i="7"/>
  <c r="F6" i="8" s="1"/>
  <c r="I8" i="7"/>
  <c r="H8" i="7"/>
  <c r="Q7" i="7"/>
  <c r="P7" i="7"/>
  <c r="L5" i="8" s="1"/>
  <c r="O7" i="7"/>
  <c r="K5" i="8" s="1"/>
  <c r="N7" i="7"/>
  <c r="J5" i="8" s="1"/>
  <c r="M7" i="7"/>
  <c r="I5" i="8" s="1"/>
  <c r="L7" i="7"/>
  <c r="K7" i="7"/>
  <c r="G5" i="8" s="1"/>
  <c r="J7" i="7"/>
  <c r="I7" i="7"/>
  <c r="H7" i="7"/>
  <c r="D5" i="8" s="1"/>
  <c r="Q6" i="7"/>
  <c r="M5" i="8" s="1"/>
  <c r="P6" i="7"/>
  <c r="P21" i="7" s="1"/>
  <c r="O6" i="7"/>
  <c r="N6" i="7"/>
  <c r="M6" i="7"/>
  <c r="L6" i="7"/>
  <c r="K6" i="7"/>
  <c r="J6" i="7"/>
  <c r="I6" i="7"/>
  <c r="H6" i="7"/>
  <c r="Q5" i="7"/>
  <c r="P5" i="7"/>
  <c r="O5" i="7"/>
  <c r="N5" i="7"/>
  <c r="M5" i="7"/>
  <c r="L5" i="7"/>
  <c r="K5" i="7"/>
  <c r="J5" i="7"/>
  <c r="I5" i="7"/>
  <c r="H5" i="7"/>
  <c r="Q4" i="7"/>
  <c r="P4" i="7"/>
  <c r="L4" i="8" s="1"/>
  <c r="O4" i="7"/>
  <c r="N4" i="7"/>
  <c r="J4" i="8" s="1"/>
  <c r="J23" i="8" s="1"/>
  <c r="M4" i="7"/>
  <c r="L4" i="7"/>
  <c r="L96" i="7" s="1"/>
  <c r="K4" i="7"/>
  <c r="K96" i="7" s="1"/>
  <c r="J4" i="7"/>
  <c r="J21" i="7" s="1"/>
  <c r="I4" i="7"/>
  <c r="H4" i="7"/>
  <c r="D4" i="8" s="1"/>
  <c r="L2" i="7"/>
  <c r="M2" i="7" s="1"/>
  <c r="N2" i="7" s="1"/>
  <c r="O2" i="7" s="1"/>
  <c r="P2" i="7" s="1"/>
  <c r="Q2" i="7" s="1"/>
  <c r="K2" i="7"/>
  <c r="J2" i="7"/>
  <c r="I2" i="7"/>
  <c r="O58" i="5"/>
  <c r="J58" i="5"/>
  <c r="I58" i="5"/>
  <c r="G58" i="5"/>
  <c r="P57" i="5"/>
  <c r="P58" i="5" s="1"/>
  <c r="O57" i="5"/>
  <c r="N57" i="5"/>
  <c r="N58" i="5" s="1"/>
  <c r="M57" i="5"/>
  <c r="M58" i="5" s="1"/>
  <c r="L57" i="5"/>
  <c r="L58" i="5" s="1"/>
  <c r="K57" i="5"/>
  <c r="K58" i="5" s="1"/>
  <c r="J57" i="5"/>
  <c r="I57" i="5"/>
  <c r="H57" i="5"/>
  <c r="H58" i="5" s="1"/>
  <c r="G57" i="5"/>
  <c r="N56" i="5"/>
  <c r="M56" i="5"/>
  <c r="K56" i="5"/>
  <c r="P55" i="5"/>
  <c r="P56" i="5" s="1"/>
  <c r="O55" i="5"/>
  <c r="O56" i="5" s="1"/>
  <c r="N55" i="5"/>
  <c r="M55" i="5"/>
  <c r="L55" i="5"/>
  <c r="L56" i="5" s="1"/>
  <c r="K55" i="5"/>
  <c r="J55" i="5"/>
  <c r="J56" i="5" s="1"/>
  <c r="I55" i="5"/>
  <c r="I56" i="5" s="1"/>
  <c r="H55" i="5"/>
  <c r="H56" i="5" s="1"/>
  <c r="G55" i="5"/>
  <c r="G56" i="5" s="1"/>
  <c r="O54" i="5"/>
  <c r="J54" i="5"/>
  <c r="I54" i="5"/>
  <c r="G54" i="5"/>
  <c r="P53" i="5"/>
  <c r="P54" i="5" s="1"/>
  <c r="O53" i="5"/>
  <c r="N53" i="5"/>
  <c r="N54" i="5" s="1"/>
  <c r="M53" i="5"/>
  <c r="M54" i="5" s="1"/>
  <c r="L53" i="5"/>
  <c r="L54" i="5" s="1"/>
  <c r="K53" i="5"/>
  <c r="K54" i="5" s="1"/>
  <c r="J53" i="5"/>
  <c r="I53" i="5"/>
  <c r="H53" i="5"/>
  <c r="H54" i="5" s="1"/>
  <c r="G53" i="5"/>
  <c r="N52" i="5"/>
  <c r="M52" i="5"/>
  <c r="K52" i="5"/>
  <c r="P51" i="5"/>
  <c r="P52" i="5" s="1"/>
  <c r="O51" i="5"/>
  <c r="O52" i="5" s="1"/>
  <c r="N51" i="5"/>
  <c r="M51" i="5"/>
  <c r="L51" i="5"/>
  <c r="L52" i="5" s="1"/>
  <c r="K51" i="5"/>
  <c r="J51" i="5"/>
  <c r="J52" i="5" s="1"/>
  <c r="I51" i="5"/>
  <c r="I52" i="5" s="1"/>
  <c r="H51" i="5"/>
  <c r="H52" i="5" s="1"/>
  <c r="G51" i="5"/>
  <c r="G52" i="5" s="1"/>
  <c r="O50" i="5"/>
  <c r="J50" i="5"/>
  <c r="I50" i="5"/>
  <c r="G50" i="5"/>
  <c r="P49" i="5"/>
  <c r="P50" i="5" s="1"/>
  <c r="O49" i="5"/>
  <c r="N49" i="5"/>
  <c r="N50" i="5" s="1"/>
  <c r="M49" i="5"/>
  <c r="M50" i="5" s="1"/>
  <c r="L49" i="5"/>
  <c r="L50" i="5" s="1"/>
  <c r="K49" i="5"/>
  <c r="K50" i="5" s="1"/>
  <c r="J49" i="5"/>
  <c r="I49" i="5"/>
  <c r="H49" i="5"/>
  <c r="H50" i="5" s="1"/>
  <c r="G49" i="5"/>
  <c r="N48" i="5"/>
  <c r="M48" i="5"/>
  <c r="K48" i="5"/>
  <c r="P47" i="5"/>
  <c r="P48" i="5" s="1"/>
  <c r="O47" i="5"/>
  <c r="O48" i="5" s="1"/>
  <c r="N47" i="5"/>
  <c r="M47" i="5"/>
  <c r="L47" i="5"/>
  <c r="L48" i="5" s="1"/>
  <c r="K47" i="5"/>
  <c r="J47" i="5"/>
  <c r="J48" i="5" s="1"/>
  <c r="I47" i="5"/>
  <c r="I48" i="5" s="1"/>
  <c r="H47" i="5"/>
  <c r="H48" i="5" s="1"/>
  <c r="G47" i="5"/>
  <c r="G48" i="5" s="1"/>
  <c r="O46" i="5"/>
  <c r="J46" i="5"/>
  <c r="I46" i="5"/>
  <c r="G46" i="5"/>
  <c r="P45" i="5"/>
  <c r="P46" i="5" s="1"/>
  <c r="O45" i="5"/>
  <c r="N45" i="5"/>
  <c r="N46" i="5" s="1"/>
  <c r="M45" i="5"/>
  <c r="M46" i="5" s="1"/>
  <c r="L45" i="5"/>
  <c r="L46" i="5" s="1"/>
  <c r="K45" i="5"/>
  <c r="K46" i="5" s="1"/>
  <c r="J45" i="5"/>
  <c r="I45" i="5"/>
  <c r="H45" i="5"/>
  <c r="H46" i="5" s="1"/>
  <c r="G45" i="5"/>
  <c r="N44" i="5"/>
  <c r="M44" i="5"/>
  <c r="K44" i="5"/>
  <c r="P43" i="5"/>
  <c r="P44" i="5" s="1"/>
  <c r="O43" i="5"/>
  <c r="O44" i="5" s="1"/>
  <c r="N43" i="5"/>
  <c r="M43" i="5"/>
  <c r="L43" i="5"/>
  <c r="L44" i="5" s="1"/>
  <c r="K43" i="5"/>
  <c r="J43" i="5"/>
  <c r="J44" i="5" s="1"/>
  <c r="I43" i="5"/>
  <c r="I44" i="5" s="1"/>
  <c r="H43" i="5"/>
  <c r="H44" i="5" s="1"/>
  <c r="G43" i="5"/>
  <c r="G44" i="5" s="1"/>
  <c r="O42" i="5"/>
  <c r="J42" i="5"/>
  <c r="I42" i="5"/>
  <c r="G42" i="5"/>
  <c r="P41" i="5"/>
  <c r="P42" i="5" s="1"/>
  <c r="O41" i="5"/>
  <c r="N41" i="5"/>
  <c r="N42" i="5" s="1"/>
  <c r="M41" i="5"/>
  <c r="M42" i="5" s="1"/>
  <c r="L41" i="5"/>
  <c r="L42" i="5" s="1"/>
  <c r="K41" i="5"/>
  <c r="K42" i="5" s="1"/>
  <c r="J41" i="5"/>
  <c r="I41" i="5"/>
  <c r="H41" i="5"/>
  <c r="H42" i="5" s="1"/>
  <c r="G41" i="5"/>
  <c r="N39" i="5"/>
  <c r="M39" i="5"/>
  <c r="K39" i="5"/>
  <c r="P38" i="5"/>
  <c r="P39" i="5" s="1"/>
  <c r="O38" i="5"/>
  <c r="O39" i="5" s="1"/>
  <c r="N38" i="5"/>
  <c r="M38" i="5"/>
  <c r="L38" i="5"/>
  <c r="L39" i="5" s="1"/>
  <c r="K38" i="5"/>
  <c r="J38" i="5"/>
  <c r="J39" i="5" s="1"/>
  <c r="I38" i="5"/>
  <c r="I39" i="5" s="1"/>
  <c r="H38" i="5"/>
  <c r="H39" i="5" s="1"/>
  <c r="G38" i="5"/>
  <c r="G39" i="5" s="1"/>
  <c r="O37" i="5"/>
  <c r="J37" i="5"/>
  <c r="I37" i="5"/>
  <c r="G37" i="5"/>
  <c r="P36" i="5"/>
  <c r="P37" i="5" s="1"/>
  <c r="O36" i="5"/>
  <c r="N36" i="5"/>
  <c r="N37" i="5" s="1"/>
  <c r="M36" i="5"/>
  <c r="M37" i="5" s="1"/>
  <c r="L36" i="5"/>
  <c r="L37" i="5" s="1"/>
  <c r="K36" i="5"/>
  <c r="K37" i="5" s="1"/>
  <c r="J36" i="5"/>
  <c r="I36" i="5"/>
  <c r="H36" i="5"/>
  <c r="H37" i="5" s="1"/>
  <c r="G36" i="5"/>
  <c r="N35" i="5"/>
  <c r="M35" i="5"/>
  <c r="K35" i="5"/>
  <c r="P34" i="5"/>
  <c r="P35" i="5" s="1"/>
  <c r="O34" i="5"/>
  <c r="O35" i="5" s="1"/>
  <c r="N34" i="5"/>
  <c r="M34" i="5"/>
  <c r="L34" i="5"/>
  <c r="L35" i="5" s="1"/>
  <c r="K34" i="5"/>
  <c r="J34" i="5"/>
  <c r="J35" i="5" s="1"/>
  <c r="I34" i="5"/>
  <c r="I35" i="5" s="1"/>
  <c r="H34" i="5"/>
  <c r="H35" i="5" s="1"/>
  <c r="G34" i="5"/>
  <c r="G35" i="5" s="1"/>
  <c r="O33" i="5"/>
  <c r="J33" i="5"/>
  <c r="I33" i="5"/>
  <c r="G33" i="5"/>
  <c r="P32" i="5"/>
  <c r="P33" i="5" s="1"/>
  <c r="O32" i="5"/>
  <c r="N32" i="5"/>
  <c r="N33" i="5" s="1"/>
  <c r="M32" i="5"/>
  <c r="M33" i="5" s="1"/>
  <c r="L32" i="5"/>
  <c r="L33" i="5" s="1"/>
  <c r="K32" i="5"/>
  <c r="K33" i="5" s="1"/>
  <c r="J32" i="5"/>
  <c r="I32" i="5"/>
  <c r="H32" i="5"/>
  <c r="H33" i="5" s="1"/>
  <c r="G32" i="5"/>
  <c r="N31" i="5"/>
  <c r="M31" i="5"/>
  <c r="K31" i="5"/>
  <c r="P30" i="5"/>
  <c r="P31" i="5" s="1"/>
  <c r="O30" i="5"/>
  <c r="O31" i="5" s="1"/>
  <c r="N30" i="5"/>
  <c r="M30" i="5"/>
  <c r="L30" i="5"/>
  <c r="L31" i="5" s="1"/>
  <c r="K30" i="5"/>
  <c r="J30" i="5"/>
  <c r="J31" i="5" s="1"/>
  <c r="I30" i="5"/>
  <c r="I31" i="5" s="1"/>
  <c r="H30" i="5"/>
  <c r="H31" i="5" s="1"/>
  <c r="G30" i="5"/>
  <c r="G31" i="5" s="1"/>
  <c r="O29" i="5"/>
  <c r="J29" i="5"/>
  <c r="I29" i="5"/>
  <c r="G29" i="5"/>
  <c r="P28" i="5"/>
  <c r="P29" i="5" s="1"/>
  <c r="O28" i="5"/>
  <c r="N28" i="5"/>
  <c r="N29" i="5" s="1"/>
  <c r="M28" i="5"/>
  <c r="M29" i="5" s="1"/>
  <c r="L28" i="5"/>
  <c r="L29" i="5" s="1"/>
  <c r="K28" i="5"/>
  <c r="K29" i="5" s="1"/>
  <c r="J28" i="5"/>
  <c r="I28" i="5"/>
  <c r="H28" i="5"/>
  <c r="H29" i="5" s="1"/>
  <c r="G28" i="5"/>
  <c r="N27" i="5"/>
  <c r="M27" i="5"/>
  <c r="K27" i="5"/>
  <c r="P26" i="5"/>
  <c r="P27" i="5" s="1"/>
  <c r="O26" i="5"/>
  <c r="O27" i="5" s="1"/>
  <c r="N26" i="5"/>
  <c r="M26" i="5"/>
  <c r="L26" i="5"/>
  <c r="L27" i="5" s="1"/>
  <c r="K26" i="5"/>
  <c r="J26" i="5"/>
  <c r="J27" i="5" s="1"/>
  <c r="I26" i="5"/>
  <c r="I27" i="5" s="1"/>
  <c r="H26" i="5"/>
  <c r="H27" i="5" s="1"/>
  <c r="G26" i="5"/>
  <c r="G27" i="5" s="1"/>
  <c r="O25" i="5"/>
  <c r="J25" i="5"/>
  <c r="I25" i="5"/>
  <c r="G25" i="5"/>
  <c r="P24" i="5"/>
  <c r="P25" i="5" s="1"/>
  <c r="O24" i="5"/>
  <c r="N24" i="5"/>
  <c r="N25" i="5" s="1"/>
  <c r="M24" i="5"/>
  <c r="M25" i="5" s="1"/>
  <c r="L24" i="5"/>
  <c r="L25" i="5" s="1"/>
  <c r="K24" i="5"/>
  <c r="K25" i="5" s="1"/>
  <c r="J24" i="5"/>
  <c r="I24" i="5"/>
  <c r="H24" i="5"/>
  <c r="H25" i="5" s="1"/>
  <c r="G24" i="5"/>
  <c r="P22" i="5"/>
  <c r="O22" i="5"/>
  <c r="N22" i="5"/>
  <c r="M22" i="5"/>
  <c r="L22" i="5"/>
  <c r="K22" i="5"/>
  <c r="J22" i="5"/>
  <c r="I22" i="5"/>
  <c r="H22" i="5"/>
  <c r="G22" i="5"/>
  <c r="J17" i="5"/>
  <c r="I17" i="5"/>
  <c r="S6" i="5"/>
  <c r="K6" i="5"/>
  <c r="O63" i="4"/>
  <c r="N63" i="4"/>
  <c r="I63" i="4"/>
  <c r="H63" i="4"/>
  <c r="G63" i="4"/>
  <c r="F63" i="4"/>
  <c r="F61" i="4"/>
  <c r="G61" i="4" s="1"/>
  <c r="I61" i="4" s="1"/>
  <c r="O60" i="4"/>
  <c r="N60" i="4"/>
  <c r="M60" i="4"/>
  <c r="M63" i="4" s="1"/>
  <c r="L60" i="4"/>
  <c r="L63" i="4" s="1"/>
  <c r="K60" i="4"/>
  <c r="K63" i="4" s="1"/>
  <c r="J60" i="4"/>
  <c r="J63" i="4" s="1"/>
  <c r="I60" i="4"/>
  <c r="H60" i="4"/>
  <c r="G60" i="4"/>
  <c r="F60" i="4"/>
  <c r="E60" i="4"/>
  <c r="D60" i="4"/>
  <c r="C60" i="4"/>
  <c r="B60" i="4"/>
  <c r="M59" i="4"/>
  <c r="L59" i="4"/>
  <c r="K59" i="4"/>
  <c r="J59" i="4"/>
  <c r="F57" i="4"/>
  <c r="H57" i="4" s="1"/>
  <c r="J57" i="4" s="1"/>
  <c r="O56" i="4"/>
  <c r="O59" i="4" s="1"/>
  <c r="N56" i="4"/>
  <c r="N59" i="4" s="1"/>
  <c r="M56" i="4"/>
  <c r="L56" i="4"/>
  <c r="K56" i="4"/>
  <c r="J56" i="4"/>
  <c r="I56" i="4"/>
  <c r="I59" i="4" s="1"/>
  <c r="H56" i="4"/>
  <c r="H59" i="4" s="1"/>
  <c r="G56" i="4"/>
  <c r="G59" i="4" s="1"/>
  <c r="F56" i="4"/>
  <c r="F59" i="4" s="1"/>
  <c r="E56" i="4"/>
  <c r="D56" i="4"/>
  <c r="C56" i="4"/>
  <c r="B56" i="4"/>
  <c r="O55" i="4"/>
  <c r="N55" i="4"/>
  <c r="I55" i="4"/>
  <c r="H55" i="4"/>
  <c r="G55" i="4"/>
  <c r="F55" i="4"/>
  <c r="F53" i="4"/>
  <c r="G53" i="4" s="1"/>
  <c r="I53" i="4" s="1"/>
  <c r="O52" i="4"/>
  <c r="N52" i="4"/>
  <c r="M52" i="4"/>
  <c r="M55" i="4" s="1"/>
  <c r="L52" i="4"/>
  <c r="L55" i="4" s="1"/>
  <c r="K52" i="4"/>
  <c r="K55" i="4" s="1"/>
  <c r="J52" i="4"/>
  <c r="J55" i="4" s="1"/>
  <c r="I52" i="4"/>
  <c r="H52" i="4"/>
  <c r="G52" i="4"/>
  <c r="F52" i="4"/>
  <c r="E52" i="4"/>
  <c r="D52" i="4"/>
  <c r="C52" i="4"/>
  <c r="B52" i="4"/>
  <c r="L51" i="4"/>
  <c r="K51" i="4"/>
  <c r="J51" i="4"/>
  <c r="F49" i="4"/>
  <c r="H49" i="4" s="1"/>
  <c r="J49" i="4" s="1"/>
  <c r="L49" i="4" s="1"/>
  <c r="L48" i="4"/>
  <c r="K48" i="4"/>
  <c r="J48" i="4"/>
  <c r="I48" i="4"/>
  <c r="I51" i="4" s="1"/>
  <c r="H48" i="4"/>
  <c r="H51" i="4" s="1"/>
  <c r="G48" i="4"/>
  <c r="G51" i="4" s="1"/>
  <c r="F48" i="4"/>
  <c r="F51" i="4" s="1"/>
  <c r="E48" i="4"/>
  <c r="D48" i="4"/>
  <c r="C48" i="4"/>
  <c r="B48" i="4"/>
  <c r="O47" i="4"/>
  <c r="N47" i="4"/>
  <c r="I47" i="4"/>
  <c r="H47" i="4"/>
  <c r="G47" i="4"/>
  <c r="F47" i="4"/>
  <c r="H46" i="4"/>
  <c r="J45" i="4"/>
  <c r="L45" i="4" s="1"/>
  <c r="N45" i="4" s="1"/>
  <c r="H45" i="4"/>
  <c r="F45" i="4"/>
  <c r="G45" i="4" s="1"/>
  <c r="I45" i="4" s="1"/>
  <c r="O44" i="4"/>
  <c r="N44" i="4"/>
  <c r="M44" i="4"/>
  <c r="M47" i="4" s="1"/>
  <c r="L44" i="4"/>
  <c r="L47" i="4" s="1"/>
  <c r="K44" i="4"/>
  <c r="K47" i="4" s="1"/>
  <c r="J44" i="4"/>
  <c r="J47" i="4" s="1"/>
  <c r="I44" i="4"/>
  <c r="H44" i="4"/>
  <c r="G44" i="4"/>
  <c r="G46" i="4" s="1"/>
  <c r="F44" i="4"/>
  <c r="F46" i="4" s="1"/>
  <c r="E44" i="4"/>
  <c r="D44" i="4"/>
  <c r="C44" i="4"/>
  <c r="B44" i="4"/>
  <c r="M43" i="4"/>
  <c r="L43" i="4"/>
  <c r="K43" i="4"/>
  <c r="J43" i="4"/>
  <c r="F41" i="4"/>
  <c r="H41" i="4" s="1"/>
  <c r="J41" i="4" s="1"/>
  <c r="L41" i="4" s="1"/>
  <c r="N40" i="4"/>
  <c r="N43" i="4" s="1"/>
  <c r="M40" i="4"/>
  <c r="L40" i="4"/>
  <c r="K40" i="4"/>
  <c r="J40" i="4"/>
  <c r="I40" i="4"/>
  <c r="I43" i="4" s="1"/>
  <c r="H40" i="4"/>
  <c r="H43" i="4" s="1"/>
  <c r="G40" i="4"/>
  <c r="G43" i="4" s="1"/>
  <c r="F40" i="4"/>
  <c r="F43" i="4" s="1"/>
  <c r="E40" i="4"/>
  <c r="D40" i="4"/>
  <c r="C40" i="4"/>
  <c r="B40" i="4"/>
  <c r="O39" i="4"/>
  <c r="N39" i="4"/>
  <c r="I39" i="4"/>
  <c r="H39" i="4"/>
  <c r="G39" i="4"/>
  <c r="F39" i="4"/>
  <c r="F37" i="4"/>
  <c r="G37" i="4" s="1"/>
  <c r="I37" i="4" s="1"/>
  <c r="O36" i="4"/>
  <c r="N36" i="4"/>
  <c r="M36" i="4"/>
  <c r="M39" i="4" s="1"/>
  <c r="L36" i="4"/>
  <c r="L39" i="4" s="1"/>
  <c r="K36" i="4"/>
  <c r="K39" i="4" s="1"/>
  <c r="J36" i="4"/>
  <c r="J39" i="4" s="1"/>
  <c r="I36" i="4"/>
  <c r="H36" i="4"/>
  <c r="G36" i="4"/>
  <c r="F36" i="4"/>
  <c r="E36" i="4"/>
  <c r="D36" i="4"/>
  <c r="C36" i="4"/>
  <c r="B36" i="4"/>
  <c r="M35" i="4"/>
  <c r="L35" i="4"/>
  <c r="K35" i="4"/>
  <c r="J35" i="4"/>
  <c r="F33" i="4"/>
  <c r="F34" i="4" s="1"/>
  <c r="O32" i="4"/>
  <c r="O35" i="4" s="1"/>
  <c r="N32" i="4"/>
  <c r="N35" i="4" s="1"/>
  <c r="M32" i="4"/>
  <c r="L32" i="4"/>
  <c r="K32" i="4"/>
  <c r="J32" i="4"/>
  <c r="I32" i="4"/>
  <c r="I35" i="4" s="1"/>
  <c r="H32" i="4"/>
  <c r="H35" i="4" s="1"/>
  <c r="G32" i="4"/>
  <c r="G35" i="4" s="1"/>
  <c r="F32" i="4"/>
  <c r="F35" i="4" s="1"/>
  <c r="E32" i="4"/>
  <c r="D32" i="4"/>
  <c r="C32" i="4"/>
  <c r="B32" i="4"/>
  <c r="O31" i="4"/>
  <c r="N31" i="4"/>
  <c r="M31" i="4"/>
  <c r="L31" i="4"/>
  <c r="K31" i="4"/>
  <c r="J31" i="4"/>
  <c r="I31" i="4"/>
  <c r="H31" i="4"/>
  <c r="G31" i="4"/>
  <c r="F31" i="4"/>
  <c r="P26" i="4"/>
  <c r="O26" i="4"/>
  <c r="N26" i="4"/>
  <c r="M26" i="4"/>
  <c r="L26" i="4"/>
  <c r="K26" i="4"/>
  <c r="J26" i="4"/>
  <c r="I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F12" i="4"/>
  <c r="E12" i="4"/>
  <c r="F11" i="4"/>
  <c r="E11" i="4" s="1"/>
  <c r="F10" i="4"/>
  <c r="E10" i="4" s="1"/>
  <c r="F9" i="4"/>
  <c r="E9" i="4" s="1"/>
  <c r="F8" i="4"/>
  <c r="E8" i="4" s="1"/>
  <c r="F7" i="4"/>
  <c r="E7" i="4" s="1"/>
  <c r="F6" i="4"/>
  <c r="E6" i="4" s="1"/>
  <c r="F5" i="4"/>
  <c r="I29" i="4" s="1"/>
  <c r="D62" i="1"/>
  <c r="K61" i="1"/>
  <c r="J61" i="1"/>
  <c r="I61" i="1"/>
  <c r="H61" i="1"/>
  <c r="G61" i="1"/>
  <c r="D61" i="1"/>
  <c r="K60" i="1"/>
  <c r="I60" i="1"/>
  <c r="D60" i="1"/>
  <c r="O59" i="1"/>
  <c r="N59" i="1"/>
  <c r="M59" i="1"/>
  <c r="L59" i="1"/>
  <c r="K59" i="1"/>
  <c r="J59" i="1"/>
  <c r="I59" i="1"/>
  <c r="H59" i="1"/>
  <c r="H107" i="2" s="1"/>
  <c r="H108" i="2" s="1"/>
  <c r="H109" i="2" s="1"/>
  <c r="G59" i="1"/>
  <c r="F59" i="1"/>
  <c r="D59" i="1"/>
  <c r="I58" i="1"/>
  <c r="D58" i="1"/>
  <c r="O57" i="1"/>
  <c r="N57" i="1"/>
  <c r="M57" i="1"/>
  <c r="L57" i="1"/>
  <c r="K57" i="1"/>
  <c r="K102" i="2" s="1"/>
  <c r="K103" i="2" s="1"/>
  <c r="J57" i="1"/>
  <c r="I57" i="1"/>
  <c r="I63" i="1" s="1"/>
  <c r="H57" i="1"/>
  <c r="G57" i="1"/>
  <c r="F57" i="1"/>
  <c r="D57" i="1"/>
  <c r="B57" i="1"/>
  <c r="O54" i="1"/>
  <c r="N54" i="1"/>
  <c r="M54" i="1"/>
  <c r="L54" i="1"/>
  <c r="K54" i="1"/>
  <c r="J54" i="1"/>
  <c r="I54" i="1"/>
  <c r="H54" i="1"/>
  <c r="G54" i="1"/>
  <c r="F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O39" i="1"/>
  <c r="N39" i="1"/>
  <c r="M39" i="1"/>
  <c r="L39" i="1"/>
  <c r="K39" i="1"/>
  <c r="J39" i="1"/>
  <c r="I39" i="1"/>
  <c r="I24" i="2" s="1"/>
  <c r="I25" i="2" s="1"/>
  <c r="H39" i="1"/>
  <c r="G39" i="1"/>
  <c r="F39" i="1"/>
  <c r="B38" i="1"/>
  <c r="B37" i="1"/>
  <c r="B36" i="1"/>
  <c r="B35" i="1"/>
  <c r="D34" i="1"/>
  <c r="N32" i="1"/>
  <c r="M32" i="1"/>
  <c r="H32" i="1"/>
  <c r="F32" i="1"/>
  <c r="O31" i="1"/>
  <c r="N31" i="1"/>
  <c r="M31" i="1"/>
  <c r="L31" i="1"/>
  <c r="K31" i="1"/>
  <c r="J31" i="1"/>
  <c r="J32" i="1" s="1"/>
  <c r="I31" i="1"/>
  <c r="H31" i="1"/>
  <c r="G31" i="1"/>
  <c r="F31" i="1"/>
  <c r="B30" i="1"/>
  <c r="B29" i="1"/>
  <c r="B28" i="1"/>
  <c r="O25" i="1"/>
  <c r="N25" i="1"/>
  <c r="M25" i="1"/>
  <c r="L25" i="1"/>
  <c r="L32" i="1" s="1"/>
  <c r="K25" i="1"/>
  <c r="K32" i="1" s="1"/>
  <c r="J25" i="1"/>
  <c r="I25" i="1"/>
  <c r="I32" i="1" s="1"/>
  <c r="H25" i="1"/>
  <c r="G25" i="1"/>
  <c r="F25" i="1"/>
  <c r="B23" i="1"/>
  <c r="B22" i="1"/>
  <c r="B21" i="1"/>
  <c r="B20" i="1"/>
  <c r="B19" i="1"/>
  <c r="B18" i="1"/>
  <c r="B17" i="1"/>
  <c r="B39" i="2" s="1"/>
  <c r="B16" i="1"/>
  <c r="B15" i="1"/>
  <c r="D14" i="1"/>
  <c r="K11" i="1"/>
  <c r="N10" i="1"/>
  <c r="N76" i="1" s="1"/>
  <c r="M10" i="1"/>
  <c r="M76" i="1" s="1"/>
  <c r="K10" i="1"/>
  <c r="K76" i="1" s="1"/>
  <c r="J10" i="1"/>
  <c r="J76" i="1" s="1"/>
  <c r="F10" i="1"/>
  <c r="F76" i="1" s="1"/>
  <c r="O9" i="1"/>
  <c r="N9" i="1"/>
  <c r="N11" i="1" s="1"/>
  <c r="M9" i="1"/>
  <c r="L9" i="1"/>
  <c r="K9" i="1"/>
  <c r="J9" i="1"/>
  <c r="J11" i="1" s="1"/>
  <c r="I9" i="1"/>
  <c r="H9" i="1"/>
  <c r="G9" i="1"/>
  <c r="F9" i="1"/>
  <c r="F11" i="1" s="1"/>
  <c r="I4" i="1"/>
  <c r="J4" i="1" s="1"/>
  <c r="K4" i="1" s="1"/>
  <c r="L4" i="1" s="1"/>
  <c r="M4" i="1" s="1"/>
  <c r="N4" i="1" s="1"/>
  <c r="O4" i="1" s="1"/>
  <c r="O3" i="2" s="1"/>
  <c r="F4" i="1"/>
  <c r="G4" i="1" s="1"/>
  <c r="H4" i="1" s="1"/>
  <c r="D3" i="1"/>
  <c r="E1" i="1"/>
  <c r="D229" i="2"/>
  <c r="E229" i="2" s="1"/>
  <c r="F229" i="2" s="1"/>
  <c r="G229" i="2" s="1"/>
  <c r="H229" i="2" s="1"/>
  <c r="I229" i="2" s="1"/>
  <c r="J229" i="2" s="1"/>
  <c r="K229" i="2" s="1"/>
  <c r="L229" i="2" s="1"/>
  <c r="H158" i="2"/>
  <c r="O145" i="2"/>
  <c r="N145" i="2"/>
  <c r="M145" i="2"/>
  <c r="L145" i="2"/>
  <c r="K145" i="2"/>
  <c r="J145" i="2"/>
  <c r="I145" i="2"/>
  <c r="H145" i="2"/>
  <c r="G145" i="2"/>
  <c r="F145" i="2"/>
  <c r="B124" i="2"/>
  <c r="B121" i="2"/>
  <c r="O118" i="2"/>
  <c r="N118" i="2"/>
  <c r="M118" i="2"/>
  <c r="L118" i="2"/>
  <c r="G118" i="2"/>
  <c r="F118" i="2"/>
  <c r="O117" i="2"/>
  <c r="N117" i="2"/>
  <c r="J117" i="2"/>
  <c r="H117" i="2"/>
  <c r="G117" i="2"/>
  <c r="F117" i="2"/>
  <c r="O116" i="2"/>
  <c r="N116" i="2"/>
  <c r="M116" i="2"/>
  <c r="M117" i="2" s="1"/>
  <c r="L116" i="2"/>
  <c r="L117" i="2" s="1"/>
  <c r="K116" i="2"/>
  <c r="K118" i="2" s="1"/>
  <c r="J116" i="2"/>
  <c r="J118" i="2" s="1"/>
  <c r="I116" i="2"/>
  <c r="I117" i="2" s="1"/>
  <c r="H116" i="2"/>
  <c r="H118" i="2" s="1"/>
  <c r="G116" i="2"/>
  <c r="F116" i="2"/>
  <c r="H114" i="2"/>
  <c r="K113" i="2"/>
  <c r="K114" i="2" s="1"/>
  <c r="J113" i="2"/>
  <c r="J114" i="2" s="1"/>
  <c r="J152" i="2" s="1"/>
  <c r="J153" i="2" s="1"/>
  <c r="I113" i="2"/>
  <c r="I114" i="2" s="1"/>
  <c r="H113" i="2"/>
  <c r="G113" i="2"/>
  <c r="G114" i="2" s="1"/>
  <c r="F113" i="2"/>
  <c r="F114" i="2" s="1"/>
  <c r="K111" i="2"/>
  <c r="K157" i="2" s="1"/>
  <c r="K158" i="2" s="1"/>
  <c r="K110" i="2"/>
  <c r="I110" i="2"/>
  <c r="I111" i="2" s="1"/>
  <c r="H110" i="2"/>
  <c r="H111" i="2" s="1"/>
  <c r="H157" i="2" s="1"/>
  <c r="F109" i="2"/>
  <c r="I108" i="2"/>
  <c r="I109" i="2" s="1"/>
  <c r="O107" i="2"/>
  <c r="O108" i="2" s="1"/>
  <c r="O109" i="2" s="1"/>
  <c r="N107" i="2"/>
  <c r="N108" i="2" s="1"/>
  <c r="N109" i="2" s="1"/>
  <c r="M107" i="2"/>
  <c r="M108" i="2" s="1"/>
  <c r="M109" i="2" s="1"/>
  <c r="L107" i="2"/>
  <c r="L108" i="2" s="1"/>
  <c r="L109" i="2" s="1"/>
  <c r="K107" i="2"/>
  <c r="K108" i="2" s="1"/>
  <c r="K109" i="2" s="1"/>
  <c r="J107" i="2"/>
  <c r="J108" i="2" s="1"/>
  <c r="J109" i="2" s="1"/>
  <c r="I107" i="2"/>
  <c r="G107" i="2"/>
  <c r="G108" i="2" s="1"/>
  <c r="G109" i="2" s="1"/>
  <c r="F107" i="2"/>
  <c r="F108" i="2" s="1"/>
  <c r="B107" i="2"/>
  <c r="I105" i="2"/>
  <c r="I106" i="2" s="1"/>
  <c r="I104" i="2"/>
  <c r="B104" i="2"/>
  <c r="N103" i="2"/>
  <c r="M103" i="2"/>
  <c r="L103" i="2"/>
  <c r="O102" i="2"/>
  <c r="O103" i="2" s="1"/>
  <c r="N102" i="2"/>
  <c r="M102" i="2"/>
  <c r="L102" i="2"/>
  <c r="J102" i="2"/>
  <c r="J103" i="2" s="1"/>
  <c r="I102" i="2"/>
  <c r="I103" i="2" s="1"/>
  <c r="H102" i="2"/>
  <c r="H103" i="2" s="1"/>
  <c r="G102" i="2"/>
  <c r="G103" i="2" s="1"/>
  <c r="F102" i="2"/>
  <c r="F103" i="2" s="1"/>
  <c r="B102" i="2"/>
  <c r="M99" i="2"/>
  <c r="O98" i="2"/>
  <c r="O99" i="2" s="1"/>
  <c r="N98" i="2"/>
  <c r="N99" i="2" s="1"/>
  <c r="M98" i="2"/>
  <c r="L98" i="2"/>
  <c r="L99" i="2" s="1"/>
  <c r="H98" i="2"/>
  <c r="H99" i="2" s="1"/>
  <c r="G98" i="2"/>
  <c r="G99" i="2" s="1"/>
  <c r="F98" i="2"/>
  <c r="F99" i="2" s="1"/>
  <c r="O97" i="2"/>
  <c r="N97" i="2"/>
  <c r="M97" i="2"/>
  <c r="I97" i="2"/>
  <c r="H97" i="2"/>
  <c r="G97" i="2"/>
  <c r="F97" i="2"/>
  <c r="O95" i="2"/>
  <c r="H95" i="2"/>
  <c r="G95" i="2"/>
  <c r="O94" i="2"/>
  <c r="N94" i="2"/>
  <c r="N95" i="2" s="1"/>
  <c r="M94" i="2"/>
  <c r="M95" i="2" s="1"/>
  <c r="L94" i="2"/>
  <c r="L97" i="2" s="1"/>
  <c r="K94" i="2"/>
  <c r="K97" i="2" s="1"/>
  <c r="J94" i="2"/>
  <c r="J95" i="2" s="1"/>
  <c r="I94" i="2"/>
  <c r="I98" i="2" s="1"/>
  <c r="I99" i="2" s="1"/>
  <c r="H94" i="2"/>
  <c r="G94" i="2"/>
  <c r="F94" i="2"/>
  <c r="F95" i="2" s="1"/>
  <c r="B94" i="2"/>
  <c r="H93" i="2"/>
  <c r="O92" i="2"/>
  <c r="O93" i="2" s="1"/>
  <c r="K92" i="2"/>
  <c r="K93" i="2" s="1"/>
  <c r="J92" i="2"/>
  <c r="J93" i="2" s="1"/>
  <c r="I92" i="2"/>
  <c r="I93" i="2" s="1"/>
  <c r="H92" i="2"/>
  <c r="G92" i="2"/>
  <c r="G93" i="2" s="1"/>
  <c r="F92" i="2"/>
  <c r="F93" i="2" s="1"/>
  <c r="L91" i="2"/>
  <c r="K91" i="2"/>
  <c r="J91" i="2"/>
  <c r="I91" i="2"/>
  <c r="H91" i="2"/>
  <c r="L89" i="2"/>
  <c r="K89" i="2"/>
  <c r="J89" i="2"/>
  <c r="O88" i="2"/>
  <c r="O91" i="2" s="1"/>
  <c r="N88" i="2"/>
  <c r="N91" i="2" s="1"/>
  <c r="M88" i="2"/>
  <c r="M89" i="2" s="1"/>
  <c r="L88" i="2"/>
  <c r="L92" i="2" s="1"/>
  <c r="L93" i="2" s="1"/>
  <c r="K88" i="2"/>
  <c r="J88" i="2"/>
  <c r="I88" i="2"/>
  <c r="I89" i="2" s="1"/>
  <c r="H88" i="2"/>
  <c r="H89" i="2" s="1"/>
  <c r="G88" i="2"/>
  <c r="G91" i="2" s="1"/>
  <c r="F88" i="2"/>
  <c r="F91" i="2" s="1"/>
  <c r="B88" i="2"/>
  <c r="K87" i="2"/>
  <c r="I87" i="2"/>
  <c r="G87" i="2"/>
  <c r="L86" i="2"/>
  <c r="L87" i="2" s="1"/>
  <c r="K86" i="2"/>
  <c r="J86" i="2"/>
  <c r="J87" i="2" s="1"/>
  <c r="I86" i="2"/>
  <c r="O85" i="2"/>
  <c r="M85" i="2"/>
  <c r="L85" i="2"/>
  <c r="K85" i="2"/>
  <c r="G85" i="2"/>
  <c r="O82" i="2"/>
  <c r="O86" i="2" s="1"/>
  <c r="O87" i="2" s="1"/>
  <c r="N82" i="2"/>
  <c r="N85" i="2" s="1"/>
  <c r="M82" i="2"/>
  <c r="M86" i="2" s="1"/>
  <c r="M87" i="2" s="1"/>
  <c r="L82" i="2"/>
  <c r="K82" i="2"/>
  <c r="J82" i="2"/>
  <c r="J85" i="2" s="1"/>
  <c r="I82" i="2"/>
  <c r="I85" i="2" s="1"/>
  <c r="H82" i="2"/>
  <c r="H86" i="2" s="1"/>
  <c r="H87" i="2" s="1"/>
  <c r="G82" i="2"/>
  <c r="G86" i="2" s="1"/>
  <c r="F82" i="2"/>
  <c r="B82" i="2"/>
  <c r="N79" i="2"/>
  <c r="M79" i="2"/>
  <c r="L79" i="2"/>
  <c r="K79" i="2"/>
  <c r="J79" i="2"/>
  <c r="I79" i="2"/>
  <c r="H79" i="2"/>
  <c r="F79" i="2"/>
  <c r="B79" i="2"/>
  <c r="O78" i="2"/>
  <c r="N78" i="2"/>
  <c r="M78" i="2"/>
  <c r="L78" i="2"/>
  <c r="F78" i="2"/>
  <c r="O77" i="2"/>
  <c r="N77" i="2"/>
  <c r="M77" i="2"/>
  <c r="G77" i="2"/>
  <c r="F77" i="2"/>
  <c r="O74" i="2"/>
  <c r="N74" i="2"/>
  <c r="M74" i="2"/>
  <c r="L74" i="2"/>
  <c r="L77" i="2" s="1"/>
  <c r="K74" i="2"/>
  <c r="K77" i="2" s="1"/>
  <c r="J74" i="2"/>
  <c r="J78" i="2" s="1"/>
  <c r="I74" i="2"/>
  <c r="I78" i="2" s="1"/>
  <c r="H74" i="2"/>
  <c r="G74" i="2"/>
  <c r="G78" i="2" s="1"/>
  <c r="F74" i="2"/>
  <c r="B74" i="2"/>
  <c r="N73" i="2"/>
  <c r="M73" i="2"/>
  <c r="L73" i="2"/>
  <c r="K73" i="2"/>
  <c r="F73" i="2"/>
  <c r="M72" i="2"/>
  <c r="L72" i="2"/>
  <c r="H72" i="2"/>
  <c r="O69" i="2"/>
  <c r="N69" i="2"/>
  <c r="N72" i="2" s="1"/>
  <c r="M69" i="2"/>
  <c r="L69" i="2"/>
  <c r="K69" i="2"/>
  <c r="K72" i="2" s="1"/>
  <c r="J69" i="2"/>
  <c r="J72" i="2" s="1"/>
  <c r="I69" i="2"/>
  <c r="I73" i="2" s="1"/>
  <c r="H69" i="2"/>
  <c r="H73" i="2" s="1"/>
  <c r="G69" i="2"/>
  <c r="F69" i="2"/>
  <c r="F72" i="2" s="1"/>
  <c r="B69" i="2"/>
  <c r="N68" i="2"/>
  <c r="M68" i="2"/>
  <c r="L68" i="2"/>
  <c r="K68" i="2"/>
  <c r="J68" i="2"/>
  <c r="I68" i="2"/>
  <c r="F68" i="2"/>
  <c r="O67" i="2"/>
  <c r="N67" i="2"/>
  <c r="M67" i="2"/>
  <c r="L67" i="2"/>
  <c r="K67" i="2"/>
  <c r="F67" i="2"/>
  <c r="O65" i="2"/>
  <c r="N65" i="2"/>
  <c r="M65" i="2"/>
  <c r="G65" i="2"/>
  <c r="F65" i="2"/>
  <c r="O64" i="2"/>
  <c r="O68" i="2" s="1"/>
  <c r="N64" i="2"/>
  <c r="M64" i="2"/>
  <c r="L64" i="2"/>
  <c r="L65" i="2" s="1"/>
  <c r="K64" i="2"/>
  <c r="K65" i="2" s="1"/>
  <c r="J64" i="2"/>
  <c r="J67" i="2" s="1"/>
  <c r="I64" i="2"/>
  <c r="I67" i="2" s="1"/>
  <c r="H64" i="2"/>
  <c r="G64" i="2"/>
  <c r="G68" i="2" s="1"/>
  <c r="F64" i="2"/>
  <c r="B64" i="2"/>
  <c r="O63" i="2"/>
  <c r="N63" i="2"/>
  <c r="M63" i="2"/>
  <c r="L63" i="2"/>
  <c r="K63" i="2"/>
  <c r="G63" i="2"/>
  <c r="F63" i="2"/>
  <c r="O62" i="2"/>
  <c r="N62" i="2"/>
  <c r="M62" i="2"/>
  <c r="L62" i="2"/>
  <c r="G62" i="2"/>
  <c r="F62" i="2"/>
  <c r="O60" i="2"/>
  <c r="N60" i="2"/>
  <c r="G60" i="2"/>
  <c r="F60" i="2"/>
  <c r="O59" i="2"/>
  <c r="N59" i="2"/>
  <c r="M59" i="2"/>
  <c r="M60" i="2" s="1"/>
  <c r="L59" i="2"/>
  <c r="L60" i="2" s="1"/>
  <c r="K59" i="2"/>
  <c r="K62" i="2" s="1"/>
  <c r="J59" i="2"/>
  <c r="J62" i="2" s="1"/>
  <c r="I59" i="2"/>
  <c r="H59" i="2"/>
  <c r="H63" i="2" s="1"/>
  <c r="G59" i="2"/>
  <c r="F59" i="2"/>
  <c r="B59" i="2"/>
  <c r="O58" i="2"/>
  <c r="L58" i="2"/>
  <c r="H58" i="2"/>
  <c r="O57" i="2"/>
  <c r="N57" i="2"/>
  <c r="M57" i="2"/>
  <c r="I57" i="2"/>
  <c r="H57" i="2"/>
  <c r="G57" i="2"/>
  <c r="F57" i="2"/>
  <c r="O55" i="2"/>
  <c r="N55" i="2"/>
  <c r="M55" i="2"/>
  <c r="L55" i="2"/>
  <c r="K55" i="2"/>
  <c r="J55" i="2"/>
  <c r="I55" i="2"/>
  <c r="H55" i="2"/>
  <c r="G55" i="2"/>
  <c r="F55" i="2"/>
  <c r="O54" i="2"/>
  <c r="N54" i="2"/>
  <c r="N58" i="2" s="1"/>
  <c r="M54" i="2"/>
  <c r="M58" i="2" s="1"/>
  <c r="L54" i="2"/>
  <c r="L57" i="2" s="1"/>
  <c r="K54" i="2"/>
  <c r="K57" i="2" s="1"/>
  <c r="J54" i="2"/>
  <c r="I54" i="2"/>
  <c r="I58" i="2" s="1"/>
  <c r="H54" i="2"/>
  <c r="G54" i="2"/>
  <c r="G58" i="2" s="1"/>
  <c r="F54" i="2"/>
  <c r="F58" i="2" s="1"/>
  <c r="B54" i="2"/>
  <c r="N53" i="2"/>
  <c r="M53" i="2"/>
  <c r="L53" i="2"/>
  <c r="I53" i="2"/>
  <c r="O52" i="2"/>
  <c r="N52" i="2"/>
  <c r="L52" i="2"/>
  <c r="I52" i="2"/>
  <c r="G52" i="2"/>
  <c r="L50" i="2"/>
  <c r="I50" i="2"/>
  <c r="F50" i="2"/>
  <c r="O49" i="2"/>
  <c r="O53" i="2" s="1"/>
  <c r="N49" i="2"/>
  <c r="N50" i="2" s="1"/>
  <c r="M49" i="2"/>
  <c r="M52" i="2" s="1"/>
  <c r="L49" i="2"/>
  <c r="K49" i="2"/>
  <c r="J49" i="2"/>
  <c r="J50" i="2" s="1"/>
  <c r="I49" i="2"/>
  <c r="H49" i="2"/>
  <c r="H50" i="2" s="1"/>
  <c r="G49" i="2"/>
  <c r="G53" i="2" s="1"/>
  <c r="F49" i="2"/>
  <c r="F53" i="2" s="1"/>
  <c r="B49" i="2"/>
  <c r="O48" i="2"/>
  <c r="N48" i="2"/>
  <c r="M48" i="2"/>
  <c r="I48" i="2"/>
  <c r="H48" i="2"/>
  <c r="G48" i="2"/>
  <c r="O47" i="2"/>
  <c r="M47" i="2"/>
  <c r="K47" i="2"/>
  <c r="I47" i="2"/>
  <c r="H47" i="2"/>
  <c r="G47" i="2"/>
  <c r="O44" i="2"/>
  <c r="N44" i="2"/>
  <c r="N47" i="2" s="1"/>
  <c r="M44" i="2"/>
  <c r="L44" i="2"/>
  <c r="K44" i="2"/>
  <c r="K48" i="2" s="1"/>
  <c r="J44" i="2"/>
  <c r="J48" i="2" s="1"/>
  <c r="I44" i="2"/>
  <c r="H44" i="2"/>
  <c r="G44" i="2"/>
  <c r="F44" i="2"/>
  <c r="F47" i="2" s="1"/>
  <c r="B44" i="2"/>
  <c r="O43" i="2"/>
  <c r="M43" i="2"/>
  <c r="L43" i="2"/>
  <c r="I43" i="2"/>
  <c r="H43" i="2"/>
  <c r="F43" i="2"/>
  <c r="N42" i="2"/>
  <c r="L42" i="2"/>
  <c r="I42" i="2"/>
  <c r="H42" i="2"/>
  <c r="G42" i="2"/>
  <c r="N40" i="2"/>
  <c r="L40" i="2"/>
  <c r="I40" i="2"/>
  <c r="H40" i="2"/>
  <c r="O39" i="2"/>
  <c r="O40" i="2" s="1"/>
  <c r="N39" i="2"/>
  <c r="N43" i="2" s="1"/>
  <c r="M39" i="2"/>
  <c r="M42" i="2" s="1"/>
  <c r="L39" i="2"/>
  <c r="K39" i="2"/>
  <c r="K43" i="2" s="1"/>
  <c r="J39" i="2"/>
  <c r="J42" i="2" s="1"/>
  <c r="I39" i="2"/>
  <c r="H39" i="2"/>
  <c r="G39" i="2"/>
  <c r="G40" i="2" s="1"/>
  <c r="F39" i="2"/>
  <c r="F42" i="2" s="1"/>
  <c r="M38" i="2"/>
  <c r="K38" i="2"/>
  <c r="J38" i="2"/>
  <c r="I38" i="2"/>
  <c r="M37" i="2"/>
  <c r="L37" i="2"/>
  <c r="J37" i="2"/>
  <c r="I37" i="2"/>
  <c r="M35" i="2"/>
  <c r="K35" i="2"/>
  <c r="J35" i="2"/>
  <c r="I35" i="2"/>
  <c r="O34" i="2"/>
  <c r="O38" i="2" s="1"/>
  <c r="N34" i="2"/>
  <c r="N37" i="2" s="1"/>
  <c r="M34" i="2"/>
  <c r="L34" i="2"/>
  <c r="L38" i="2" s="1"/>
  <c r="K34" i="2"/>
  <c r="K37" i="2" s="1"/>
  <c r="J34" i="2"/>
  <c r="I34" i="2"/>
  <c r="H34" i="2"/>
  <c r="H35" i="2" s="1"/>
  <c r="G34" i="2"/>
  <c r="G37" i="2" s="1"/>
  <c r="F34" i="2"/>
  <c r="F37" i="2" s="1"/>
  <c r="B34" i="2"/>
  <c r="O33" i="2"/>
  <c r="L33" i="2"/>
  <c r="J33" i="2"/>
  <c r="I33" i="2"/>
  <c r="H33" i="2"/>
  <c r="F33" i="2"/>
  <c r="L32" i="2"/>
  <c r="J32" i="2"/>
  <c r="I32" i="2"/>
  <c r="G32" i="2"/>
  <c r="L30" i="2"/>
  <c r="K30" i="2"/>
  <c r="I30" i="2"/>
  <c r="H30" i="2"/>
  <c r="O29" i="2"/>
  <c r="O32" i="2" s="1"/>
  <c r="N29" i="2"/>
  <c r="N30" i="2" s="1"/>
  <c r="M29" i="2"/>
  <c r="M33" i="2" s="1"/>
  <c r="L29" i="2"/>
  <c r="K29" i="2"/>
  <c r="K33" i="2" s="1"/>
  <c r="J29" i="2"/>
  <c r="J30" i="2" s="1"/>
  <c r="I29" i="2"/>
  <c r="H29" i="2"/>
  <c r="H32" i="2" s="1"/>
  <c r="G29" i="2"/>
  <c r="G33" i="2" s="1"/>
  <c r="F29" i="2"/>
  <c r="F30" i="2" s="1"/>
  <c r="B29" i="2"/>
  <c r="N25" i="2"/>
  <c r="M25" i="2"/>
  <c r="H25" i="2"/>
  <c r="F25" i="2"/>
  <c r="O24" i="2"/>
  <c r="O25" i="2" s="1"/>
  <c r="N24" i="2"/>
  <c r="M24" i="2"/>
  <c r="L24" i="2"/>
  <c r="L25" i="2" s="1"/>
  <c r="K24" i="2"/>
  <c r="K25" i="2" s="1"/>
  <c r="J24" i="2"/>
  <c r="J25" i="2" s="1"/>
  <c r="H24" i="2"/>
  <c r="G24" i="2"/>
  <c r="G25" i="2" s="1"/>
  <c r="F24" i="2"/>
  <c r="O22" i="2"/>
  <c r="N22" i="2"/>
  <c r="L22" i="2"/>
  <c r="I22" i="2"/>
  <c r="G22" i="2"/>
  <c r="F22" i="2"/>
  <c r="N21" i="2"/>
  <c r="N23" i="2" s="1"/>
  <c r="K21" i="2"/>
  <c r="I21" i="2"/>
  <c r="I23" i="2" s="1"/>
  <c r="H21" i="2"/>
  <c r="H23" i="2" s="1"/>
  <c r="F21" i="2"/>
  <c r="F23" i="2" s="1"/>
  <c r="O20" i="2"/>
  <c r="N20" i="2"/>
  <c r="M20" i="2"/>
  <c r="M22" i="2" s="1"/>
  <c r="L20" i="2"/>
  <c r="K20" i="2"/>
  <c r="K22" i="2" s="1"/>
  <c r="J20" i="2"/>
  <c r="J22" i="2" s="1"/>
  <c r="I20" i="2"/>
  <c r="H20" i="2"/>
  <c r="H22" i="2" s="1"/>
  <c r="G20" i="2"/>
  <c r="F20" i="2"/>
  <c r="O19" i="2"/>
  <c r="O21" i="2" s="1"/>
  <c r="O23" i="2" s="1"/>
  <c r="N19" i="2"/>
  <c r="M19" i="2"/>
  <c r="M21" i="2" s="1"/>
  <c r="M23" i="2" s="1"/>
  <c r="L19" i="2"/>
  <c r="L21" i="2" s="1"/>
  <c r="L23" i="2" s="1"/>
  <c r="K19" i="2"/>
  <c r="J19" i="2"/>
  <c r="J21" i="2" s="1"/>
  <c r="J23" i="2" s="1"/>
  <c r="I19" i="2"/>
  <c r="H19" i="2"/>
  <c r="G19" i="2"/>
  <c r="G21" i="2" s="1"/>
  <c r="G23" i="2" s="1"/>
  <c r="F19" i="2"/>
  <c r="J15" i="2"/>
  <c r="K14" i="2"/>
  <c r="J14" i="2"/>
  <c r="J13" i="2"/>
  <c r="N12" i="2"/>
  <c r="N16" i="2" s="1"/>
  <c r="K12" i="2"/>
  <c r="K15" i="2" s="1"/>
  <c r="J12" i="2"/>
  <c r="J16" i="2" s="1"/>
  <c r="F12" i="2"/>
  <c r="F16" i="2" s="1"/>
  <c r="B12" i="2"/>
  <c r="I11" i="2"/>
  <c r="L10" i="2"/>
  <c r="L11" i="2" s="1"/>
  <c r="K10" i="2"/>
  <c r="K11" i="2" s="1"/>
  <c r="I10" i="2"/>
  <c r="H10" i="2"/>
  <c r="H11" i="2" s="1"/>
  <c r="O8" i="2"/>
  <c r="L8" i="2"/>
  <c r="I8" i="2"/>
  <c r="H8" i="2"/>
  <c r="G8" i="2"/>
  <c r="O7" i="2"/>
  <c r="L7" i="2"/>
  <c r="J7" i="2"/>
  <c r="I7" i="2"/>
  <c r="G7" i="2"/>
  <c r="L6" i="2"/>
  <c r="K6" i="2"/>
  <c r="I6" i="2"/>
  <c r="H6" i="2"/>
  <c r="O5" i="2"/>
  <c r="O10" i="2" s="1"/>
  <c r="O11" i="2" s="1"/>
  <c r="N5" i="2"/>
  <c r="N10" i="2" s="1"/>
  <c r="N11" i="2" s="1"/>
  <c r="M5" i="2"/>
  <c r="M10" i="2" s="1"/>
  <c r="M11" i="2" s="1"/>
  <c r="L5" i="2"/>
  <c r="L9" i="2" s="1"/>
  <c r="K5" i="2"/>
  <c r="K9" i="2" s="1"/>
  <c r="J5" i="2"/>
  <c r="J8" i="2" s="1"/>
  <c r="I5" i="2"/>
  <c r="I9" i="2" s="1"/>
  <c r="H5" i="2"/>
  <c r="H9" i="2" s="1"/>
  <c r="G5" i="2"/>
  <c r="G10" i="2" s="1"/>
  <c r="G11" i="2" s="1"/>
  <c r="F5" i="2"/>
  <c r="F10" i="2" s="1"/>
  <c r="F11" i="2" s="1"/>
  <c r="B5" i="2"/>
  <c r="N3" i="2"/>
  <c r="J3" i="2"/>
  <c r="I3" i="2"/>
  <c r="H3" i="2"/>
  <c r="G3" i="2"/>
  <c r="F3" i="2"/>
  <c r="F128" i="2" s="1"/>
  <c r="G128" i="2" s="1"/>
  <c r="H128" i="2" s="1"/>
  <c r="I128" i="2" s="1"/>
  <c r="J128" i="2" s="1"/>
  <c r="K128" i="2" s="1"/>
  <c r="L128" i="2" s="1"/>
  <c r="M128" i="2" s="1"/>
  <c r="N128" i="2" s="1"/>
  <c r="O128" i="2" s="1"/>
  <c r="G38" i="4" l="1"/>
  <c r="F54" i="4"/>
  <c r="F62" i="4"/>
  <c r="H37" i="4"/>
  <c r="H61" i="4"/>
  <c r="F38" i="4"/>
  <c r="H53" i="4"/>
  <c r="F152" i="2"/>
  <c r="F153" i="2" s="1"/>
  <c r="F115" i="2"/>
  <c r="F178" i="2" s="1"/>
  <c r="F184" i="2" s="1"/>
  <c r="K23" i="2"/>
  <c r="K162" i="2" s="1"/>
  <c r="K163" i="2" s="1"/>
  <c r="L48" i="2"/>
  <c r="L47" i="2"/>
  <c r="J52" i="2"/>
  <c r="F9" i="2"/>
  <c r="N35" i="2"/>
  <c r="K7" i="2"/>
  <c r="G9" i="2"/>
  <c r="N13" i="2"/>
  <c r="H60" i="2"/>
  <c r="L3" i="2"/>
  <c r="G6" i="2"/>
  <c r="M7" i="2"/>
  <c r="K8" i="2"/>
  <c r="N14" i="2"/>
  <c r="G30" i="2"/>
  <c r="O30" i="2"/>
  <c r="M32" i="2"/>
  <c r="H37" i="2"/>
  <c r="G38" i="2"/>
  <c r="K42" i="2"/>
  <c r="J43" i="2"/>
  <c r="F52" i="2"/>
  <c r="F85" i="2"/>
  <c r="F86" i="2"/>
  <c r="F87" i="2" s="1"/>
  <c r="L167" i="2"/>
  <c r="L168" i="2" s="1"/>
  <c r="L42" i="4"/>
  <c r="N41" i="4"/>
  <c r="L50" i="4"/>
  <c r="N49" i="4"/>
  <c r="J58" i="2"/>
  <c r="J57" i="2"/>
  <c r="G43" i="2"/>
  <c r="M6" i="2"/>
  <c r="O9" i="2"/>
  <c r="F13" i="2"/>
  <c r="F35" i="2"/>
  <c r="O37" i="2"/>
  <c r="N38" i="2"/>
  <c r="J40" i="2"/>
  <c r="O6" i="2"/>
  <c r="F14" i="2"/>
  <c r="M3" i="2"/>
  <c r="F7" i="2"/>
  <c r="N7" i="2"/>
  <c r="J9" i="2"/>
  <c r="K16" i="2"/>
  <c r="F32" i="2"/>
  <c r="F136" i="2" s="1"/>
  <c r="N32" i="2"/>
  <c r="N33" i="2"/>
  <c r="H38" i="2"/>
  <c r="M40" i="2"/>
  <c r="H53" i="2"/>
  <c r="J73" i="2"/>
  <c r="H77" i="2"/>
  <c r="H78" i="2"/>
  <c r="K78" i="2"/>
  <c r="I152" i="2"/>
  <c r="I153" i="2" s="1"/>
  <c r="I161" i="2" s="1"/>
  <c r="I115" i="2"/>
  <c r="I178" i="2" s="1"/>
  <c r="I184" i="2" s="1"/>
  <c r="H170" i="2"/>
  <c r="H171" i="2" s="1"/>
  <c r="E230" i="2" s="1"/>
  <c r="M9" i="2"/>
  <c r="M8" i="2"/>
  <c r="F15" i="2"/>
  <c r="H52" i="2"/>
  <c r="O72" i="2"/>
  <c r="O73" i="2"/>
  <c r="I157" i="2"/>
  <c r="I158" i="2" s="1"/>
  <c r="I112" i="2"/>
  <c r="O170" i="2"/>
  <c r="O171" i="2" s="1"/>
  <c r="L230" i="2" s="1"/>
  <c r="G170" i="2"/>
  <c r="G171" i="2" s="1"/>
  <c r="D230" i="2" s="1"/>
  <c r="K167" i="2"/>
  <c r="K168" i="2" s="1"/>
  <c r="O162" i="2"/>
  <c r="O163" i="2" s="1"/>
  <c r="G162" i="2"/>
  <c r="G163" i="2" s="1"/>
  <c r="F170" i="2"/>
  <c r="F171" i="2" s="1"/>
  <c r="C230" i="2" s="1"/>
  <c r="N162" i="2"/>
  <c r="N163" i="2" s="1"/>
  <c r="F162" i="2"/>
  <c r="F163" i="2" s="1"/>
  <c r="L155" i="2"/>
  <c r="L156" i="2" s="1"/>
  <c r="I206" i="2"/>
  <c r="I207" i="2" s="1"/>
  <c r="F231" i="2" s="1"/>
  <c r="L170" i="2"/>
  <c r="L171" i="2" s="1"/>
  <c r="I230" i="2" s="1"/>
  <c r="H167" i="2"/>
  <c r="H168" i="2" s="1"/>
  <c r="L162" i="2"/>
  <c r="L163" i="2" s="1"/>
  <c r="N136" i="2"/>
  <c r="O167" i="2"/>
  <c r="O168" i="2" s="1"/>
  <c r="G167" i="2"/>
  <c r="G168" i="2" s="1"/>
  <c r="I155" i="2"/>
  <c r="I156" i="2" s="1"/>
  <c r="I150" i="2"/>
  <c r="I151" i="2" s="1"/>
  <c r="I159" i="2" s="1"/>
  <c r="I160" i="2" s="1"/>
  <c r="K132" i="2"/>
  <c r="K133" i="2" s="1"/>
  <c r="N167" i="2"/>
  <c r="N168" i="2" s="1"/>
  <c r="F167" i="2"/>
  <c r="F168" i="2" s="1"/>
  <c r="J162" i="2"/>
  <c r="J163" i="2" s="1"/>
  <c r="H155" i="2"/>
  <c r="H156" i="2" s="1"/>
  <c r="L136" i="2"/>
  <c r="J132" i="2"/>
  <c r="J133" i="2" s="1"/>
  <c r="I170" i="2"/>
  <c r="I171" i="2" s="1"/>
  <c r="F230" i="2" s="1"/>
  <c r="M167" i="2"/>
  <c r="M168" i="2" s="1"/>
  <c r="I162" i="2"/>
  <c r="I163" i="2" s="1"/>
  <c r="O155" i="2"/>
  <c r="O156" i="2" s="1"/>
  <c r="G155" i="2"/>
  <c r="G156" i="2" s="1"/>
  <c r="I167" i="2"/>
  <c r="I168" i="2" s="1"/>
  <c r="N132" i="2"/>
  <c r="N133" i="2" s="1"/>
  <c r="M162" i="2"/>
  <c r="M163" i="2" s="1"/>
  <c r="H162" i="2"/>
  <c r="H163" i="2" s="1"/>
  <c r="K155" i="2"/>
  <c r="K156" i="2" s="1"/>
  <c r="J136" i="2"/>
  <c r="N15" i="2"/>
  <c r="G72" i="2"/>
  <c r="G73" i="2"/>
  <c r="J115" i="2"/>
  <c r="J178" i="2" s="1"/>
  <c r="J184" i="2" s="1"/>
  <c r="G32" i="1"/>
  <c r="G79" i="2"/>
  <c r="O32" i="1"/>
  <c r="O79" i="2"/>
  <c r="J6" i="2"/>
  <c r="H7" i="2"/>
  <c r="F8" i="2"/>
  <c r="N8" i="2"/>
  <c r="J10" i="2"/>
  <c r="J11" i="2" s="1"/>
  <c r="J167" i="2" s="1"/>
  <c r="J168" i="2" s="1"/>
  <c r="M12" i="2"/>
  <c r="K13" i="2"/>
  <c r="K129" i="2" s="1"/>
  <c r="K130" i="2" s="1"/>
  <c r="L35" i="2"/>
  <c r="F40" i="2"/>
  <c r="O42" i="2"/>
  <c r="O136" i="2" s="1"/>
  <c r="J47" i="2"/>
  <c r="J53" i="2"/>
  <c r="J63" i="2"/>
  <c r="G67" i="2"/>
  <c r="G136" i="2" s="1"/>
  <c r="I77" i="2"/>
  <c r="F89" i="2"/>
  <c r="N92" i="2"/>
  <c r="N93" i="2" s="1"/>
  <c r="K98" i="2"/>
  <c r="K99" i="2" s="1"/>
  <c r="H112" i="2"/>
  <c r="K152" i="2"/>
  <c r="K153" i="2" s="1"/>
  <c r="K161" i="2" s="1"/>
  <c r="K115" i="2"/>
  <c r="K178" i="2" s="1"/>
  <c r="K184" i="2" s="1"/>
  <c r="J129" i="2"/>
  <c r="J130" i="2" s="1"/>
  <c r="H62" i="2"/>
  <c r="H136" i="2" s="1"/>
  <c r="K58" i="2"/>
  <c r="I60" i="2"/>
  <c r="I63" i="2"/>
  <c r="I62" i="2"/>
  <c r="I136" i="2" s="1"/>
  <c r="I174" i="2"/>
  <c r="N9" i="2"/>
  <c r="M30" i="2"/>
  <c r="I65" i="2"/>
  <c r="F132" i="2"/>
  <c r="F133" i="2" s="1"/>
  <c r="M11" i="1"/>
  <c r="H65" i="2"/>
  <c r="H68" i="2"/>
  <c r="H67" i="2"/>
  <c r="K50" i="2"/>
  <c r="K53" i="2"/>
  <c r="K52" i="2"/>
  <c r="K32" i="2"/>
  <c r="K136" i="2" s="1"/>
  <c r="O35" i="2"/>
  <c r="I95" i="2"/>
  <c r="H152" i="2"/>
  <c r="H153" i="2" s="1"/>
  <c r="H161" i="2" s="1"/>
  <c r="H115" i="2"/>
  <c r="H178" i="2" s="1"/>
  <c r="H184" i="2" s="1"/>
  <c r="K3" i="2"/>
  <c r="F6" i="2"/>
  <c r="F129" i="2" s="1"/>
  <c r="F130" i="2" s="1"/>
  <c r="N6" i="2"/>
  <c r="N129" i="2" s="1"/>
  <c r="N130" i="2" s="1"/>
  <c r="G35" i="2"/>
  <c r="F38" i="2"/>
  <c r="K40" i="2"/>
  <c r="F48" i="2"/>
  <c r="J60" i="2"/>
  <c r="N89" i="2"/>
  <c r="K95" i="2"/>
  <c r="G152" i="2"/>
  <c r="G153" i="2" s="1"/>
  <c r="G115" i="2"/>
  <c r="G178" i="2" s="1"/>
  <c r="G184" i="2" s="1"/>
  <c r="F155" i="2"/>
  <c r="F156" i="2" s="1"/>
  <c r="M50" i="2"/>
  <c r="K60" i="2"/>
  <c r="J65" i="2"/>
  <c r="I72" i="2"/>
  <c r="J77" i="2"/>
  <c r="H85" i="2"/>
  <c r="N86" i="2"/>
  <c r="N87" i="2" s="1"/>
  <c r="G89" i="2"/>
  <c r="O89" i="2"/>
  <c r="M91" i="2"/>
  <c r="M136" i="2" s="1"/>
  <c r="L95" i="2"/>
  <c r="J97" i="2"/>
  <c r="K117" i="2"/>
  <c r="I118" i="2"/>
  <c r="G10" i="1"/>
  <c r="G11" i="1" s="1"/>
  <c r="O11" i="1"/>
  <c r="O10" i="1"/>
  <c r="G50" i="2"/>
  <c r="O50" i="2"/>
  <c r="M92" i="2"/>
  <c r="M93" i="2" s="1"/>
  <c r="J98" i="2"/>
  <c r="J99" i="2" s="1"/>
  <c r="J174" i="2" s="1"/>
  <c r="K112" i="2"/>
  <c r="L11" i="1"/>
  <c r="I66" i="4"/>
  <c r="I38" i="4"/>
  <c r="K37" i="4"/>
  <c r="N46" i="4"/>
  <c r="G54" i="4"/>
  <c r="I62" i="5"/>
  <c r="I77" i="1"/>
  <c r="I54" i="4"/>
  <c r="K53" i="4"/>
  <c r="J58" i="4"/>
  <c r="L57" i="4"/>
  <c r="K62" i="5"/>
  <c r="J62" i="5"/>
  <c r="J93" i="7"/>
  <c r="H10" i="1"/>
  <c r="J42" i="4"/>
  <c r="I46" i="4"/>
  <c r="K45" i="4"/>
  <c r="L62" i="5"/>
  <c r="I10" i="1"/>
  <c r="G62" i="4"/>
  <c r="M62" i="5"/>
  <c r="G62" i="5"/>
  <c r="O62" i="5"/>
  <c r="J58" i="1"/>
  <c r="J104" i="2" s="1"/>
  <c r="J105" i="2" s="1"/>
  <c r="J106" i="2" s="1"/>
  <c r="J50" i="4"/>
  <c r="I62" i="4"/>
  <c r="K61" i="4"/>
  <c r="N62" i="5"/>
  <c r="N104" i="7"/>
  <c r="L10" i="1"/>
  <c r="J66" i="4"/>
  <c r="J69" i="1" s="1"/>
  <c r="J124" i="2" s="1"/>
  <c r="H62" i="5"/>
  <c r="P62" i="5"/>
  <c r="J29" i="4"/>
  <c r="G33" i="4"/>
  <c r="G41" i="4"/>
  <c r="G49" i="4"/>
  <c r="G57" i="4"/>
  <c r="K66" i="4"/>
  <c r="I78" i="7"/>
  <c r="I91" i="7" s="1"/>
  <c r="E8" i="8"/>
  <c r="E25" i="8" s="1"/>
  <c r="Q78" i="7"/>
  <c r="Q91" i="7" s="1"/>
  <c r="M8" i="8"/>
  <c r="M25" i="8" s="1"/>
  <c r="H96" i="7"/>
  <c r="F58" i="1" s="1"/>
  <c r="F104" i="2" s="1"/>
  <c r="F105" i="2" s="1"/>
  <c r="F106" i="2" s="1"/>
  <c r="I22" i="8"/>
  <c r="D30" i="10"/>
  <c r="K29" i="4"/>
  <c r="H33" i="4"/>
  <c r="J33" i="4" s="1"/>
  <c r="L33" i="4" s="1"/>
  <c r="F42" i="4"/>
  <c r="N42" i="4"/>
  <c r="J46" i="4"/>
  <c r="F50" i="4"/>
  <c r="F58" i="4"/>
  <c r="L66" i="4"/>
  <c r="L69" i="1" s="1"/>
  <c r="L124" i="2" s="1"/>
  <c r="H1" i="7"/>
  <c r="O96" i="7"/>
  <c r="M58" i="1" s="1"/>
  <c r="F8" i="8"/>
  <c r="H9" i="8"/>
  <c r="K104" i="7"/>
  <c r="N101" i="7"/>
  <c r="L60" i="1" s="1"/>
  <c r="L110" i="2" s="1"/>
  <c r="L111" i="2" s="1"/>
  <c r="P103" i="7"/>
  <c r="J31" i="8"/>
  <c r="F39" i="10"/>
  <c r="N39" i="10"/>
  <c r="I47" i="10"/>
  <c r="E5" i="4"/>
  <c r="L29" i="4"/>
  <c r="D23" i="8"/>
  <c r="L23" i="8"/>
  <c r="F5" i="8"/>
  <c r="H97" i="7"/>
  <c r="D6" i="8"/>
  <c r="D24" i="8" s="1"/>
  <c r="P97" i="7"/>
  <c r="L6" i="8"/>
  <c r="L20" i="8" s="1"/>
  <c r="H21" i="7"/>
  <c r="H93" i="7" s="1"/>
  <c r="K78" i="7"/>
  <c r="K91" i="7" s="1"/>
  <c r="I9" i="8"/>
  <c r="N96" i="7"/>
  <c r="K47" i="10"/>
  <c r="M29" i="4"/>
  <c r="H34" i="4"/>
  <c r="H42" i="4"/>
  <c r="L46" i="4"/>
  <c r="H50" i="4"/>
  <c r="H58" i="4"/>
  <c r="F66" i="4"/>
  <c r="I21" i="7"/>
  <c r="I93" i="7" s="1"/>
  <c r="E4" i="8"/>
  <c r="E23" i="8" s="1"/>
  <c r="E31" i="8" s="1"/>
  <c r="I96" i="7"/>
  <c r="Q21" i="7"/>
  <c r="M4" i="8"/>
  <c r="M23" i="8" s="1"/>
  <c r="M31" i="8" s="1"/>
  <c r="Q96" i="7"/>
  <c r="O58" i="1" s="1"/>
  <c r="O104" i="2" s="1"/>
  <c r="O105" i="2" s="1"/>
  <c r="O106" i="2" s="1"/>
  <c r="I97" i="7"/>
  <c r="I104" i="7" s="1"/>
  <c r="E6" i="8"/>
  <c r="E24" i="8" s="1"/>
  <c r="Q97" i="7"/>
  <c r="M6" i="8"/>
  <c r="M24" i="8" s="1"/>
  <c r="P96" i="7"/>
  <c r="H100" i="7"/>
  <c r="F60" i="1" s="1"/>
  <c r="F110" i="2" s="1"/>
  <c r="F111" i="2" s="1"/>
  <c r="D31" i="8"/>
  <c r="G8" i="8"/>
  <c r="G25" i="8" s="1"/>
  <c r="K30" i="10"/>
  <c r="H47" i="10"/>
  <c r="N29" i="4"/>
  <c r="G66" i="4"/>
  <c r="G69" i="1" s="1"/>
  <c r="G124" i="2" s="1"/>
  <c r="F4" i="8"/>
  <c r="F23" i="8" s="1"/>
  <c r="J96" i="7"/>
  <c r="H5" i="8"/>
  <c r="F24" i="8"/>
  <c r="N21" i="7"/>
  <c r="N93" i="7" s="1"/>
  <c r="O100" i="7"/>
  <c r="M60" i="1" s="1"/>
  <c r="M110" i="2" s="1"/>
  <c r="M111" i="2" s="1"/>
  <c r="O36" i="7"/>
  <c r="O29" i="7"/>
  <c r="N102" i="7"/>
  <c r="L61" i="1" s="1"/>
  <c r="L113" i="2" s="1"/>
  <c r="L114" i="2" s="1"/>
  <c r="M78" i="7"/>
  <c r="M91" i="7" s="1"/>
  <c r="I8" i="8"/>
  <c r="K9" i="8"/>
  <c r="J97" i="7"/>
  <c r="L100" i="7"/>
  <c r="J60" i="1" s="1"/>
  <c r="J110" i="2" s="1"/>
  <c r="J111" i="2" s="1"/>
  <c r="E20" i="8"/>
  <c r="K25" i="8"/>
  <c r="I26" i="8"/>
  <c r="E27" i="8"/>
  <c r="M27" i="8"/>
  <c r="E29" i="8"/>
  <c r="M29" i="8"/>
  <c r="I30" i="8"/>
  <c r="I22" i="10"/>
  <c r="I25" i="10"/>
  <c r="I30" i="10" s="1"/>
  <c r="F26" i="10"/>
  <c r="F30" i="10" s="1"/>
  <c r="F22" i="10"/>
  <c r="N26" i="10"/>
  <c r="N30" i="10" s="1"/>
  <c r="N22" i="10"/>
  <c r="H28" i="10"/>
  <c r="H30" i="10" s="1"/>
  <c r="H22" i="10"/>
  <c r="L30" i="10"/>
  <c r="I39" i="10"/>
  <c r="O29" i="4"/>
  <c r="H66" i="4"/>
  <c r="H69" i="1" s="1"/>
  <c r="H124" i="2" s="1"/>
  <c r="Q100" i="7"/>
  <c r="H101" i="7"/>
  <c r="Q27" i="7"/>
  <c r="P101" i="7"/>
  <c r="N60" i="1" s="1"/>
  <c r="N110" i="2" s="1"/>
  <c r="N111" i="2" s="1"/>
  <c r="J8" i="8"/>
  <c r="J25" i="8" s="1"/>
  <c r="D9" i="8"/>
  <c r="L9" i="8"/>
  <c r="F20" i="8"/>
  <c r="J47" i="10"/>
  <c r="P29" i="4"/>
  <c r="L21" i="7"/>
  <c r="L93" i="7" s="1"/>
  <c r="H4" i="8"/>
  <c r="H23" i="8" s="1"/>
  <c r="H6" i="8"/>
  <c r="H24" i="8" s="1"/>
  <c r="L7" i="8"/>
  <c r="N97" i="7"/>
  <c r="M96" i="7"/>
  <c r="M21" i="7"/>
  <c r="I4" i="8"/>
  <c r="I23" i="8" s="1"/>
  <c r="M97" i="7"/>
  <c r="I6" i="8"/>
  <c r="I24" i="8" s="1"/>
  <c r="D8" i="8"/>
  <c r="D25" i="8" s="1"/>
  <c r="L8" i="8"/>
  <c r="F9" i="8"/>
  <c r="D39" i="10"/>
  <c r="L39" i="10"/>
  <c r="G39" i="10"/>
  <c r="K21" i="7"/>
  <c r="K36" i="7"/>
  <c r="I100" i="7"/>
  <c r="G60" i="1" s="1"/>
  <c r="G110" i="2" s="1"/>
  <c r="G111" i="2" s="1"/>
  <c r="H8" i="8"/>
  <c r="F22" i="8"/>
  <c r="K22" i="10"/>
  <c r="G25" i="10"/>
  <c r="G30" i="10" s="1"/>
  <c r="H39" i="10"/>
  <c r="D42" i="10"/>
  <c r="D47" i="10" s="1"/>
  <c r="L42" i="10"/>
  <c r="L47" i="10" s="1"/>
  <c r="E42" i="10"/>
  <c r="E47" i="10" s="1"/>
  <c r="M42" i="10"/>
  <c r="M47" i="10" s="1"/>
  <c r="M36" i="7"/>
  <c r="J20" i="8"/>
  <c r="E22" i="10"/>
  <c r="M22" i="10"/>
  <c r="J39" i="10"/>
  <c r="F42" i="10"/>
  <c r="F47" i="10" s="1"/>
  <c r="N42" i="10"/>
  <c r="N47" i="10" s="1"/>
  <c r="K4" i="8"/>
  <c r="G6" i="8"/>
  <c r="G24" i="8" s="1"/>
  <c r="G31" i="8" s="1"/>
  <c r="O21" i="7"/>
  <c r="O93" i="7" s="1"/>
  <c r="F69" i="1" l="1"/>
  <c r="F124" i="2" s="1"/>
  <c r="I69" i="1"/>
  <c r="I124" i="2" s="1"/>
  <c r="J61" i="4"/>
  <c r="H62" i="4"/>
  <c r="F65" i="4"/>
  <c r="F68" i="1" s="1"/>
  <c r="F121" i="2" s="1"/>
  <c r="F122" i="2" s="1"/>
  <c r="F143" i="2" s="1"/>
  <c r="F144" i="2" s="1"/>
  <c r="H54" i="4"/>
  <c r="J53" i="4"/>
  <c r="J37" i="4"/>
  <c r="H38" i="4"/>
  <c r="F123" i="2"/>
  <c r="F147" i="2" s="1"/>
  <c r="F148" i="2" s="1"/>
  <c r="H140" i="2"/>
  <c r="H141" i="2" s="1"/>
  <c r="M157" i="2"/>
  <c r="M158" i="2" s="1"/>
  <c r="M112" i="2"/>
  <c r="H11" i="1"/>
  <c r="H76" i="1"/>
  <c r="H12" i="2"/>
  <c r="L157" i="2"/>
  <c r="L158" i="2" s="1"/>
  <c r="L112" i="2"/>
  <c r="G157" i="2"/>
  <c r="G158" i="2" s="1"/>
  <c r="G112" i="2"/>
  <c r="K58" i="1"/>
  <c r="I25" i="8"/>
  <c r="I31" i="8" s="1"/>
  <c r="M104" i="7"/>
  <c r="G58" i="1"/>
  <c r="L58" i="1"/>
  <c r="G42" i="4"/>
  <c r="I41" i="4"/>
  <c r="J155" i="2"/>
  <c r="J156" i="2" s="1"/>
  <c r="M155" i="2"/>
  <c r="M156" i="2" s="1"/>
  <c r="F174" i="2"/>
  <c r="L126" i="2"/>
  <c r="L125" i="2"/>
  <c r="L140" i="2" s="1"/>
  <c r="L141" i="2" s="1"/>
  <c r="L104" i="7"/>
  <c r="G161" i="2"/>
  <c r="N157" i="2"/>
  <c r="N158" i="2" s="1"/>
  <c r="N112" i="2"/>
  <c r="L34" i="4"/>
  <c r="N33" i="4"/>
  <c r="N34" i="4" s="1"/>
  <c r="L58" i="4"/>
  <c r="N57" i="4"/>
  <c r="N58" i="4" s="1"/>
  <c r="N155" i="2"/>
  <c r="N156" i="2" s="1"/>
  <c r="J170" i="2"/>
  <c r="J171" i="2" s="1"/>
  <c r="G230" i="2" s="1"/>
  <c r="F150" i="2"/>
  <c r="F151" i="2" s="1"/>
  <c r="F159" i="2" s="1"/>
  <c r="F160" i="2" s="1"/>
  <c r="H20" i="8"/>
  <c r="J125" i="2"/>
  <c r="J140" i="2" s="1"/>
  <c r="J141" i="2" s="1"/>
  <c r="J126" i="2"/>
  <c r="J135" i="2" s="1"/>
  <c r="J137" i="2" s="1"/>
  <c r="J138" i="2" s="1"/>
  <c r="K93" i="7"/>
  <c r="Q101" i="7"/>
  <c r="O40" i="4"/>
  <c r="L152" i="2"/>
  <c r="L153" i="2" s="1"/>
  <c r="L115" i="2"/>
  <c r="L178" i="2" s="1"/>
  <c r="L184" i="2" s="1"/>
  <c r="G20" i="8"/>
  <c r="J63" i="1"/>
  <c r="J65" i="1" s="1"/>
  <c r="J77" i="1"/>
  <c r="K179" i="2"/>
  <c r="K185" i="2" s="1"/>
  <c r="K175" i="2"/>
  <c r="J112" i="2"/>
  <c r="J157" i="2"/>
  <c r="J158" i="2" s="1"/>
  <c r="J161" i="2" s="1"/>
  <c r="H125" i="2"/>
  <c r="H126" i="2"/>
  <c r="F157" i="2"/>
  <c r="F158" i="2" s="1"/>
  <c r="F161" i="2" s="1"/>
  <c r="F112" i="2"/>
  <c r="H58" i="1"/>
  <c r="F25" i="8"/>
  <c r="F31" i="8" s="1"/>
  <c r="G34" i="4"/>
  <c r="I33" i="4"/>
  <c r="L25" i="8"/>
  <c r="D20" i="8"/>
  <c r="M20" i="8"/>
  <c r="O102" i="7"/>
  <c r="P29" i="7"/>
  <c r="M48" i="4"/>
  <c r="M104" i="2"/>
  <c r="M105" i="2" s="1"/>
  <c r="L76" i="1"/>
  <c r="L12" i="2"/>
  <c r="K54" i="4"/>
  <c r="M53" i="4"/>
  <c r="K38" i="4"/>
  <c r="M37" i="4"/>
  <c r="O76" i="1"/>
  <c r="O12" i="2"/>
  <c r="M14" i="2"/>
  <c r="M132" i="2" s="1"/>
  <c r="M133" i="2" s="1"/>
  <c r="M16" i="2"/>
  <c r="M15" i="2"/>
  <c r="M13" i="2"/>
  <c r="M129" i="2" s="1"/>
  <c r="M130" i="2" s="1"/>
  <c r="K170" i="2"/>
  <c r="K171" i="2" s="1"/>
  <c r="H230" i="2" s="1"/>
  <c r="J34" i="4"/>
  <c r="O174" i="2"/>
  <c r="O60" i="1"/>
  <c r="O110" i="2" s="1"/>
  <c r="O111" i="2" s="1"/>
  <c r="G126" i="2"/>
  <c r="G125" i="2"/>
  <c r="G140" i="2" s="1"/>
  <c r="G141" i="2" s="1"/>
  <c r="F126" i="2"/>
  <c r="F135" i="2" s="1"/>
  <c r="F137" i="2" s="1"/>
  <c r="F138" i="2" s="1"/>
  <c r="F125" i="2"/>
  <c r="F140" i="2" s="1"/>
  <c r="F141" i="2" s="1"/>
  <c r="L24" i="8"/>
  <c r="L31" i="8" s="1"/>
  <c r="I20" i="8"/>
  <c r="K69" i="1"/>
  <c r="K124" i="2" s="1"/>
  <c r="H104" i="7"/>
  <c r="F63" i="1"/>
  <c r="F65" i="1" s="1"/>
  <c r="N170" i="2"/>
  <c r="N171" i="2" s="1"/>
  <c r="K230" i="2" s="1"/>
  <c r="M170" i="2"/>
  <c r="M171" i="2" s="1"/>
  <c r="J230" i="2" s="1"/>
  <c r="I126" i="2"/>
  <c r="I125" i="2"/>
  <c r="I140" i="2" s="1"/>
  <c r="I141" i="2" s="1"/>
  <c r="G76" i="1"/>
  <c r="G12" i="2"/>
  <c r="H175" i="2"/>
  <c r="H179" i="2"/>
  <c r="H185" i="2" s="1"/>
  <c r="I11" i="1"/>
  <c r="I65" i="1" s="1"/>
  <c r="I76" i="1"/>
  <c r="I12" i="2"/>
  <c r="K20" i="8"/>
  <c r="K23" i="8"/>
  <c r="K31" i="8" s="1"/>
  <c r="G58" i="4"/>
  <c r="I57" i="4"/>
  <c r="H25" i="8"/>
  <c r="H31" i="8" s="1"/>
  <c r="M93" i="7"/>
  <c r="N58" i="1"/>
  <c r="P28" i="4"/>
  <c r="M28" i="4"/>
  <c r="L28" i="4"/>
  <c r="O28" i="4"/>
  <c r="N28" i="4"/>
  <c r="K28" i="4"/>
  <c r="J28" i="4"/>
  <c r="I28" i="4"/>
  <c r="J104" i="7"/>
  <c r="G50" i="4"/>
  <c r="I49" i="4"/>
  <c r="K62" i="4"/>
  <c r="M61" i="4"/>
  <c r="K46" i="4"/>
  <c r="M45" i="4"/>
  <c r="F77" i="1"/>
  <c r="J150" i="2"/>
  <c r="J151" i="2" s="1"/>
  <c r="J159" i="2" s="1"/>
  <c r="J160" i="2" s="1"/>
  <c r="I175" i="2"/>
  <c r="I176" i="2" s="1"/>
  <c r="I180" i="2" s="1"/>
  <c r="I179" i="2"/>
  <c r="I185" i="2" s="1"/>
  <c r="H65" i="4" l="1"/>
  <c r="H68" i="1" s="1"/>
  <c r="H121" i="2" s="1"/>
  <c r="J38" i="4"/>
  <c r="J65" i="4" s="1"/>
  <c r="J68" i="1" s="1"/>
  <c r="J121" i="2" s="1"/>
  <c r="L37" i="4"/>
  <c r="L53" i="4"/>
  <c r="J54" i="4"/>
  <c r="L61" i="4"/>
  <c r="J62" i="4"/>
  <c r="I196" i="2"/>
  <c r="I181" i="2"/>
  <c r="I205" i="2" s="1"/>
  <c r="N179" i="2"/>
  <c r="N185" i="2" s="1"/>
  <c r="K33" i="4"/>
  <c r="I34" i="4"/>
  <c r="K41" i="4"/>
  <c r="I42" i="4"/>
  <c r="O37" i="4"/>
  <c r="O38" i="4" s="1"/>
  <c r="M38" i="4"/>
  <c r="G65" i="4"/>
  <c r="G68" i="1" s="1"/>
  <c r="G121" i="2" s="1"/>
  <c r="L175" i="2"/>
  <c r="L179" i="2"/>
  <c r="L185" i="2" s="1"/>
  <c r="K49" i="4"/>
  <c r="I50" i="4"/>
  <c r="K57" i="4"/>
  <c r="I58" i="4"/>
  <c r="M51" i="4"/>
  <c r="M66" i="4" s="1"/>
  <c r="M69" i="1" s="1"/>
  <c r="M124" i="2" s="1"/>
  <c r="L63" i="1"/>
  <c r="L65" i="1" s="1"/>
  <c r="L104" i="2"/>
  <c r="L105" i="2" s="1"/>
  <c r="L77" i="1"/>
  <c r="O53" i="4"/>
  <c r="O54" i="4" s="1"/>
  <c r="M54" i="4"/>
  <c r="Q29" i="7"/>
  <c r="P102" i="7"/>
  <c r="N48" i="4"/>
  <c r="P36" i="7"/>
  <c r="P93" i="7" s="1"/>
  <c r="H104" i="2"/>
  <c r="H105" i="2" s="1"/>
  <c r="H77" i="1"/>
  <c r="H63" i="1"/>
  <c r="J179" i="2"/>
  <c r="J175" i="2"/>
  <c r="J176" i="2" s="1"/>
  <c r="J180" i="2" s="1"/>
  <c r="G63" i="1"/>
  <c r="G65" i="1" s="1"/>
  <c r="G104" i="2"/>
  <c r="G105" i="2" s="1"/>
  <c r="G77" i="1"/>
  <c r="H15" i="2"/>
  <c r="H135" i="2" s="1"/>
  <c r="H137" i="2" s="1"/>
  <c r="H138" i="2" s="1"/>
  <c r="H16" i="2"/>
  <c r="H14" i="2"/>
  <c r="H132" i="2" s="1"/>
  <c r="H133" i="2" s="1"/>
  <c r="H13" i="2"/>
  <c r="H129" i="2" s="1"/>
  <c r="H130" i="2" s="1"/>
  <c r="J206" i="2"/>
  <c r="J207" i="2" s="1"/>
  <c r="G231" i="2" s="1"/>
  <c r="G13" i="2"/>
  <c r="G129" i="2" s="1"/>
  <c r="G130" i="2" s="1"/>
  <c r="G16" i="2"/>
  <c r="G15" i="2"/>
  <c r="G135" i="2" s="1"/>
  <c r="G137" i="2" s="1"/>
  <c r="G138" i="2" s="1"/>
  <c r="G14" i="2"/>
  <c r="G132" i="2" s="1"/>
  <c r="G133" i="2" s="1"/>
  <c r="M61" i="1"/>
  <c r="O104" i="7"/>
  <c r="F175" i="2"/>
  <c r="F176" i="2" s="1"/>
  <c r="F180" i="2" s="1"/>
  <c r="F179" i="2"/>
  <c r="F185" i="2" s="1"/>
  <c r="L161" i="2"/>
  <c r="N104" i="2"/>
  <c r="N105" i="2" s="1"/>
  <c r="L16" i="2"/>
  <c r="L13" i="2"/>
  <c r="L129" i="2" s="1"/>
  <c r="L130" i="2" s="1"/>
  <c r="L15" i="2"/>
  <c r="L135" i="2" s="1"/>
  <c r="L137" i="2" s="1"/>
  <c r="L138" i="2" s="1"/>
  <c r="L14" i="2"/>
  <c r="L132" i="2" s="1"/>
  <c r="L133" i="2" s="1"/>
  <c r="O43" i="4"/>
  <c r="O45" i="4"/>
  <c r="O46" i="4" s="1"/>
  <c r="M46" i="4"/>
  <c r="O157" i="2"/>
  <c r="O158" i="2" s="1"/>
  <c r="O112" i="2"/>
  <c r="I16" i="2"/>
  <c r="I14" i="2"/>
  <c r="I132" i="2" s="1"/>
  <c r="I133" i="2" s="1"/>
  <c r="I13" i="2"/>
  <c r="I129" i="2" s="1"/>
  <c r="I130" i="2" s="1"/>
  <c r="I15" i="2"/>
  <c r="I135" i="2" s="1"/>
  <c r="I137" i="2" s="1"/>
  <c r="I138" i="2" s="1"/>
  <c r="H65" i="1"/>
  <c r="K104" i="2"/>
  <c r="K105" i="2" s="1"/>
  <c r="K77" i="1"/>
  <c r="K63" i="1"/>
  <c r="K65" i="1" s="1"/>
  <c r="M179" i="2"/>
  <c r="M185" i="2" s="1"/>
  <c r="O61" i="4"/>
  <c r="O62" i="4" s="1"/>
  <c r="M62" i="4"/>
  <c r="K125" i="2"/>
  <c r="K140" i="2" s="1"/>
  <c r="K141" i="2" s="1"/>
  <c r="K126" i="2"/>
  <c r="K135" i="2" s="1"/>
  <c r="K137" i="2" s="1"/>
  <c r="K138" i="2" s="1"/>
  <c r="O13" i="2"/>
  <c r="O129" i="2" s="1"/>
  <c r="O130" i="2" s="1"/>
  <c r="O16" i="2"/>
  <c r="O15" i="2"/>
  <c r="O14" i="2"/>
  <c r="O132" i="2" s="1"/>
  <c r="O133" i="2" s="1"/>
  <c r="M106" i="2"/>
  <c r="I187" i="2"/>
  <c r="G175" i="2"/>
  <c r="G179" i="2"/>
  <c r="G185" i="2" s="1"/>
  <c r="F206" i="2"/>
  <c r="F207" i="2" s="1"/>
  <c r="C231" i="2" s="1"/>
  <c r="J122" i="2" l="1"/>
  <c r="J143" i="2" s="1"/>
  <c r="J144" i="2" s="1"/>
  <c r="J123" i="2"/>
  <c r="J147" i="2" s="1"/>
  <c r="J148" i="2" s="1"/>
  <c r="N61" i="4"/>
  <c r="N62" i="4" s="1"/>
  <c r="L62" i="4"/>
  <c r="N37" i="4"/>
  <c r="N38" i="4" s="1"/>
  <c r="L38" i="4"/>
  <c r="L65" i="4" s="1"/>
  <c r="L68" i="1" s="1"/>
  <c r="L121" i="2" s="1"/>
  <c r="N53" i="4"/>
  <c r="N54" i="4" s="1"/>
  <c r="L54" i="4"/>
  <c r="H122" i="2"/>
  <c r="H143" i="2" s="1"/>
  <c r="H144" i="2" s="1"/>
  <c r="H123" i="2"/>
  <c r="H147" i="2" s="1"/>
  <c r="H148" i="2" s="1"/>
  <c r="F196" i="2"/>
  <c r="F181" i="2"/>
  <c r="F205" i="2" s="1"/>
  <c r="N61" i="1"/>
  <c r="P104" i="7"/>
  <c r="M125" i="2"/>
  <c r="M140" i="2" s="1"/>
  <c r="M141" i="2" s="1"/>
  <c r="M126" i="2"/>
  <c r="M135" i="2" s="1"/>
  <c r="M137" i="2" s="1"/>
  <c r="M138" i="2" s="1"/>
  <c r="J196" i="2"/>
  <c r="J181" i="2"/>
  <c r="J205" i="2" s="1"/>
  <c r="Q102" i="7"/>
  <c r="O48" i="4"/>
  <c r="Q1" i="7"/>
  <c r="Q36" i="7"/>
  <c r="Q93" i="7" s="1"/>
  <c r="M174" i="2"/>
  <c r="J185" i="2"/>
  <c r="J187" i="2"/>
  <c r="M57" i="4"/>
  <c r="K58" i="4"/>
  <c r="K106" i="2"/>
  <c r="K150" i="2"/>
  <c r="K151" i="2" s="1"/>
  <c r="K159" i="2" s="1"/>
  <c r="K160" i="2" s="1"/>
  <c r="O179" i="2"/>
  <c r="O185" i="2" s="1"/>
  <c r="M113" i="2"/>
  <c r="M114" i="2" s="1"/>
  <c r="M63" i="1"/>
  <c r="M65" i="1" s="1"/>
  <c r="M77" i="1"/>
  <c r="M41" i="4"/>
  <c r="K42" i="4"/>
  <c r="F187" i="2"/>
  <c r="G106" i="2"/>
  <c r="G150" i="2"/>
  <c r="G151" i="2" s="1"/>
  <c r="G159" i="2" s="1"/>
  <c r="G160" i="2" s="1"/>
  <c r="N51" i="4"/>
  <c r="N66" i="4" s="1"/>
  <c r="N69" i="1" s="1"/>
  <c r="N124" i="2" s="1"/>
  <c r="N50" i="4"/>
  <c r="N65" i="4" s="1"/>
  <c r="N68" i="1" s="1"/>
  <c r="N121" i="2" s="1"/>
  <c r="N106" i="2"/>
  <c r="M49" i="4"/>
  <c r="K50" i="4"/>
  <c r="G123" i="2"/>
  <c r="G147" i="2" s="1"/>
  <c r="G148" i="2" s="1"/>
  <c r="G122" i="2"/>
  <c r="G143" i="2" s="1"/>
  <c r="G144" i="2" s="1"/>
  <c r="H106" i="2"/>
  <c r="H150" i="2"/>
  <c r="H151" i="2" s="1"/>
  <c r="H159" i="2" s="1"/>
  <c r="H160" i="2" s="1"/>
  <c r="L106" i="2"/>
  <c r="L150" i="2"/>
  <c r="L151" i="2" s="1"/>
  <c r="L159" i="2" s="1"/>
  <c r="L160" i="2" s="1"/>
  <c r="I65" i="4"/>
  <c r="I68" i="1" s="1"/>
  <c r="I121" i="2" s="1"/>
  <c r="M33" i="4"/>
  <c r="K34" i="4"/>
  <c r="K65" i="4" s="1"/>
  <c r="K68" i="1" s="1"/>
  <c r="K121" i="2" s="1"/>
  <c r="L123" i="2" l="1"/>
  <c r="L147" i="2" s="1"/>
  <c r="L148" i="2" s="1"/>
  <c r="L122" i="2"/>
  <c r="L143" i="2" s="1"/>
  <c r="L144" i="2" s="1"/>
  <c r="N125" i="2"/>
  <c r="N140" i="2" s="1"/>
  <c r="N141" i="2" s="1"/>
  <c r="N126" i="2"/>
  <c r="N135" i="2" s="1"/>
  <c r="N137" i="2" s="1"/>
  <c r="N138" i="2" s="1"/>
  <c r="M152" i="2"/>
  <c r="M153" i="2" s="1"/>
  <c r="M161" i="2" s="1"/>
  <c r="M115" i="2"/>
  <c r="M150" i="2"/>
  <c r="M151" i="2" s="1"/>
  <c r="M159" i="2" s="1"/>
  <c r="M160" i="2" s="1"/>
  <c r="G206" i="2"/>
  <c r="G207" i="2" s="1"/>
  <c r="D231" i="2" s="1"/>
  <c r="G174" i="2"/>
  <c r="K123" i="2"/>
  <c r="K147" i="2" s="1"/>
  <c r="K148" i="2" s="1"/>
  <c r="K122" i="2"/>
  <c r="K143" i="2" s="1"/>
  <c r="K144" i="2" s="1"/>
  <c r="M34" i="4"/>
  <c r="O33" i="4"/>
  <c r="O34" i="4" s="1"/>
  <c r="O49" i="4"/>
  <c r="O50" i="4" s="1"/>
  <c r="M50" i="4"/>
  <c r="L206" i="2"/>
  <c r="L207" i="2" s="1"/>
  <c r="I231" i="2" s="1"/>
  <c r="L174" i="2"/>
  <c r="N174" i="2"/>
  <c r="M42" i="4"/>
  <c r="O41" i="4"/>
  <c r="O42" i="4" s="1"/>
  <c r="K206" i="2"/>
  <c r="K207" i="2" s="1"/>
  <c r="H231" i="2" s="1"/>
  <c r="K174" i="2"/>
  <c r="N113" i="2"/>
  <c r="N114" i="2" s="1"/>
  <c r="N77" i="1"/>
  <c r="N63" i="1"/>
  <c r="N65" i="1" s="1"/>
  <c r="O51" i="4"/>
  <c r="O66" i="4" s="1"/>
  <c r="O69" i="1" s="1"/>
  <c r="O124" i="2" s="1"/>
  <c r="I123" i="2"/>
  <c r="I147" i="2" s="1"/>
  <c r="I148" i="2" s="1"/>
  <c r="I122" i="2"/>
  <c r="I143" i="2" s="1"/>
  <c r="I144" i="2" s="1"/>
  <c r="H206" i="2"/>
  <c r="H207" i="2" s="1"/>
  <c r="E231" i="2" s="1"/>
  <c r="H174" i="2"/>
  <c r="N123" i="2"/>
  <c r="N147" i="2" s="1"/>
  <c r="N148" i="2" s="1"/>
  <c r="N122" i="2"/>
  <c r="N143" i="2" s="1"/>
  <c r="N144" i="2" s="1"/>
  <c r="M58" i="4"/>
  <c r="O57" i="4"/>
  <c r="O58" i="4" s="1"/>
  <c r="O61" i="1"/>
  <c r="Q104" i="7"/>
  <c r="N152" i="2" l="1"/>
  <c r="N153" i="2" s="1"/>
  <c r="N161" i="2" s="1"/>
  <c r="N115" i="2"/>
  <c r="N150" i="2"/>
  <c r="N151" i="2" s="1"/>
  <c r="N159" i="2" s="1"/>
  <c r="N160" i="2" s="1"/>
  <c r="H187" i="2"/>
  <c r="H176" i="2"/>
  <c r="H180" i="2" s="1"/>
  <c r="K176" i="2"/>
  <c r="K180" i="2" s="1"/>
  <c r="K187" i="2"/>
  <c r="G176" i="2"/>
  <c r="G180" i="2" s="1"/>
  <c r="G187" i="2"/>
  <c r="O113" i="2"/>
  <c r="O114" i="2" s="1"/>
  <c r="O63" i="1"/>
  <c r="O65" i="1" s="1"/>
  <c r="O77" i="1"/>
  <c r="O65" i="4"/>
  <c r="O68" i="1" s="1"/>
  <c r="O121" i="2" s="1"/>
  <c r="M65" i="4"/>
  <c r="M68" i="1" s="1"/>
  <c r="M121" i="2" s="1"/>
  <c r="M178" i="2"/>
  <c r="M175" i="2"/>
  <c r="M176" i="2" s="1"/>
  <c r="M206" i="2"/>
  <c r="M207" i="2" s="1"/>
  <c r="J231" i="2" s="1"/>
  <c r="O126" i="2"/>
  <c r="O135" i="2" s="1"/>
  <c r="O137" i="2" s="1"/>
  <c r="O138" i="2" s="1"/>
  <c r="O125" i="2"/>
  <c r="O140" i="2" s="1"/>
  <c r="O141" i="2" s="1"/>
  <c r="L176" i="2"/>
  <c r="L180" i="2" s="1"/>
  <c r="L187" i="2"/>
  <c r="O152" i="2" l="1"/>
  <c r="O153" i="2" s="1"/>
  <c r="O161" i="2" s="1"/>
  <c r="O115" i="2"/>
  <c r="O150" i="2"/>
  <c r="O151" i="2" s="1"/>
  <c r="O159" i="2" s="1"/>
  <c r="O160" i="2" s="1"/>
  <c r="N178" i="2"/>
  <c r="N175" i="2"/>
  <c r="N176" i="2" s="1"/>
  <c r="N180" i="2" s="1"/>
  <c r="N206" i="2"/>
  <c r="N207" i="2" s="1"/>
  <c r="K231" i="2" s="1"/>
  <c r="M180" i="2"/>
  <c r="G196" i="2"/>
  <c r="G181" i="2"/>
  <c r="G205" i="2" s="1"/>
  <c r="M184" i="2"/>
  <c r="M187" i="2"/>
  <c r="L196" i="2"/>
  <c r="L181" i="2"/>
  <c r="L205" i="2" s="1"/>
  <c r="O123" i="2"/>
  <c r="O147" i="2" s="1"/>
  <c r="O148" i="2" s="1"/>
  <c r="O122" i="2"/>
  <c r="O143" i="2" s="1"/>
  <c r="O144" i="2" s="1"/>
  <c r="H196" i="2"/>
  <c r="H181" i="2"/>
  <c r="H205" i="2" s="1"/>
  <c r="M122" i="2"/>
  <c r="M143" i="2" s="1"/>
  <c r="M144" i="2" s="1"/>
  <c r="M123" i="2"/>
  <c r="M147" i="2" s="1"/>
  <c r="M148" i="2" s="1"/>
  <c r="K196" i="2"/>
  <c r="K181" i="2"/>
  <c r="K205" i="2" s="1"/>
  <c r="M196" i="2" l="1"/>
  <c r="M181" i="2"/>
  <c r="M205" i="2" s="1"/>
  <c r="N196" i="2"/>
  <c r="N181" i="2"/>
  <c r="N205" i="2" s="1"/>
  <c r="N184" i="2"/>
  <c r="N187" i="2"/>
  <c r="O178" i="2"/>
  <c r="O175" i="2"/>
  <c r="O176" i="2" s="1"/>
  <c r="O180" i="2" s="1"/>
  <c r="O206" i="2"/>
  <c r="O207" i="2" s="1"/>
  <c r="L231" i="2" s="1"/>
  <c r="O196" i="2" l="1"/>
  <c r="O181" i="2"/>
  <c r="O205" i="2" s="1"/>
  <c r="O184" i="2"/>
  <c r="O187" i="2"/>
  <c r="H7" i="9"/>
  <c r="H5" i="9"/>
  <c r="H6" i="9"/>
  <c r="H8" i="9"/>
  <c r="O5" i="9"/>
  <c r="O8" i="9"/>
  <c r="O7" i="9"/>
  <c r="O6" i="9"/>
  <c r="N7" i="9"/>
  <c r="N8" i="9"/>
  <c r="N5" i="9"/>
  <c r="N6" i="9"/>
  <c r="P8" i="9"/>
  <c r="P7" i="9"/>
  <c r="P6" i="9"/>
  <c r="P5" i="9"/>
  <c r="G7" i="9"/>
  <c r="G5" i="9"/>
  <c r="G8" i="9"/>
  <c r="G6" i="9"/>
  <c r="M7" i="9"/>
  <c r="M5" i="9"/>
  <c r="M8" i="9"/>
  <c r="M6" i="9"/>
  <c r="I7" i="9"/>
  <c r="I5" i="9"/>
  <c r="I6" i="9"/>
  <c r="I8" i="9"/>
  <c r="G24" i="9"/>
  <c r="G14" i="9"/>
  <c r="G18" i="9"/>
  <c r="G16" i="9"/>
  <c r="G25" i="9"/>
  <c r="G19" i="9"/>
  <c r="G22" i="9"/>
  <c r="G20" i="9"/>
  <c r="G21" i="9"/>
  <c r="G17" i="9"/>
  <c r="G15" i="9"/>
  <c r="G23" i="9"/>
  <c r="O18" i="9"/>
  <c r="O24" i="9"/>
  <c r="O20" i="9"/>
  <c r="O14" i="9"/>
  <c r="O17" i="9"/>
  <c r="O19" i="9"/>
  <c r="O21" i="9"/>
  <c r="O25" i="9"/>
  <c r="O16" i="9"/>
  <c r="O23" i="9"/>
  <c r="O15" i="9"/>
  <c r="O22" i="9"/>
  <c r="K24" i="9"/>
  <c r="K16" i="9"/>
  <c r="K22" i="9"/>
  <c r="K25" i="9"/>
  <c r="K19" i="9"/>
  <c r="K21" i="9"/>
  <c r="K23" i="9"/>
  <c r="K20" i="9"/>
  <c r="K14" i="9"/>
  <c r="K18" i="9"/>
  <c r="K15" i="9"/>
  <c r="K17" i="9"/>
  <c r="I16" i="9"/>
  <c r="I23" i="9"/>
  <c r="I20" i="9"/>
  <c r="I19" i="9"/>
  <c r="I22" i="9"/>
  <c r="I21" i="9"/>
  <c r="I18" i="9"/>
  <c r="I14" i="9"/>
  <c r="I25" i="9"/>
  <c r="I24" i="9"/>
  <c r="I15" i="9"/>
  <c r="I17" i="9"/>
  <c r="M16" i="9"/>
  <c r="M24" i="9"/>
  <c r="M19" i="9"/>
  <c r="M22" i="9"/>
  <c r="M25" i="9"/>
  <c r="M21" i="9"/>
  <c r="M14" i="9"/>
  <c r="M23" i="9"/>
  <c r="M20" i="9"/>
  <c r="M18" i="9"/>
  <c r="M15" i="9"/>
  <c r="M17" i="9"/>
  <c r="H24" i="9"/>
  <c r="H21" i="9"/>
  <c r="H19" i="9"/>
  <c r="H25" i="9"/>
  <c r="H18" i="9"/>
  <c r="H23" i="9"/>
  <c r="H20" i="9"/>
  <c r="H22" i="9"/>
  <c r="H16" i="9"/>
  <c r="H14" i="9"/>
  <c r="H15" i="9"/>
  <c r="H17" i="9"/>
  <c r="P14" i="9"/>
  <c r="P25" i="9"/>
  <c r="P18" i="9"/>
  <c r="P22" i="9"/>
  <c r="P17" i="9"/>
  <c r="P23" i="9"/>
  <c r="P16" i="9"/>
  <c r="P20" i="9"/>
  <c r="P19" i="9"/>
  <c r="P21" i="9"/>
  <c r="P15" i="9"/>
  <c r="P24" i="9"/>
  <c r="N19" i="9"/>
  <c r="N24" i="9"/>
  <c r="N21" i="9"/>
  <c r="N14" i="9"/>
  <c r="N16" i="9"/>
  <c r="N23" i="9"/>
  <c r="N22" i="9"/>
  <c r="N25" i="9"/>
  <c r="N20" i="9"/>
  <c r="N18" i="9"/>
  <c r="N15" i="9"/>
  <c r="N17" i="9"/>
  <c r="L24" i="9"/>
  <c r="L23" i="9"/>
  <c r="L18" i="9"/>
  <c r="L25" i="9"/>
  <c r="L14" i="9"/>
  <c r="L20" i="9"/>
  <c r="L21" i="9"/>
  <c r="L16" i="9"/>
  <c r="L22" i="9"/>
  <c r="L17" i="9"/>
  <c r="L15" i="9"/>
  <c r="L19" i="9"/>
  <c r="J21" i="9"/>
  <c r="J16" i="9"/>
  <c r="J24" i="9"/>
  <c r="J17" i="9"/>
  <c r="J14" i="9"/>
  <c r="J23" i="9"/>
  <c r="J19" i="9"/>
  <c r="J22" i="9"/>
  <c r="J20" i="9"/>
  <c r="J18" i="9"/>
  <c r="J15" i="9"/>
  <c r="J25" i="9"/>
  <c r="L7" i="9"/>
  <c r="L5" i="9"/>
  <c r="L8" i="9"/>
  <c r="L6" i="9"/>
  <c r="J8" i="9"/>
  <c r="J5" i="9"/>
  <c r="J6" i="9"/>
  <c r="J7" i="9"/>
  <c r="K7" i="9"/>
  <c r="K5" i="9"/>
  <c r="K8" i="9"/>
  <c r="K6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Hui Lu</author>
    <author>Akshaya Rai</author>
  </authors>
  <commentList>
    <comment ref="C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Hui Lu:</t>
        </r>
        <r>
          <rPr>
            <sz val="9"/>
            <color indexed="81"/>
            <rFont val="Tahoma"/>
            <family val="2"/>
          </rPr>
          <t xml:space="preserve">
change from 100T/h to 150T/h came from update capacity</t>
        </r>
      </text>
    </comment>
    <comment ref="C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Hui Lu:</t>
        </r>
        <r>
          <rPr>
            <sz val="9"/>
            <color indexed="81"/>
            <rFont val="Tahoma"/>
            <family val="2"/>
          </rPr>
          <t xml:space="preserve">
fully hydro SBO</t>
        </r>
      </text>
    </comment>
    <comment ref="B10" authorId="1" shapeId="0" xr:uid="{00000000-0006-0000-0000-000003000000}">
      <text>
        <r>
          <rPr>
            <b/>
            <sz val="9"/>
            <color rgb="FF000000"/>
            <rFont val="Tahoma"/>
            <family val="2"/>
          </rPr>
          <t>Akshaya Rai: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Availability 80%
</t>
        </r>
        <r>
          <rPr>
            <sz val="9"/>
            <color rgb="FF000000"/>
            <rFont val="Tahoma"/>
            <family val="2"/>
          </rPr>
          <t xml:space="preserve">20% includes SDT and EDT
</t>
        </r>
        <r>
          <rPr>
            <sz val="9"/>
            <color rgb="FF000000"/>
            <rFont val="Tahoma"/>
            <family val="2"/>
          </rPr>
          <t>and SDT includes changeover time</t>
        </r>
      </text>
    </comment>
    <comment ref="B11" authorId="1" shapeId="0" xr:uid="{00000000-0006-0000-0000-000004000000}">
      <text>
        <r>
          <rPr>
            <b/>
            <sz val="9"/>
            <color rgb="FF000000"/>
            <rFont val="Tahoma"/>
            <family val="2"/>
          </rPr>
          <t>Akshaya Rai: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Capacity of BIB line linked to perfector capacity </t>
        </r>
      </text>
    </comment>
    <comment ref="C14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Hui Lu:</t>
        </r>
        <r>
          <rPr>
            <sz val="9"/>
            <color indexed="81"/>
            <rFont val="Tahoma"/>
            <family val="2"/>
          </rPr>
          <t xml:space="preserve">
change from 100T/h to 150T/h came from update capacity</t>
        </r>
      </text>
    </comment>
    <comment ref="C25" authorId="0" shapeId="0" xr:uid="{00000000-0006-0000-0000-000006000000}">
      <text>
        <r>
          <rPr>
            <b/>
            <sz val="9"/>
            <color rgb="FF000000"/>
            <rFont val="Tahoma"/>
            <family val="2"/>
          </rPr>
          <t>Hui Lu: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10L 1350box/h
</t>
        </r>
        <r>
          <rPr>
            <sz val="9"/>
            <color rgb="FF000000"/>
            <rFont val="Tahoma"/>
            <family val="2"/>
          </rPr>
          <t>20L  870box/h</t>
        </r>
      </text>
    </comment>
    <comment ref="B86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Akshaya Rai:</t>
        </r>
        <r>
          <rPr>
            <sz val="9"/>
            <color indexed="81"/>
            <rFont val="Tahoma"/>
            <family val="2"/>
          </rPr>
          <t xml:space="preserve">
Availability 80%
20% includes SDT and EDT
and SDT includes changeover time</t>
        </r>
      </text>
    </comment>
    <comment ref="B87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Akshaya Rai:</t>
        </r>
        <r>
          <rPr>
            <sz val="9"/>
            <color indexed="81"/>
            <rFont val="Tahoma"/>
            <family val="2"/>
          </rPr>
          <t xml:space="preserve">
Capacity of Carton Filling Line  line linked to perfector capacity </t>
        </r>
      </text>
    </comment>
    <comment ref="B92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Akshaya Rai:</t>
        </r>
        <r>
          <rPr>
            <sz val="9"/>
            <color indexed="81"/>
            <rFont val="Tahoma"/>
            <family val="2"/>
          </rPr>
          <t xml:space="preserve">
Availability 80%
20% includes SDT and EDT
and SDT includes changeover time</t>
        </r>
      </text>
    </comment>
    <comment ref="B93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Akshaya Rai:</t>
        </r>
        <r>
          <rPr>
            <sz val="9"/>
            <color indexed="81"/>
            <rFont val="Tahoma"/>
            <family val="2"/>
          </rPr>
          <t xml:space="preserve">
Capacity of Carton Filling Line  line linked to perfector capacity </t>
        </r>
      </text>
    </comment>
    <comment ref="B9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Akshaya Rai:</t>
        </r>
        <r>
          <rPr>
            <sz val="9"/>
            <color indexed="81"/>
            <rFont val="Tahoma"/>
            <family val="2"/>
          </rPr>
          <t xml:space="preserve">
Availability 80%
20% includes SDT and EDT
and SDT includes changeover time</t>
        </r>
      </text>
    </comment>
    <comment ref="B99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Akshaya Rai:</t>
        </r>
        <r>
          <rPr>
            <sz val="9"/>
            <color indexed="81"/>
            <rFont val="Tahoma"/>
            <family val="2"/>
          </rPr>
          <t xml:space="preserve">
Capacity of Carton Filling Line  line linked to perfector capacity </t>
        </r>
      </text>
    </comment>
    <comment ref="B105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Akshaya Rai:</t>
        </r>
        <r>
          <rPr>
            <sz val="9"/>
            <color indexed="81"/>
            <rFont val="Tahoma"/>
            <family val="2"/>
          </rPr>
          <t xml:space="preserve">
Availability 75%
25% includes SDT and EDT
and SDT includes changeover time</t>
        </r>
      </text>
    </comment>
    <comment ref="B106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Akshaya Rai:</t>
        </r>
        <r>
          <rPr>
            <sz val="9"/>
            <color indexed="81"/>
            <rFont val="Tahoma"/>
            <family val="2"/>
          </rPr>
          <t xml:space="preserve">
Capacity of Carton Filling Line  line linked to perfector capacity </t>
        </r>
      </text>
    </comment>
    <comment ref="B108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Akshaya Rai:</t>
        </r>
        <r>
          <rPr>
            <sz val="9"/>
            <color indexed="81"/>
            <rFont val="Tahoma"/>
            <family val="2"/>
          </rPr>
          <t xml:space="preserve">
Availability 75%
25% includes SDT and EDT
and SDT includes changeover time</t>
        </r>
      </text>
    </comment>
    <comment ref="B10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Akshaya Rai:</t>
        </r>
        <r>
          <rPr>
            <sz val="9"/>
            <color indexed="81"/>
            <rFont val="Tahoma"/>
            <family val="2"/>
          </rPr>
          <t xml:space="preserve">
Capacity of Carton Filling Line  line linked to perfector capacity </t>
        </r>
      </text>
    </comment>
    <comment ref="B111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Akshaya Rai:</t>
        </r>
        <r>
          <rPr>
            <sz val="9"/>
            <color indexed="81"/>
            <rFont val="Tahoma"/>
            <family val="2"/>
          </rPr>
          <t xml:space="preserve">
Availability 75%
25% includes SDT and EDT
and SDT includes changeover time</t>
        </r>
      </text>
    </comment>
    <comment ref="B112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Akshaya Rai:</t>
        </r>
        <r>
          <rPr>
            <sz val="9"/>
            <color indexed="81"/>
            <rFont val="Tahoma"/>
            <family val="2"/>
          </rPr>
          <t xml:space="preserve">
Capacity of Carton Filling Line  line linked to perfector capacity </t>
        </r>
      </text>
    </comment>
    <comment ref="B114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Akshaya Rai:</t>
        </r>
        <r>
          <rPr>
            <sz val="9"/>
            <color indexed="81"/>
            <rFont val="Tahoma"/>
            <family val="2"/>
          </rPr>
          <t xml:space="preserve">
Availability 75%
25% includes SDT and EDT
and SDT includes changeover time</t>
        </r>
      </text>
    </comment>
    <comment ref="B115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Akshaya Rai:</t>
        </r>
        <r>
          <rPr>
            <sz val="9"/>
            <color indexed="81"/>
            <rFont val="Tahoma"/>
            <family val="2"/>
          </rPr>
          <t xml:space="preserve">
Capacity of Carton Filling Line  line linked to perfector capacity </t>
        </r>
      </text>
    </comment>
    <comment ref="B117" authorId="1" shapeId="0" xr:uid="{00000000-0006-0000-0000-000015000000}">
      <text>
        <r>
          <rPr>
            <b/>
            <sz val="9"/>
            <color indexed="81"/>
            <rFont val="Tahoma"/>
            <family val="2"/>
          </rPr>
          <t>Akshaya Rai:</t>
        </r>
        <r>
          <rPr>
            <sz val="9"/>
            <color indexed="81"/>
            <rFont val="Tahoma"/>
            <family val="2"/>
          </rPr>
          <t xml:space="preserve">
Availability 75%
25% includes SDT and EDT
and SDT includes changeover time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Guoyang Yi</author>
  </authors>
  <commentList>
    <comment ref="B9" authorId="0" shapeId="0" xr:uid="{00000000-0006-0000-0100-000001000000}">
      <text>
        <r>
          <rPr>
            <sz val="8"/>
            <color indexed="81"/>
            <rFont val="Tahoma"/>
            <family val="2"/>
          </rPr>
          <t>=60% HOCAN+16.5% SBO+20% CORN+3.5% HSBO</t>
        </r>
      </text>
    </comment>
    <comment ref="B10" authorId="0" shapeId="0" xr:uid="{00000000-0006-0000-0100-000002000000}">
      <text>
        <r>
          <rPr>
            <sz val="8"/>
            <color indexed="81"/>
            <rFont val="Tahoma"/>
            <family val="2"/>
          </rPr>
          <t>55% HOCAN+45% CORN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Guoyang Yi</author>
  </authors>
  <commentList>
    <comment ref="D2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Guoyang Yi:</t>
        </r>
        <r>
          <rPr>
            <sz val="9"/>
            <color indexed="81"/>
            <rFont val="Tahoma"/>
            <family val="2"/>
          </rPr>
          <t xml:space="preserve">
assume no hydro oil in liquid shortening</t>
        </r>
      </text>
    </comment>
  </commentList>
</comments>
</file>

<file path=xl/sharedStrings.xml><?xml version="1.0" encoding="utf-8"?>
<sst xmlns="http://schemas.openxmlformats.org/spreadsheetml/2006/main" count="1252" uniqueCount="363">
  <si>
    <t>Packaged</t>
  </si>
  <si>
    <t>Bulk</t>
  </si>
  <si>
    <t>mt</t>
  </si>
  <si>
    <t>Total Volume Produced</t>
  </si>
  <si>
    <t>Bakery Oil  Total</t>
  </si>
  <si>
    <t>All Sheet Margarine</t>
  </si>
  <si>
    <t>IE Shortening</t>
  </si>
  <si>
    <t>Non IE Shortening</t>
  </si>
  <si>
    <t>Specialty Fats Total</t>
  </si>
  <si>
    <t>Subtotal</t>
  </si>
  <si>
    <t>Carton</t>
  </si>
  <si>
    <t>Specialty Fats</t>
  </si>
  <si>
    <t>McDonald System Total</t>
  </si>
  <si>
    <t>McDonald's</t>
  </si>
  <si>
    <t>Exchange Rate</t>
  </si>
  <si>
    <t>days/year</t>
  </si>
  <si>
    <t>Loadout Volume : 30 MT/Batch</t>
  </si>
  <si>
    <t>Hydro</t>
  </si>
  <si>
    <t>Neutralization</t>
  </si>
  <si>
    <t>Dewaxing</t>
  </si>
  <si>
    <t>BIB Line</t>
  </si>
  <si>
    <t>Summary</t>
  </si>
  <si>
    <t>Effective Capacity Utilization</t>
  </si>
  <si>
    <t>%</t>
  </si>
  <si>
    <t>Sheet Margarine Filler</t>
  </si>
  <si>
    <t>batches/week</t>
  </si>
  <si>
    <t>batches/day</t>
  </si>
  <si>
    <t>Medium Pack</t>
  </si>
  <si>
    <t>Non-IE Margarine</t>
  </si>
  <si>
    <t>IE Margarine</t>
  </si>
  <si>
    <t>Capacity</t>
  </si>
  <si>
    <t>Unit</t>
  </si>
  <si>
    <t>McD</t>
    <phoneticPr fontId="11" type="noConversion"/>
  </si>
  <si>
    <t>CHICKEN PAR-FRY</t>
    <phoneticPr fontId="11" type="noConversion"/>
  </si>
  <si>
    <t>STORE OIL BLEND</t>
    <phoneticPr fontId="11" type="noConversion"/>
  </si>
  <si>
    <t>tpd</t>
    <phoneticPr fontId="11" type="noConversion"/>
  </si>
  <si>
    <t>Loadout Volume : 30 MT/Batch</t>
    <phoneticPr fontId="11" type="noConversion"/>
  </si>
  <si>
    <t>MT/Batch</t>
  </si>
  <si>
    <t>MT/Batch</t>
    <phoneticPr fontId="11" type="noConversion"/>
  </si>
  <si>
    <t>tph</t>
  </si>
  <si>
    <t>tph</t>
    <phoneticPr fontId="11" type="noConversion"/>
  </si>
  <si>
    <t>tph</t>
    <phoneticPr fontId="11" type="noConversion"/>
  </si>
  <si>
    <t>G1SBO</t>
  </si>
  <si>
    <t>Blended Oil</t>
  </si>
  <si>
    <t>HOCAN</t>
  </si>
  <si>
    <t>Corn</t>
  </si>
  <si>
    <t>rmb/mt</t>
  </si>
  <si>
    <t>First Refining</t>
  </si>
  <si>
    <t>First Refining</t>
    <phoneticPr fontId="11" type="noConversion"/>
  </si>
  <si>
    <t>Second Refining</t>
  </si>
  <si>
    <t>Second Refining</t>
    <phoneticPr fontId="11" type="noConversion"/>
  </si>
  <si>
    <t>Hydro</t>
    <phoneticPr fontId="11" type="noConversion"/>
  </si>
  <si>
    <t>400TPD Refinery</t>
    <phoneticPr fontId="11" type="noConversion"/>
  </si>
  <si>
    <t>IE+Bleaching</t>
    <phoneticPr fontId="11" type="noConversion"/>
  </si>
  <si>
    <t>100TPD Deodorization</t>
  </si>
  <si>
    <t>Medium Pack BIB</t>
    <phoneticPr fontId="11" type="noConversion"/>
  </si>
  <si>
    <t>Medium Pack PET</t>
    <phoneticPr fontId="11" type="noConversion"/>
  </si>
  <si>
    <t>Medium Pack PET Total</t>
    <phoneticPr fontId="11" type="noConversion"/>
  </si>
  <si>
    <t>Medium Pack BIB Total</t>
    <phoneticPr fontId="11" type="noConversion"/>
  </si>
  <si>
    <t>PET Line</t>
    <phoneticPr fontId="11" type="noConversion"/>
  </si>
  <si>
    <t>tph</t>
    <phoneticPr fontId="11" type="noConversion"/>
  </si>
  <si>
    <t>70%Palm Olein+30%Soybean Oil</t>
  </si>
  <si>
    <t>40%Palm Stearin+35%Palm Olein+10%CNO+15%HSBO</t>
  </si>
  <si>
    <t>50%F-H-Palm Stearin+35%Coconut Oil+15%Soybean Oi</t>
  </si>
  <si>
    <t>39±1</t>
    <phoneticPr fontId="21" type="noConversion"/>
  </si>
  <si>
    <t>R-I-Palm Olein</t>
    <phoneticPr fontId="21" type="noConversion"/>
  </si>
  <si>
    <t>Preservative</t>
  </si>
  <si>
    <t>Total</t>
    <phoneticPr fontId="21" type="noConversion"/>
  </si>
  <si>
    <t>mt</t>
    <phoneticPr fontId="11" type="noConversion"/>
  </si>
  <si>
    <t>R-Coconut Oil</t>
  </si>
  <si>
    <t>R-Soybean Oil</t>
  </si>
  <si>
    <t>R-Fully Hydro Palm Stearin</t>
  </si>
  <si>
    <t>discriptive item</t>
    <phoneticPr fontId="21" type="noConversion"/>
  </si>
  <si>
    <t>IE shortening</t>
    <phoneticPr fontId="21" type="noConversion"/>
  </si>
  <si>
    <t>IE Cake Margarine</t>
    <phoneticPr fontId="21" type="noConversion"/>
  </si>
  <si>
    <t>IE Sheet Margarine</t>
    <phoneticPr fontId="21" type="noConversion"/>
  </si>
  <si>
    <t>Key Index</t>
    <phoneticPr fontId="21" type="noConversion"/>
  </si>
  <si>
    <t xml:space="preserve">Room temperature </t>
    <phoneticPr fontId="21" type="noConversion"/>
  </si>
  <si>
    <t>Low temperature</t>
    <phoneticPr fontId="21" type="noConversion"/>
  </si>
  <si>
    <t>VAT</t>
    <phoneticPr fontId="11" type="noConversion"/>
  </si>
  <si>
    <t>Item</t>
    <phoneticPr fontId="21" type="noConversion"/>
  </si>
  <si>
    <t>Price (exc VAT)</t>
    <phoneticPr fontId="11" type="noConversion"/>
  </si>
  <si>
    <t>Price (inc VAT)</t>
    <phoneticPr fontId="11" type="noConversion"/>
  </si>
  <si>
    <t>IV</t>
    <phoneticPr fontId="21" type="noConversion"/>
  </si>
  <si>
    <t>White shortening</t>
    <phoneticPr fontId="21" type="noConversion"/>
  </si>
  <si>
    <t>Yellow shortening</t>
    <phoneticPr fontId="21" type="noConversion"/>
  </si>
  <si>
    <t>Oil Phase</t>
    <phoneticPr fontId="21" type="noConversion"/>
  </si>
  <si>
    <t>R-Palm Olein</t>
    <phoneticPr fontId="21" type="noConversion"/>
  </si>
  <si>
    <t>56~62</t>
    <phoneticPr fontId="21" type="noConversion"/>
  </si>
  <si>
    <t>R-Coconut Oil</t>
    <phoneticPr fontId="21" type="noConversion"/>
  </si>
  <si>
    <t>7.5~12.5</t>
    <phoneticPr fontId="21" type="noConversion"/>
  </si>
  <si>
    <t>22~26</t>
    <phoneticPr fontId="21" type="noConversion"/>
  </si>
  <si>
    <t>R-Soybean Oil</t>
    <phoneticPr fontId="21" type="noConversion"/>
  </si>
  <si>
    <t>125~138</t>
    <phoneticPr fontId="21" type="noConversion"/>
  </si>
  <si>
    <t>R-Fully Hydro Palm Stearin</t>
    <phoneticPr fontId="21" type="noConversion"/>
  </si>
  <si>
    <t>57~60</t>
    <phoneticPr fontId="21" type="noConversion"/>
  </si>
  <si>
    <t>R-I-(Palm Olein+Soybean Oil)</t>
    <phoneticPr fontId="21" type="noConversion"/>
  </si>
  <si>
    <t>35±2</t>
    <phoneticPr fontId="21" type="noConversion"/>
  </si>
  <si>
    <t>R-I-(Palm Stearin+Palm Olein+CNO+HSBO)</t>
    <phoneticPr fontId="21" type="noConversion"/>
  </si>
  <si>
    <t>41±2</t>
    <phoneticPr fontId="21" type="noConversion"/>
  </si>
  <si>
    <t>R-I-(F-H-Palm Stearin+Coconut Oil+Soybean Oil)</t>
    <phoneticPr fontId="21" type="noConversion"/>
  </si>
  <si>
    <t>36±1</t>
    <phoneticPr fontId="21" type="noConversion"/>
  </si>
  <si>
    <t>Water</t>
    <phoneticPr fontId="11" type="noConversion"/>
  </si>
  <si>
    <t>Antioxidant</t>
    <phoneticPr fontId="21" type="noConversion"/>
  </si>
  <si>
    <t>Emulsifier</t>
    <phoneticPr fontId="21" type="noConversion"/>
  </si>
  <si>
    <t>3 Max</t>
    <phoneticPr fontId="21" type="noConversion"/>
  </si>
  <si>
    <t>Approx 40</t>
    <phoneticPr fontId="21" type="noConversion"/>
  </si>
  <si>
    <t>2 Max</t>
    <phoneticPr fontId="21" type="noConversion"/>
  </si>
  <si>
    <t>Approx 69</t>
    <phoneticPr fontId="21" type="noConversion"/>
  </si>
  <si>
    <t>Flavor</t>
    <phoneticPr fontId="21" type="noConversion"/>
  </si>
  <si>
    <t>Butter Flavor</t>
    <phoneticPr fontId="21" type="noConversion"/>
  </si>
  <si>
    <t>Color</t>
    <phoneticPr fontId="21" type="noConversion"/>
  </si>
  <si>
    <t>β-Carotene</t>
    <phoneticPr fontId="21" type="noConversion"/>
  </si>
  <si>
    <t>Salt</t>
    <phoneticPr fontId="21" type="noConversion"/>
  </si>
  <si>
    <t>COGS</t>
    <phoneticPr fontId="11" type="noConversion"/>
  </si>
  <si>
    <t>exc VAT</t>
    <phoneticPr fontId="11" type="noConversion"/>
  </si>
  <si>
    <t>rmb/mt</t>
    <phoneticPr fontId="11" type="noConversion"/>
  </si>
  <si>
    <t>inc VAT</t>
    <phoneticPr fontId="11" type="noConversion"/>
  </si>
  <si>
    <t>IE Products</t>
    <phoneticPr fontId="11" type="noConversion"/>
  </si>
  <si>
    <t>%</t>
    <phoneticPr fontId="11" type="noConversion"/>
  </si>
  <si>
    <t>IE Oil</t>
    <phoneticPr fontId="11" type="noConversion"/>
  </si>
  <si>
    <t>mt</t>
    <phoneticPr fontId="11" type="noConversion"/>
  </si>
  <si>
    <t>IE Oil %</t>
    <phoneticPr fontId="11" type="noConversion"/>
  </si>
  <si>
    <t>mt</t>
    <phoneticPr fontId="11" type="noConversion"/>
  </si>
  <si>
    <t>Hydro Oil</t>
  </si>
  <si>
    <t>Hydro Oil</t>
    <phoneticPr fontId="11" type="noConversion"/>
  </si>
  <si>
    <t>Hydro Oil</t>
    <phoneticPr fontId="11" type="noConversion"/>
  </si>
  <si>
    <t>80±5</t>
    <phoneticPr fontId="21" type="noConversion"/>
  </si>
  <si>
    <t>Total APPLE Production Volume</t>
    <phoneticPr fontId="22" type="noConversion"/>
  </si>
  <si>
    <t>Liquid Shortening</t>
  </si>
  <si>
    <t>Low Transfat</t>
  </si>
  <si>
    <t>White Shortening</t>
  </si>
  <si>
    <t>Ambient</t>
  </si>
  <si>
    <t>High Transfat</t>
  </si>
  <si>
    <t xml:space="preserve">White Shortening </t>
  </si>
  <si>
    <t>Low Temp</t>
  </si>
  <si>
    <t>Yellow Shortening</t>
  </si>
  <si>
    <t>Formula</t>
  </si>
  <si>
    <t>Sheet Margarine</t>
  </si>
  <si>
    <t>Oil Yield</t>
  </si>
  <si>
    <t>High Trans</t>
  </si>
  <si>
    <t>Low Trans</t>
  </si>
  <si>
    <t>Other by-products</t>
  </si>
  <si>
    <t>room temperature</t>
  </si>
  <si>
    <t>low temperature</t>
  </si>
  <si>
    <t>Low Temp AMF Based</t>
  </si>
  <si>
    <t>Tempering</t>
  </si>
  <si>
    <t>Temperature of tempering</t>
  </si>
  <si>
    <t>IV</t>
  </si>
  <si>
    <t>Melting Point</t>
  </si>
  <si>
    <t>Refine &amp; Hydro per mt of refined Oil</t>
  </si>
  <si>
    <t>PFAD Yields</t>
  </si>
  <si>
    <t>Storage</t>
  </si>
  <si>
    <t>18±2 for all year</t>
  </si>
  <si>
    <t>26±2 for winter
32±2 for summer</t>
  </si>
  <si>
    <t>Tempering Days</t>
  </si>
  <si>
    <t>2-3</t>
  </si>
  <si>
    <t>1-3</t>
  </si>
  <si>
    <t>4-5</t>
  </si>
  <si>
    <t xml:space="preserve">Temperature </t>
  </si>
  <si>
    <t>&lt;30C</t>
  </si>
  <si>
    <t>5C</t>
  </si>
  <si>
    <t>R-Palm Olein</t>
  </si>
  <si>
    <t>R-Palm Stearin</t>
  </si>
  <si>
    <t>R-H-Palm Oil</t>
  </si>
  <si>
    <t>R-H-Soybean Oil</t>
  </si>
  <si>
    <t>5C</t>
    <phoneticPr fontId="11" type="noConversion"/>
  </si>
  <si>
    <t>Base Oil</t>
    <phoneticPr fontId="11" type="noConversion"/>
  </si>
  <si>
    <t>AMF</t>
    <phoneticPr fontId="11" type="noConversion"/>
  </si>
  <si>
    <t>Hydro oil content</t>
    <phoneticPr fontId="11" type="noConversion"/>
  </si>
  <si>
    <t>Hydro oil content</t>
    <phoneticPr fontId="11" type="noConversion"/>
  </si>
  <si>
    <t>Year2015</t>
    <phoneticPr fontId="11" type="noConversion"/>
  </si>
  <si>
    <t>Year2016</t>
  </si>
  <si>
    <t>Year2017</t>
  </si>
  <si>
    <t>Year2018</t>
  </si>
  <si>
    <t>Year2019</t>
  </si>
  <si>
    <t>Year2020</t>
  </si>
  <si>
    <t>Year2021</t>
  </si>
  <si>
    <t>Year2022</t>
  </si>
  <si>
    <t>Year2023</t>
  </si>
  <si>
    <t>Year2024</t>
  </si>
  <si>
    <t>No sweet</t>
  </si>
  <si>
    <t>sweet filling</t>
  </si>
  <si>
    <t>AMF</t>
  </si>
  <si>
    <t>Tianai You</t>
  </si>
  <si>
    <t>Non-Sweet</t>
  </si>
  <si>
    <t xml:space="preserve">Apple </t>
    <phoneticPr fontId="21" type="noConversion"/>
  </si>
  <si>
    <t>High Transfat</t>
    <phoneticPr fontId="21" type="noConversion"/>
  </si>
  <si>
    <t>High Transfat</t>
    <phoneticPr fontId="21" type="noConversion"/>
  </si>
  <si>
    <t>Sweet</t>
    <phoneticPr fontId="21" type="noConversion"/>
  </si>
  <si>
    <t>Tianpian</t>
    <phoneticPr fontId="21" type="noConversion"/>
  </si>
  <si>
    <t>Non-Tiapian</t>
    <phoneticPr fontId="21" type="noConversion"/>
  </si>
  <si>
    <t>Non-IE Liquid Shortening</t>
    <phoneticPr fontId="11" type="noConversion"/>
  </si>
  <si>
    <t>Non-IE White Shortening</t>
  </si>
  <si>
    <t>Non-IE White Shortening</t>
    <phoneticPr fontId="11" type="noConversion"/>
  </si>
  <si>
    <t>Non-IE Yellow Shortening</t>
  </si>
  <si>
    <t>Non-IE Yellow Shortening</t>
    <phoneticPr fontId="11" type="noConversion"/>
  </si>
  <si>
    <t>Non-IE Cake Margarine</t>
  </si>
  <si>
    <t>Non-IE Cake Margarine</t>
    <phoneticPr fontId="11" type="noConversion"/>
  </si>
  <si>
    <t>IE White Shortening</t>
  </si>
  <si>
    <t>IE White Shortening</t>
    <phoneticPr fontId="11" type="noConversion"/>
  </si>
  <si>
    <t>IE Yellow Shortening</t>
  </si>
  <si>
    <t>IE Yellow Shortening</t>
    <phoneticPr fontId="11" type="noConversion"/>
  </si>
  <si>
    <t>IE Cake Margarine</t>
  </si>
  <si>
    <t>IE Cake Margarine</t>
    <phoneticPr fontId="11" type="noConversion"/>
  </si>
  <si>
    <t>IE Sheet Margarine</t>
  </si>
  <si>
    <t>IE Sheet Margarine</t>
    <phoneticPr fontId="11" type="noConversion"/>
  </si>
  <si>
    <t>Non-IE Sheet Margarine</t>
  </si>
  <si>
    <t>Non-IE Sheet Margarine</t>
    <phoneticPr fontId="11" type="noConversion"/>
  </si>
  <si>
    <t>Cake Margarine</t>
    <phoneticPr fontId="11" type="noConversion"/>
  </si>
  <si>
    <t>Cake Margarine</t>
    <phoneticPr fontId="11" type="noConversion"/>
  </si>
  <si>
    <t>Cake Margarine</t>
    <phoneticPr fontId="11" type="noConversion"/>
  </si>
  <si>
    <t>Tiannaiyou</t>
    <phoneticPr fontId="11" type="noConversion"/>
  </si>
  <si>
    <t>AMF</t>
    <phoneticPr fontId="11" type="noConversion"/>
  </si>
  <si>
    <t>Low Transfat</t>
    <phoneticPr fontId="11" type="noConversion"/>
  </si>
  <si>
    <t>Low Temp</t>
    <phoneticPr fontId="11" type="noConversion"/>
  </si>
  <si>
    <t>Sheet Margarine</t>
    <phoneticPr fontId="11" type="noConversion"/>
  </si>
  <si>
    <t>Tianpian</t>
    <phoneticPr fontId="11" type="noConversion"/>
  </si>
  <si>
    <t>Hydro oil content</t>
  </si>
  <si>
    <t>TOTAL VOLUME</t>
    <phoneticPr fontId="11" type="noConversion"/>
  </si>
  <si>
    <t>Total Volume</t>
    <phoneticPr fontId="11" type="noConversion"/>
  </si>
  <si>
    <t>Whole Volume by IE vs Non-IE</t>
    <phoneticPr fontId="11" type="noConversion"/>
  </si>
  <si>
    <r>
      <t>Slip Melting Point (</t>
    </r>
    <r>
      <rPr>
        <b/>
        <sz val="10"/>
        <rFont val="Arial Unicode MS"/>
        <family val="2"/>
        <charset val="134"/>
      </rPr>
      <t>℃</t>
    </r>
    <r>
      <rPr>
        <b/>
        <sz val="10"/>
        <rFont val="Calibri"/>
        <family val="2"/>
      </rPr>
      <t>)</t>
    </r>
    <phoneticPr fontId="21" type="noConversion"/>
  </si>
  <si>
    <r>
      <t xml:space="preserve">Potassium sorbate
</t>
    </r>
    <r>
      <rPr>
        <sz val="10"/>
        <rFont val="Arial Unicode MS"/>
        <family val="2"/>
        <charset val="134"/>
      </rPr>
      <t>山梨酸钾</t>
    </r>
  </si>
  <si>
    <r>
      <t xml:space="preserve">Sorbic acid
</t>
    </r>
    <r>
      <rPr>
        <sz val="10"/>
        <rFont val="Arial Unicode MS"/>
        <family val="2"/>
        <charset val="134"/>
      </rPr>
      <t>山梨酸</t>
    </r>
  </si>
  <si>
    <r>
      <t xml:space="preserve">Soybean lecithin
</t>
    </r>
    <r>
      <rPr>
        <b/>
        <sz val="10"/>
        <rFont val="Arial Unicode MS"/>
        <family val="2"/>
        <charset val="134"/>
      </rPr>
      <t>大豆卵磷脂</t>
    </r>
  </si>
  <si>
    <r>
      <t xml:space="preserve">Salt (non contain potassium iodate)
</t>
    </r>
    <r>
      <rPr>
        <sz val="10"/>
        <rFont val="Arial Unicode MS"/>
        <family val="2"/>
        <charset val="134"/>
      </rPr>
      <t>食盐（无碘）</t>
    </r>
  </si>
  <si>
    <t>HSBO</t>
  </si>
  <si>
    <t>Water</t>
    <phoneticPr fontId="11" type="noConversion"/>
  </si>
  <si>
    <r>
      <t xml:space="preserve">low temperature </t>
    </r>
    <r>
      <rPr>
        <sz val="10"/>
        <rFont val="宋体"/>
        <family val="3"/>
        <charset val="134"/>
      </rPr>
      <t>甜奶油</t>
    </r>
    <phoneticPr fontId="11" type="noConversion"/>
  </si>
  <si>
    <r>
      <t>low temperature</t>
    </r>
    <r>
      <rPr>
        <sz val="10"/>
        <rFont val="宋体"/>
        <family val="3"/>
        <charset val="134"/>
      </rPr>
      <t>甜片</t>
    </r>
    <phoneticPr fontId="11" type="noConversion"/>
  </si>
  <si>
    <r>
      <t xml:space="preserve">Soft water
</t>
    </r>
    <r>
      <rPr>
        <sz val="10"/>
        <rFont val="宋体"/>
        <family val="3"/>
        <charset val="134"/>
      </rPr>
      <t>软水</t>
    </r>
  </si>
  <si>
    <r>
      <t xml:space="preserve">Soft water </t>
    </r>
    <r>
      <rPr>
        <b/>
        <sz val="10"/>
        <rFont val="Arial Unicode MS"/>
        <family val="2"/>
        <charset val="134"/>
      </rPr>
      <t>软水</t>
    </r>
    <phoneticPr fontId="21" type="noConversion"/>
  </si>
  <si>
    <r>
      <t xml:space="preserve">Mixed Tocopherol
</t>
    </r>
    <r>
      <rPr>
        <sz val="10"/>
        <rFont val="Arial Unicode MS"/>
        <family val="2"/>
        <charset val="134"/>
      </rPr>
      <t>混合生育酚</t>
    </r>
    <phoneticPr fontId="21" type="noConversion"/>
  </si>
  <si>
    <r>
      <t xml:space="preserve">Vitamin C Palmitate
</t>
    </r>
    <r>
      <rPr>
        <sz val="10"/>
        <rFont val="Arial Unicode MS"/>
        <family val="2"/>
        <charset val="134"/>
      </rPr>
      <t>抗坏血酰棕榈酸酯</t>
    </r>
    <phoneticPr fontId="21" type="noConversion"/>
  </si>
  <si>
    <r>
      <t xml:space="preserve">Monoglyceride of Fatty Acid (Unsaturated)
</t>
    </r>
    <r>
      <rPr>
        <sz val="10"/>
        <rFont val="Arial Unicode MS"/>
        <family val="2"/>
        <charset val="134"/>
      </rPr>
      <t>单甘酯（不饱和）</t>
    </r>
    <phoneticPr fontId="21" type="noConversion"/>
  </si>
  <si>
    <r>
      <t xml:space="preserve">Propylene Glycol Esters of Fatty Acid
</t>
    </r>
    <r>
      <rPr>
        <sz val="10"/>
        <rFont val="Arial Unicode MS"/>
        <family val="2"/>
        <charset val="134"/>
      </rPr>
      <t>丙二醇酯</t>
    </r>
    <phoneticPr fontId="21" type="noConversion"/>
  </si>
  <si>
    <r>
      <t xml:space="preserve">Monoglyceride of Fatty Acid (Saturated)
</t>
    </r>
    <r>
      <rPr>
        <sz val="10"/>
        <rFont val="Arial Unicode MS"/>
        <family val="2"/>
        <charset val="134"/>
      </rPr>
      <t>单甘酯（饱和）</t>
    </r>
    <phoneticPr fontId="21" type="noConversion"/>
  </si>
  <si>
    <r>
      <t xml:space="preserve">Milk Powder </t>
    </r>
    <r>
      <rPr>
        <b/>
        <sz val="10"/>
        <rFont val="Arial Unicode MS"/>
        <family val="2"/>
        <charset val="134"/>
      </rPr>
      <t>奶粉</t>
    </r>
    <phoneticPr fontId="21" type="noConversion"/>
  </si>
  <si>
    <t>Annual Volume</t>
  </si>
  <si>
    <t>MT/year</t>
  </si>
  <si>
    <t>NA</t>
  </si>
  <si>
    <t>Bakery Oil - Packaging</t>
  </si>
  <si>
    <t>Bakery Oil - Process</t>
  </si>
  <si>
    <t>Bakery Oil -Packaging</t>
  </si>
  <si>
    <t>Bakery Oil- Process</t>
  </si>
  <si>
    <t>IE Oils</t>
  </si>
  <si>
    <t>Hydro Oils</t>
  </si>
  <si>
    <t>tpd</t>
  </si>
  <si>
    <t>IE Oil from SF</t>
    <phoneticPr fontId="11" type="noConversion"/>
  </si>
  <si>
    <t>Total sheet margarine</t>
    <phoneticPr fontId="11" type="noConversion"/>
  </si>
  <si>
    <t>South China Sheet Margarine</t>
    <phoneticPr fontId="11" type="noConversion"/>
  </si>
  <si>
    <t>Tianpian</t>
  </si>
  <si>
    <t>Non-Tiapian</t>
  </si>
  <si>
    <t>Before Cap</t>
    <phoneticPr fontId="11" type="noConversion"/>
  </si>
  <si>
    <t>Total China Cake Margarine</t>
    <phoneticPr fontId="11" type="noConversion"/>
  </si>
  <si>
    <t>IE Cake Margarine</t>
    <phoneticPr fontId="11" type="noConversion"/>
  </si>
  <si>
    <t>South China Cake Margarine</t>
    <phoneticPr fontId="11" type="noConversion"/>
  </si>
  <si>
    <t>Total China Shortenings</t>
    <phoneticPr fontId="11" type="noConversion"/>
  </si>
  <si>
    <t>IE White Shortening</t>
    <phoneticPr fontId="11" type="noConversion"/>
  </si>
  <si>
    <t>IE Yellow Shortening</t>
    <phoneticPr fontId="11" type="noConversion"/>
  </si>
  <si>
    <t>South China Shortenings</t>
    <phoneticPr fontId="11" type="noConversion"/>
  </si>
  <si>
    <t>Ambient</t>
    <phoneticPr fontId="11" type="noConversion"/>
  </si>
  <si>
    <t>Low-temp</t>
    <phoneticPr fontId="11" type="noConversion"/>
  </si>
  <si>
    <t>Total</t>
    <phoneticPr fontId="11" type="noConversion"/>
  </si>
  <si>
    <t>Bakery Project</t>
    <phoneticPr fontId="21" type="noConversion"/>
  </si>
  <si>
    <t>1. Non-IE (South China)</t>
    <phoneticPr fontId="21" type="noConversion"/>
  </si>
  <si>
    <t>3. Non-IE (Ex-South China )</t>
    <phoneticPr fontId="21" type="noConversion"/>
  </si>
  <si>
    <t>Total IE</t>
    <phoneticPr fontId="11" type="noConversion"/>
  </si>
  <si>
    <t xml:space="preserve">Total Bakery Oils </t>
    <phoneticPr fontId="11" type="noConversion"/>
  </si>
  <si>
    <t>Step 2 Nantong</t>
    <phoneticPr fontId="21" type="noConversion"/>
  </si>
  <si>
    <t>Step 0 and 1 Nantong</t>
    <phoneticPr fontId="21" type="noConversion"/>
  </si>
  <si>
    <t>Step 0 and 1 Budgeted</t>
    <phoneticPr fontId="11" type="noConversion"/>
  </si>
  <si>
    <t>White Shortening</t>
    <phoneticPr fontId="11" type="noConversion"/>
  </si>
  <si>
    <t>Yellow Shortening</t>
    <phoneticPr fontId="11" type="noConversion"/>
  </si>
  <si>
    <t>Liquid Shortening</t>
    <phoneticPr fontId="11" type="noConversion"/>
  </si>
  <si>
    <t>Low trans</t>
    <phoneticPr fontId="11" type="noConversion"/>
  </si>
  <si>
    <t>High Trans</t>
    <phoneticPr fontId="11" type="noConversion"/>
  </si>
  <si>
    <t>Total</t>
    <phoneticPr fontId="11" type="noConversion"/>
  </si>
  <si>
    <t>Total Nantong Volume</t>
    <phoneticPr fontId="11" type="noConversion"/>
  </si>
  <si>
    <t>Latest McD Store Oil Total China Budget</t>
    <phoneticPr fontId="11" type="noConversion"/>
  </si>
  <si>
    <t>McD Total China</t>
    <phoneticPr fontId="11" type="noConversion"/>
  </si>
  <si>
    <t>Cargill Total China</t>
    <phoneticPr fontId="11" type="noConversion"/>
  </si>
  <si>
    <t>Cargill Target Share</t>
    <phoneticPr fontId="11" type="noConversion"/>
  </si>
  <si>
    <t>Max Capacity</t>
    <phoneticPr fontId="11" type="noConversion"/>
  </si>
  <si>
    <t>2. IE Finished Product Volume</t>
    <phoneticPr fontId="21" type="noConversion"/>
  </si>
  <si>
    <t>IE Related Kombinator</t>
    <phoneticPr fontId="11" type="noConversion"/>
  </si>
  <si>
    <t>IE Related Perfector</t>
    <phoneticPr fontId="11" type="noConversion"/>
  </si>
  <si>
    <t>Carton Days/Year</t>
    <phoneticPr fontId="11" type="noConversion"/>
  </si>
  <si>
    <t>SF+Non-IE bakery (Days/Year)</t>
    <phoneticPr fontId="11" type="noConversion"/>
  </si>
  <si>
    <t>Apple IE Bakery Oil  (Days/Year)</t>
    <phoneticPr fontId="11" type="noConversion"/>
  </si>
  <si>
    <t>Apple IE moved oils (To NT) - Days/Year</t>
    <phoneticPr fontId="11" type="noConversion"/>
  </si>
  <si>
    <t>Apple IE Margarine - Days/Year</t>
    <phoneticPr fontId="11" type="noConversion"/>
  </si>
  <si>
    <t>Apple IE Margarine ( To Move to NT) - Days/Year</t>
    <phoneticPr fontId="11" type="noConversion"/>
  </si>
  <si>
    <t>Apple IE Shortening ( To Move to NT) - Days/Year</t>
    <phoneticPr fontId="11" type="noConversion"/>
  </si>
  <si>
    <t>Days/Year</t>
    <phoneticPr fontId="11" type="noConversion"/>
  </si>
  <si>
    <t>100%  Carton Utilization -Days/Year</t>
    <phoneticPr fontId="11" type="noConversion"/>
  </si>
  <si>
    <t>Carton - Moved Volume</t>
    <phoneticPr fontId="11" type="noConversion"/>
  </si>
  <si>
    <t xml:space="preserve">Apple Moved IE Margarine (mt) </t>
    <phoneticPr fontId="11" type="noConversion"/>
  </si>
  <si>
    <t xml:space="preserve">Apple Moved IE Shortening (mt) </t>
    <phoneticPr fontId="11" type="noConversion"/>
  </si>
  <si>
    <t>Apple IE Shortening - Days/Year</t>
    <phoneticPr fontId="11" type="noConversion"/>
  </si>
  <si>
    <t>Carton - Maxmium Moved  Days/Year</t>
    <phoneticPr fontId="11" type="noConversion"/>
  </si>
  <si>
    <t>Carton -  Days/Year after Maxium</t>
    <phoneticPr fontId="11" type="noConversion"/>
  </si>
  <si>
    <t>Carton Packaging Line 1</t>
    <phoneticPr fontId="11" type="noConversion"/>
  </si>
  <si>
    <t>RPKO</t>
    <phoneticPr fontId="11" type="noConversion"/>
  </si>
  <si>
    <t>PET Line</t>
    <phoneticPr fontId="11" type="noConversion"/>
  </si>
  <si>
    <t>20 kg BIB</t>
    <phoneticPr fontId="11" type="noConversion"/>
  </si>
  <si>
    <t>Perfector 180 (1+1+1+1) B</t>
  </si>
  <si>
    <t>Perfector A + Perfector B</t>
    <phoneticPr fontId="11" type="noConversion"/>
  </si>
  <si>
    <t>IE related Perfectors</t>
    <phoneticPr fontId="11" type="noConversion"/>
  </si>
  <si>
    <t>Perfector 180 (1+1+1+1) B</t>
    <phoneticPr fontId="11" type="noConversion"/>
  </si>
  <si>
    <t>Perfector A + Perfector B Average</t>
    <phoneticPr fontId="11" type="noConversion"/>
  </si>
  <si>
    <t>Cargill BIB Volume</t>
  </si>
  <si>
    <t>CM, rmb/mt</t>
  </si>
  <si>
    <t>22L</t>
    <phoneticPr fontId="5" type="noConversion"/>
  </si>
  <si>
    <t>ROL</t>
    <phoneticPr fontId="5" type="noConversion"/>
  </si>
  <si>
    <t>SPMF</t>
    <phoneticPr fontId="5" type="noConversion"/>
  </si>
  <si>
    <t>Total</t>
  </si>
  <si>
    <t>Cargill PET Volume</t>
    <phoneticPr fontId="5" type="noConversion"/>
  </si>
  <si>
    <t>mt</t>
    <phoneticPr fontId="5" type="noConversion"/>
  </si>
  <si>
    <t>20L</t>
    <phoneticPr fontId="5" type="noConversion"/>
  </si>
  <si>
    <t>5L</t>
    <phoneticPr fontId="5" type="noConversion"/>
  </si>
  <si>
    <t>20L without box</t>
    <phoneticPr fontId="5" type="noConversion"/>
  </si>
  <si>
    <t>10L</t>
    <phoneticPr fontId="5" type="noConversion"/>
  </si>
  <si>
    <t>20L with box</t>
    <phoneticPr fontId="5" type="noConversion"/>
  </si>
  <si>
    <t>5L</t>
    <phoneticPr fontId="5" type="noConversion"/>
  </si>
  <si>
    <t>10L*2</t>
    <phoneticPr fontId="5" type="noConversion"/>
  </si>
  <si>
    <t>Blended OIl</t>
    <phoneticPr fontId="5" type="noConversion"/>
  </si>
  <si>
    <t>Blended Oil</t>
    <phoneticPr fontId="5" type="noConversion"/>
  </si>
  <si>
    <t>20L with Box</t>
    <phoneticPr fontId="5" type="noConversion"/>
  </si>
  <si>
    <t>Super Olein</t>
    <phoneticPr fontId="5" type="noConversion"/>
  </si>
  <si>
    <t>20L Without box</t>
    <phoneticPr fontId="5" type="noConversion"/>
  </si>
  <si>
    <t>Subtotal</t>
    <phoneticPr fontId="5" type="noConversion"/>
  </si>
  <si>
    <t>Cargill Total MP</t>
    <phoneticPr fontId="5" type="noConversion"/>
  </si>
  <si>
    <t>Perfector 150 (1+1+1+1) A</t>
  </si>
  <si>
    <t xml:space="preserve">Project Apple Packed Volume for Food Service- PDP III  </t>
  </si>
  <si>
    <t>Updated</t>
  </si>
  <si>
    <t>Year</t>
  </si>
  <si>
    <t>MP(Best case )</t>
  </si>
  <si>
    <t>MP(Business case )</t>
  </si>
  <si>
    <t xml:space="preserve">(Business case) Growth ratio </t>
  </si>
  <si>
    <t>PET(70%)</t>
  </si>
  <si>
    <t>BIB(30%)</t>
  </si>
  <si>
    <t>Business Case</t>
    <phoneticPr fontId="5" type="noConversion"/>
  </si>
  <si>
    <t>Annual Volumes in MT</t>
  </si>
  <si>
    <t>5L*4 in box</t>
  </si>
  <si>
    <t>20L without box</t>
  </si>
  <si>
    <t>20L in box</t>
  </si>
  <si>
    <t>10L*2 in box</t>
  </si>
  <si>
    <t>BIB 22L</t>
    <phoneticPr fontId="5" type="noConversion"/>
  </si>
  <si>
    <t>Total</t>
    <phoneticPr fontId="5" type="noConversion"/>
  </si>
  <si>
    <t>Peak Volumes Monthly - MT</t>
  </si>
  <si>
    <t>Best Case</t>
  </si>
  <si>
    <t>5Land10L</t>
  </si>
  <si>
    <t>20L</t>
  </si>
  <si>
    <t>5 and 10 ltr PET</t>
  </si>
  <si>
    <t>20 ltr PET</t>
  </si>
  <si>
    <t>Carton Filling Line 1</t>
  </si>
  <si>
    <t>Carton Filling Line 2</t>
  </si>
  <si>
    <t>Sheet Margarine Packaging</t>
  </si>
  <si>
    <r>
      <rPr>
        <b/>
        <sz val="10"/>
        <color rgb="FFFF0000"/>
        <rFont val="Arial Unicode MS"/>
        <family val="2"/>
        <charset val="134"/>
      </rPr>
      <t>≤</t>
    </r>
    <r>
      <rPr>
        <b/>
        <sz val="10"/>
        <color rgb="FFFF0000"/>
        <rFont val="Calibri"/>
        <family val="2"/>
      </rPr>
      <t>2</t>
    </r>
  </si>
  <si>
    <r>
      <t>Vitamine E (dl-α-Tocopherol) total tocopherol</t>
    </r>
    <r>
      <rPr>
        <b/>
        <sz val="10"/>
        <color rgb="FFFF0000"/>
        <rFont val="Arial Unicode MS"/>
        <family val="2"/>
        <charset val="134"/>
      </rPr>
      <t>≥</t>
    </r>
    <r>
      <rPr>
        <b/>
        <sz val="10"/>
        <color rgb="FFFF0000"/>
        <rFont val="Calibri"/>
        <family val="2"/>
      </rPr>
      <t xml:space="preserve"> 50%</t>
    </r>
  </si>
  <si>
    <r>
      <rPr>
        <b/>
        <sz val="10"/>
        <color rgb="FFFF0000"/>
        <rFont val="Arial Unicode MS"/>
        <family val="2"/>
        <charset val="134"/>
      </rPr>
      <t>≤</t>
    </r>
    <r>
      <rPr>
        <b/>
        <sz val="10"/>
        <color rgb="FFFF0000"/>
        <rFont val="Calibri"/>
        <family val="2"/>
      </rPr>
      <t>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</si>
</sst>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 * #,##0.00_ ;_ * \-#,##0.00_ ;_ * &quot;-&quot;??_ ;_ @_ "/>
    <numFmt numFmtId="165" formatCode="_(* #,##0_);_(* \(#,##0\);_(* &quot;-&quot;??_);_(@_)"/>
    <numFmt numFmtId="166" formatCode="#,##0.0"/>
    <numFmt numFmtId="167" formatCode="0.0000%"/>
    <numFmt numFmtId="168" formatCode="0.0%"/>
    <numFmt numFmtId="169" formatCode="_(* #,##0.0_);_(* \(#,##0.0\);_(* &quot;-&quot;??_);_(@_)"/>
    <numFmt numFmtId="170" formatCode="0.000%"/>
    <numFmt numFmtId="171" formatCode="0.0"/>
    <numFmt numFmtId="172" formatCode="_ * #,##0_ ;_ * \-#,##0_ ;_ * &quot;-&quot;??_ ;_ @_ "/>
  </numFmts>
  <fonts count="64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u/>
      <sz val="1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8"/>
      <color indexed="81"/>
      <name val="Tahoma"/>
      <family val="2"/>
    </font>
    <font>
      <sz val="11"/>
      <color rgb="FF0070C0"/>
      <name val="Calibri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Calibri"/>
      <family val="2"/>
      <charset val="134"/>
      <scheme val="minor"/>
    </font>
    <font>
      <sz val="9"/>
      <name val="宋体"/>
      <family val="3"/>
      <charset val="134"/>
    </font>
    <font>
      <sz val="1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0"/>
      <name val="Calibri"/>
      <family val="2"/>
    </font>
    <font>
      <sz val="11"/>
      <name val="Arial Unicode MS"/>
      <family val="2"/>
      <charset val="134"/>
    </font>
    <font>
      <b/>
      <i/>
      <sz val="11"/>
      <name val="Calibri"/>
      <family val="2"/>
    </font>
    <font>
      <b/>
      <sz val="10"/>
      <name val="Arial Unicode MS"/>
      <family val="2"/>
      <charset val="134"/>
    </font>
    <font>
      <sz val="10"/>
      <name val="Arial Unicode MS"/>
      <family val="2"/>
      <charset val="134"/>
    </font>
    <font>
      <b/>
      <sz val="12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宋体"/>
      <family val="3"/>
      <charset val="134"/>
    </font>
    <font>
      <b/>
      <sz val="11"/>
      <name val="Arial"/>
      <family val="2"/>
    </font>
    <font>
      <sz val="16"/>
      <name val="Calibri"/>
      <family val="2"/>
    </font>
    <font>
      <b/>
      <sz val="16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4"/>
      <name val="Calibri"/>
      <family val="2"/>
    </font>
    <font>
      <sz val="9"/>
      <color theme="1"/>
      <name val="Arial Unicode MS"/>
      <family val="2"/>
      <charset val="134"/>
    </font>
    <font>
      <b/>
      <sz val="9"/>
      <color theme="1"/>
      <name val="Arial Unicode MS"/>
      <family val="2"/>
      <charset val="134"/>
    </font>
    <font>
      <sz val="9"/>
      <color theme="1"/>
      <name val="Calibri"/>
      <family val="2"/>
      <charset val="134"/>
      <scheme val="minor"/>
    </font>
    <font>
      <b/>
      <sz val="14"/>
      <color theme="1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b/>
      <sz val="12"/>
      <color theme="1"/>
      <name val="Tahoma"/>
      <family val="2"/>
    </font>
    <font>
      <sz val="14"/>
      <color theme="1"/>
      <name val="Tahoma"/>
      <family val="2"/>
    </font>
    <font>
      <sz val="9"/>
      <color rgb="FF000000"/>
      <name val="Tahoma"/>
      <family val="2"/>
    </font>
    <font>
      <sz val="9"/>
      <color rgb="FF1F497D"/>
      <name val="Tahoma"/>
      <family val="2"/>
    </font>
    <font>
      <b/>
      <sz val="9"/>
      <color rgb="FF000000"/>
      <name val="Tahoma"/>
      <family val="2"/>
    </font>
    <font>
      <b/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</font>
    <font>
      <b/>
      <sz val="10"/>
      <color rgb="FFFF0000"/>
      <name val="Arial Unicode MS"/>
      <family val="2"/>
      <charset val="134"/>
    </font>
    <font>
      <b/>
      <sz val="10"/>
      <color rgb="FFFF0000"/>
      <name val="Arial"/>
      <family val="2"/>
    </font>
    <font>
      <sz val="9"/>
      <color rgb="FFFF0000"/>
      <name val="Arial Unicode MS"/>
      <family val="2"/>
      <charset val="134"/>
    </font>
    <font>
      <b/>
      <sz val="9"/>
      <color rgb="FFFF0000"/>
      <name val="Arial Unicode MS"/>
      <family val="2"/>
    </font>
    <font>
      <b/>
      <sz val="9"/>
      <color rgb="FFFF0000"/>
      <name val="Arial Unicode MS"/>
      <family val="2"/>
      <charset val="134"/>
    </font>
    <font>
      <b/>
      <sz val="9"/>
      <color rgb="FFFF0000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double">
        <color rgb="FFFFFFFF"/>
      </right>
      <top style="medium">
        <color rgb="FF000000"/>
      </top>
      <bottom style="double">
        <color rgb="FFFFFFFF"/>
      </bottom>
      <diagonal/>
    </border>
    <border>
      <left/>
      <right style="double">
        <color rgb="FFFFFFFF"/>
      </right>
      <top style="medium">
        <color rgb="FF000000"/>
      </top>
      <bottom style="double">
        <color rgb="FFFFFFFF"/>
      </bottom>
      <diagonal/>
    </border>
    <border>
      <left/>
      <right style="medium">
        <color rgb="FF000000"/>
      </right>
      <top style="medium">
        <color rgb="FF000000"/>
      </top>
      <bottom style="double">
        <color rgb="FFFFFFFF"/>
      </bottom>
      <diagonal/>
    </border>
    <border>
      <left style="medium">
        <color rgb="FF000000"/>
      </left>
      <right style="double">
        <color rgb="FFFFFFFF"/>
      </right>
      <top/>
      <bottom style="double">
        <color rgb="FFFFFFFF"/>
      </bottom>
      <diagonal/>
    </border>
    <border>
      <left/>
      <right style="double">
        <color rgb="FFFFFFFF"/>
      </right>
      <top/>
      <bottom style="double">
        <color rgb="FFFFFFFF"/>
      </bottom>
      <diagonal/>
    </border>
    <border>
      <left/>
      <right style="medium">
        <color rgb="FF000000"/>
      </right>
      <top/>
      <bottom style="double">
        <color rgb="FFFFFFFF"/>
      </bottom>
      <diagonal/>
    </border>
    <border>
      <left style="medium">
        <color rgb="FF000000"/>
      </left>
      <right style="double">
        <color rgb="FFFFFFFF"/>
      </right>
      <top/>
      <bottom/>
      <diagonal/>
    </border>
    <border>
      <left/>
      <right style="double">
        <color rgb="FFFFFFFF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double">
        <color rgb="FFFFFFFF"/>
      </right>
      <top style="double">
        <color rgb="FF000000"/>
      </top>
      <bottom style="medium">
        <color rgb="FF000000"/>
      </bottom>
      <diagonal/>
    </border>
    <border>
      <left/>
      <right style="double">
        <color rgb="FFFFFFFF"/>
      </right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FFFFFF"/>
      </right>
      <top/>
      <bottom style="medium">
        <color rgb="FF000000"/>
      </bottom>
      <diagonal/>
    </border>
    <border>
      <left/>
      <right style="double">
        <color rgb="FFFFFFFF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1">
    <xf numFmtId="0" fontId="0" fillId="0" borderId="0"/>
    <xf numFmtId="164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64">
    <xf numFmtId="0" fontId="0" fillId="0" borderId="0" xfId="0"/>
    <xf numFmtId="3" fontId="0" fillId="2" borderId="0" xfId="0" applyNumberFormat="1" applyFill="1"/>
    <xf numFmtId="1" fontId="0" fillId="0" borderId="0" xfId="0" applyNumberFormat="1"/>
    <xf numFmtId="165" fontId="9" fillId="0" borderId="0" xfId="1" applyNumberFormat="1" applyFont="1"/>
    <xf numFmtId="164" fontId="9" fillId="0" borderId="0" xfId="1" applyFont="1"/>
    <xf numFmtId="3" fontId="10" fillId="0" borderId="0" xfId="0" applyNumberFormat="1" applyFont="1"/>
    <xf numFmtId="0" fontId="10" fillId="0" borderId="0" xfId="0" applyFont="1"/>
    <xf numFmtId="3" fontId="0" fillId="0" borderId="0" xfId="0" applyNumberFormat="1"/>
    <xf numFmtId="0" fontId="0" fillId="0" borderId="0" xfId="0" applyAlignment="1">
      <alignment horizontal="center"/>
    </xf>
    <xf numFmtId="3" fontId="9" fillId="0" borderId="0" xfId="0" applyNumberFormat="1" applyFont="1" applyFill="1"/>
    <xf numFmtId="3" fontId="0" fillId="0" borderId="0" xfId="0" applyNumberFormat="1" applyFill="1"/>
    <xf numFmtId="3" fontId="9" fillId="0" borderId="0" xfId="0" applyNumberFormat="1" applyFont="1"/>
    <xf numFmtId="3" fontId="10" fillId="0" borderId="0" xfId="0" applyNumberFormat="1" applyFont="1" applyFill="1" applyAlignment="1">
      <alignment horizontal="left" indent="1"/>
    </xf>
    <xf numFmtId="3" fontId="0" fillId="0" borderId="0" xfId="0" applyNumberFormat="1" applyFill="1" applyAlignment="1">
      <alignment horizontal="left" indent="1"/>
    </xf>
    <xf numFmtId="0" fontId="10" fillId="0" borderId="0" xfId="0" applyFont="1" applyAlignment="1">
      <alignment horizontal="center"/>
    </xf>
    <xf numFmtId="0" fontId="9" fillId="0" borderId="0" xfId="0" applyFont="1"/>
    <xf numFmtId="165" fontId="0" fillId="0" borderId="0" xfId="1" applyNumberFormat="1" applyFont="1"/>
    <xf numFmtId="3" fontId="6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center"/>
    </xf>
    <xf numFmtId="3" fontId="6" fillId="0" borderId="0" xfId="0" applyNumberFormat="1" applyFont="1" applyFill="1" applyAlignment="1">
      <alignment horizontal="left" indent="1"/>
    </xf>
    <xf numFmtId="3" fontId="9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left" indent="1"/>
    </xf>
    <xf numFmtId="0" fontId="6" fillId="0" borderId="0" xfId="0" applyFont="1" applyFill="1" applyAlignment="1">
      <alignment horizontal="left" indent="1"/>
    </xf>
    <xf numFmtId="3" fontId="12" fillId="2" borderId="0" xfId="0" applyNumberFormat="1" applyFont="1" applyFill="1"/>
    <xf numFmtId="3" fontId="13" fillId="0" borderId="0" xfId="0" applyNumberFormat="1" applyFont="1" applyFill="1"/>
    <xf numFmtId="0" fontId="13" fillId="0" borderId="0" xfId="0" applyFont="1"/>
    <xf numFmtId="0" fontId="13" fillId="0" borderId="0" xfId="0" applyFont="1" applyAlignment="1">
      <alignment horizontal="center"/>
    </xf>
    <xf numFmtId="1" fontId="13" fillId="0" borderId="0" xfId="0" applyNumberFormat="1" applyFont="1"/>
    <xf numFmtId="0" fontId="12" fillId="0" borderId="0" xfId="0" applyFont="1"/>
    <xf numFmtId="3" fontId="14" fillId="0" borderId="0" xfId="0" applyNumberFormat="1" applyFont="1" applyFill="1"/>
    <xf numFmtId="0" fontId="12" fillId="0" borderId="0" xfId="0" applyFont="1" applyAlignment="1">
      <alignment horizontal="center"/>
    </xf>
    <xf numFmtId="3" fontId="14" fillId="0" borderId="0" xfId="0" applyNumberFormat="1" applyFont="1"/>
    <xf numFmtId="165" fontId="9" fillId="4" borderId="0" xfId="1" applyNumberFormat="1" applyFont="1" applyFill="1"/>
    <xf numFmtId="1" fontId="15" fillId="0" borderId="0" xfId="0" applyNumberFormat="1" applyFont="1"/>
    <xf numFmtId="0" fontId="0" fillId="2" borderId="0" xfId="0" applyFill="1"/>
    <xf numFmtId="0" fontId="16" fillId="0" borderId="0" xfId="0" applyFont="1"/>
    <xf numFmtId="0" fontId="18" fillId="2" borderId="0" xfId="0" applyFont="1" applyFill="1"/>
    <xf numFmtId="0" fontId="18" fillId="0" borderId="0" xfId="0" applyFont="1"/>
    <xf numFmtId="0" fontId="0" fillId="5" borderId="0" xfId="0" applyFill="1"/>
    <xf numFmtId="0" fontId="5" fillId="5" borderId="0" xfId="0" applyFont="1" applyFill="1" applyAlignment="1">
      <alignment horizontal="center"/>
    </xf>
    <xf numFmtId="0" fontId="18" fillId="5" borderId="0" xfId="0" applyFont="1" applyFill="1"/>
    <xf numFmtId="0" fontId="18" fillId="5" borderId="0" xfId="0" applyFont="1" applyFill="1" applyAlignment="1">
      <alignment horizontal="center"/>
    </xf>
    <xf numFmtId="3" fontId="18" fillId="5" borderId="0" xfId="0" applyNumberFormat="1" applyFont="1" applyFill="1"/>
    <xf numFmtId="4" fontId="0" fillId="6" borderId="0" xfId="0" applyNumberFormat="1" applyFill="1"/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3" fontId="25" fillId="0" borderId="18" xfId="0" applyNumberFormat="1" applyFont="1" applyBorder="1" applyAlignment="1"/>
    <xf numFmtId="3" fontId="25" fillId="0" borderId="19" xfId="0" applyNumberFormat="1" applyFont="1" applyBorder="1" applyAlignment="1"/>
    <xf numFmtId="3" fontId="25" fillId="0" borderId="19" xfId="0" applyNumberFormat="1" applyFont="1" applyBorder="1" applyAlignment="1">
      <alignment vertical="center"/>
    </xf>
    <xf numFmtId="3" fontId="25" fillId="0" borderId="0" xfId="0" applyNumberFormat="1" applyFont="1" applyBorder="1" applyAlignment="1">
      <alignment vertical="center"/>
    </xf>
    <xf numFmtId="3" fontId="25" fillId="0" borderId="10" xfId="0" applyNumberFormat="1" applyFont="1" applyBorder="1" applyAlignment="1"/>
    <xf numFmtId="3" fontId="25" fillId="0" borderId="0" xfId="0" applyNumberFormat="1" applyFont="1" applyBorder="1" applyAlignment="1"/>
    <xf numFmtId="3" fontId="25" fillId="0" borderId="10" xfId="0" applyNumberFormat="1" applyFont="1" applyBorder="1" applyAlignment="1">
      <alignment vertical="center"/>
    </xf>
    <xf numFmtId="3" fontId="25" fillId="0" borderId="8" xfId="0" applyNumberFormat="1" applyFont="1" applyBorder="1" applyAlignment="1">
      <alignment vertical="center"/>
    </xf>
    <xf numFmtId="3" fontId="25" fillId="0" borderId="9" xfId="0" applyNumberFormat="1" applyFont="1" applyBorder="1" applyAlignment="1">
      <alignment vertical="center"/>
    </xf>
    <xf numFmtId="3" fontId="24" fillId="0" borderId="0" xfId="0" applyNumberFormat="1" applyFont="1" applyBorder="1" applyAlignment="1">
      <alignment vertical="center"/>
    </xf>
    <xf numFmtId="0" fontId="25" fillId="4" borderId="0" xfId="0" applyFont="1" applyFill="1" applyBorder="1" applyAlignment="1">
      <alignment vertical="center"/>
    </xf>
    <xf numFmtId="0" fontId="24" fillId="4" borderId="0" xfId="0" applyFont="1" applyFill="1" applyBorder="1" applyAlignment="1">
      <alignment vertical="center"/>
    </xf>
    <xf numFmtId="3" fontId="25" fillId="4" borderId="0" xfId="0" applyNumberFormat="1" applyFont="1" applyFill="1" applyBorder="1" applyAlignment="1">
      <alignment horizontal="right" vertical="center"/>
    </xf>
    <xf numFmtId="0" fontId="25" fillId="4" borderId="0" xfId="0" applyFont="1" applyFill="1" applyBorder="1" applyAlignment="1">
      <alignment horizontal="center" vertical="center"/>
    </xf>
    <xf numFmtId="3" fontId="25" fillId="4" borderId="0" xfId="0" applyNumberFormat="1" applyFont="1" applyFill="1" applyBorder="1" applyAlignment="1">
      <alignment horizontal="center" vertical="center"/>
    </xf>
    <xf numFmtId="0" fontId="26" fillId="4" borderId="0" xfId="0" applyFont="1" applyFill="1" applyBorder="1" applyAlignment="1">
      <alignment horizontal="right" vertical="center"/>
    </xf>
    <xf numFmtId="3" fontId="24" fillId="4" borderId="0" xfId="0" applyNumberFormat="1" applyFont="1" applyFill="1" applyBorder="1" applyAlignment="1">
      <alignment horizontal="right" vertical="center"/>
    </xf>
    <xf numFmtId="0" fontId="24" fillId="0" borderId="10" xfId="0" applyFont="1" applyBorder="1" applyAlignment="1">
      <alignment vertical="center"/>
    </xf>
    <xf numFmtId="0" fontId="25" fillId="0" borderId="0" xfId="0" applyFont="1" applyBorder="1" applyAlignment="1">
      <alignment vertical="center"/>
    </xf>
    <xf numFmtId="0" fontId="25" fillId="0" borderId="10" xfId="0" applyFont="1" applyBorder="1" applyAlignment="1">
      <alignment horizontal="left" vertical="center"/>
    </xf>
    <xf numFmtId="0" fontId="25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horizontal="right" vertical="center"/>
    </xf>
    <xf numFmtId="0" fontId="25" fillId="0" borderId="11" xfId="0" applyFont="1" applyBorder="1" applyAlignment="1">
      <alignment vertical="center"/>
    </xf>
    <xf numFmtId="0" fontId="25" fillId="0" borderId="8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5" fillId="0" borderId="9" xfId="0" applyFont="1" applyBorder="1" applyAlignment="1">
      <alignment vertical="center"/>
    </xf>
    <xf numFmtId="3" fontId="24" fillId="0" borderId="9" xfId="0" applyNumberFormat="1" applyFont="1" applyBorder="1" applyAlignment="1">
      <alignment vertical="center"/>
    </xf>
    <xf numFmtId="3" fontId="24" fillId="0" borderId="0" xfId="0" applyNumberFormat="1" applyFont="1" applyAlignment="1">
      <alignment vertical="center"/>
    </xf>
    <xf numFmtId="0" fontId="28" fillId="0" borderId="0" xfId="0" applyFont="1" applyAlignment="1">
      <alignment vertical="center"/>
    </xf>
    <xf numFmtId="3" fontId="28" fillId="0" borderId="0" xfId="0" applyNumberFormat="1" applyFont="1" applyAlignment="1">
      <alignment vertical="center"/>
    </xf>
    <xf numFmtId="0" fontId="23" fillId="4" borderId="0" xfId="0" applyFont="1" applyFill="1" applyAlignment="1">
      <alignment vertical="center" wrapText="1"/>
    </xf>
    <xf numFmtId="0" fontId="23" fillId="4" borderId="1" xfId="0" applyFont="1" applyFill="1" applyBorder="1" applyAlignment="1">
      <alignment vertical="center" wrapText="1"/>
    </xf>
    <xf numFmtId="0" fontId="26" fillId="4" borderId="1" xfId="0" applyFont="1" applyFill="1" applyBorder="1" applyAlignment="1">
      <alignment vertical="center" wrapText="1"/>
    </xf>
    <xf numFmtId="0" fontId="26" fillId="4" borderId="2" xfId="0" applyFont="1" applyFill="1" applyBorder="1" applyAlignment="1">
      <alignment vertical="center" wrapText="1"/>
    </xf>
    <xf numFmtId="9" fontId="23" fillId="4" borderId="0" xfId="0" applyNumberFormat="1" applyFont="1" applyFill="1" applyAlignment="1">
      <alignment vertical="center" wrapText="1"/>
    </xf>
    <xf numFmtId="0" fontId="26" fillId="4" borderId="5" xfId="0" applyFont="1" applyFill="1" applyBorder="1" applyAlignment="1">
      <alignment vertical="center" wrapText="1"/>
    </xf>
    <xf numFmtId="0" fontId="26" fillId="4" borderId="1" xfId="0" applyFont="1" applyFill="1" applyBorder="1" applyAlignment="1">
      <alignment horizontal="left" vertical="center" wrapText="1"/>
    </xf>
    <xf numFmtId="0" fontId="23" fillId="4" borderId="8" xfId="0" applyFont="1" applyFill="1" applyBorder="1" applyAlignment="1">
      <alignment vertical="center" wrapText="1"/>
    </xf>
    <xf numFmtId="0" fontId="23" fillId="4" borderId="9" xfId="0" applyFont="1" applyFill="1" applyBorder="1" applyAlignment="1">
      <alignment vertical="center" wrapText="1"/>
    </xf>
    <xf numFmtId="10" fontId="23" fillId="4" borderId="0" xfId="0" applyNumberFormat="1" applyFont="1" applyFill="1" applyAlignment="1">
      <alignment vertical="center" wrapText="1"/>
    </xf>
    <xf numFmtId="169" fontId="23" fillId="4" borderId="0" xfId="1" applyNumberFormat="1" applyFont="1" applyFill="1" applyAlignment="1">
      <alignment vertical="center" wrapText="1"/>
    </xf>
    <xf numFmtId="0" fontId="26" fillId="4" borderId="0" xfId="0" applyFont="1" applyFill="1" applyAlignment="1">
      <alignment vertical="center" wrapText="1"/>
    </xf>
    <xf numFmtId="49" fontId="23" fillId="4" borderId="0" xfId="0" applyNumberFormat="1" applyFont="1" applyFill="1" applyAlignment="1">
      <alignment horizontal="right" vertical="center" wrapText="1"/>
    </xf>
    <xf numFmtId="0" fontId="23" fillId="4" borderId="0" xfId="0" applyFont="1" applyFill="1" applyBorder="1" applyAlignment="1">
      <alignment vertical="center" wrapText="1"/>
    </xf>
    <xf numFmtId="1" fontId="23" fillId="4" borderId="0" xfId="0" applyNumberFormat="1" applyFont="1" applyFill="1" applyBorder="1" applyAlignment="1">
      <alignment vertical="center" wrapText="1"/>
    </xf>
    <xf numFmtId="0" fontId="23" fillId="4" borderId="10" xfId="0" applyFont="1" applyFill="1" applyBorder="1" applyAlignment="1">
      <alignment vertical="center" wrapText="1"/>
    </xf>
    <xf numFmtId="1" fontId="23" fillId="4" borderId="11" xfId="0" applyNumberFormat="1" applyFont="1" applyFill="1" applyBorder="1" applyAlignment="1">
      <alignment vertical="center" wrapText="1"/>
    </xf>
    <xf numFmtId="171" fontId="23" fillId="4" borderId="0" xfId="0" applyNumberFormat="1" applyFont="1" applyFill="1" applyBorder="1" applyAlignment="1">
      <alignment vertical="center" wrapText="1"/>
    </xf>
    <xf numFmtId="171" fontId="23" fillId="4" borderId="9" xfId="0" applyNumberFormat="1" applyFont="1" applyFill="1" applyBorder="1" applyAlignment="1">
      <alignment vertical="center" wrapText="1"/>
    </xf>
    <xf numFmtId="1" fontId="23" fillId="4" borderId="9" xfId="0" applyNumberFormat="1" applyFont="1" applyFill="1" applyBorder="1" applyAlignment="1">
      <alignment vertical="center" wrapText="1"/>
    </xf>
    <xf numFmtId="1" fontId="23" fillId="4" borderId="12" xfId="0" applyNumberFormat="1" applyFont="1" applyFill="1" applyBorder="1" applyAlignment="1">
      <alignment vertical="center" wrapText="1"/>
    </xf>
    <xf numFmtId="0" fontId="27" fillId="8" borderId="0" xfId="0" applyFont="1" applyFill="1"/>
    <xf numFmtId="0" fontId="12" fillId="8" borderId="0" xfId="0" applyFont="1" applyFill="1"/>
    <xf numFmtId="3" fontId="25" fillId="8" borderId="25" xfId="0" applyNumberFormat="1" applyFont="1" applyFill="1" applyBorder="1" applyAlignment="1"/>
    <xf numFmtId="3" fontId="12" fillId="8" borderId="26" xfId="0" applyNumberFormat="1" applyFont="1" applyFill="1" applyBorder="1"/>
    <xf numFmtId="0" fontId="12" fillId="8" borderId="26" xfId="0" applyFont="1" applyFill="1" applyBorder="1"/>
    <xf numFmtId="0" fontId="25" fillId="8" borderId="0" xfId="0" applyFont="1" applyFill="1" applyAlignment="1">
      <alignment vertical="center"/>
    </xf>
    <xf numFmtId="0" fontId="25" fillId="8" borderId="27" xfId="0" applyFont="1" applyFill="1" applyBorder="1" applyAlignment="1">
      <alignment vertical="center"/>
    </xf>
    <xf numFmtId="0" fontId="25" fillId="8" borderId="0" xfId="0" applyFont="1" applyFill="1" applyBorder="1" applyAlignment="1">
      <alignment vertical="center"/>
    </xf>
    <xf numFmtId="3" fontId="12" fillId="8" borderId="0" xfId="0" applyNumberFormat="1" applyFont="1" applyFill="1" applyBorder="1"/>
    <xf numFmtId="0" fontId="25" fillId="8" borderId="28" xfId="0" applyFont="1" applyFill="1" applyBorder="1" applyAlignment="1">
      <alignment vertical="center"/>
    </xf>
    <xf numFmtId="0" fontId="25" fillId="8" borderId="29" xfId="0" applyFont="1" applyFill="1" applyBorder="1" applyAlignment="1">
      <alignment vertical="center"/>
    </xf>
    <xf numFmtId="0" fontId="32" fillId="4" borderId="0" xfId="0" applyFont="1" applyFill="1"/>
    <xf numFmtId="0" fontId="32" fillId="4" borderId="0" xfId="3" applyFont="1" applyFill="1"/>
    <xf numFmtId="0" fontId="33" fillId="4" borderId="0" xfId="3" applyFont="1" applyFill="1"/>
    <xf numFmtId="0" fontId="33" fillId="4" borderId="1" xfId="3" applyFont="1" applyFill="1" applyBorder="1" applyAlignment="1"/>
    <xf numFmtId="10" fontId="32" fillId="4" borderId="0" xfId="3" applyNumberFormat="1" applyFont="1" applyFill="1"/>
    <xf numFmtId="0" fontId="32" fillId="4" borderId="1" xfId="3" applyFont="1" applyFill="1" applyBorder="1" applyAlignment="1">
      <alignment horizontal="center" wrapText="1"/>
    </xf>
    <xf numFmtId="0" fontId="33" fillId="4" borderId="0" xfId="3" applyFont="1" applyFill="1" applyAlignment="1">
      <alignment wrapText="1"/>
    </xf>
    <xf numFmtId="0" fontId="32" fillId="4" borderId="21" xfId="3" applyFont="1" applyFill="1" applyBorder="1" applyAlignment="1">
      <alignment horizontal="center" wrapText="1"/>
    </xf>
    <xf numFmtId="0" fontId="32" fillId="4" borderId="0" xfId="0" applyFont="1" applyFill="1" applyAlignment="1">
      <alignment horizontal="center" wrapText="1"/>
    </xf>
    <xf numFmtId="0" fontId="32" fillId="4" borderId="0" xfId="3" applyFont="1" applyFill="1" applyAlignment="1">
      <alignment horizontal="center" wrapText="1"/>
    </xf>
    <xf numFmtId="9" fontId="32" fillId="4" borderId="0" xfId="3" applyNumberFormat="1" applyFont="1" applyFill="1"/>
    <xf numFmtId="0" fontId="32" fillId="4" borderId="18" xfId="3" applyFont="1" applyFill="1" applyBorder="1"/>
    <xf numFmtId="0" fontId="32" fillId="4" borderId="19" xfId="3" applyFont="1" applyFill="1" applyBorder="1"/>
    <xf numFmtId="2" fontId="32" fillId="4" borderId="19" xfId="3" applyNumberFormat="1" applyFont="1" applyFill="1" applyBorder="1"/>
    <xf numFmtId="170" fontId="32" fillId="4" borderId="19" xfId="4" applyNumberFormat="1" applyFont="1" applyFill="1" applyBorder="1"/>
    <xf numFmtId="165" fontId="32" fillId="4" borderId="19" xfId="5" applyNumberFormat="1" applyFont="1" applyFill="1" applyBorder="1"/>
    <xf numFmtId="3" fontId="32" fillId="4" borderId="19" xfId="3" applyNumberFormat="1" applyFont="1" applyFill="1" applyBorder="1"/>
    <xf numFmtId="2" fontId="32" fillId="4" borderId="0" xfId="3" applyNumberFormat="1" applyFont="1" applyFill="1"/>
    <xf numFmtId="170" fontId="32" fillId="4" borderId="0" xfId="4" applyNumberFormat="1" applyFont="1" applyFill="1"/>
    <xf numFmtId="165" fontId="32" fillId="4" borderId="0" xfId="5" applyNumberFormat="1" applyFont="1" applyFill="1"/>
    <xf numFmtId="3" fontId="32" fillId="4" borderId="0" xfId="3" applyNumberFormat="1" applyFont="1" applyFill="1"/>
    <xf numFmtId="1" fontId="32" fillId="4" borderId="0" xfId="3" applyNumberFormat="1" applyFont="1" applyFill="1"/>
    <xf numFmtId="0" fontId="32" fillId="4" borderId="9" xfId="3" applyFont="1" applyFill="1" applyBorder="1"/>
    <xf numFmtId="2" fontId="32" fillId="4" borderId="9" xfId="3" applyNumberFormat="1" applyFont="1" applyFill="1" applyBorder="1"/>
    <xf numFmtId="170" fontId="32" fillId="4" borderId="9" xfId="4" applyNumberFormat="1" applyFont="1" applyFill="1" applyBorder="1"/>
    <xf numFmtId="165" fontId="32" fillId="4" borderId="9" xfId="5" applyNumberFormat="1" applyFont="1" applyFill="1" applyBorder="1"/>
    <xf numFmtId="0" fontId="33" fillId="4" borderId="2" xfId="3" applyFont="1" applyFill="1" applyBorder="1"/>
    <xf numFmtId="0" fontId="33" fillId="4" borderId="0" xfId="0" applyFont="1" applyFill="1"/>
    <xf numFmtId="3" fontId="32" fillId="4" borderId="0" xfId="0" applyNumberFormat="1" applyFont="1" applyFill="1"/>
    <xf numFmtId="0" fontId="32" fillId="4" borderId="13" xfId="0" applyFont="1" applyFill="1" applyBorder="1"/>
    <xf numFmtId="0" fontId="32" fillId="4" borderId="14" xfId="0" applyFont="1" applyFill="1" applyBorder="1"/>
    <xf numFmtId="3" fontId="32" fillId="4" borderId="14" xfId="0" applyNumberFormat="1" applyFont="1" applyFill="1" applyBorder="1"/>
    <xf numFmtId="0" fontId="32" fillId="4" borderId="16" xfId="0" applyFont="1" applyFill="1" applyBorder="1"/>
    <xf numFmtId="0" fontId="32" fillId="4" borderId="1" xfId="0" applyFont="1" applyFill="1" applyBorder="1"/>
    <xf numFmtId="3" fontId="32" fillId="4" borderId="1" xfId="0" applyNumberFormat="1" applyFont="1" applyFill="1" applyBorder="1"/>
    <xf numFmtId="3" fontId="32" fillId="4" borderId="17" xfId="0" applyNumberFormat="1" applyFont="1" applyFill="1" applyBorder="1"/>
    <xf numFmtId="0" fontId="32" fillId="4" borderId="20" xfId="0" applyFont="1" applyFill="1" applyBorder="1"/>
    <xf numFmtId="0" fontId="32" fillId="4" borderId="21" xfId="0" applyFont="1" applyFill="1" applyBorder="1"/>
    <xf numFmtId="3" fontId="32" fillId="4" borderId="21" xfId="0" applyNumberFormat="1" applyFont="1" applyFill="1" applyBorder="1"/>
    <xf numFmtId="3" fontId="32" fillId="4" borderId="22" xfId="0" applyNumberFormat="1" applyFont="1" applyFill="1" applyBorder="1"/>
    <xf numFmtId="0" fontId="32" fillId="4" borderId="0" xfId="0" applyFont="1" applyFill="1" applyBorder="1"/>
    <xf numFmtId="0" fontId="32" fillId="4" borderId="0" xfId="0" applyFont="1" applyFill="1" applyBorder="1" applyAlignment="1"/>
    <xf numFmtId="0" fontId="12" fillId="4" borderId="0" xfId="0" applyFont="1" applyFill="1" applyBorder="1" applyAlignment="1"/>
    <xf numFmtId="3" fontId="32" fillId="4" borderId="0" xfId="0" applyNumberFormat="1" applyFont="1" applyFill="1" applyBorder="1"/>
    <xf numFmtId="0" fontId="32" fillId="4" borderId="14" xfId="0" applyFont="1" applyFill="1" applyBorder="1" applyAlignment="1"/>
    <xf numFmtId="0" fontId="12" fillId="4" borderId="14" xfId="0" applyFont="1" applyFill="1" applyBorder="1" applyAlignment="1"/>
    <xf numFmtId="0" fontId="32" fillId="4" borderId="1" xfId="0" applyFont="1" applyFill="1" applyBorder="1" applyAlignment="1"/>
    <xf numFmtId="0" fontId="12" fillId="4" borderId="1" xfId="0" applyFont="1" applyFill="1" applyBorder="1" applyAlignment="1"/>
    <xf numFmtId="0" fontId="33" fillId="7" borderId="0" xfId="0" applyFont="1" applyFill="1"/>
    <xf numFmtId="0" fontId="33" fillId="7" borderId="20" xfId="0" applyFont="1" applyFill="1" applyBorder="1"/>
    <xf numFmtId="0" fontId="35" fillId="7" borderId="0" xfId="0" applyFont="1" applyFill="1"/>
    <xf numFmtId="3" fontId="35" fillId="7" borderId="0" xfId="0" applyNumberFormat="1" applyFont="1" applyFill="1"/>
    <xf numFmtId="0" fontId="23" fillId="4" borderId="13" xfId="0" applyFont="1" applyFill="1" applyBorder="1" applyAlignment="1">
      <alignment vertical="center" wrapText="1"/>
    </xf>
    <xf numFmtId="0" fontId="23" fillId="4" borderId="14" xfId="0" applyFont="1" applyFill="1" applyBorder="1" applyAlignment="1">
      <alignment vertical="center" wrapText="1"/>
    </xf>
    <xf numFmtId="1" fontId="23" fillId="4" borderId="14" xfId="0" applyNumberFormat="1" applyFont="1" applyFill="1" applyBorder="1" applyAlignment="1">
      <alignment vertical="center" wrapText="1"/>
    </xf>
    <xf numFmtId="0" fontId="23" fillId="4" borderId="16" xfId="0" applyFont="1" applyFill="1" applyBorder="1" applyAlignment="1">
      <alignment vertical="center" wrapText="1"/>
    </xf>
    <xf numFmtId="10" fontId="23" fillId="4" borderId="1" xfId="2" applyNumberFormat="1" applyFont="1" applyFill="1" applyBorder="1" applyAlignment="1">
      <alignment vertical="center" wrapText="1"/>
    </xf>
    <xf numFmtId="10" fontId="23" fillId="4" borderId="17" xfId="2" applyNumberFormat="1" applyFont="1" applyFill="1" applyBorder="1" applyAlignment="1">
      <alignment vertical="center" wrapText="1"/>
    </xf>
    <xf numFmtId="1" fontId="23" fillId="4" borderId="1" xfId="0" applyNumberFormat="1" applyFont="1" applyFill="1" applyBorder="1" applyAlignment="1">
      <alignment vertical="center" wrapText="1"/>
    </xf>
    <xf numFmtId="1" fontId="23" fillId="4" borderId="17" xfId="0" applyNumberFormat="1" applyFont="1" applyFill="1" applyBorder="1" applyAlignment="1">
      <alignment vertical="center" wrapText="1"/>
    </xf>
    <xf numFmtId="3" fontId="31" fillId="4" borderId="0" xfId="0" applyNumberFormat="1" applyFont="1" applyFill="1"/>
    <xf numFmtId="0" fontId="31" fillId="4" borderId="0" xfId="0" applyFont="1" applyFill="1" applyBorder="1" applyAlignment="1">
      <alignment vertical="center" wrapText="1"/>
    </xf>
    <xf numFmtId="0" fontId="31" fillId="4" borderId="0" xfId="0" applyFont="1" applyFill="1"/>
    <xf numFmtId="0" fontId="31" fillId="4" borderId="0" xfId="0" applyFont="1" applyFill="1" applyAlignment="1">
      <alignment vertical="center" wrapText="1"/>
    </xf>
    <xf numFmtId="3" fontId="12" fillId="0" borderId="26" xfId="0" applyNumberFormat="1" applyFont="1" applyFill="1" applyBorder="1"/>
    <xf numFmtId="3" fontId="12" fillId="0" borderId="0" xfId="0" applyNumberFormat="1" applyFont="1" applyFill="1" applyBorder="1"/>
    <xf numFmtId="3" fontId="28" fillId="0" borderId="0" xfId="0" applyNumberFormat="1" applyFont="1" applyFill="1" applyAlignment="1">
      <alignment vertical="center"/>
    </xf>
    <xf numFmtId="3" fontId="23" fillId="4" borderId="0" xfId="0" applyNumberFormat="1" applyFont="1" applyFill="1" applyBorder="1" applyAlignment="1">
      <alignment vertical="center" wrapText="1"/>
    </xf>
    <xf numFmtId="9" fontId="23" fillId="4" borderId="0" xfId="0" applyNumberFormat="1" applyFont="1" applyFill="1" applyBorder="1" applyAlignment="1">
      <alignment vertical="center" wrapText="1"/>
    </xf>
    <xf numFmtId="0" fontId="26" fillId="0" borderId="0" xfId="0" applyFont="1" applyBorder="1" applyAlignment="1">
      <alignment horizontal="center" vertical="center"/>
    </xf>
    <xf numFmtId="3" fontId="24" fillId="4" borderId="0" xfId="0" applyNumberFormat="1" applyFont="1" applyFill="1" applyBorder="1" applyAlignment="1">
      <alignment horizontal="center" vertical="center"/>
    </xf>
    <xf numFmtId="0" fontId="25" fillId="4" borderId="18" xfId="0" applyFont="1" applyFill="1" applyBorder="1" applyAlignment="1">
      <alignment vertical="center"/>
    </xf>
    <xf numFmtId="0" fontId="25" fillId="4" borderId="19" xfId="0" applyFont="1" applyFill="1" applyBorder="1" applyAlignment="1">
      <alignment horizontal="center" vertical="center"/>
    </xf>
    <xf numFmtId="3" fontId="25" fillId="4" borderId="19" xfId="0" applyNumberFormat="1" applyFont="1" applyFill="1" applyBorder="1" applyAlignment="1">
      <alignment horizontal="center" vertical="center"/>
    </xf>
    <xf numFmtId="0" fontId="25" fillId="4" borderId="10" xfId="0" applyFont="1" applyFill="1" applyBorder="1" applyAlignment="1">
      <alignment vertical="center"/>
    </xf>
    <xf numFmtId="0" fontId="25" fillId="4" borderId="8" xfId="0" applyFont="1" applyFill="1" applyBorder="1" applyAlignment="1">
      <alignment vertical="center"/>
    </xf>
    <xf numFmtId="0" fontId="25" fillId="4" borderId="9" xfId="0" applyFont="1" applyFill="1" applyBorder="1" applyAlignment="1">
      <alignment horizontal="center" vertical="center"/>
    </xf>
    <xf numFmtId="0" fontId="26" fillId="0" borderId="9" xfId="0" applyFont="1" applyBorder="1" applyAlignment="1">
      <alignment horizontal="right" vertical="center"/>
    </xf>
    <xf numFmtId="3" fontId="25" fillId="4" borderId="9" xfId="0" applyNumberFormat="1" applyFont="1" applyFill="1" applyBorder="1" applyAlignment="1">
      <alignment horizontal="center" vertical="center"/>
    </xf>
    <xf numFmtId="3" fontId="25" fillId="0" borderId="0" xfId="0" applyNumberFormat="1" applyFont="1"/>
    <xf numFmtId="4" fontId="25" fillId="0" borderId="0" xfId="0" applyNumberFormat="1" applyFont="1"/>
    <xf numFmtId="0" fontId="25" fillId="0" borderId="0" xfId="0" applyFont="1"/>
    <xf numFmtId="3" fontId="25" fillId="2" borderId="0" xfId="0" applyNumberFormat="1" applyFont="1" applyFill="1"/>
    <xf numFmtId="3" fontId="36" fillId="0" borderId="0" xfId="0" applyNumberFormat="1" applyFont="1" applyFill="1"/>
    <xf numFmtId="3" fontId="25" fillId="6" borderId="0" xfId="0" applyNumberFormat="1" applyFont="1" applyFill="1"/>
    <xf numFmtId="1" fontId="25" fillId="6" borderId="0" xfId="0" applyNumberFormat="1" applyFont="1" applyFill="1"/>
    <xf numFmtId="0" fontId="25" fillId="6" borderId="0" xfId="0" applyFont="1" applyFill="1"/>
    <xf numFmtId="3" fontId="25" fillId="0" borderId="0" xfId="0" applyNumberFormat="1" applyFont="1" applyFill="1"/>
    <xf numFmtId="4" fontId="25" fillId="0" borderId="0" xfId="0" applyNumberFormat="1" applyFont="1" applyFill="1"/>
    <xf numFmtId="2" fontId="25" fillId="0" borderId="0" xfId="0" applyNumberFormat="1" applyFont="1"/>
    <xf numFmtId="1" fontId="25" fillId="0" borderId="0" xfId="0" applyNumberFormat="1" applyFont="1"/>
    <xf numFmtId="3" fontId="25" fillId="0" borderId="0" xfId="0" applyNumberFormat="1" applyFont="1" applyFill="1" applyAlignment="1">
      <alignment horizontal="left" indent="1"/>
    </xf>
    <xf numFmtId="3" fontId="25" fillId="4" borderId="0" xfId="0" applyNumberFormat="1" applyFont="1" applyFill="1"/>
    <xf numFmtId="0" fontId="25" fillId="4" borderId="0" xfId="0" applyFont="1" applyFill="1"/>
    <xf numFmtId="2" fontId="25" fillId="4" borderId="0" xfId="0" applyNumberFormat="1" applyFont="1" applyFill="1"/>
    <xf numFmtId="3" fontId="37" fillId="0" borderId="0" xfId="0" applyNumberFormat="1" applyFont="1" applyFill="1"/>
    <xf numFmtId="9" fontId="25" fillId="0" borderId="0" xfId="2" applyFont="1"/>
    <xf numFmtId="3" fontId="25" fillId="8" borderId="0" xfId="0" applyNumberFormat="1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right" vertical="center"/>
    </xf>
    <xf numFmtId="0" fontId="25" fillId="4" borderId="18" xfId="0" applyFont="1" applyFill="1" applyBorder="1" applyAlignment="1">
      <alignment horizontal="left" vertical="center"/>
    </xf>
    <xf numFmtId="0" fontId="26" fillId="0" borderId="19" xfId="0" applyFont="1" applyBorder="1" applyAlignment="1">
      <alignment horizontal="center" vertical="center"/>
    </xf>
    <xf numFmtId="0" fontId="25" fillId="4" borderId="10" xfId="0" applyFont="1" applyFill="1" applyBorder="1" applyAlignment="1">
      <alignment horizontal="left" vertical="center"/>
    </xf>
    <xf numFmtId="0" fontId="25" fillId="4" borderId="8" xfId="0" applyFont="1" applyFill="1" applyBorder="1" applyAlignment="1">
      <alignment horizontal="left" vertical="center"/>
    </xf>
    <xf numFmtId="0" fontId="26" fillId="0" borderId="19" xfId="0" applyFont="1" applyBorder="1" applyAlignment="1">
      <alignment horizontal="right" vertical="center"/>
    </xf>
    <xf numFmtId="3" fontId="25" fillId="0" borderId="0" xfId="0" applyNumberFormat="1" applyFont="1" applyFill="1" applyBorder="1" applyAlignment="1">
      <alignment horizontal="center" vertical="center"/>
    </xf>
    <xf numFmtId="3" fontId="38" fillId="0" borderId="0" xfId="0" applyNumberFormat="1" applyFont="1" applyBorder="1" applyAlignment="1">
      <alignment vertical="center"/>
    </xf>
    <xf numFmtId="3" fontId="38" fillId="0" borderId="31" xfId="0" applyNumberFormat="1" applyFont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0" fontId="38" fillId="0" borderId="0" xfId="0" applyFont="1" applyFill="1" applyBorder="1"/>
    <xf numFmtId="3" fontId="38" fillId="0" borderId="0" xfId="0" applyNumberFormat="1" applyFont="1" applyFill="1" applyBorder="1"/>
    <xf numFmtId="3" fontId="25" fillId="0" borderId="18" xfId="0" applyNumberFormat="1" applyFont="1" applyFill="1" applyBorder="1" applyAlignment="1"/>
    <xf numFmtId="3" fontId="38" fillId="0" borderId="19" xfId="0" applyNumberFormat="1" applyFont="1" applyFill="1" applyBorder="1"/>
    <xf numFmtId="3" fontId="38" fillId="0" borderId="30" xfId="0" applyNumberFormat="1" applyFont="1" applyFill="1" applyBorder="1"/>
    <xf numFmtId="0" fontId="25" fillId="0" borderId="10" xfId="0" applyFont="1" applyFill="1" applyBorder="1" applyAlignment="1">
      <alignment vertical="center"/>
    </xf>
    <xf numFmtId="3" fontId="38" fillId="0" borderId="11" xfId="0" applyNumberFormat="1" applyFont="1" applyFill="1" applyBorder="1"/>
    <xf numFmtId="0" fontId="38" fillId="0" borderId="8" xfId="0" applyFont="1" applyFill="1" applyBorder="1"/>
    <xf numFmtId="0" fontId="38" fillId="0" borderId="9" xfId="0" applyFont="1" applyFill="1" applyBorder="1"/>
    <xf numFmtId="3" fontId="38" fillId="0" borderId="9" xfId="0" applyNumberFormat="1" applyFont="1" applyFill="1" applyBorder="1"/>
    <xf numFmtId="3" fontId="38" fillId="0" borderId="12" xfId="0" applyNumberFormat="1" applyFont="1" applyFill="1" applyBorder="1"/>
    <xf numFmtId="3" fontId="39" fillId="0" borderId="0" xfId="0" applyNumberFormat="1" applyFont="1" applyFill="1" applyBorder="1"/>
    <xf numFmtId="3" fontId="25" fillId="8" borderId="18" xfId="0" applyNumberFormat="1" applyFont="1" applyFill="1" applyBorder="1" applyAlignment="1"/>
    <xf numFmtId="0" fontId="38" fillId="0" borderId="19" xfId="0" applyFont="1" applyFill="1" applyBorder="1"/>
    <xf numFmtId="0" fontId="25" fillId="8" borderId="10" xfId="0" applyFont="1" applyFill="1" applyBorder="1" applyAlignment="1">
      <alignment vertical="center"/>
    </xf>
    <xf numFmtId="0" fontId="25" fillId="8" borderId="8" xfId="0" applyFont="1" applyFill="1" applyBorder="1" applyAlignment="1">
      <alignment vertical="center"/>
    </xf>
    <xf numFmtId="3" fontId="24" fillId="0" borderId="0" xfId="0" applyNumberFormat="1" applyFont="1" applyFill="1" applyBorder="1" applyAlignment="1">
      <alignment horizontal="center" vertical="center"/>
    </xf>
    <xf numFmtId="0" fontId="25" fillId="4" borderId="0" xfId="0" applyFont="1" applyFill="1" applyBorder="1" applyAlignment="1">
      <alignment horizontal="left" vertical="center"/>
    </xf>
    <xf numFmtId="3" fontId="25" fillId="8" borderId="19" xfId="0" applyNumberFormat="1" applyFont="1" applyFill="1" applyBorder="1" applyAlignment="1">
      <alignment horizontal="center" vertical="center"/>
    </xf>
    <xf numFmtId="3" fontId="25" fillId="8" borderId="9" xfId="0" applyNumberFormat="1" applyFont="1" applyFill="1" applyBorder="1" applyAlignment="1">
      <alignment horizontal="center" vertical="center"/>
    </xf>
    <xf numFmtId="0" fontId="39" fillId="0" borderId="0" xfId="0" applyFont="1" applyFill="1" applyBorder="1"/>
    <xf numFmtId="0" fontId="40" fillId="9" borderId="0" xfId="0" applyFont="1" applyFill="1" applyAlignment="1">
      <alignment horizontal="center" wrapText="1" readingOrder="1"/>
    </xf>
    <xf numFmtId="3" fontId="41" fillId="9" borderId="0" xfId="0" applyNumberFormat="1" applyFont="1" applyFill="1" applyAlignment="1">
      <alignment horizontal="center" wrapText="1" readingOrder="1"/>
    </xf>
    <xf numFmtId="0" fontId="40" fillId="0" borderId="0" xfId="0" applyFont="1" applyAlignment="1">
      <alignment horizontal="center" wrapText="1" readingOrder="1"/>
    </xf>
    <xf numFmtId="0" fontId="41" fillId="0" borderId="0" xfId="0" applyFont="1" applyAlignment="1">
      <alignment horizontal="center" wrapText="1" readingOrder="1"/>
    </xf>
    <xf numFmtId="0" fontId="41" fillId="9" borderId="0" xfId="0" applyFont="1" applyFill="1" applyAlignment="1">
      <alignment horizontal="center" wrapText="1" readingOrder="1"/>
    </xf>
    <xf numFmtId="3" fontId="41" fillId="0" borderId="0" xfId="0" applyNumberFormat="1" applyFont="1" applyAlignment="1">
      <alignment horizontal="center" wrapText="1" readingOrder="1"/>
    </xf>
    <xf numFmtId="0" fontId="42" fillId="9" borderId="0" xfId="0" applyFont="1" applyFill="1" applyAlignment="1">
      <alignment horizontal="left" wrapText="1" readingOrder="1"/>
    </xf>
    <xf numFmtId="0" fontId="42" fillId="0" borderId="0" xfId="0" applyFont="1" applyAlignment="1">
      <alignment horizontal="left" wrapText="1" readingOrder="1"/>
    </xf>
    <xf numFmtId="165" fontId="3" fillId="0" borderId="0" xfId="1" applyNumberFormat="1" applyFont="1" applyFill="1"/>
    <xf numFmtId="0" fontId="38" fillId="8" borderId="18" xfId="0" applyFont="1" applyFill="1" applyBorder="1"/>
    <xf numFmtId="0" fontId="38" fillId="8" borderId="10" xfId="0" applyFont="1" applyFill="1" applyBorder="1"/>
    <xf numFmtId="0" fontId="38" fillId="8" borderId="8" xfId="0" applyFont="1" applyFill="1" applyBorder="1"/>
    <xf numFmtId="3" fontId="24" fillId="0" borderId="10" xfId="0" applyNumberFormat="1" applyFont="1" applyBorder="1" applyAlignment="1"/>
    <xf numFmtId="3" fontId="38" fillId="0" borderId="19" xfId="0" applyNumberFormat="1" applyFont="1" applyFill="1" applyBorder="1" applyAlignment="1">
      <alignment horizontal="right"/>
    </xf>
    <xf numFmtId="3" fontId="38" fillId="0" borderId="30" xfId="0" applyNumberFormat="1" applyFont="1" applyFill="1" applyBorder="1" applyAlignment="1">
      <alignment horizontal="right"/>
    </xf>
    <xf numFmtId="0" fontId="38" fillId="0" borderId="0" xfId="0" applyFont="1" applyFill="1" applyBorder="1" applyAlignment="1">
      <alignment horizontal="right"/>
    </xf>
    <xf numFmtId="3" fontId="38" fillId="0" borderId="0" xfId="0" applyNumberFormat="1" applyFont="1" applyFill="1" applyBorder="1" applyAlignment="1">
      <alignment horizontal="right"/>
    </xf>
    <xf numFmtId="3" fontId="38" fillId="0" borderId="11" xfId="0" applyNumberFormat="1" applyFont="1" applyFill="1" applyBorder="1" applyAlignment="1">
      <alignment horizontal="right"/>
    </xf>
    <xf numFmtId="3" fontId="38" fillId="0" borderId="9" xfId="0" applyNumberFormat="1" applyFont="1" applyFill="1" applyBorder="1" applyAlignment="1">
      <alignment horizontal="right"/>
    </xf>
    <xf numFmtId="3" fontId="38" fillId="0" borderId="12" xfId="0" applyNumberFormat="1" applyFont="1" applyFill="1" applyBorder="1" applyAlignment="1">
      <alignment horizontal="right"/>
    </xf>
    <xf numFmtId="3" fontId="39" fillId="0" borderId="0" xfId="0" applyNumberFormat="1" applyFont="1" applyFill="1" applyBorder="1" applyAlignment="1">
      <alignment horizontal="right"/>
    </xf>
    <xf numFmtId="165" fontId="38" fillId="0" borderId="0" xfId="1" applyNumberFormat="1" applyFont="1" applyFill="1" applyBorder="1"/>
    <xf numFmtId="9" fontId="38" fillId="0" borderId="0" xfId="2" applyFont="1" applyFill="1" applyBorder="1"/>
    <xf numFmtId="165" fontId="38" fillId="0" borderId="0" xfId="0" applyNumberFormat="1" applyFont="1" applyFill="1" applyBorder="1"/>
    <xf numFmtId="0" fontId="25" fillId="0" borderId="25" xfId="0" applyFont="1" applyBorder="1"/>
    <xf numFmtId="0" fontId="25" fillId="0" borderId="26" xfId="0" applyFont="1" applyBorder="1"/>
    <xf numFmtId="3" fontId="25" fillId="0" borderId="26" xfId="0" applyNumberFormat="1" applyFont="1" applyBorder="1"/>
    <xf numFmtId="3" fontId="25" fillId="0" borderId="32" xfId="0" applyNumberFormat="1" applyFont="1" applyBorder="1"/>
    <xf numFmtId="3" fontId="25" fillId="0" borderId="27" xfId="0" applyNumberFormat="1" applyFont="1" applyFill="1" applyBorder="1"/>
    <xf numFmtId="3" fontId="25" fillId="0" borderId="0" xfId="0" applyNumberFormat="1" applyFont="1" applyFill="1" applyBorder="1"/>
    <xf numFmtId="0" fontId="25" fillId="0" borderId="0" xfId="0" applyFont="1" applyBorder="1"/>
    <xf numFmtId="0" fontId="25" fillId="0" borderId="28" xfId="0" applyFont="1" applyBorder="1"/>
    <xf numFmtId="0" fontId="25" fillId="0" borderId="29" xfId="0" applyFont="1" applyBorder="1"/>
    <xf numFmtId="3" fontId="25" fillId="0" borderId="29" xfId="0" applyNumberFormat="1" applyFont="1" applyBorder="1"/>
    <xf numFmtId="3" fontId="25" fillId="0" borderId="33" xfId="0" applyNumberFormat="1" applyFont="1" applyBorder="1"/>
    <xf numFmtId="9" fontId="24" fillId="0" borderId="0" xfId="2" applyFont="1" applyBorder="1"/>
    <xf numFmtId="4" fontId="25" fillId="0" borderId="26" xfId="0" applyNumberFormat="1" applyFont="1" applyBorder="1"/>
    <xf numFmtId="4" fontId="25" fillId="0" borderId="32" xfId="0" applyNumberFormat="1" applyFont="1" applyBorder="1"/>
    <xf numFmtId="3" fontId="25" fillId="0" borderId="25" xfId="0" applyNumberFormat="1" applyFont="1" applyFill="1" applyBorder="1"/>
    <xf numFmtId="4" fontId="25" fillId="0" borderId="0" xfId="0" applyNumberFormat="1" applyFont="1" applyBorder="1"/>
    <xf numFmtId="4" fontId="25" fillId="0" borderId="31" xfId="0" applyNumberFormat="1" applyFont="1" applyBorder="1"/>
    <xf numFmtId="0" fontId="25" fillId="0" borderId="31" xfId="0" applyFont="1" applyBorder="1"/>
    <xf numFmtId="0" fontId="25" fillId="0" borderId="27" xfId="0" applyFont="1" applyBorder="1"/>
    <xf numFmtId="3" fontId="23" fillId="0" borderId="0" xfId="0" applyNumberFormat="1" applyFont="1" applyFill="1" applyBorder="1" applyAlignment="1">
      <alignment horizontal="right"/>
    </xf>
    <xf numFmtId="3" fontId="25" fillId="0" borderId="0" xfId="0" applyNumberFormat="1" applyFont="1" applyBorder="1"/>
    <xf numFmtId="3" fontId="25" fillId="0" borderId="31" xfId="0" applyNumberFormat="1" applyFont="1" applyBorder="1"/>
    <xf numFmtId="3" fontId="25" fillId="0" borderId="0" xfId="0" applyNumberFormat="1" applyFont="1" applyFill="1" applyBorder="1" applyAlignment="1">
      <alignment horizontal="right"/>
    </xf>
    <xf numFmtId="9" fontId="25" fillId="11" borderId="0" xfId="2" applyNumberFormat="1" applyFont="1" applyFill="1" applyBorder="1"/>
    <xf numFmtId="9" fontId="25" fillId="11" borderId="31" xfId="2" applyNumberFormat="1" applyFont="1" applyFill="1" applyBorder="1"/>
    <xf numFmtId="9" fontId="25" fillId="11" borderId="29" xfId="2" applyNumberFormat="1" applyFont="1" applyFill="1" applyBorder="1"/>
    <xf numFmtId="9" fontId="25" fillId="11" borderId="33" xfId="2" applyNumberFormat="1" applyFont="1" applyFill="1" applyBorder="1"/>
    <xf numFmtId="0" fontId="25" fillId="0" borderId="0" xfId="0" applyFont="1" applyFill="1"/>
    <xf numFmtId="9" fontId="25" fillId="0" borderId="0" xfId="2" applyFont="1" applyFill="1" applyBorder="1"/>
    <xf numFmtId="9" fontId="25" fillId="0" borderId="0" xfId="0" applyNumberFormat="1" applyFont="1" applyBorder="1"/>
    <xf numFmtId="0" fontId="24" fillId="6" borderId="0" xfId="0" applyFont="1" applyFill="1" applyBorder="1"/>
    <xf numFmtId="3" fontId="24" fillId="6" borderId="0" xfId="0" applyNumberFormat="1" applyFont="1" applyFill="1" applyBorder="1"/>
    <xf numFmtId="3" fontId="25" fillId="2" borderId="0" xfId="0" applyNumberFormat="1" applyFont="1" applyFill="1" applyAlignment="1">
      <alignment horizontal="right"/>
    </xf>
    <xf numFmtId="0" fontId="25" fillId="0" borderId="0" xfId="0" applyFont="1" applyAlignment="1">
      <alignment horizontal="right"/>
    </xf>
    <xf numFmtId="0" fontId="25" fillId="6" borderId="0" xfId="0" applyFont="1" applyFill="1" applyBorder="1"/>
    <xf numFmtId="3" fontId="25" fillId="6" borderId="0" xfId="0" applyNumberFormat="1" applyFont="1" applyFill="1" applyBorder="1"/>
    <xf numFmtId="0" fontId="25" fillId="6" borderId="0" xfId="0" applyFont="1" applyFill="1" applyBorder="1" applyAlignment="1">
      <alignment horizontal="right"/>
    </xf>
    <xf numFmtId="3" fontId="25" fillId="6" borderId="0" xfId="0" applyNumberFormat="1" applyFont="1" applyFill="1" applyBorder="1" applyAlignment="1">
      <alignment horizontal="right"/>
    </xf>
    <xf numFmtId="9" fontId="25" fillId="0" borderId="31" xfId="2" applyFont="1" applyFill="1" applyBorder="1"/>
    <xf numFmtId="0" fontId="24" fillId="6" borderId="27" xfId="0" applyFont="1" applyFill="1" applyBorder="1"/>
    <xf numFmtId="3" fontId="24" fillId="6" borderId="31" xfId="0" applyNumberFormat="1" applyFont="1" applyFill="1" applyBorder="1"/>
    <xf numFmtId="0" fontId="23" fillId="6" borderId="27" xfId="0" applyFont="1" applyFill="1" applyBorder="1"/>
    <xf numFmtId="3" fontId="25" fillId="6" borderId="31" xfId="0" applyNumberFormat="1" applyFont="1" applyFill="1" applyBorder="1"/>
    <xf numFmtId="0" fontId="23" fillId="6" borderId="27" xfId="0" applyFont="1" applyFill="1" applyBorder="1" applyAlignment="1"/>
    <xf numFmtId="3" fontId="25" fillId="6" borderId="31" xfId="0" applyNumberFormat="1" applyFont="1" applyFill="1" applyBorder="1" applyAlignment="1">
      <alignment horizontal="right"/>
    </xf>
    <xf numFmtId="0" fontId="31" fillId="0" borderId="27" xfId="0" applyFont="1" applyBorder="1"/>
    <xf numFmtId="0" fontId="23" fillId="12" borderId="27" xfId="0" applyFont="1" applyFill="1" applyBorder="1"/>
    <xf numFmtId="0" fontId="25" fillId="12" borderId="0" xfId="0" applyFont="1" applyFill="1" applyBorder="1"/>
    <xf numFmtId="3" fontId="25" fillId="12" borderId="0" xfId="0" applyNumberFormat="1" applyFont="1" applyFill="1" applyBorder="1"/>
    <xf numFmtId="3" fontId="25" fillId="12" borderId="31" xfId="0" applyNumberFormat="1" applyFont="1" applyFill="1" applyBorder="1"/>
    <xf numFmtId="0" fontId="25" fillId="12" borderId="27" xfId="0" applyFont="1" applyFill="1" applyBorder="1"/>
    <xf numFmtId="4" fontId="25" fillId="12" borderId="0" xfId="0" applyNumberFormat="1" applyFont="1" applyFill="1" applyBorder="1"/>
    <xf numFmtId="4" fontId="25" fillId="12" borderId="31" xfId="0" applyNumberFormat="1" applyFont="1" applyFill="1" applyBorder="1"/>
    <xf numFmtId="2" fontId="25" fillId="12" borderId="0" xfId="0" applyNumberFormat="1" applyFont="1" applyFill="1" applyBorder="1"/>
    <xf numFmtId="2" fontId="25" fillId="12" borderId="31" xfId="0" applyNumberFormat="1" applyFont="1" applyFill="1" applyBorder="1"/>
    <xf numFmtId="9" fontId="25" fillId="12" borderId="0" xfId="2" applyFont="1" applyFill="1" applyBorder="1"/>
    <xf numFmtId="9" fontId="25" fillId="12" borderId="31" xfId="2" applyFont="1" applyFill="1" applyBorder="1"/>
    <xf numFmtId="0" fontId="23" fillId="12" borderId="28" xfId="0" applyFont="1" applyFill="1" applyBorder="1"/>
    <xf numFmtId="0" fontId="25" fillId="12" borderId="29" xfId="0" applyFont="1" applyFill="1" applyBorder="1"/>
    <xf numFmtId="3" fontId="25" fillId="12" borderId="29" xfId="0" applyNumberFormat="1" applyFont="1" applyFill="1" applyBorder="1"/>
    <xf numFmtId="3" fontId="25" fillId="12" borderId="33" xfId="0" applyNumberFormat="1" applyFont="1" applyFill="1" applyBorder="1"/>
    <xf numFmtId="0" fontId="23" fillId="0" borderId="27" xfId="0" applyFont="1" applyFill="1" applyBorder="1" applyAlignment="1"/>
    <xf numFmtId="0" fontId="25" fillId="0" borderId="0" xfId="0" applyFont="1" applyFill="1" applyBorder="1" applyAlignment="1">
      <alignment horizontal="right"/>
    </xf>
    <xf numFmtId="3" fontId="25" fillId="0" borderId="31" xfId="0" applyNumberFormat="1" applyFont="1" applyFill="1" applyBorder="1" applyAlignment="1">
      <alignment horizontal="right"/>
    </xf>
    <xf numFmtId="0" fontId="25" fillId="0" borderId="0" xfId="0" applyFont="1" applyFill="1" applyAlignment="1">
      <alignment horizontal="right"/>
    </xf>
    <xf numFmtId="9" fontId="25" fillId="0" borderId="0" xfId="0" applyNumberFormat="1" applyFont="1" applyFill="1" applyBorder="1" applyAlignment="1">
      <alignment horizontal="right"/>
    </xf>
    <xf numFmtId="0" fontId="25" fillId="0" borderId="0" xfId="0" applyFont="1" applyFill="1" applyBorder="1"/>
    <xf numFmtId="3" fontId="25" fillId="2" borderId="0" xfId="0" applyNumberFormat="1" applyFont="1" applyFill="1" applyBorder="1"/>
    <xf numFmtId="0" fontId="23" fillId="0" borderId="0" xfId="0" applyFont="1" applyFill="1" applyBorder="1"/>
    <xf numFmtId="9" fontId="25" fillId="0" borderId="0" xfId="0" applyNumberFormat="1" applyFont="1"/>
    <xf numFmtId="0" fontId="25" fillId="0" borderId="18" xfId="0" applyFont="1" applyBorder="1"/>
    <xf numFmtId="9" fontId="25" fillId="0" borderId="19" xfId="0" applyNumberFormat="1" applyFont="1" applyBorder="1"/>
    <xf numFmtId="0" fontId="25" fillId="0" borderId="8" xfId="0" applyFont="1" applyBorder="1"/>
    <xf numFmtId="9" fontId="25" fillId="0" borderId="9" xfId="0" applyNumberFormat="1" applyFont="1" applyBorder="1"/>
    <xf numFmtId="3" fontId="16" fillId="12" borderId="0" xfId="0" applyNumberFormat="1" applyFont="1" applyFill="1" applyAlignment="1">
      <alignment horizontal="left" indent="1"/>
    </xf>
    <xf numFmtId="0" fontId="6" fillId="12" borderId="0" xfId="0" applyFont="1" applyFill="1"/>
    <xf numFmtId="0" fontId="6" fillId="12" borderId="0" xfId="0" applyFont="1" applyFill="1" applyAlignment="1">
      <alignment horizontal="center"/>
    </xf>
    <xf numFmtId="0" fontId="0" fillId="12" borderId="0" xfId="0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Fill="1"/>
    <xf numFmtId="3" fontId="24" fillId="0" borderId="25" xfId="0" applyNumberFormat="1" applyFont="1" applyFill="1" applyBorder="1"/>
    <xf numFmtId="3" fontId="24" fillId="0" borderId="26" xfId="0" applyNumberFormat="1" applyFont="1" applyFill="1" applyBorder="1"/>
    <xf numFmtId="9" fontId="24" fillId="10" borderId="26" xfId="2" applyFont="1" applyFill="1" applyBorder="1"/>
    <xf numFmtId="9" fontId="24" fillId="10" borderId="32" xfId="2" applyFont="1" applyFill="1" applyBorder="1"/>
    <xf numFmtId="3" fontId="24" fillId="0" borderId="27" xfId="0" applyNumberFormat="1" applyFont="1" applyFill="1" applyBorder="1"/>
    <xf numFmtId="3" fontId="24" fillId="0" borderId="28" xfId="0" applyNumberFormat="1" applyFont="1" applyFill="1" applyBorder="1"/>
    <xf numFmtId="9" fontId="24" fillId="4" borderId="0" xfId="2" applyFont="1" applyFill="1" applyBorder="1"/>
    <xf numFmtId="9" fontId="24" fillId="4" borderId="31" xfId="2" applyFont="1" applyFill="1" applyBorder="1"/>
    <xf numFmtId="9" fontId="24" fillId="4" borderId="29" xfId="2" applyFont="1" applyFill="1" applyBorder="1"/>
    <xf numFmtId="9" fontId="24" fillId="4" borderId="33" xfId="2" applyFont="1" applyFill="1" applyBorder="1"/>
    <xf numFmtId="9" fontId="24" fillId="0" borderId="26" xfId="2" applyFont="1" applyBorder="1"/>
    <xf numFmtId="9" fontId="24" fillId="0" borderId="32" xfId="2" applyFont="1" applyBorder="1"/>
    <xf numFmtId="3" fontId="25" fillId="12" borderId="0" xfId="0" applyNumberFormat="1" applyFont="1" applyFill="1"/>
    <xf numFmtId="1" fontId="25" fillId="12" borderId="0" xfId="0" applyNumberFormat="1" applyFont="1" applyFill="1"/>
    <xf numFmtId="0" fontId="25" fillId="12" borderId="0" xfId="0" applyFont="1" applyFill="1"/>
    <xf numFmtId="3" fontId="43" fillId="0" borderId="0" xfId="0" applyNumberFormat="1" applyFont="1" applyFill="1"/>
    <xf numFmtId="0" fontId="44" fillId="2" borderId="0" xfId="6" applyFont="1" applyFill="1" applyAlignment="1"/>
    <xf numFmtId="0" fontId="44" fillId="0" borderId="0" xfId="6" applyFont="1" applyAlignment="1"/>
    <xf numFmtId="0" fontId="45" fillId="0" borderId="0" xfId="6" applyFont="1" applyAlignment="1"/>
    <xf numFmtId="0" fontId="45" fillId="0" borderId="0" xfId="6" applyFont="1" applyAlignment="1">
      <alignment horizontal="right"/>
    </xf>
    <xf numFmtId="165" fontId="45" fillId="0" borderId="0" xfId="6" applyNumberFormat="1" applyFont="1" applyAlignment="1"/>
    <xf numFmtId="0" fontId="44" fillId="0" borderId="0" xfId="6" applyFont="1" applyAlignment="1">
      <alignment horizontal="left" indent="1"/>
    </xf>
    <xf numFmtId="0" fontId="44" fillId="0" borderId="0" xfId="6" applyFont="1" applyAlignment="1">
      <alignment horizontal="right"/>
    </xf>
    <xf numFmtId="165" fontId="44" fillId="0" borderId="0" xfId="7" applyNumberFormat="1" applyFont="1" applyAlignment="1"/>
    <xf numFmtId="0" fontId="46" fillId="0" borderId="0" xfId="6" applyFont="1">
      <alignment vertical="center"/>
    </xf>
    <xf numFmtId="0" fontId="47" fillId="0" borderId="0" xfId="8" applyFont="1">
      <alignment vertical="center"/>
    </xf>
    <xf numFmtId="0" fontId="48" fillId="0" borderId="0" xfId="8" applyFont="1">
      <alignment vertical="center"/>
    </xf>
    <xf numFmtId="0" fontId="49" fillId="0" borderId="0" xfId="8" applyFont="1">
      <alignment vertical="center"/>
    </xf>
    <xf numFmtId="14" fontId="50" fillId="0" borderId="0" xfId="8" applyNumberFormat="1" applyFont="1">
      <alignment vertical="center"/>
    </xf>
    <xf numFmtId="0" fontId="51" fillId="0" borderId="0" xfId="8" applyFont="1">
      <alignment vertical="center"/>
    </xf>
    <xf numFmtId="0" fontId="52" fillId="14" borderId="34" xfId="8" applyFont="1" applyFill="1" applyBorder="1" applyAlignment="1">
      <alignment horizontal="center" vertical="center" wrapText="1"/>
    </xf>
    <xf numFmtId="0" fontId="52" fillId="14" borderId="35" xfId="8" applyFont="1" applyFill="1" applyBorder="1" applyAlignment="1">
      <alignment horizontal="center" vertical="center" wrapText="1"/>
    </xf>
    <xf numFmtId="0" fontId="52" fillId="14" borderId="36" xfId="8" applyFont="1" applyFill="1" applyBorder="1" applyAlignment="1">
      <alignment horizontal="center" vertical="center" wrapText="1"/>
    </xf>
    <xf numFmtId="0" fontId="52" fillId="14" borderId="37" xfId="8" applyFont="1" applyFill="1" applyBorder="1" applyAlignment="1">
      <alignment horizontal="center" vertical="center" wrapText="1"/>
    </xf>
    <xf numFmtId="0" fontId="52" fillId="14" borderId="38" xfId="8" applyFont="1" applyFill="1" applyBorder="1" applyAlignment="1">
      <alignment horizontal="center" vertical="center" wrapText="1"/>
    </xf>
    <xf numFmtId="0" fontId="52" fillId="14" borderId="40" xfId="8" applyFont="1" applyFill="1" applyBorder="1" applyAlignment="1">
      <alignment horizontal="center" vertical="center" wrapText="1"/>
    </xf>
    <xf numFmtId="0" fontId="52" fillId="14" borderId="41" xfId="8" applyFont="1" applyFill="1" applyBorder="1" applyAlignment="1">
      <alignment horizontal="center" vertical="center" wrapText="1"/>
    </xf>
    <xf numFmtId="0" fontId="52" fillId="14" borderId="43" xfId="8" applyFont="1" applyFill="1" applyBorder="1" applyAlignment="1">
      <alignment horizontal="center" vertical="center" wrapText="1"/>
    </xf>
    <xf numFmtId="0" fontId="52" fillId="14" borderId="44" xfId="8" applyFont="1" applyFill="1" applyBorder="1" applyAlignment="1">
      <alignment horizontal="center" vertical="center" wrapText="1"/>
    </xf>
    <xf numFmtId="0" fontId="52" fillId="14" borderId="46" xfId="8" applyFont="1" applyFill="1" applyBorder="1" applyAlignment="1">
      <alignment horizontal="center" vertical="center" wrapText="1"/>
    </xf>
    <xf numFmtId="0" fontId="52" fillId="14" borderId="47" xfId="8" applyFont="1" applyFill="1" applyBorder="1" applyAlignment="1">
      <alignment horizontal="center" vertical="center" wrapText="1"/>
    </xf>
    <xf numFmtId="0" fontId="53" fillId="0" borderId="0" xfId="8" applyFont="1" applyAlignment="1">
      <alignment horizontal="justify" vertical="center"/>
    </xf>
    <xf numFmtId="172" fontId="49" fillId="0" borderId="0" xfId="9" applyNumberFormat="1" applyFont="1">
      <alignment vertical="center"/>
    </xf>
    <xf numFmtId="172" fontId="50" fillId="0" borderId="1" xfId="9" applyNumberFormat="1" applyFont="1" applyBorder="1">
      <alignment vertical="center"/>
    </xf>
    <xf numFmtId="172" fontId="48" fillId="0" borderId="0" xfId="9" applyNumberFormat="1" applyFont="1">
      <alignment vertical="center"/>
    </xf>
    <xf numFmtId="172" fontId="49" fillId="0" borderId="1" xfId="9" applyNumberFormat="1" applyFont="1" applyBorder="1">
      <alignment vertical="center"/>
    </xf>
    <xf numFmtId="172" fontId="49" fillId="6" borderId="1" xfId="9" applyNumberFormat="1" applyFont="1" applyFill="1" applyBorder="1" applyAlignment="1">
      <alignment horizontal="left" vertical="center" indent="1"/>
    </xf>
    <xf numFmtId="172" fontId="49" fillId="6" borderId="1" xfId="9" applyNumberFormat="1" applyFont="1" applyFill="1" applyBorder="1">
      <alignment vertical="center"/>
    </xf>
    <xf numFmtId="172" fontId="49" fillId="6" borderId="1" xfId="9" applyNumberFormat="1" applyFont="1" applyFill="1" applyBorder="1" applyAlignment="1">
      <alignment horizontal="right" vertical="center"/>
    </xf>
    <xf numFmtId="172" fontId="49" fillId="13" borderId="1" xfId="9" applyNumberFormat="1" applyFont="1" applyFill="1" applyBorder="1" applyAlignment="1">
      <alignment horizontal="left" vertical="center" indent="1"/>
    </xf>
    <xf numFmtId="172" fontId="49" fillId="13" borderId="1" xfId="9" applyNumberFormat="1" applyFont="1" applyFill="1" applyBorder="1">
      <alignment vertical="center"/>
    </xf>
    <xf numFmtId="172" fontId="49" fillId="13" borderId="1" xfId="9" applyNumberFormat="1" applyFont="1" applyFill="1" applyBorder="1" applyAlignment="1">
      <alignment horizontal="right" vertical="center"/>
    </xf>
    <xf numFmtId="172" fontId="48" fillId="0" borderId="1" xfId="9" applyNumberFormat="1" applyFont="1" applyBorder="1" applyAlignment="1">
      <alignment horizontal="right" vertical="center"/>
    </xf>
    <xf numFmtId="172" fontId="48" fillId="0" borderId="1" xfId="9" applyNumberFormat="1" applyFont="1" applyBorder="1">
      <alignment vertical="center"/>
    </xf>
    <xf numFmtId="9" fontId="49" fillId="0" borderId="1" xfId="10" applyFont="1" applyBorder="1">
      <alignment vertical="center"/>
    </xf>
    <xf numFmtId="172" fontId="49" fillId="0" borderId="1" xfId="9" applyNumberFormat="1" applyFont="1" applyBorder="1" applyAlignment="1">
      <alignment horizontal="left" vertical="center" indent="1"/>
    </xf>
    <xf numFmtId="9" fontId="49" fillId="6" borderId="1" xfId="10" applyFont="1" applyFill="1" applyBorder="1">
      <alignment vertical="center"/>
    </xf>
    <xf numFmtId="9" fontId="49" fillId="13" borderId="1" xfId="10" applyFont="1" applyFill="1" applyBorder="1">
      <alignment vertical="center"/>
    </xf>
    <xf numFmtId="172" fontId="49" fillId="0" borderId="1" xfId="9" applyNumberFormat="1" applyFont="1" applyBorder="1" applyAlignment="1">
      <alignment horizontal="right" vertical="center"/>
    </xf>
    <xf numFmtId="1" fontId="25" fillId="4" borderId="0" xfId="0" applyNumberFormat="1" applyFont="1" applyFill="1"/>
    <xf numFmtId="3" fontId="25" fillId="8" borderId="0" xfId="0" applyNumberFormat="1" applyFont="1" applyFill="1"/>
    <xf numFmtId="4" fontId="25" fillId="8" borderId="0" xfId="0" applyNumberFormat="1" applyFont="1" applyFill="1"/>
    <xf numFmtId="2" fontId="25" fillId="8" borderId="0" xfId="0" applyNumberFormat="1" applyFont="1" applyFill="1"/>
    <xf numFmtId="0" fontId="25" fillId="8" borderId="0" xfId="0" applyFont="1" applyFill="1"/>
    <xf numFmtId="9" fontId="25" fillId="8" borderId="0" xfId="2" applyFont="1" applyFill="1"/>
    <xf numFmtId="3" fontId="25" fillId="0" borderId="28" xfId="0" applyNumberFormat="1" applyFont="1" applyFill="1" applyBorder="1"/>
    <xf numFmtId="9" fontId="25" fillId="0" borderId="29" xfId="2" applyFont="1" applyBorder="1"/>
    <xf numFmtId="9" fontId="25" fillId="0" borderId="33" xfId="2" applyFont="1" applyBorder="1"/>
    <xf numFmtId="165" fontId="25" fillId="0" borderId="0" xfId="1" applyNumberFormat="1" applyFont="1" applyBorder="1"/>
    <xf numFmtId="165" fontId="25" fillId="0" borderId="31" xfId="1" applyNumberFormat="1" applyFont="1" applyBorder="1"/>
    <xf numFmtId="3" fontId="25" fillId="2" borderId="25" xfId="0" applyNumberFormat="1" applyFont="1" applyFill="1" applyBorder="1"/>
    <xf numFmtId="3" fontId="25" fillId="2" borderId="28" xfId="0" applyNumberFormat="1" applyFont="1" applyFill="1" applyBorder="1"/>
    <xf numFmtId="0" fontId="26" fillId="4" borderId="6" xfId="0" applyFont="1" applyFill="1" applyBorder="1" applyAlignment="1">
      <alignment horizontal="left" vertical="center" wrapText="1"/>
    </xf>
    <xf numFmtId="0" fontId="26" fillId="4" borderId="7" xfId="0" applyFont="1" applyFill="1" applyBorder="1" applyAlignment="1">
      <alignment horizontal="left" vertical="center" wrapText="1"/>
    </xf>
    <xf numFmtId="0" fontId="26" fillId="4" borderId="5" xfId="0" applyFont="1" applyFill="1" applyBorder="1" applyAlignment="1">
      <alignment horizontal="left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3" fillId="4" borderId="0" xfId="0" applyFont="1" applyFill="1" applyAlignment="1">
      <alignment horizontal="center" vertical="center" wrapText="1"/>
    </xf>
    <xf numFmtId="0" fontId="26" fillId="4" borderId="2" xfId="0" applyFont="1" applyFill="1" applyBorder="1" applyAlignment="1">
      <alignment horizontal="center" vertical="center" wrapText="1"/>
    </xf>
    <xf numFmtId="0" fontId="26" fillId="4" borderId="3" xfId="0" applyFont="1" applyFill="1" applyBorder="1" applyAlignment="1">
      <alignment horizontal="center" vertical="center" wrapText="1"/>
    </xf>
    <xf numFmtId="0" fontId="26" fillId="4" borderId="4" xfId="0" applyFont="1" applyFill="1" applyBorder="1" applyAlignment="1">
      <alignment horizontal="center" vertical="center" wrapText="1"/>
    </xf>
    <xf numFmtId="0" fontId="32" fillId="4" borderId="1" xfId="0" applyFont="1" applyFill="1" applyBorder="1" applyAlignment="1"/>
    <xf numFmtId="0" fontId="12" fillId="4" borderId="1" xfId="0" applyFont="1" applyFill="1" applyBorder="1" applyAlignment="1"/>
    <xf numFmtId="0" fontId="32" fillId="4" borderId="1" xfId="3" applyFont="1" applyFill="1" applyBorder="1" applyAlignment="1">
      <alignment horizontal="center" wrapText="1"/>
    </xf>
    <xf numFmtId="0" fontId="32" fillId="4" borderId="21" xfId="3" applyFont="1" applyFill="1" applyBorder="1" applyAlignment="1">
      <alignment horizontal="center" wrapText="1"/>
    </xf>
    <xf numFmtId="0" fontId="32" fillId="4" borderId="17" xfId="3" applyFont="1" applyFill="1" applyBorder="1" applyAlignment="1">
      <alignment horizontal="center" wrapText="1"/>
    </xf>
    <xf numFmtId="0" fontId="32" fillId="4" borderId="22" xfId="3" applyFont="1" applyFill="1" applyBorder="1" applyAlignment="1">
      <alignment horizontal="center" wrapText="1"/>
    </xf>
    <xf numFmtId="0" fontId="32" fillId="4" borderId="21" xfId="0" applyFont="1" applyFill="1" applyBorder="1" applyAlignment="1"/>
    <xf numFmtId="0" fontId="12" fillId="4" borderId="21" xfId="0" applyFont="1" applyFill="1" applyBorder="1" applyAlignment="1"/>
    <xf numFmtId="0" fontId="33" fillId="4" borderId="14" xfId="3" applyFont="1" applyFill="1" applyBorder="1" applyAlignment="1">
      <alignment horizontal="center"/>
    </xf>
    <xf numFmtId="0" fontId="33" fillId="4" borderId="15" xfId="3" applyFont="1" applyFill="1" applyBorder="1" applyAlignment="1">
      <alignment horizontal="center"/>
    </xf>
    <xf numFmtId="0" fontId="33" fillId="4" borderId="16" xfId="0" applyFont="1" applyFill="1" applyBorder="1" applyAlignment="1">
      <alignment horizontal="center"/>
    </xf>
    <xf numFmtId="0" fontId="33" fillId="4" borderId="1" xfId="0" applyFont="1" applyFill="1" applyBorder="1" applyAlignment="1">
      <alignment horizontal="center"/>
    </xf>
    <xf numFmtId="0" fontId="33" fillId="4" borderId="2" xfId="0" applyFont="1" applyFill="1" applyBorder="1" applyAlignment="1">
      <alignment horizontal="center"/>
    </xf>
    <xf numFmtId="0" fontId="33" fillId="4" borderId="1" xfId="3" applyFont="1" applyFill="1" applyBorder="1" applyAlignment="1">
      <alignment horizontal="center"/>
    </xf>
    <xf numFmtId="0" fontId="33" fillId="4" borderId="17" xfId="3" applyFont="1" applyFill="1" applyBorder="1" applyAlignment="1">
      <alignment horizontal="center"/>
    </xf>
    <xf numFmtId="0" fontId="33" fillId="4" borderId="13" xfId="0" applyFont="1" applyFill="1" applyBorder="1" applyAlignment="1">
      <alignment horizontal="center"/>
    </xf>
    <xf numFmtId="0" fontId="33" fillId="4" borderId="14" xfId="0" applyFont="1" applyFill="1" applyBorder="1" applyAlignment="1">
      <alignment horizontal="center"/>
    </xf>
    <xf numFmtId="0" fontId="33" fillId="4" borderId="23" xfId="0" applyFont="1" applyFill="1" applyBorder="1" applyAlignment="1">
      <alignment horizontal="center"/>
    </xf>
    <xf numFmtId="0" fontId="32" fillId="4" borderId="0" xfId="3" applyFont="1" applyFill="1" applyAlignment="1">
      <alignment horizontal="center" wrapText="1"/>
    </xf>
    <xf numFmtId="0" fontId="33" fillId="4" borderId="6" xfId="3" applyFont="1" applyFill="1" applyBorder="1" applyAlignment="1">
      <alignment horizontal="left" vertical="center"/>
    </xf>
    <xf numFmtId="0" fontId="33" fillId="4" borderId="7" xfId="3" applyFont="1" applyFill="1" applyBorder="1" applyAlignment="1">
      <alignment horizontal="left" vertical="center"/>
    </xf>
    <xf numFmtId="0" fontId="33" fillId="4" borderId="5" xfId="3" applyFont="1" applyFill="1" applyBorder="1" applyAlignment="1">
      <alignment horizontal="left" vertical="center"/>
    </xf>
    <xf numFmtId="0" fontId="32" fillId="4" borderId="1" xfId="0" applyFont="1" applyFill="1" applyBorder="1" applyAlignment="1">
      <alignment horizontal="center" wrapText="1"/>
    </xf>
    <xf numFmtId="0" fontId="32" fillId="4" borderId="21" xfId="0" applyFont="1" applyFill="1" applyBorder="1" applyAlignment="1">
      <alignment horizontal="center" wrapText="1"/>
    </xf>
    <xf numFmtId="0" fontId="32" fillId="4" borderId="16" xfId="0" applyFont="1" applyFill="1" applyBorder="1" applyAlignment="1">
      <alignment horizontal="center" wrapText="1"/>
    </xf>
    <xf numFmtId="0" fontId="32" fillId="4" borderId="20" xfId="0" applyFont="1" applyFill="1" applyBorder="1" applyAlignment="1">
      <alignment horizontal="center" wrapText="1"/>
    </xf>
    <xf numFmtId="0" fontId="32" fillId="4" borderId="2" xfId="0" applyFont="1" applyFill="1" applyBorder="1" applyAlignment="1">
      <alignment horizontal="center" wrapText="1"/>
    </xf>
    <xf numFmtId="0" fontId="32" fillId="4" borderId="24" xfId="0" applyFont="1" applyFill="1" applyBorder="1" applyAlignment="1">
      <alignment horizontal="center" wrapText="1"/>
    </xf>
    <xf numFmtId="3" fontId="24" fillId="0" borderId="0" xfId="0" applyNumberFormat="1" applyFont="1"/>
    <xf numFmtId="3" fontId="24" fillId="2" borderId="0" xfId="0" applyNumberFormat="1" applyFont="1" applyFill="1"/>
    <xf numFmtId="0" fontId="24" fillId="0" borderId="0" xfId="0" applyFont="1"/>
    <xf numFmtId="0" fontId="24" fillId="6" borderId="0" xfId="0" applyFont="1" applyFill="1"/>
    <xf numFmtId="3" fontId="24" fillId="0" borderId="0" xfId="0" applyNumberFormat="1" applyFont="1" applyFill="1"/>
    <xf numFmtId="166" fontId="24" fillId="0" borderId="0" xfId="0" applyNumberFormat="1" applyFont="1" applyFill="1"/>
    <xf numFmtId="0" fontId="24" fillId="4" borderId="0" xfId="0" applyFont="1" applyFill="1"/>
    <xf numFmtId="0" fontId="24" fillId="12" borderId="0" xfId="0" applyFont="1" applyFill="1"/>
    <xf numFmtId="3" fontId="24" fillId="0" borderId="0" xfId="0" applyNumberFormat="1" applyFont="1" applyFill="1" applyAlignment="1">
      <alignment horizontal="left" indent="1"/>
    </xf>
    <xf numFmtId="0" fontId="24" fillId="0" borderId="26" xfId="0" applyFont="1" applyBorder="1"/>
    <xf numFmtId="3" fontId="24" fillId="0" borderId="0" xfId="0" applyNumberFormat="1" applyFont="1" applyFill="1" applyBorder="1"/>
    <xf numFmtId="0" fontId="24" fillId="0" borderId="29" xfId="0" applyFont="1" applyBorder="1"/>
    <xf numFmtId="3" fontId="55" fillId="0" borderId="0" xfId="0" applyNumberFormat="1" applyFont="1" applyFill="1" applyBorder="1"/>
    <xf numFmtId="3" fontId="24" fillId="0" borderId="29" xfId="0" applyNumberFormat="1" applyFont="1" applyFill="1" applyBorder="1"/>
    <xf numFmtId="0" fontId="24" fillId="0" borderId="0" xfId="0" applyFont="1" applyBorder="1"/>
    <xf numFmtId="3" fontId="24" fillId="0" borderId="0" xfId="0" applyNumberFormat="1" applyFont="1" applyFill="1" applyBorder="1" applyAlignment="1">
      <alignment horizontal="right"/>
    </xf>
    <xf numFmtId="9" fontId="24" fillId="0" borderId="19" xfId="0" applyNumberFormat="1" applyFont="1" applyBorder="1"/>
    <xf numFmtId="9" fontId="24" fillId="0" borderId="9" xfId="0" applyNumberFormat="1" applyFont="1" applyBorder="1"/>
    <xf numFmtId="9" fontId="24" fillId="0" borderId="0" xfId="0" applyNumberFormat="1" applyFont="1" applyBorder="1"/>
    <xf numFmtId="9" fontId="24" fillId="0" borderId="0" xfId="0" applyNumberFormat="1" applyFont="1"/>
    <xf numFmtId="0" fontId="55" fillId="0" borderId="0" xfId="0" applyFont="1"/>
    <xf numFmtId="0" fontId="55" fillId="6" borderId="0" xfId="0" applyFont="1" applyFill="1"/>
    <xf numFmtId="3" fontId="55" fillId="0" borderId="0" xfId="0" applyNumberFormat="1" applyFont="1" applyFill="1"/>
    <xf numFmtId="166" fontId="55" fillId="7" borderId="0" xfId="0" applyNumberFormat="1" applyFont="1" applyFill="1"/>
    <xf numFmtId="166" fontId="55" fillId="0" borderId="0" xfId="0" applyNumberFormat="1" applyFont="1" applyFill="1"/>
    <xf numFmtId="0" fontId="55" fillId="4" borderId="0" xfId="0" applyFont="1" applyFill="1"/>
    <xf numFmtId="0" fontId="55" fillId="7" borderId="0" xfId="0" applyFont="1" applyFill="1"/>
    <xf numFmtId="3" fontId="55" fillId="7" borderId="0" xfId="0" applyNumberFormat="1" applyFont="1" applyFill="1"/>
    <xf numFmtId="3" fontId="56" fillId="5" borderId="0" xfId="0" applyNumberFormat="1" applyFont="1" applyFill="1"/>
    <xf numFmtId="3" fontId="56" fillId="8" borderId="0" xfId="0" applyNumberFormat="1" applyFont="1" applyFill="1"/>
    <xf numFmtId="3" fontId="56" fillId="0" borderId="0" xfId="0" applyNumberFormat="1" applyFont="1" applyFill="1"/>
    <xf numFmtId="3" fontId="56" fillId="12" borderId="0" xfId="0" applyNumberFormat="1" applyFont="1" applyFill="1"/>
    <xf numFmtId="1" fontId="56" fillId="3" borderId="0" xfId="0" applyNumberFormat="1" applyFont="1" applyFill="1"/>
    <xf numFmtId="165" fontId="56" fillId="6" borderId="0" xfId="1" applyNumberFormat="1" applyFont="1" applyFill="1"/>
    <xf numFmtId="3" fontId="56" fillId="6" borderId="0" xfId="0" applyNumberFormat="1" applyFont="1" applyFill="1"/>
    <xf numFmtId="165" fontId="57" fillId="4" borderId="1" xfId="1" applyNumberFormat="1" applyFont="1" applyFill="1" applyBorder="1" applyAlignment="1">
      <alignment vertical="center" wrapText="1"/>
    </xf>
    <xf numFmtId="0" fontId="57" fillId="4" borderId="1" xfId="0" applyFont="1" applyFill="1" applyBorder="1" applyAlignment="1">
      <alignment horizontal="right" vertical="center" wrapText="1"/>
    </xf>
    <xf numFmtId="168" fontId="57" fillId="4" borderId="1" xfId="0" applyNumberFormat="1" applyFont="1" applyFill="1" applyBorder="1" applyAlignment="1">
      <alignment vertical="center" wrapText="1"/>
    </xf>
    <xf numFmtId="168" fontId="57" fillId="4" borderId="2" xfId="0" applyNumberFormat="1" applyFont="1" applyFill="1" applyBorder="1" applyAlignment="1">
      <alignment vertical="center" wrapText="1"/>
    </xf>
    <xf numFmtId="167" fontId="57" fillId="4" borderId="1" xfId="2" applyNumberFormat="1" applyFont="1" applyFill="1" applyBorder="1" applyAlignment="1">
      <alignment vertical="center" wrapText="1"/>
    </xf>
    <xf numFmtId="0" fontId="57" fillId="4" borderId="1" xfId="0" applyFont="1" applyFill="1" applyBorder="1" applyAlignment="1">
      <alignment vertical="center" wrapText="1"/>
    </xf>
    <xf numFmtId="169" fontId="57" fillId="4" borderId="1" xfId="1" applyNumberFormat="1" applyFont="1" applyFill="1" applyBorder="1" applyAlignment="1">
      <alignment vertical="center" wrapText="1"/>
    </xf>
    <xf numFmtId="9" fontId="57" fillId="4" borderId="1" xfId="0" applyNumberFormat="1" applyFont="1" applyFill="1" applyBorder="1" applyAlignment="1">
      <alignment vertical="center" wrapText="1"/>
    </xf>
    <xf numFmtId="9" fontId="57" fillId="4" borderId="1" xfId="0" applyNumberFormat="1" applyFont="1" applyFill="1" applyBorder="1" applyAlignment="1">
      <alignment horizontal="right" vertical="center" wrapText="1"/>
    </xf>
    <xf numFmtId="9" fontId="57" fillId="4" borderId="2" xfId="0" applyNumberFormat="1" applyFont="1" applyFill="1" applyBorder="1" applyAlignment="1">
      <alignment horizontal="right" vertical="center" wrapText="1"/>
    </xf>
    <xf numFmtId="170" fontId="57" fillId="4" borderId="1" xfId="0" applyNumberFormat="1" applyFont="1" applyFill="1" applyBorder="1" applyAlignment="1">
      <alignment horizontal="right" vertical="center" wrapText="1"/>
    </xf>
    <xf numFmtId="170" fontId="57" fillId="4" borderId="2" xfId="0" applyNumberFormat="1" applyFont="1" applyFill="1" applyBorder="1" applyAlignment="1">
      <alignment horizontal="right" vertical="center" wrapText="1"/>
    </xf>
    <xf numFmtId="10" fontId="57" fillId="4" borderId="1" xfId="0" applyNumberFormat="1" applyFont="1" applyFill="1" applyBorder="1" applyAlignment="1">
      <alignment vertical="center" wrapText="1"/>
    </xf>
    <xf numFmtId="170" fontId="57" fillId="4" borderId="1" xfId="0" applyNumberFormat="1" applyFont="1" applyFill="1" applyBorder="1" applyAlignment="1">
      <alignment vertical="center" wrapText="1"/>
    </xf>
    <xf numFmtId="170" fontId="57" fillId="4" borderId="2" xfId="0" applyNumberFormat="1" applyFont="1" applyFill="1" applyBorder="1" applyAlignment="1">
      <alignment vertical="center" wrapText="1"/>
    </xf>
    <xf numFmtId="167" fontId="57" fillId="4" borderId="1" xfId="0" applyNumberFormat="1" applyFont="1" applyFill="1" applyBorder="1" applyAlignment="1">
      <alignment vertical="center" wrapText="1"/>
    </xf>
    <xf numFmtId="167" fontId="57" fillId="4" borderId="2" xfId="0" applyNumberFormat="1" applyFont="1" applyFill="1" applyBorder="1" applyAlignment="1">
      <alignment vertical="center" wrapText="1"/>
    </xf>
    <xf numFmtId="165" fontId="57" fillId="4" borderId="9" xfId="1" applyNumberFormat="1" applyFont="1" applyFill="1" applyBorder="1" applyAlignment="1">
      <alignment vertical="center" wrapText="1"/>
    </xf>
    <xf numFmtId="0" fontId="57" fillId="4" borderId="9" xfId="0" applyFont="1" applyFill="1" applyBorder="1" applyAlignment="1">
      <alignment vertical="center" wrapText="1"/>
    </xf>
    <xf numFmtId="10" fontId="57" fillId="4" borderId="2" xfId="0" applyNumberFormat="1" applyFont="1" applyFill="1" applyBorder="1" applyAlignment="1">
      <alignment vertical="center" wrapText="1"/>
    </xf>
    <xf numFmtId="9" fontId="59" fillId="4" borderId="0" xfId="4" applyFont="1" applyFill="1"/>
    <xf numFmtId="0" fontId="59" fillId="4" borderId="0" xfId="0" quotePrefix="1" applyFont="1" applyFill="1" applyAlignment="1">
      <alignment horizontal="center" wrapText="1"/>
    </xf>
    <xf numFmtId="16" fontId="59" fillId="4" borderId="0" xfId="0" quotePrefix="1" applyNumberFormat="1" applyFont="1" applyFill="1" applyAlignment="1">
      <alignment horizontal="center" wrapText="1"/>
    </xf>
    <xf numFmtId="0" fontId="59" fillId="4" borderId="0" xfId="3" quotePrefix="1" applyFont="1" applyFill="1" applyAlignment="1">
      <alignment horizontal="center" wrapText="1"/>
    </xf>
    <xf numFmtId="16" fontId="59" fillId="4" borderId="0" xfId="3" quotePrefix="1" applyNumberFormat="1" applyFont="1" applyFill="1" applyAlignment="1">
      <alignment horizontal="center" wrapText="1"/>
    </xf>
    <xf numFmtId="0" fontId="59" fillId="4" borderId="0" xfId="0" applyFont="1" applyFill="1" applyAlignment="1">
      <alignment horizontal="center" wrapText="1"/>
    </xf>
    <xf numFmtId="0" fontId="59" fillId="4" borderId="0" xfId="0" applyFont="1" applyFill="1" applyAlignment="1">
      <alignment horizontal="center"/>
    </xf>
    <xf numFmtId="0" fontId="59" fillId="4" borderId="0" xfId="3" applyFont="1" applyFill="1" applyAlignment="1">
      <alignment horizontal="center" wrapText="1"/>
    </xf>
    <xf numFmtId="0" fontId="59" fillId="4" borderId="0" xfId="3" applyFont="1" applyFill="1" applyAlignment="1">
      <alignment horizontal="center"/>
    </xf>
    <xf numFmtId="170" fontId="59" fillId="4" borderId="19" xfId="4" applyNumberFormat="1" applyFont="1" applyFill="1" applyBorder="1"/>
    <xf numFmtId="10" fontId="59" fillId="4" borderId="19" xfId="4" applyNumberFormat="1" applyFont="1" applyFill="1" applyBorder="1"/>
    <xf numFmtId="10" fontId="59" fillId="4" borderId="0" xfId="4" applyNumberFormat="1" applyFont="1" applyFill="1"/>
    <xf numFmtId="167" fontId="59" fillId="4" borderId="19" xfId="4" applyNumberFormat="1" applyFont="1" applyFill="1" applyBorder="1"/>
    <xf numFmtId="170" fontId="59" fillId="4" borderId="0" xfId="4" applyNumberFormat="1" applyFont="1" applyFill="1"/>
    <xf numFmtId="167" fontId="59" fillId="4" borderId="0" xfId="4" applyNumberFormat="1" applyFont="1" applyFill="1"/>
    <xf numFmtId="170" fontId="59" fillId="4" borderId="9" xfId="5" applyNumberFormat="1" applyFont="1" applyFill="1" applyBorder="1"/>
    <xf numFmtId="170" fontId="59" fillId="4" borderId="9" xfId="4" applyNumberFormat="1" applyFont="1" applyFill="1" applyBorder="1"/>
    <xf numFmtId="10" fontId="59" fillId="4" borderId="9" xfId="4" applyNumberFormat="1" applyFont="1" applyFill="1" applyBorder="1"/>
    <xf numFmtId="167" fontId="59" fillId="4" borderId="0" xfId="4" applyNumberFormat="1" applyFont="1" applyFill="1" applyBorder="1"/>
    <xf numFmtId="0" fontId="59" fillId="4" borderId="9" xfId="3" applyFont="1" applyFill="1" applyBorder="1"/>
    <xf numFmtId="3" fontId="55" fillId="0" borderId="0" xfId="0" applyNumberFormat="1" applyFont="1" applyAlignment="1">
      <alignment vertical="center"/>
    </xf>
    <xf numFmtId="0" fontId="55" fillId="0" borderId="0" xfId="0" applyFont="1" applyAlignment="1">
      <alignment vertical="center"/>
    </xf>
    <xf numFmtId="3" fontId="55" fillId="0" borderId="0" xfId="0" applyNumberFormat="1" applyFont="1" applyBorder="1" applyAlignment="1">
      <alignment vertical="center"/>
    </xf>
    <xf numFmtId="3" fontId="55" fillId="0" borderId="0" xfId="0" applyNumberFormat="1" applyFont="1" applyFill="1" applyBorder="1" applyAlignment="1">
      <alignment vertical="center"/>
    </xf>
    <xf numFmtId="3" fontId="55" fillId="0" borderId="11" xfId="0" applyNumberFormat="1" applyFont="1" applyBorder="1" applyAlignment="1">
      <alignment vertical="center"/>
    </xf>
    <xf numFmtId="3" fontId="55" fillId="0" borderId="9" xfId="0" applyNumberFormat="1" applyFont="1" applyBorder="1" applyAlignment="1">
      <alignment vertical="center"/>
    </xf>
    <xf numFmtId="3" fontId="55" fillId="0" borderId="12" xfId="0" applyNumberFormat="1" applyFont="1" applyBorder="1" applyAlignment="1">
      <alignment vertical="center"/>
    </xf>
    <xf numFmtId="3" fontId="55" fillId="4" borderId="0" xfId="0" applyNumberFormat="1" applyFont="1" applyFill="1" applyBorder="1" applyAlignment="1">
      <alignment horizontal="center" vertical="center"/>
    </xf>
    <xf numFmtId="3" fontId="55" fillId="4" borderId="9" xfId="0" applyNumberFormat="1" applyFont="1" applyFill="1" applyBorder="1" applyAlignment="1">
      <alignment horizontal="center" vertical="center"/>
    </xf>
    <xf numFmtId="3" fontId="55" fillId="4" borderId="12" xfId="0" applyNumberFormat="1" applyFont="1" applyFill="1" applyBorder="1" applyAlignment="1">
      <alignment horizontal="center" vertical="center"/>
    </xf>
    <xf numFmtId="3" fontId="55" fillId="4" borderId="19" xfId="0" applyNumberFormat="1" applyFont="1" applyFill="1" applyBorder="1" applyAlignment="1">
      <alignment horizontal="center" vertical="center"/>
    </xf>
    <xf numFmtId="3" fontId="55" fillId="4" borderId="30" xfId="0" applyNumberFormat="1" applyFont="1" applyFill="1" applyBorder="1" applyAlignment="1">
      <alignment horizontal="center" vertical="center"/>
    </xf>
    <xf numFmtId="3" fontId="55" fillId="4" borderId="11" xfId="0" applyNumberFormat="1" applyFont="1" applyFill="1" applyBorder="1" applyAlignment="1">
      <alignment horizontal="center" vertical="center"/>
    </xf>
    <xf numFmtId="3" fontId="55" fillId="0" borderId="0" xfId="0" applyNumberFormat="1" applyFont="1" applyFill="1" applyBorder="1" applyAlignment="1">
      <alignment horizontal="center" vertical="center"/>
    </xf>
    <xf numFmtId="3" fontId="55" fillId="0" borderId="11" xfId="0" applyNumberFormat="1" applyFont="1" applyFill="1" applyBorder="1" applyAlignment="1">
      <alignment horizontal="center" vertical="center"/>
    </xf>
    <xf numFmtId="3" fontId="55" fillId="0" borderId="19" xfId="0" applyNumberFormat="1" applyFont="1" applyBorder="1" applyAlignment="1">
      <alignment horizontal="center" vertical="center"/>
    </xf>
    <xf numFmtId="3" fontId="55" fillId="0" borderId="30" xfId="0" applyNumberFormat="1" applyFont="1" applyBorder="1" applyAlignment="1">
      <alignment horizontal="center" vertical="center"/>
    </xf>
    <xf numFmtId="3" fontId="55" fillId="13" borderId="0" xfId="0" applyNumberFormat="1" applyFont="1" applyFill="1" applyBorder="1" applyAlignment="1">
      <alignment vertical="center"/>
    </xf>
    <xf numFmtId="0" fontId="60" fillId="0" borderId="0" xfId="6" applyFont="1" applyAlignment="1"/>
    <xf numFmtId="0" fontId="61" fillId="0" borderId="0" xfId="6" applyFont="1" applyAlignment="1">
      <alignment horizontal="left" indent="1"/>
    </xf>
    <xf numFmtId="0" fontId="61" fillId="0" borderId="0" xfId="6" applyFont="1" applyAlignment="1"/>
    <xf numFmtId="9" fontId="61" fillId="8" borderId="0" xfId="6" applyNumberFormat="1" applyFont="1" applyFill="1" applyAlignment="1"/>
    <xf numFmtId="165" fontId="62" fillId="0" borderId="0" xfId="6" applyNumberFormat="1" applyFont="1" applyAlignment="1"/>
    <xf numFmtId="165" fontId="60" fillId="0" borderId="0" xfId="6" applyNumberFormat="1" applyFont="1" applyAlignment="1"/>
    <xf numFmtId="9" fontId="61" fillId="0" borderId="0" xfId="6" applyNumberFormat="1" applyFont="1" applyAlignment="1"/>
    <xf numFmtId="0" fontId="61" fillId="0" borderId="0" xfId="6" applyFont="1" applyAlignment="1">
      <alignment horizontal="left"/>
    </xf>
    <xf numFmtId="168" fontId="61" fillId="8" borderId="0" xfId="6" applyNumberFormat="1" applyFont="1" applyFill="1" applyAlignment="1"/>
    <xf numFmtId="3" fontId="63" fillId="15" borderId="38" xfId="8" applyNumberFormat="1" applyFont="1" applyFill="1" applyBorder="1" applyAlignment="1">
      <alignment horizontal="center" vertical="center" wrapText="1"/>
    </xf>
    <xf numFmtId="3" fontId="63" fillId="15" borderId="39" xfId="8" applyNumberFormat="1" applyFont="1" applyFill="1" applyBorder="1" applyAlignment="1">
      <alignment horizontal="center" vertical="center" wrapText="1"/>
    </xf>
    <xf numFmtId="0" fontId="63" fillId="14" borderId="41" xfId="8" applyFont="1" applyFill="1" applyBorder="1" applyAlignment="1">
      <alignment horizontal="center" vertical="center" wrapText="1"/>
    </xf>
    <xf numFmtId="10" fontId="63" fillId="14" borderId="41" xfId="8" applyNumberFormat="1" applyFont="1" applyFill="1" applyBorder="1" applyAlignment="1">
      <alignment horizontal="center" vertical="center" wrapText="1"/>
    </xf>
    <xf numFmtId="10" fontId="63" fillId="14" borderId="42" xfId="8" applyNumberFormat="1" applyFont="1" applyFill="1" applyBorder="1" applyAlignment="1">
      <alignment horizontal="center" vertical="center" wrapText="1"/>
    </xf>
    <xf numFmtId="3" fontId="63" fillId="15" borderId="44" xfId="8" applyNumberFormat="1" applyFont="1" applyFill="1" applyBorder="1" applyAlignment="1">
      <alignment horizontal="center" vertical="center" wrapText="1"/>
    </xf>
    <xf numFmtId="3" fontId="63" fillId="15" borderId="45" xfId="8" applyNumberFormat="1" applyFont="1" applyFill="1" applyBorder="1" applyAlignment="1">
      <alignment horizontal="center" vertical="center" wrapText="1"/>
    </xf>
    <xf numFmtId="3" fontId="63" fillId="15" borderId="47" xfId="8" applyNumberFormat="1" applyFont="1" applyFill="1" applyBorder="1" applyAlignment="1">
      <alignment horizontal="center" vertical="center" wrapText="1"/>
    </xf>
    <xf numFmtId="3" fontId="63" fillId="15" borderId="48" xfId="8" applyNumberFormat="1" applyFont="1" applyFill="1" applyBorder="1" applyAlignment="1">
      <alignment horizontal="center" vertical="center" wrapText="1"/>
    </xf>
    <xf numFmtId="3" fontId="55" fillId="8" borderId="0" xfId="0" applyNumberFormat="1" applyFont="1" applyFill="1" applyBorder="1" applyAlignment="1">
      <alignment vertical="center"/>
    </xf>
  </cellXfs>
  <cellStyles count="11">
    <cellStyle name="Comma" xfId="1" builtinId="3"/>
    <cellStyle name="Comma 2" xfId="5" xr:uid="{00000000-0005-0000-0000-000001000000}"/>
    <cellStyle name="Comma 3" xfId="7" xr:uid="{00000000-0005-0000-0000-000002000000}"/>
    <cellStyle name="Comma 4" xfId="9" xr:uid="{00000000-0005-0000-0000-000003000000}"/>
    <cellStyle name="Normal" xfId="0" builtinId="0"/>
    <cellStyle name="Normal 2" xfId="3" xr:uid="{00000000-0005-0000-0000-000005000000}"/>
    <cellStyle name="Normal 3" xfId="6" xr:uid="{00000000-0005-0000-0000-000006000000}"/>
    <cellStyle name="Normal 4" xfId="8" xr:uid="{00000000-0005-0000-0000-000007000000}"/>
    <cellStyle name="Percent" xfId="2" builtinId="5"/>
    <cellStyle name="Percent 2" xfId="4" xr:uid="{00000000-0005-0000-0000-000009000000}"/>
    <cellStyle name="Percent 3" xfId="10" xr:uid="{00000000-0005-0000-0000-00000A000000}"/>
  </cellStyles>
  <dxfs count="20"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Packaging Asset Capacity</a:t>
            </a:r>
            <a:r>
              <a:rPr lang="en-US" sz="1400" baseline="0"/>
              <a:t> Utilization - Project Apple.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952415563439186"/>
          <c:y val="7.0925583713692938E-2"/>
          <c:w val="0.77435862824839208"/>
          <c:h val="0.53261299643505355"/>
        </c:manualLayout>
      </c:layout>
      <c:lineChart>
        <c:grouping val="standard"/>
        <c:varyColors val="0"/>
        <c:ser>
          <c:idx val="8"/>
          <c:order val="0"/>
          <c:tx>
            <c:strRef>
              <c:f>'Capacity Calcuations'!$B$167</c:f>
              <c:strCache>
                <c:ptCount val="1"/>
                <c:pt idx="0">
                  <c:v>BIB Line</c:v>
                </c:pt>
              </c:strCache>
            </c:strRef>
          </c:tx>
          <c:marker>
            <c:symbol val="none"/>
          </c:marker>
          <c:cat>
            <c:numRef>
              <c:f>'Capacity Calcuations'!$F$3:$O$3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'Capacity Calcuations'!$F$168:$O$168</c:f>
              <c:numCache>
                <c:formatCode>0%</c:formatCode>
                <c:ptCount val="10"/>
                <c:pt idx="0">
                  <c:v>0.1474798387229331</c:v>
                </c:pt>
                <c:pt idx="1">
                  <c:v>0.18085691140876056</c:v>
                </c:pt>
                <c:pt idx="2">
                  <c:v>0.21874203134449574</c:v>
                </c:pt>
                <c:pt idx="3">
                  <c:v>0.27602492057920808</c:v>
                </c:pt>
                <c:pt idx="4">
                  <c:v>0.34460929095660242</c:v>
                </c:pt>
                <c:pt idx="5">
                  <c:v>0.395560983954098</c:v>
                </c:pt>
                <c:pt idx="6">
                  <c:v>0.45025683872606098</c:v>
                </c:pt>
                <c:pt idx="7">
                  <c:v>0.51175700231085597</c:v>
                </c:pt>
                <c:pt idx="8">
                  <c:v>0.5801564627983552</c:v>
                </c:pt>
                <c:pt idx="9">
                  <c:v>0.64663424500887978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B-4AF1-A36A-C416EDAC6763}"/>
            </c:ext>
          </c:extLst>
        </c:ser>
        <c:ser>
          <c:idx val="10"/>
          <c:order val="1"/>
          <c:tx>
            <c:strRef>
              <c:f>'Capacity Calcuations'!$B$200</c:f>
              <c:strCache>
                <c:ptCount val="1"/>
                <c:pt idx="0">
                  <c:v>PET Line</c:v>
                </c:pt>
              </c:strCache>
            </c:strRef>
          </c:tx>
          <c:marker>
            <c:symbol val="none"/>
          </c:marker>
          <c:cat>
            <c:numRef>
              <c:f>'Capacity Calcuations'!$F$3:$O$3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'Capacity Calcuations'!$F$201:$O$201</c:f>
            </c:numRef>
          </c:val>
          <c:smooth val="0"/>
          <c:extLst>
            <c:ext xmlns:c16="http://schemas.microsoft.com/office/drawing/2014/chart" uri="{C3380CC4-5D6E-409C-BE32-E72D297353CC}">
              <c16:uniqueId val="{00000001-F07B-4AF1-A36A-C416EDAC6763}"/>
            </c:ext>
          </c:extLst>
        </c:ser>
        <c:ser>
          <c:idx val="11"/>
          <c:order val="2"/>
          <c:tx>
            <c:strRef>
              <c:f>'Capacity Calcuations'!$B$203</c:f>
              <c:strCache>
                <c:ptCount val="1"/>
                <c:pt idx="0">
                  <c:v>Sheet Margarine Filler</c:v>
                </c:pt>
              </c:strCache>
            </c:strRef>
          </c:tx>
          <c:marker>
            <c:symbol val="none"/>
          </c:marker>
          <c:cat>
            <c:numRef>
              <c:f>'Capacity Calcuations'!$F$3:$O$3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'Capacity Calcuations'!$F$204:$O$204</c:f>
            </c:numRef>
          </c:val>
          <c:smooth val="0"/>
          <c:extLst>
            <c:ext xmlns:c16="http://schemas.microsoft.com/office/drawing/2014/chart" uri="{C3380CC4-5D6E-409C-BE32-E72D297353CC}">
              <c16:uniqueId val="{00000002-F07B-4AF1-A36A-C416EDAC6763}"/>
            </c:ext>
          </c:extLst>
        </c:ser>
        <c:ser>
          <c:idx val="6"/>
          <c:order val="3"/>
          <c:tx>
            <c:strRef>
              <c:f>'Capacity Calcuations'!$B$155</c:f>
              <c:strCache>
                <c:ptCount val="1"/>
                <c:pt idx="0">
                  <c:v>Perfector 150 (1+1+1+1) A</c:v>
                </c:pt>
              </c:strCache>
            </c:strRef>
          </c:tx>
          <c:marker>
            <c:symbol val="none"/>
          </c:marker>
          <c:cat>
            <c:numRef>
              <c:f>'Capacity Calcuations'!$F$3:$O$3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'Capacity Calcuations'!$F$156:$O$156</c:f>
              <c:numCache>
                <c:formatCode>0%</c:formatCode>
                <c:ptCount val="10"/>
                <c:pt idx="0">
                  <c:v>0.33799100305565805</c:v>
                </c:pt>
                <c:pt idx="1">
                  <c:v>0.39820103200278906</c:v>
                </c:pt>
                <c:pt idx="2">
                  <c:v>0.45213064881428994</c:v>
                </c:pt>
                <c:pt idx="3">
                  <c:v>0.52609482058295998</c:v>
                </c:pt>
                <c:pt idx="4">
                  <c:v>0.61046863140996799</c:v>
                </c:pt>
                <c:pt idx="5">
                  <c:v>0.7264600875930467</c:v>
                </c:pt>
                <c:pt idx="6">
                  <c:v>0.7806407638970021</c:v>
                </c:pt>
                <c:pt idx="7">
                  <c:v>0.83895908777009953</c:v>
                </c:pt>
                <c:pt idx="8">
                  <c:v>0.90173623069111175</c:v>
                </c:pt>
                <c:pt idx="9">
                  <c:v>0.96931856584077503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7B-4AF1-A36A-C416EDAC6763}"/>
            </c:ext>
          </c:extLst>
        </c:ser>
        <c:ser>
          <c:idx val="7"/>
          <c:order val="4"/>
          <c:tx>
            <c:strRef>
              <c:f>'Capacity Calcuations'!$B$150</c:f>
              <c:strCache>
                <c:ptCount val="1"/>
                <c:pt idx="0">
                  <c:v>Perfector 180 (1+1+1+1) B</c:v>
                </c:pt>
              </c:strCache>
            </c:strRef>
          </c:tx>
          <c:marker>
            <c:symbol val="none"/>
          </c:marker>
          <c:cat>
            <c:numRef>
              <c:f>'Capacity Calcuations'!$F$3:$O$3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'Capacity Calcuations'!$F$151:$O$151</c:f>
              <c:numCache>
                <c:formatCode>0%</c:formatCode>
                <c:ptCount val="10"/>
                <c:pt idx="0">
                  <c:v>0.18450598118876951</c:v>
                </c:pt>
                <c:pt idx="1">
                  <c:v>0.33297933776591748</c:v>
                </c:pt>
                <c:pt idx="2">
                  <c:v>0.58652670093678727</c:v>
                </c:pt>
                <c:pt idx="3">
                  <c:v>0.72241940297970875</c:v>
                </c:pt>
                <c:pt idx="4">
                  <c:v>0.88188832016739394</c:v>
                </c:pt>
                <c:pt idx="5">
                  <c:v>1.0812830712315848</c:v>
                </c:pt>
                <c:pt idx="6">
                  <c:v>1.276975466927913</c:v>
                </c:pt>
                <c:pt idx="7">
                  <c:v>1.3159576355042142</c:v>
                </c:pt>
                <c:pt idx="8">
                  <c:v>1.3533010862162944</c:v>
                </c:pt>
                <c:pt idx="9">
                  <c:v>1.393697983335622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7B-4AF1-A36A-C416EDAC6763}"/>
            </c:ext>
          </c:extLst>
        </c:ser>
        <c:ser>
          <c:idx val="9"/>
          <c:order val="5"/>
          <c:tx>
            <c:strRef>
              <c:f>'Capacity Calcuations'!$D$160</c:f>
              <c:strCache>
                <c:ptCount val="1"/>
                <c:pt idx="0">
                  <c:v>Perfector A + Perfector B Average</c:v>
                </c:pt>
              </c:strCache>
            </c:strRef>
          </c:tx>
          <c:marker>
            <c:symbol val="none"/>
          </c:marker>
          <c:cat>
            <c:numRef>
              <c:f>'Capacity Calcuations'!$F$3:$O$3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'Capacity Calcuations'!$F$160:$O$160</c:f>
            </c:numRef>
          </c:val>
          <c:smooth val="0"/>
          <c:extLst>
            <c:ext xmlns:c16="http://schemas.microsoft.com/office/drawing/2014/chart" uri="{C3380CC4-5D6E-409C-BE32-E72D297353CC}">
              <c16:uniqueId val="{00000005-F07B-4AF1-A36A-C416EDAC6763}"/>
            </c:ext>
          </c:extLst>
        </c:ser>
        <c:ser>
          <c:idx val="12"/>
          <c:order val="6"/>
          <c:tx>
            <c:strRef>
              <c:f>'Capacity Calcuations'!$B$162</c:f>
              <c:strCache>
                <c:ptCount val="1"/>
                <c:pt idx="0">
                  <c:v>PET Line</c:v>
                </c:pt>
              </c:strCache>
            </c:strRef>
          </c:tx>
          <c:marker>
            <c:symbol val="none"/>
          </c:marker>
          <c:cat>
            <c:numRef>
              <c:f>'Capacity Calcuations'!$F$3:$O$3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'Capacity Calcuations'!$F$163:$O$163</c:f>
              <c:numCache>
                <c:formatCode>0%</c:formatCode>
                <c:ptCount val="10"/>
                <c:pt idx="0">
                  <c:v>0.19487037037037036</c:v>
                </c:pt>
                <c:pt idx="1">
                  <c:v>0.22270899470899472</c:v>
                </c:pt>
                <c:pt idx="2">
                  <c:v>0.26168306878306874</c:v>
                </c:pt>
                <c:pt idx="3">
                  <c:v>0.31179259259259257</c:v>
                </c:pt>
                <c:pt idx="4">
                  <c:v>0.37303756613756622</c:v>
                </c:pt>
                <c:pt idx="5">
                  <c:v>0.45098571428571421</c:v>
                </c:pt>
                <c:pt idx="6">
                  <c:v>0.53450158730158726</c:v>
                </c:pt>
                <c:pt idx="7">
                  <c:v>0.62915291005291007</c:v>
                </c:pt>
                <c:pt idx="8">
                  <c:v>0.73493968253968234</c:v>
                </c:pt>
                <c:pt idx="9">
                  <c:v>0.8351587301587301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7B-4AF1-A36A-C416EDAC6763}"/>
            </c:ext>
          </c:extLst>
        </c:ser>
        <c:ser>
          <c:idx val="13"/>
          <c:order val="7"/>
          <c:tx>
            <c:strRef>
              <c:f>'Capacity Calcuations'!$B$170</c:f>
              <c:strCache>
                <c:ptCount val="1"/>
                <c:pt idx="0">
                  <c:v>Carton Filling Line 1</c:v>
                </c:pt>
              </c:strCache>
            </c:strRef>
          </c:tx>
          <c:marker>
            <c:symbol val="none"/>
          </c:marker>
          <c:cat>
            <c:numRef>
              <c:f>'Capacity Calcuations'!$F$3:$O$3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'Capacity Calcuations'!$F$171:$O$171</c:f>
              <c:numCache>
                <c:formatCode>0%</c:formatCode>
                <c:ptCount val="10"/>
                <c:pt idx="0">
                  <c:v>0.30188266049382717</c:v>
                </c:pt>
                <c:pt idx="1">
                  <c:v>0.3476493524162258</c:v>
                </c:pt>
                <c:pt idx="2">
                  <c:v>0.38857996590546739</c:v>
                </c:pt>
                <c:pt idx="3">
                  <c:v>0.43434352213334754</c:v>
                </c:pt>
                <c:pt idx="4">
                  <c:v>0.48551210114049576</c:v>
                </c:pt>
                <c:pt idx="5">
                  <c:v>0.59525573081010086</c:v>
                </c:pt>
                <c:pt idx="6">
                  <c:v>0.64287618927490908</c:v>
                </c:pt>
                <c:pt idx="7">
                  <c:v>0.69430628441690179</c:v>
                </c:pt>
                <c:pt idx="8">
                  <c:v>0.749850787170254</c:v>
                </c:pt>
                <c:pt idx="9">
                  <c:v>0.80983885014387447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7B-4AF1-A36A-C416EDAC6763}"/>
            </c:ext>
          </c:extLst>
        </c:ser>
        <c:ser>
          <c:idx val="0"/>
          <c:order val="8"/>
          <c:tx>
            <c:strRef>
              <c:f>'Capacity Calcuations'!$B$206</c:f>
              <c:strCache>
                <c:ptCount val="1"/>
                <c:pt idx="0">
                  <c:v>Carton Filling Line 2</c:v>
                </c:pt>
              </c:strCache>
            </c:strRef>
          </c:tx>
          <c:marker>
            <c:symbol val="none"/>
          </c:marker>
          <c:cat>
            <c:numRef>
              <c:f>'Capacity Calcuations'!$F$3:$O$3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'Capacity Calcuations'!$F$207:$O$207</c:f>
              <c:numCache>
                <c:formatCode>0%</c:formatCode>
                <c:ptCount val="10"/>
                <c:pt idx="0">
                  <c:v>0.18450598118876951</c:v>
                </c:pt>
                <c:pt idx="1">
                  <c:v>0.33297933776591748</c:v>
                </c:pt>
                <c:pt idx="2">
                  <c:v>0.58652670093678727</c:v>
                </c:pt>
                <c:pt idx="3">
                  <c:v>0.72241940297970875</c:v>
                </c:pt>
                <c:pt idx="4">
                  <c:v>0.88188832016739394</c:v>
                </c:pt>
                <c:pt idx="5">
                  <c:v>1.0812830712315848</c:v>
                </c:pt>
                <c:pt idx="6">
                  <c:v>1.276975466927913</c:v>
                </c:pt>
                <c:pt idx="7">
                  <c:v>1.3159576355042142</c:v>
                </c:pt>
                <c:pt idx="8">
                  <c:v>1.3533010862162944</c:v>
                </c:pt>
                <c:pt idx="9">
                  <c:v>1.393697983335622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07B-4AF1-A36A-C416EDAC6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418624"/>
        <c:axId val="201420160"/>
      </c:lineChart>
      <c:catAx>
        <c:axId val="20141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1420160"/>
        <c:crosses val="autoZero"/>
        <c:auto val="1"/>
        <c:lblAlgn val="ctr"/>
        <c:lblOffset val="100"/>
        <c:noMultiLvlLbl val="0"/>
      </c:catAx>
      <c:valAx>
        <c:axId val="201420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% Utilization 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20141862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'Capacity Calcuations'!$B$230</c:f>
              <c:strCache>
                <c:ptCount val="1"/>
                <c:pt idx="0">
                  <c:v>Carton Packaging Line 1</c:v>
                </c:pt>
              </c:strCache>
            </c:strRef>
          </c:tx>
          <c:marker>
            <c:symbol val="none"/>
          </c:marker>
          <c:cat>
            <c:numRef>
              <c:f>'Capacity Calcuations'!$C$229:$L$229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'Capacity Calcuations'!$C$230:$L$230</c:f>
              <c:numCache>
                <c:formatCode>0%</c:formatCode>
                <c:ptCount val="10"/>
                <c:pt idx="0">
                  <c:v>0.30188266049382717</c:v>
                </c:pt>
                <c:pt idx="1">
                  <c:v>0.3476493524162258</c:v>
                </c:pt>
                <c:pt idx="2">
                  <c:v>0.38857996590546739</c:v>
                </c:pt>
                <c:pt idx="3">
                  <c:v>0.43434352213334754</c:v>
                </c:pt>
                <c:pt idx="4">
                  <c:v>0.48551210114049576</c:v>
                </c:pt>
                <c:pt idx="5">
                  <c:v>0.59525573081010086</c:v>
                </c:pt>
                <c:pt idx="6">
                  <c:v>0.64287618927490908</c:v>
                </c:pt>
                <c:pt idx="7">
                  <c:v>0.69430628441690179</c:v>
                </c:pt>
                <c:pt idx="8">
                  <c:v>0.749850787170254</c:v>
                </c:pt>
                <c:pt idx="9">
                  <c:v>0.80983885014387447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46C8-B36F-F55E5B42D310}"/>
            </c:ext>
          </c:extLst>
        </c:ser>
        <c:ser>
          <c:idx val="1"/>
          <c:order val="1"/>
          <c:tx>
            <c:strRef>
              <c:f>'Capacity Calcuations'!$B$231</c:f>
              <c:strCache>
                <c:ptCount val="1"/>
                <c:pt idx="0">
                  <c:v>Carton Packaging Line 1</c:v>
                </c:pt>
              </c:strCache>
            </c:strRef>
          </c:tx>
          <c:marker>
            <c:symbol val="none"/>
          </c:marker>
          <c:cat>
            <c:numRef>
              <c:f>'Capacity Calcuations'!$C$229:$L$229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'Capacity Calcuations'!$C$231:$L$231</c:f>
              <c:numCache>
                <c:formatCode>0%</c:formatCode>
                <c:ptCount val="10"/>
                <c:pt idx="0">
                  <c:v>0.18450598118876951</c:v>
                </c:pt>
                <c:pt idx="1">
                  <c:v>0.33297933776591748</c:v>
                </c:pt>
                <c:pt idx="2">
                  <c:v>0.58652670093678727</c:v>
                </c:pt>
                <c:pt idx="3">
                  <c:v>0.72241940297970875</c:v>
                </c:pt>
                <c:pt idx="4">
                  <c:v>0.88188832016739394</c:v>
                </c:pt>
                <c:pt idx="5">
                  <c:v>1.0812830712315848</c:v>
                </c:pt>
                <c:pt idx="6">
                  <c:v>1.276975466927913</c:v>
                </c:pt>
                <c:pt idx="7">
                  <c:v>1.3159576355042142</c:v>
                </c:pt>
                <c:pt idx="8">
                  <c:v>1.3533010862162944</c:v>
                </c:pt>
                <c:pt idx="9">
                  <c:v>1.393697983335622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7F-46C8-B36F-F55E5B42D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452160"/>
        <c:axId val="201453952"/>
      </c:lineChart>
      <c:catAx>
        <c:axId val="20145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453952"/>
        <c:crosses val="autoZero"/>
        <c:auto val="1"/>
        <c:lblAlgn val="ctr"/>
        <c:lblOffset val="100"/>
        <c:noMultiLvlLbl val="0"/>
      </c:catAx>
      <c:valAx>
        <c:axId val="2014539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145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Refining Asset Capacity</a:t>
            </a:r>
            <a:r>
              <a:rPr lang="en-US" sz="1400" baseline="0"/>
              <a:t> Utilization - Project Apple.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952415563439186"/>
          <c:y val="7.0925583713692938E-2"/>
          <c:w val="0.77435862824839208"/>
          <c:h val="0.53261299643505355"/>
        </c:manualLayout>
      </c:layout>
      <c:lineChart>
        <c:grouping val="standard"/>
        <c:varyColors val="0"/>
        <c:ser>
          <c:idx val="0"/>
          <c:order val="0"/>
          <c:tx>
            <c:strRef>
              <c:f>'Capacity Calcuations'!$B$129</c:f>
              <c:strCache>
                <c:ptCount val="1"/>
                <c:pt idx="0">
                  <c:v>Neutralization</c:v>
                </c:pt>
              </c:strCache>
            </c:strRef>
          </c:tx>
          <c:marker>
            <c:symbol val="none"/>
          </c:marker>
          <c:cat>
            <c:numRef>
              <c:f>'Capacity Calcuations'!$F$3:$O$3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'Capacity Calcuations'!$F$130:$O$130</c:f>
              <c:numCache>
                <c:formatCode>0%</c:formatCode>
                <c:ptCount val="10"/>
                <c:pt idx="0">
                  <c:v>5.2922260317460328E-2</c:v>
                </c:pt>
                <c:pt idx="1">
                  <c:v>6.7754021587301608E-2</c:v>
                </c:pt>
                <c:pt idx="2">
                  <c:v>8.1525082920634956E-2</c:v>
                </c:pt>
                <c:pt idx="3">
                  <c:v>0.10891565394285717</c:v>
                </c:pt>
                <c:pt idx="4">
                  <c:v>0.14096908834031752</c:v>
                </c:pt>
                <c:pt idx="5">
                  <c:v>0.14801754275733339</c:v>
                </c:pt>
                <c:pt idx="6">
                  <c:v>0.15541841989520006</c:v>
                </c:pt>
                <c:pt idx="7">
                  <c:v>0.16318934088996009</c:v>
                </c:pt>
                <c:pt idx="8">
                  <c:v>0.17134880793445811</c:v>
                </c:pt>
                <c:pt idx="9">
                  <c:v>0.17991624833118103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F-4730-AE6E-88504EF196B0}"/>
            </c:ext>
          </c:extLst>
        </c:ser>
        <c:ser>
          <c:idx val="1"/>
          <c:order val="1"/>
          <c:tx>
            <c:strRef>
              <c:f>'Capacity Calcuations'!$B$132</c:f>
              <c:strCache>
                <c:ptCount val="1"/>
                <c:pt idx="0">
                  <c:v>Dewaxing</c:v>
                </c:pt>
              </c:strCache>
            </c:strRef>
          </c:tx>
          <c:marker>
            <c:symbol val="none"/>
          </c:marker>
          <c:cat>
            <c:numRef>
              <c:f>'Capacity Calcuations'!$F$3:$O$3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'Capacity Calcuations'!$F$133:$O$133</c:f>
              <c:numCache>
                <c:formatCode>0%</c:formatCode>
                <c:ptCount val="10"/>
                <c:pt idx="0">
                  <c:v>1.7455326984126988E-2</c:v>
                </c:pt>
                <c:pt idx="1">
                  <c:v>2.1585743492063499E-2</c:v>
                </c:pt>
                <c:pt idx="2">
                  <c:v>2.5493232634920641E-2</c:v>
                </c:pt>
                <c:pt idx="3">
                  <c:v>3.2852071580952387E-2</c:v>
                </c:pt>
                <c:pt idx="4">
                  <c:v>4.1427745989841287E-2</c:v>
                </c:pt>
                <c:pt idx="5">
                  <c:v>4.3499133289333351E-2</c:v>
                </c:pt>
                <c:pt idx="6">
                  <c:v>4.5674089953800026E-2</c:v>
                </c:pt>
                <c:pt idx="7">
                  <c:v>4.7957794451490024E-2</c:v>
                </c:pt>
                <c:pt idx="8">
                  <c:v>5.0355684174064531E-2</c:v>
                </c:pt>
                <c:pt idx="9">
                  <c:v>5.2873468382767762E-2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F-4730-AE6E-88504EF196B0}"/>
            </c:ext>
          </c:extLst>
        </c:ser>
        <c:ser>
          <c:idx val="2"/>
          <c:order val="2"/>
          <c:tx>
            <c:strRef>
              <c:f>'Capacity Calcuations'!$B$137</c:f>
              <c:strCache>
                <c:ptCount val="1"/>
                <c:pt idx="0">
                  <c:v>400TPD Refinery</c:v>
                </c:pt>
              </c:strCache>
            </c:strRef>
          </c:tx>
          <c:marker>
            <c:symbol val="none"/>
          </c:marker>
          <c:cat>
            <c:numRef>
              <c:f>'Capacity Calcuations'!$F$3:$O$3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'Capacity Calcuations'!$F$138:$O$138</c:f>
              <c:numCache>
                <c:formatCode>0%</c:formatCode>
                <c:ptCount val="10"/>
                <c:pt idx="0">
                  <c:v>0.35119213366748264</c:v>
                </c:pt>
                <c:pt idx="1">
                  <c:v>0.41892584780302133</c:v>
                </c:pt>
                <c:pt idx="2">
                  <c:v>0.48910676812501469</c:v>
                </c:pt>
                <c:pt idx="3">
                  <c:v>0.56336025763690889</c:v>
                </c:pt>
                <c:pt idx="4">
                  <c:v>0.64452171286846527</c:v>
                </c:pt>
                <c:pt idx="5">
                  <c:v>0.73741170065910899</c:v>
                </c:pt>
                <c:pt idx="6">
                  <c:v>0.80925836430089448</c:v>
                </c:pt>
                <c:pt idx="7">
                  <c:v>0.87836248290554364</c:v>
                </c:pt>
                <c:pt idx="8">
                  <c:v>0.95126431495072927</c:v>
                </c:pt>
                <c:pt idx="9">
                  <c:v>1.0282685985058706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CF-4730-AE6E-88504EF196B0}"/>
            </c:ext>
          </c:extLst>
        </c:ser>
        <c:ser>
          <c:idx val="3"/>
          <c:order val="3"/>
          <c:tx>
            <c:strRef>
              <c:f>'Capacity Calcuations'!$B$140</c:f>
              <c:strCache>
                <c:ptCount val="1"/>
                <c:pt idx="0">
                  <c:v>Hydro</c:v>
                </c:pt>
              </c:strCache>
            </c:strRef>
          </c:tx>
          <c:marker>
            <c:symbol val="none"/>
          </c:marker>
          <c:cat>
            <c:numRef>
              <c:f>'Capacity Calcuations'!$F$3:$O$3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'Capacity Calcuations'!$F$141:$O$141</c:f>
              <c:numCache>
                <c:formatCode>0%</c:formatCode>
                <c:ptCount val="10"/>
                <c:pt idx="0">
                  <c:v>0.44660624794030085</c:v>
                </c:pt>
                <c:pt idx="1">
                  <c:v>0.51275437688734993</c:v>
                </c:pt>
                <c:pt idx="2">
                  <c:v>0.59809273121014206</c:v>
                </c:pt>
                <c:pt idx="3">
                  <c:v>0.67006347221731355</c:v>
                </c:pt>
                <c:pt idx="4">
                  <c:v>0.75172675441084302</c:v>
                </c:pt>
                <c:pt idx="5">
                  <c:v>0.83570140226921841</c:v>
                </c:pt>
                <c:pt idx="6">
                  <c:v>0.92164629067105708</c:v>
                </c:pt>
                <c:pt idx="7">
                  <c:v>0.98763463655949568</c:v>
                </c:pt>
                <c:pt idx="8">
                  <c:v>1.0591395423659746</c:v>
                </c:pt>
                <c:pt idx="9">
                  <c:v>1.1366379961024231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CF-4730-AE6E-88504EF196B0}"/>
            </c:ext>
          </c:extLst>
        </c:ser>
        <c:ser>
          <c:idx val="4"/>
          <c:order val="4"/>
          <c:tx>
            <c:strRef>
              <c:f>'Capacity Calcuations'!$B$143</c:f>
              <c:strCache>
                <c:ptCount val="1"/>
                <c:pt idx="0">
                  <c:v>IE+Bleaching</c:v>
                </c:pt>
              </c:strCache>
            </c:strRef>
          </c:tx>
          <c:marker>
            <c:symbol val="none"/>
          </c:marker>
          <c:cat>
            <c:numRef>
              <c:f>'Capacity Calcuations'!$F$3:$O$3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'Capacity Calcuations'!$F$144:$O$144</c:f>
              <c:numCache>
                <c:formatCode>0%</c:formatCode>
                <c:ptCount val="10"/>
                <c:pt idx="0">
                  <c:v>0.3235269613538645</c:v>
                </c:pt>
                <c:pt idx="1">
                  <c:v>0.44180767429473577</c:v>
                </c:pt>
                <c:pt idx="2">
                  <c:v>0.66591222355806334</c:v>
                </c:pt>
                <c:pt idx="3">
                  <c:v>0.57939787282699706</c:v>
                </c:pt>
                <c:pt idx="4">
                  <c:v>0.70297843306028218</c:v>
                </c:pt>
                <c:pt idx="5">
                  <c:v>0.85609592967867132</c:v>
                </c:pt>
                <c:pt idx="6">
                  <c:v>1.000705437625649</c:v>
                </c:pt>
                <c:pt idx="7">
                  <c:v>1.000705437625649</c:v>
                </c:pt>
                <c:pt idx="8">
                  <c:v>1.000705437625649</c:v>
                </c:pt>
                <c:pt idx="9">
                  <c:v>1.000705437625649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CF-4730-AE6E-88504EF196B0}"/>
            </c:ext>
          </c:extLst>
        </c:ser>
        <c:ser>
          <c:idx val="5"/>
          <c:order val="5"/>
          <c:tx>
            <c:strRef>
              <c:f>'Capacity Calcuations'!$B$147</c:f>
              <c:strCache>
                <c:ptCount val="1"/>
                <c:pt idx="0">
                  <c:v>100TPD Deodorization</c:v>
                </c:pt>
              </c:strCache>
            </c:strRef>
          </c:tx>
          <c:marker>
            <c:symbol val="none"/>
          </c:marker>
          <c:cat>
            <c:numRef>
              <c:f>'Capacity Calcuations'!$F$3:$O$3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'Capacity Calcuations'!$F$148:$O$148</c:f>
              <c:numCache>
                <c:formatCode>0%</c:formatCode>
                <c:ptCount val="10"/>
                <c:pt idx="0">
                  <c:v>0.25882156908309156</c:v>
                </c:pt>
                <c:pt idx="1">
                  <c:v>0.35344613943578856</c:v>
                </c:pt>
                <c:pt idx="2">
                  <c:v>0.53272977884645067</c:v>
                </c:pt>
                <c:pt idx="3">
                  <c:v>0.46351829826159768</c:v>
                </c:pt>
                <c:pt idx="4">
                  <c:v>0.56238274644822572</c:v>
                </c:pt>
                <c:pt idx="5">
                  <c:v>0.68487674374293717</c:v>
                </c:pt>
                <c:pt idx="6">
                  <c:v>0.8005643501005193</c:v>
                </c:pt>
                <c:pt idx="7">
                  <c:v>0.8005643501005193</c:v>
                </c:pt>
                <c:pt idx="8">
                  <c:v>0.8005643501005193</c:v>
                </c:pt>
                <c:pt idx="9">
                  <c:v>0.8005643501005193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CF-4730-AE6E-88504EF196B0}"/>
            </c:ext>
          </c:extLst>
        </c:ser>
        <c:ser>
          <c:idx val="10"/>
          <c:order val="6"/>
          <c:tx>
            <c:strRef>
              <c:f>'Capacity Calcuations'!$B$200</c:f>
              <c:strCache>
                <c:ptCount val="1"/>
                <c:pt idx="0">
                  <c:v>PET Line</c:v>
                </c:pt>
              </c:strCache>
            </c:strRef>
          </c:tx>
          <c:marker>
            <c:symbol val="none"/>
          </c:marker>
          <c:cat>
            <c:numRef>
              <c:f>'Capacity Calcuations'!$F$3:$O$3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'Capacity Calcuations'!$F$201:$O$201</c:f>
            </c:numRef>
          </c:val>
          <c:smooth val="0"/>
          <c:extLst>
            <c:ext xmlns:c16="http://schemas.microsoft.com/office/drawing/2014/chart" uri="{C3380CC4-5D6E-409C-BE32-E72D297353CC}">
              <c16:uniqueId val="{00000006-72CF-4730-AE6E-88504EF196B0}"/>
            </c:ext>
          </c:extLst>
        </c:ser>
        <c:ser>
          <c:idx val="11"/>
          <c:order val="7"/>
          <c:tx>
            <c:strRef>
              <c:f>'Capacity Calcuations'!$B$203</c:f>
              <c:strCache>
                <c:ptCount val="1"/>
                <c:pt idx="0">
                  <c:v>Sheet Margarine Filler</c:v>
                </c:pt>
              </c:strCache>
            </c:strRef>
          </c:tx>
          <c:marker>
            <c:symbol val="none"/>
          </c:marker>
          <c:cat>
            <c:numRef>
              <c:f>'Capacity Calcuations'!$F$3:$O$3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'Capacity Calcuations'!$F$204:$O$204</c:f>
            </c:numRef>
          </c:val>
          <c:smooth val="0"/>
          <c:extLst>
            <c:ext xmlns:c16="http://schemas.microsoft.com/office/drawing/2014/chart" uri="{C3380CC4-5D6E-409C-BE32-E72D297353CC}">
              <c16:uniqueId val="{00000007-72CF-4730-AE6E-88504EF19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64992"/>
        <c:axId val="212579072"/>
      </c:lineChart>
      <c:catAx>
        <c:axId val="21256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2579072"/>
        <c:crosses val="autoZero"/>
        <c:auto val="1"/>
        <c:lblAlgn val="ctr"/>
        <c:lblOffset val="100"/>
        <c:noMultiLvlLbl val="0"/>
      </c:catAx>
      <c:valAx>
        <c:axId val="212579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% Utilization 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2125649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129116</xdr:colOff>
      <xdr:row>208</xdr:row>
      <xdr:rowOff>147109</xdr:rowOff>
    </xdr:from>
    <xdr:to>
      <xdr:col>9</xdr:col>
      <xdr:colOff>497416</xdr:colOff>
      <xdr:row>228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93056</xdr:colOff>
      <xdr:row>231</xdr:row>
      <xdr:rowOff>122992</xdr:rowOff>
    </xdr:from>
    <xdr:to>
      <xdr:col>5</xdr:col>
      <xdr:colOff>32656</xdr:colOff>
      <xdr:row>251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424543</xdr:colOff>
      <xdr:row>208</xdr:row>
      <xdr:rowOff>119745</xdr:rowOff>
    </xdr:from>
    <xdr:to>
      <xdr:col>24</xdr:col>
      <xdr:colOff>509815</xdr:colOff>
      <xdr:row>225</xdr:row>
      <xdr:rowOff>10887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2019300</xdr:colOff>
      <xdr:row>214</xdr:row>
      <xdr:rowOff>19050</xdr:rowOff>
    </xdr:from>
    <xdr:to>
      <xdr:col>9</xdr:col>
      <xdr:colOff>381000</xdr:colOff>
      <xdr:row>214</xdr:row>
      <xdr:rowOff>19050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2019300" y="33442275"/>
          <a:ext cx="71532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0.75332</cdr:x>
      <cdr:y>0.69992</cdr:y>
    </cdr:from>
    <cdr:to>
      <cdr:x>0.82715</cdr:x>
      <cdr:y>0.81844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900334" y="2643716"/>
          <a:ext cx="676275" cy="44767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40000"/>
            <a:lumOff val="60000"/>
            <a:alpha val="39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0.82715</cdr:x>
      <cdr:y>0.41748</cdr:y>
    </cdr:from>
    <cdr:to>
      <cdr:x>1</cdr:x>
      <cdr:y>0.65453</cdr:y>
    </cdr:to>
    <cdr:sp macro="" textlink="">
      <cdr:nvSpPr>
        <cdr:cNvPr id="3" name="Oval Callout 2"/>
        <cdr:cNvSpPr/>
      </cdr:nvSpPr>
      <cdr:spPr>
        <a:xfrm xmlns:a="http://schemas.openxmlformats.org/drawingml/2006/main">
          <a:off x="7576609" y="1576916"/>
          <a:ext cx="1583266" cy="895350"/>
        </a:xfrm>
        <a:prstGeom xmlns:a="http://schemas.openxmlformats.org/drawingml/2006/main" prst="wedgeEllipseCallout">
          <a:avLst>
            <a:gd name="adj1" fmla="val -50456"/>
            <a:gd name="adj2" fmla="val 68883"/>
          </a:avLst>
        </a:prstGeom>
        <a:solidFill xmlns:a="http://schemas.openxmlformats.org/drawingml/2006/main">
          <a:schemeClr val="accent2">
            <a:alpha val="45000"/>
          </a:schemeClr>
        </a:solidFill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900">
              <a:solidFill>
                <a:sysClr val="windowText" lastClr="000000"/>
              </a:solidFill>
            </a:rPr>
            <a:t>3rd</a:t>
          </a:r>
          <a:r>
            <a:rPr lang="en-US" sz="900" baseline="0">
              <a:solidFill>
                <a:sysClr val="windowText" lastClr="000000"/>
              </a:solidFill>
            </a:rPr>
            <a:t> perfector and 3rd carton filling line to be added here</a:t>
          </a:r>
          <a:endParaRPr lang="en-US" sz="900">
            <a:solidFill>
              <a:sysClr val="windowText" lastClr="000000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krai/AppData/Local/Microsoft/Windows/Temporary%20Internet%20Files/Content.Outlook/ALHM2OWK/Model%20201303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krai/AppData/Local/Microsoft/Windows/Temporary%20Internet%20Files/Content.Outlook/ALHM2OWK/Model%2020130322%20(5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krai/AppData/Local/Microsoft/Windows/Temporary%20Internet%20Files/Content.Outlook/ALHM2OWK/Model%2020131106%20-%20update%20logistics%20savings%20IE%20&#20840;&#22269;&#30340;&#37327;%20No%20Sweet%20No%20Sheet%20-%20Reduce%20Volum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izhou/Documents/Ongoing%20Projects/BOS/Model/BOS%20Model%2020130812%20&#26032;&#37197;&#26041;_With%20Tianpian%20adde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izhou/Documents/Ongoing%20Projects/BOS/Model/BOS%20Model%2020130705%20&#26032;&#37197;&#26041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j126199/Bakery%20Oil/Volume/Target%20Market%20Size%2020131105(After%20PDP2%20GR)-Apple%20IE%20revi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Valuation"/>
      <sheetName val="McD"/>
      <sheetName val="SF"/>
      <sheetName val="Bakery"/>
      <sheetName val="FeedStock WC"/>
      <sheetName val="FeedStockProduction"/>
      <sheetName val="BakeryFormula-NonIE"/>
      <sheetName val="Capex"/>
      <sheetName val="SGA"/>
    </sheetNames>
    <sheetDataSet>
      <sheetData sheetId="0" refreshError="1"/>
      <sheetData sheetId="1" refreshError="1"/>
      <sheetData sheetId="2" refreshError="1"/>
      <sheetData sheetId="3" refreshError="1">
        <row r="33">
          <cell r="C33" t="str">
            <v>RHPKO</v>
          </cell>
        </row>
        <row r="45">
          <cell r="C45" t="str">
            <v>All-purpose Shortening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Valuation"/>
      <sheetName val="McD"/>
      <sheetName val="SF"/>
      <sheetName val="Bakery"/>
      <sheetName val="MP"/>
      <sheetName val="FeedStock WC"/>
      <sheetName val="FeedStockProduction"/>
      <sheetName val="BakeryFormula-NonIE"/>
      <sheetName val="Capex"/>
      <sheetName val="FDProduction"/>
      <sheetName val="SGA"/>
    </sheetNames>
    <sheetDataSet>
      <sheetData sheetId="0">
        <row r="5">
          <cell r="C5">
            <v>6.25</v>
          </cell>
        </row>
        <row r="6">
          <cell r="C6">
            <v>2015</v>
          </cell>
        </row>
        <row r="9">
          <cell r="G9" t="str">
            <v>1- Yes; 0- No</v>
          </cell>
        </row>
        <row r="10">
          <cell r="H10">
            <v>1</v>
          </cell>
        </row>
        <row r="11">
          <cell r="H11">
            <v>1</v>
          </cell>
        </row>
        <row r="12">
          <cell r="H12">
            <v>1</v>
          </cell>
        </row>
        <row r="13">
          <cell r="H13">
            <v>1</v>
          </cell>
        </row>
        <row r="14">
          <cell r="H14">
            <v>1</v>
          </cell>
        </row>
      </sheetData>
      <sheetData sheetId="1"/>
      <sheetData sheetId="2">
        <row r="17">
          <cell r="I17">
            <v>2102.11375</v>
          </cell>
        </row>
      </sheetData>
      <sheetData sheetId="3">
        <row r="33">
          <cell r="C33" t="str">
            <v>RHPKO</v>
          </cell>
        </row>
        <row r="34">
          <cell r="C34" t="str">
            <v>RHPKOL</v>
          </cell>
        </row>
        <row r="35">
          <cell r="C35" t="str">
            <v>RHPKST</v>
          </cell>
        </row>
        <row r="36">
          <cell r="C36" t="str">
            <v>Shortening</v>
          </cell>
        </row>
        <row r="37">
          <cell r="C37" t="str">
            <v>RHPO</v>
          </cell>
        </row>
        <row r="38">
          <cell r="C38" t="str">
            <v>RPST</v>
          </cell>
        </row>
        <row r="39">
          <cell r="C39" t="str">
            <v xml:space="preserve">RHPST </v>
          </cell>
        </row>
        <row r="40">
          <cell r="C40" t="str">
            <v>RHCNO</v>
          </cell>
        </row>
        <row r="41">
          <cell r="C41" t="str">
            <v>RCNO</v>
          </cell>
        </row>
        <row r="45">
          <cell r="C45" t="str">
            <v>All-purpose Shortening</v>
          </cell>
        </row>
        <row r="46">
          <cell r="C46" t="str">
            <v>RHPO</v>
          </cell>
        </row>
        <row r="47">
          <cell r="C47" t="str">
            <v>RHSBO</v>
          </cell>
        </row>
      </sheetData>
      <sheetData sheetId="4">
        <row r="50">
          <cell r="I50">
            <v>3558.7368896495746</v>
          </cell>
        </row>
        <row r="77">
          <cell r="C77" t="str">
            <v>Liquid Shortening</v>
          </cell>
        </row>
      </sheetData>
      <sheetData sheetId="5">
        <row r="13">
          <cell r="B13" t="str">
            <v>G1SBO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s"/>
      <sheetName val="Summary"/>
      <sheetName val="Valuation"/>
      <sheetName val="FC"/>
      <sheetName val="McD"/>
      <sheetName val="SF"/>
      <sheetName val="Bakery"/>
      <sheetName val="MP"/>
      <sheetName val="FeedStock WC"/>
      <sheetName val="FeedStockProduction"/>
      <sheetName val="Capex"/>
      <sheetName val="CapexDetails"/>
      <sheetName val="FDProduction"/>
      <sheetName val="SGA"/>
      <sheetName val="Admin Cost"/>
      <sheetName val="IE-Ingredient"/>
      <sheetName val="Non-IEFormula"/>
      <sheetName val="IEFormula"/>
      <sheetName val="Data for Slides"/>
    </sheetNames>
    <sheetDataSet>
      <sheetData sheetId="0"/>
      <sheetData sheetId="1">
        <row r="22">
          <cell r="G22">
            <v>7601</v>
          </cell>
        </row>
        <row r="28">
          <cell r="G28">
            <v>5766</v>
          </cell>
        </row>
        <row r="30">
          <cell r="G30">
            <v>6592</v>
          </cell>
        </row>
      </sheetData>
      <sheetData sheetId="2"/>
      <sheetData sheetId="3"/>
      <sheetData sheetId="4"/>
      <sheetData sheetId="5"/>
      <sheetData sheetId="6">
        <row r="5">
          <cell r="J5">
            <v>2015</v>
          </cell>
          <cell r="K5">
            <v>2016</v>
          </cell>
          <cell r="L5">
            <v>2017</v>
          </cell>
          <cell r="M5">
            <v>2018</v>
          </cell>
          <cell r="N5">
            <v>2019</v>
          </cell>
          <cell r="O5">
            <v>2020</v>
          </cell>
          <cell r="P5">
            <v>2021</v>
          </cell>
          <cell r="Q5">
            <v>2022</v>
          </cell>
          <cell r="R5">
            <v>2023</v>
          </cell>
          <cell r="S5">
            <v>2024</v>
          </cell>
        </row>
        <row r="83">
          <cell r="C83" t="str">
            <v>White Shortening</v>
          </cell>
          <cell r="D83" t="str">
            <v>Ambient</v>
          </cell>
          <cell r="E83" t="str">
            <v>Low Transfat</v>
          </cell>
          <cell r="I83" t="str">
            <v>mt</v>
          </cell>
        </row>
        <row r="84">
          <cell r="C84" t="str">
            <v xml:space="preserve">White Shortening </v>
          </cell>
          <cell r="D84" t="str">
            <v>Low Temp</v>
          </cell>
          <cell r="E84" t="str">
            <v>Low Transfat</v>
          </cell>
          <cell r="I84" t="str">
            <v>mt</v>
          </cell>
        </row>
        <row r="85">
          <cell r="C85" t="str">
            <v>Yellow Shortening</v>
          </cell>
          <cell r="D85" t="str">
            <v>Ambient</v>
          </cell>
          <cell r="E85" t="str">
            <v>Low Transfat</v>
          </cell>
          <cell r="I85" t="str">
            <v>mt</v>
          </cell>
        </row>
        <row r="86">
          <cell r="C86" t="str">
            <v>Yellow Shortening</v>
          </cell>
          <cell r="D86" t="str">
            <v>Low Temp</v>
          </cell>
          <cell r="E86" t="str">
            <v>Low Transfat</v>
          </cell>
          <cell r="I86" t="str">
            <v>mt</v>
          </cell>
        </row>
        <row r="88">
          <cell r="C88" t="str">
            <v>Cake Margarine</v>
          </cell>
          <cell r="D88" t="str">
            <v>Ambient</v>
          </cell>
          <cell r="E88" t="str">
            <v>Low Transfat</v>
          </cell>
          <cell r="I88" t="str">
            <v>mt</v>
          </cell>
        </row>
        <row r="89">
          <cell r="C89" t="str">
            <v>Cake Margarine</v>
          </cell>
          <cell r="D89" t="str">
            <v>Low Temp</v>
          </cell>
          <cell r="E89" t="str">
            <v>Low Transfat</v>
          </cell>
          <cell r="I89" t="str">
            <v>mt</v>
          </cell>
        </row>
        <row r="92">
          <cell r="C92" t="str">
            <v>Sheet Margarine</v>
          </cell>
          <cell r="D92" t="str">
            <v>Ambient</v>
          </cell>
          <cell r="E92" t="str">
            <v>Low Transfat</v>
          </cell>
          <cell r="I92" t="str">
            <v>mt</v>
          </cell>
        </row>
        <row r="93">
          <cell r="C93" t="str">
            <v>Sheet Margarine</v>
          </cell>
          <cell r="D93" t="str">
            <v>Low Temp</v>
          </cell>
          <cell r="E93" t="str">
            <v>Low Transfat</v>
          </cell>
          <cell r="I93" t="str">
            <v>mt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">
          <cell r="H3">
            <v>5685.427135678392</v>
          </cell>
        </row>
        <row r="6">
          <cell r="N6">
            <v>6647.1938775510207</v>
          </cell>
        </row>
        <row r="7">
          <cell r="N7">
            <v>6360.3494513383239</v>
          </cell>
        </row>
        <row r="8">
          <cell r="N8">
            <v>6620.2179263665266</v>
          </cell>
        </row>
        <row r="9">
          <cell r="N9">
            <v>6085.4591836734689</v>
          </cell>
        </row>
      </sheetData>
      <sheetData sheetId="16"/>
      <sheetData sheetId="17"/>
      <sheetData sheetId="1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ValuationCombined"/>
      <sheetName val="Valuation1"/>
      <sheetName val="Valuation2"/>
      <sheetName val="FC2"/>
      <sheetName val="FC1"/>
      <sheetName val="VC2"/>
      <sheetName val="VC1"/>
      <sheetName val="FormulaOriginal"/>
      <sheetName val="MarginP2"/>
      <sheetName val="MarginP1"/>
      <sheetName val="Volume"/>
      <sheetName val="VolumeSeg"/>
      <sheetName val="Capex2"/>
      <sheetName val="Capex1"/>
      <sheetName val="Depreciation"/>
      <sheetName val="SGA"/>
      <sheetName val="Headcount"/>
      <sheetName val="Spread1"/>
      <sheetName val="Spread2"/>
    </sheetNames>
    <sheetDataSet>
      <sheetData sheetId="0">
        <row r="7">
          <cell r="H7">
            <v>6.15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D5" t="str">
            <v>room temperature</v>
          </cell>
        </row>
      </sheetData>
      <sheetData sheetId="9">
        <row r="22">
          <cell r="H22">
            <v>60.586087141122505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ValuationCombined"/>
      <sheetName val="Valuation1"/>
      <sheetName val="Valuation2"/>
      <sheetName val="FC2"/>
      <sheetName val="FC1"/>
      <sheetName val="VC2"/>
      <sheetName val="VC1"/>
      <sheetName val="FormulaOriginal"/>
      <sheetName val="MarginP2"/>
      <sheetName val="MarginP1"/>
      <sheetName val="Volume"/>
      <sheetName val="VolumeSeg"/>
      <sheetName val="Capex2"/>
      <sheetName val="Capex1"/>
      <sheetName val="Depreciation"/>
      <sheetName val="SGA"/>
      <sheetName val="Headcount"/>
      <sheetName val="Spread1"/>
      <sheetName val="Spread2"/>
    </sheetNames>
    <sheetDataSet>
      <sheetData sheetId="0">
        <row r="27">
          <cell r="J27">
            <v>6809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D5" t="str">
            <v>room temperature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 Plan Draft"/>
      <sheetName val="Easy read"/>
      <sheetName val="Step 2 Volume Summary"/>
      <sheetName val="Cargill Volume"/>
      <sheetName val="China Volume"/>
      <sheetName val="T1   Industrial_Margarine"/>
      <sheetName val="T2   Retail_Margarine"/>
      <sheetName val="manufaturer target mkt"/>
      <sheetName val="Bakery shop"/>
      <sheetName val="Bakery shop target mkt"/>
      <sheetName val="Block Margarine"/>
      <sheetName val="ABCDEF breakdown"/>
      <sheetName val="Total China Market Size 2011"/>
      <sheetName val="Old data China total market"/>
      <sheetName val="Retail Oil Portfolio %"/>
      <sheetName val="Cargill Formula Scoring"/>
      <sheetName val="Competitor"/>
      <sheetName val="Selling Price Sensitivity Test"/>
      <sheetName val="Apple Impact on Step 2"/>
      <sheetName val="Sheet Margarine Analysis"/>
      <sheetName val="Sanity Check"/>
      <sheetName val="Apple VS YRB IE"/>
      <sheetName val="YRB Volume"/>
      <sheetName val="Apple Volume"/>
      <sheetName val="Step 2 Volume (Without IE)"/>
      <sheetName val="IE Volume Analysis"/>
      <sheetName val="Apple Impact on Step 0 and 1"/>
      <sheetName val="Manufacture 工厂"/>
      <sheetName val="Manufacture Margarine工厂分布 "/>
      <sheetName val="Retail门店数量区域分布"/>
      <sheetName val="Retail-Cargill % Of Other BCDF"/>
      <sheetName val="Tian Nai You impac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3">
          <cell r="F13">
            <v>48.57516039964289</v>
          </cell>
          <cell r="G13">
            <v>73.231935841829255</v>
          </cell>
          <cell r="H13">
            <v>146.46387168365851</v>
          </cell>
          <cell r="I13">
            <v>263.63496903058535</v>
          </cell>
          <cell r="J13">
            <v>303.18021438517314</v>
          </cell>
          <cell r="K13">
            <v>348.65724654294911</v>
          </cell>
          <cell r="L13">
            <v>400.95583352439144</v>
          </cell>
          <cell r="M13">
            <v>461.09920855305012</v>
          </cell>
          <cell r="N13">
            <v>484.15416898070271</v>
          </cell>
          <cell r="O13">
            <v>508.36187742973783</v>
          </cell>
          <cell r="P13">
            <v>533.77997130122469</v>
          </cell>
        </row>
        <row r="14">
          <cell r="F14">
            <v>88.49472477879597</v>
          </cell>
          <cell r="G14">
            <v>140.94822291124169</v>
          </cell>
          <cell r="H14">
            <v>281.89644582248337</v>
          </cell>
          <cell r="I14">
            <v>507.41360248047005</v>
          </cell>
          <cell r="J14">
            <v>659.63768322461112</v>
          </cell>
          <cell r="K14">
            <v>857.52898819199436</v>
          </cell>
          <cell r="L14">
            <v>1114.7876846495926</v>
          </cell>
          <cell r="M14">
            <v>1449.2239900444704</v>
          </cell>
          <cell r="N14">
            <v>1666.6075885511405</v>
          </cell>
          <cell r="O14">
            <v>1916.5987268338113</v>
          </cell>
          <cell r="P14">
            <v>2204.088535858883</v>
          </cell>
        </row>
        <row r="15">
          <cell r="F15">
            <v>27.422720546832043</v>
          </cell>
          <cell r="G15">
            <v>30.090872088618209</v>
          </cell>
          <cell r="H15">
            <v>60.181744177236418</v>
          </cell>
          <cell r="I15">
            <v>108.32713951902559</v>
          </cell>
          <cell r="J15">
            <v>140.82528137473329</v>
          </cell>
          <cell r="K15">
            <v>183.07286578715329</v>
          </cell>
          <cell r="L15">
            <v>237.99472552329928</v>
          </cell>
          <cell r="M15">
            <v>309.39314318028903</v>
          </cell>
          <cell r="N15">
            <v>355.80211465733248</v>
          </cell>
          <cell r="O15">
            <v>409.17243185593225</v>
          </cell>
          <cell r="P15">
            <v>470.54829663432201</v>
          </cell>
        </row>
        <row r="72">
          <cell r="F72">
            <v>98.286568205944747</v>
          </cell>
          <cell r="G72">
            <v>176.14387625263927</v>
          </cell>
          <cell r="H72">
            <v>236.48337698328788</v>
          </cell>
          <cell r="I72">
            <v>493.16541573990014</v>
          </cell>
          <cell r="J72">
            <v>690.43158203586006</v>
          </cell>
          <cell r="K72">
            <v>932.08263574841123</v>
          </cell>
          <cell r="L72">
            <v>1258.3115582603552</v>
          </cell>
          <cell r="M72">
            <v>1572.889447825444</v>
          </cell>
          <cell r="N72">
            <v>1887.467337390533</v>
          </cell>
          <cell r="O72">
            <v>2170.5874379991128</v>
          </cell>
          <cell r="P72">
            <v>2344.2344330390415</v>
          </cell>
        </row>
        <row r="73">
          <cell r="F73">
            <v>120</v>
          </cell>
          <cell r="G73">
            <v>216</v>
          </cell>
          <cell r="H73">
            <v>388.8</v>
          </cell>
          <cell r="I73">
            <v>699.84</v>
          </cell>
          <cell r="J73">
            <v>839.80799999999999</v>
          </cell>
          <cell r="K73">
            <v>1007.7696</v>
          </cell>
          <cell r="L73">
            <v>1209.3235199999999</v>
          </cell>
          <cell r="M73">
            <v>1451.1882239999998</v>
          </cell>
          <cell r="N73">
            <v>1596.3070463999998</v>
          </cell>
          <cell r="O73">
            <v>1755.93775104</v>
          </cell>
          <cell r="P73">
            <v>1931.5315261440001</v>
          </cell>
        </row>
        <row r="76">
          <cell r="F76">
            <v>39.797831240900649</v>
          </cell>
          <cell r="G76">
            <v>70.425108183285033</v>
          </cell>
          <cell r="H76">
            <v>102.60728104241232</v>
          </cell>
          <cell r="I76">
            <v>217.35432712471646</v>
          </cell>
          <cell r="J76">
            <v>304.29605797460295</v>
          </cell>
          <cell r="K76">
            <v>410.79967826571402</v>
          </cell>
          <cell r="L76">
            <v>554.57956565871393</v>
          </cell>
          <cell r="M76">
            <v>693.22445707339239</v>
          </cell>
          <cell r="N76">
            <v>831.86934848807095</v>
          </cell>
          <cell r="O76">
            <v>956.64975076128155</v>
          </cell>
          <cell r="P76">
            <v>1061.0585723687263</v>
          </cell>
        </row>
        <row r="78">
          <cell r="F78">
            <v>74.04519470269301</v>
          </cell>
          <cell r="G78">
            <v>129.16732739539111</v>
          </cell>
          <cell r="H78">
            <v>202.65576970277158</v>
          </cell>
          <cell r="I78">
            <v>290.03672812558034</v>
          </cell>
          <cell r="J78">
            <v>391.5495829695335</v>
          </cell>
          <cell r="K78">
            <v>528.59193700887022</v>
          </cell>
          <cell r="L78">
            <v>660.73992126108783</v>
          </cell>
          <cell r="M78">
            <v>792.88790551330533</v>
          </cell>
          <cell r="N78">
            <v>911.82109134030111</v>
          </cell>
          <cell r="O78">
            <v>984.76677864752514</v>
          </cell>
          <cell r="P78">
            <v>997.205209436264</v>
          </cell>
        </row>
        <row r="81">
          <cell r="F81">
            <v>55.533896027019765</v>
          </cell>
          <cell r="G81">
            <v>96.875495546543334</v>
          </cell>
          <cell r="H81">
            <v>151.9918272770787</v>
          </cell>
          <cell r="I81">
            <v>385.42093208843926</v>
          </cell>
          <cell r="J81">
            <v>550.4656822285242</v>
          </cell>
          <cell r="K81">
            <v>743.12867100850735</v>
          </cell>
          <cell r="L81">
            <v>1042.8681011371507</v>
          </cell>
          <cell r="M81">
            <v>1328.362873468729</v>
          </cell>
          <cell r="N81">
            <v>1623.7687446192238</v>
          </cell>
          <cell r="O81">
            <v>1915.2046636074731</v>
          </cell>
          <cell r="P81">
            <v>2146.9657980446955</v>
          </cell>
        </row>
        <row r="82"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4"/>
  <sheetViews>
    <sheetView showGridLines="0" tabSelected="1" zoomScaleNormal="100" workbookViewId="0">
      <pane xSplit="2" topLeftCell="C1" activePane="topRight" state="frozen"/>
      <selection activeCell="B1" sqref="B1"/>
      <selection pane="topRight" activeCell="Q8" sqref="Q8"/>
    </sheetView>
  </sheetViews>
  <sheetFormatPr baseColWidth="10" defaultColWidth="8.83203125" defaultRowHeight="15"/>
  <cols>
    <col min="1" max="1" width="4" style="190" hidden="1" customWidth="1"/>
    <col min="2" max="2" width="32.5" style="190" customWidth="1"/>
    <col min="3" max="3" width="17.1640625" style="454" customWidth="1"/>
    <col min="4" max="4" width="14.5" style="190" customWidth="1"/>
    <col min="5" max="5" width="23.5" style="190" customWidth="1"/>
    <col min="6" max="6" width="16.1640625" style="190" bestFit="1" customWidth="1"/>
    <col min="7" max="8" width="10.5" style="190" bestFit="1" customWidth="1"/>
    <col min="9" max="9" width="7.5" style="190" customWidth="1"/>
    <col min="10" max="15" width="10.5" style="190" bestFit="1" customWidth="1"/>
    <col min="16" max="16384" width="8.83203125" style="190"/>
  </cols>
  <sheetData>
    <row r="1" spans="1:15">
      <c r="A1" s="188"/>
      <c r="B1" s="188"/>
      <c r="C1" s="452"/>
      <c r="D1" s="188"/>
      <c r="E1" s="189"/>
    </row>
    <row r="2" spans="1:15">
      <c r="A2" s="191"/>
      <c r="B2" s="191"/>
      <c r="C2" s="453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</row>
    <row r="3" spans="1:15">
      <c r="A3" s="191"/>
      <c r="B3" s="188"/>
      <c r="C3" s="452"/>
      <c r="D3" s="188"/>
      <c r="E3" s="188"/>
      <c r="F3" s="190">
        <f>+'Graph Base Data'!F4</f>
        <v>2015</v>
      </c>
      <c r="G3" s="190">
        <f>+'Graph Base Data'!G4</f>
        <v>2016</v>
      </c>
      <c r="H3" s="190">
        <f>+'Graph Base Data'!H4</f>
        <v>2017</v>
      </c>
      <c r="I3" s="190">
        <f>+'Graph Base Data'!I4</f>
        <v>2018</v>
      </c>
      <c r="J3" s="190">
        <f>+'Graph Base Data'!J4</f>
        <v>2019</v>
      </c>
      <c r="K3" s="190">
        <f>+'Graph Base Data'!K4</f>
        <v>2020</v>
      </c>
      <c r="L3" s="190">
        <f>+'Graph Base Data'!L4</f>
        <v>2021</v>
      </c>
      <c r="M3" s="190">
        <f>+'Graph Base Data'!M4</f>
        <v>2022</v>
      </c>
      <c r="N3" s="190">
        <f>+'Graph Base Data'!N4</f>
        <v>2023</v>
      </c>
      <c r="O3" s="190">
        <f>+'Graph Base Data'!O4</f>
        <v>2024</v>
      </c>
    </row>
    <row r="4" spans="1:15" ht="21">
      <c r="A4" s="191"/>
      <c r="B4" s="192" t="s">
        <v>13</v>
      </c>
    </row>
    <row r="5" spans="1:15" s="195" customFormat="1">
      <c r="A5" s="193"/>
      <c r="B5" s="194" t="str">
        <f>+'Graph Base Data'!B9</f>
        <v>STORE OIL BLEND</v>
      </c>
      <c r="C5" s="455" t="s">
        <v>239</v>
      </c>
      <c r="E5" s="195" t="s">
        <v>240</v>
      </c>
      <c r="F5" s="194">
        <f>+'Graph Base Data'!F9</f>
        <v>2086.7733333333335</v>
      </c>
      <c r="G5" s="194">
        <f>+'Graph Base Data'!G9</f>
        <v>2921.4826666666677</v>
      </c>
      <c r="H5" s="194">
        <f>+'Graph Base Data'!H9</f>
        <v>3672.7210666666692</v>
      </c>
      <c r="I5" s="194">
        <f>+'Graph Base Data'!I9</f>
        <v>5302.4910400000008</v>
      </c>
      <c r="J5" s="194">
        <f>+'Graph Base Data'!J9</f>
        <v>7221.4877973333369</v>
      </c>
      <c r="K5" s="194">
        <f>+'Graph Base Data'!K9</f>
        <v>7582.5621872000029</v>
      </c>
      <c r="L5" s="194">
        <f>+'Graph Base Data'!L9</f>
        <v>7961.6902965600038</v>
      </c>
      <c r="M5" s="194">
        <f>+'Graph Base Data'!M9</f>
        <v>8359.7748113880043</v>
      </c>
      <c r="N5" s="194">
        <f>+'Graph Base Data'!N9</f>
        <v>8777.7635519574069</v>
      </c>
      <c r="O5" s="194">
        <f>+'Graph Base Data'!O9</f>
        <v>9216.6517295552767</v>
      </c>
    </row>
    <row r="6" spans="1:15" s="196" customFormat="1">
      <c r="A6" s="191"/>
      <c r="B6" s="196" t="s">
        <v>18</v>
      </c>
      <c r="C6" s="474">
        <v>150</v>
      </c>
      <c r="D6" s="196" t="s">
        <v>35</v>
      </c>
      <c r="E6" s="190" t="s">
        <v>15</v>
      </c>
      <c r="F6" s="197">
        <f>(+F5*60%+F5*20%)/$C$6</f>
        <v>11.12945777777778</v>
      </c>
      <c r="G6" s="197">
        <f t="shared" ref="G6:O6" si="0">(+G5*60%+G5*20%)/$C$6</f>
        <v>15.581240888888894</v>
      </c>
      <c r="H6" s="197">
        <f t="shared" si="0"/>
        <v>19.587845688888905</v>
      </c>
      <c r="I6" s="197">
        <f t="shared" si="0"/>
        <v>28.279952213333338</v>
      </c>
      <c r="J6" s="197">
        <f t="shared" si="0"/>
        <v>38.514601585777797</v>
      </c>
      <c r="K6" s="197">
        <f t="shared" si="0"/>
        <v>40.440331665066687</v>
      </c>
      <c r="L6" s="197">
        <f t="shared" si="0"/>
        <v>42.462348248320019</v>
      </c>
      <c r="M6" s="197">
        <f t="shared" si="0"/>
        <v>44.585465660736027</v>
      </c>
      <c r="N6" s="197">
        <f t="shared" si="0"/>
        <v>46.814738943772838</v>
      </c>
      <c r="O6" s="197">
        <f t="shared" si="0"/>
        <v>49.155475890961476</v>
      </c>
    </row>
    <row r="7" spans="1:15" s="196" customFormat="1">
      <c r="A7" s="191"/>
      <c r="B7" s="196" t="s">
        <v>19</v>
      </c>
      <c r="C7" s="474">
        <v>150</v>
      </c>
      <c r="D7" s="196" t="s">
        <v>35</v>
      </c>
      <c r="E7" s="190" t="s">
        <v>15</v>
      </c>
      <c r="F7" s="197">
        <f>+F5*20%/$C$7</f>
        <v>2.7823644444444451</v>
      </c>
      <c r="G7" s="197">
        <f t="shared" ref="G7:O7" si="1">+G5*20%/$C$7</f>
        <v>3.8953102222222236</v>
      </c>
      <c r="H7" s="197">
        <f t="shared" si="1"/>
        <v>4.8969614222222262</v>
      </c>
      <c r="I7" s="197">
        <f t="shared" si="1"/>
        <v>7.0699880533333346</v>
      </c>
      <c r="J7" s="197">
        <f t="shared" si="1"/>
        <v>9.6286503964444492</v>
      </c>
      <c r="K7" s="197">
        <f t="shared" si="1"/>
        <v>10.110082916266672</v>
      </c>
      <c r="L7" s="197">
        <f t="shared" si="1"/>
        <v>10.615587062080007</v>
      </c>
      <c r="M7" s="197">
        <f t="shared" si="1"/>
        <v>11.146366415184007</v>
      </c>
      <c r="N7" s="197">
        <f t="shared" si="1"/>
        <v>11.703684735943209</v>
      </c>
      <c r="O7" s="197">
        <f t="shared" si="1"/>
        <v>12.288868972740369</v>
      </c>
    </row>
    <row r="8" spans="1:15" s="196" customFormat="1">
      <c r="A8" s="191"/>
      <c r="B8" s="196" t="s">
        <v>48</v>
      </c>
      <c r="C8" s="474">
        <v>400</v>
      </c>
      <c r="D8" s="196" t="s">
        <v>35</v>
      </c>
      <c r="E8" s="190" t="s">
        <v>15</v>
      </c>
      <c r="F8" s="197">
        <f>(+F5*60%+F5*20%+F5*3.5%)/$C$8</f>
        <v>4.356139333333334</v>
      </c>
      <c r="G8" s="197">
        <f t="shared" ref="G8:O8" si="2">(+G5*60%+G5*20%+G5*3.5%)/$C$8</f>
        <v>6.0985950666666691</v>
      </c>
      <c r="H8" s="197">
        <f t="shared" si="2"/>
        <v>7.6668052266666722</v>
      </c>
      <c r="I8" s="197">
        <f t="shared" si="2"/>
        <v>11.068950046000003</v>
      </c>
      <c r="J8" s="197">
        <f t="shared" si="2"/>
        <v>15.07485577693334</v>
      </c>
      <c r="K8" s="197">
        <f t="shared" si="2"/>
        <v>15.828598565780007</v>
      </c>
      <c r="L8" s="197">
        <f t="shared" si="2"/>
        <v>16.620028494069008</v>
      </c>
      <c r="M8" s="197">
        <f t="shared" si="2"/>
        <v>17.451029918772459</v>
      </c>
      <c r="N8" s="197">
        <f t="shared" si="2"/>
        <v>18.323581414711089</v>
      </c>
      <c r="O8" s="197">
        <f t="shared" si="2"/>
        <v>19.239760485446642</v>
      </c>
    </row>
    <row r="9" spans="1:15" s="196" customFormat="1">
      <c r="A9" s="191"/>
      <c r="B9" s="196" t="s">
        <v>17</v>
      </c>
      <c r="C9" s="475">
        <v>50</v>
      </c>
      <c r="D9" s="196" t="s">
        <v>35</v>
      </c>
      <c r="E9" s="190" t="s">
        <v>15</v>
      </c>
      <c r="F9" s="197">
        <f>+F5*3.5%/$C$9</f>
        <v>1.4607413333333334</v>
      </c>
      <c r="G9" s="197">
        <f t="shared" ref="G9:O9" si="3">+G5*3.5%/$C$9</f>
        <v>2.0450378666666675</v>
      </c>
      <c r="H9" s="197">
        <f t="shared" si="3"/>
        <v>2.5709047466666686</v>
      </c>
      <c r="I9" s="197">
        <f t="shared" si="3"/>
        <v>3.7117437280000005</v>
      </c>
      <c r="J9" s="197">
        <f t="shared" si="3"/>
        <v>5.0550414581333367</v>
      </c>
      <c r="K9" s="197">
        <f t="shared" si="3"/>
        <v>5.3077935310400024</v>
      </c>
      <c r="L9" s="197">
        <f t="shared" si="3"/>
        <v>5.5731832075920034</v>
      </c>
      <c r="M9" s="197">
        <f t="shared" si="3"/>
        <v>5.851842367971603</v>
      </c>
      <c r="N9" s="197">
        <f t="shared" si="3"/>
        <v>6.1444344863701845</v>
      </c>
      <c r="O9" s="197">
        <f t="shared" si="3"/>
        <v>6.4516562106886939</v>
      </c>
    </row>
    <row r="10" spans="1:15">
      <c r="A10" s="191"/>
      <c r="B10" s="403" t="s">
        <v>334</v>
      </c>
      <c r="C10" s="476">
        <v>8.6</v>
      </c>
      <c r="D10" s="403" t="s">
        <v>39</v>
      </c>
      <c r="E10" s="190" t="s">
        <v>15</v>
      </c>
      <c r="F10" s="404">
        <f>+F5/$C$10/24/80%</f>
        <v>12.637919896640827</v>
      </c>
      <c r="G10" s="404">
        <f t="shared" ref="G10:O10" si="4">+G5/$C$10/24/80%</f>
        <v>17.693087855297165</v>
      </c>
      <c r="H10" s="404">
        <f t="shared" si="4"/>
        <v>22.242739018087871</v>
      </c>
      <c r="I10" s="404">
        <f t="shared" si="4"/>
        <v>32.112954457364346</v>
      </c>
      <c r="J10" s="404">
        <f t="shared" si="4"/>
        <v>43.734785594315262</v>
      </c>
      <c r="K10" s="404">
        <f t="shared" si="4"/>
        <v>45.921524874031022</v>
      </c>
      <c r="L10" s="404">
        <f t="shared" si="4"/>
        <v>48.217601117732585</v>
      </c>
      <c r="M10" s="404">
        <f t="shared" si="4"/>
        <v>50.628481173619207</v>
      </c>
      <c r="N10" s="404">
        <f t="shared" si="4"/>
        <v>53.159905232300183</v>
      </c>
      <c r="O10" s="404">
        <f t="shared" si="4"/>
        <v>55.817900493915189</v>
      </c>
    </row>
    <row r="11" spans="1:15">
      <c r="A11" s="191"/>
      <c r="B11" s="403" t="s">
        <v>20</v>
      </c>
      <c r="C11" s="476">
        <v>8.6</v>
      </c>
      <c r="D11" s="403" t="s">
        <v>39</v>
      </c>
      <c r="E11" s="190" t="s">
        <v>15</v>
      </c>
      <c r="F11" s="405">
        <f>+F10</f>
        <v>12.637919896640827</v>
      </c>
      <c r="G11" s="405">
        <f t="shared" ref="G11:O11" si="5">+G10</f>
        <v>17.693087855297165</v>
      </c>
      <c r="H11" s="405">
        <f t="shared" si="5"/>
        <v>22.242739018087871</v>
      </c>
      <c r="I11" s="405">
        <f t="shared" si="5"/>
        <v>32.112954457364346</v>
      </c>
      <c r="J11" s="405">
        <f t="shared" si="5"/>
        <v>43.734785594315262</v>
      </c>
      <c r="K11" s="405">
        <f t="shared" si="5"/>
        <v>45.921524874031022</v>
      </c>
      <c r="L11" s="405">
        <f t="shared" si="5"/>
        <v>48.217601117732585</v>
      </c>
      <c r="M11" s="405">
        <f t="shared" si="5"/>
        <v>50.628481173619207</v>
      </c>
      <c r="N11" s="405">
        <f t="shared" si="5"/>
        <v>53.159905232300183</v>
      </c>
      <c r="O11" s="405">
        <f t="shared" si="5"/>
        <v>55.817900493915189</v>
      </c>
    </row>
    <row r="12" spans="1:15" s="195" customFormat="1">
      <c r="A12" s="193"/>
      <c r="B12" s="194" t="str">
        <f>+'Graph Base Data'!B10</f>
        <v>CHICKEN PAR-FRY</v>
      </c>
      <c r="C12" s="473"/>
      <c r="D12" s="195" t="s">
        <v>1</v>
      </c>
      <c r="E12" s="195" t="s">
        <v>2</v>
      </c>
      <c r="F12" s="194">
        <f>+'Graph Base Data'!F10</f>
        <v>1109.0000000000002</v>
      </c>
      <c r="G12" s="194">
        <f>+'Graph Base Data'!G10</f>
        <v>1219.9000000000001</v>
      </c>
      <c r="H12" s="194">
        <f>+'Graph Base Data'!H10</f>
        <v>1341.8899999999996</v>
      </c>
      <c r="I12" s="194">
        <f>+'Graph Base Data'!I10</f>
        <v>1476.0790000000002</v>
      </c>
      <c r="J12" s="194">
        <f>+'Graph Base Data'!J10</f>
        <v>1623.6868999999999</v>
      </c>
      <c r="K12" s="194">
        <f>+'Graph Base Data'!K10</f>
        <v>1704.8712450000007</v>
      </c>
      <c r="L12" s="194">
        <f>+'Graph Base Data'!L10</f>
        <v>1790.1148072500007</v>
      </c>
      <c r="M12" s="194">
        <f>+'Graph Base Data'!M10</f>
        <v>1879.6205476125008</v>
      </c>
      <c r="N12" s="194">
        <f>+'Graph Base Data'!N10</f>
        <v>1973.6015749931255</v>
      </c>
      <c r="O12" s="194">
        <f>+'Graph Base Data'!O10</f>
        <v>2072.281653742783</v>
      </c>
    </row>
    <row r="13" spans="1:15">
      <c r="A13" s="191"/>
      <c r="B13" s="196" t="s">
        <v>18</v>
      </c>
      <c r="C13" s="474">
        <v>150</v>
      </c>
      <c r="D13" s="196" t="s">
        <v>35</v>
      </c>
      <c r="E13" s="190" t="s">
        <v>15</v>
      </c>
      <c r="F13" s="197">
        <f>+F12/$C$13</f>
        <v>7.3933333333333344</v>
      </c>
      <c r="G13" s="197">
        <f t="shared" ref="G13:O13" si="6">+G12/$C$13</f>
        <v>8.1326666666666672</v>
      </c>
      <c r="H13" s="197">
        <f t="shared" si="6"/>
        <v>8.9459333333333309</v>
      </c>
      <c r="I13" s="197">
        <f t="shared" si="6"/>
        <v>9.8405266666666673</v>
      </c>
      <c r="J13" s="197">
        <f t="shared" si="6"/>
        <v>10.824579333333332</v>
      </c>
      <c r="K13" s="197">
        <f t="shared" si="6"/>
        <v>11.365808300000005</v>
      </c>
      <c r="L13" s="197">
        <f t="shared" si="6"/>
        <v>11.934098715000005</v>
      </c>
      <c r="M13" s="197">
        <f t="shared" si="6"/>
        <v>12.530803650750006</v>
      </c>
      <c r="N13" s="197">
        <f t="shared" si="6"/>
        <v>13.157343833287504</v>
      </c>
      <c r="O13" s="197">
        <f t="shared" si="6"/>
        <v>13.815211024951886</v>
      </c>
    </row>
    <row r="14" spans="1:15">
      <c r="A14" s="191"/>
      <c r="B14" s="196" t="s">
        <v>19</v>
      </c>
      <c r="C14" s="474">
        <v>150</v>
      </c>
      <c r="D14" s="196" t="s">
        <v>35</v>
      </c>
      <c r="E14" s="190" t="s">
        <v>15</v>
      </c>
      <c r="F14" s="197">
        <f>+F12*45%/$C$14</f>
        <v>3.3270000000000008</v>
      </c>
      <c r="G14" s="197">
        <f t="shared" ref="G14:O14" si="7">+G12*45%/$C$14</f>
        <v>3.6597000000000004</v>
      </c>
      <c r="H14" s="197">
        <f t="shared" si="7"/>
        <v>4.025669999999999</v>
      </c>
      <c r="I14" s="197">
        <f t="shared" si="7"/>
        <v>4.4282370000000011</v>
      </c>
      <c r="J14" s="197">
        <f t="shared" si="7"/>
        <v>4.8710607000000001</v>
      </c>
      <c r="K14" s="197">
        <f t="shared" si="7"/>
        <v>5.1146137350000025</v>
      </c>
      <c r="L14" s="197">
        <f t="shared" si="7"/>
        <v>5.3703444217500023</v>
      </c>
      <c r="M14" s="197">
        <f t="shared" si="7"/>
        <v>5.6388616428375027</v>
      </c>
      <c r="N14" s="197">
        <f t="shared" si="7"/>
        <v>5.9208047249793765</v>
      </c>
      <c r="O14" s="197">
        <f t="shared" si="7"/>
        <v>6.2168449612283494</v>
      </c>
    </row>
    <row r="15" spans="1:15">
      <c r="A15" s="191"/>
      <c r="B15" s="196" t="s">
        <v>48</v>
      </c>
      <c r="C15" s="474">
        <v>400</v>
      </c>
      <c r="D15" s="196" t="s">
        <v>35</v>
      </c>
      <c r="E15" s="190" t="s">
        <v>15</v>
      </c>
      <c r="F15" s="197">
        <f>+F12/$C$15</f>
        <v>2.7725000000000004</v>
      </c>
      <c r="G15" s="197">
        <f t="shared" ref="G15:O15" si="8">+G12/$C$15</f>
        <v>3.0497500000000004</v>
      </c>
      <c r="H15" s="197">
        <f t="shared" si="8"/>
        <v>3.3547249999999993</v>
      </c>
      <c r="I15" s="197">
        <f t="shared" si="8"/>
        <v>3.6901975000000005</v>
      </c>
      <c r="J15" s="197">
        <f t="shared" si="8"/>
        <v>4.0592172499999997</v>
      </c>
      <c r="K15" s="197">
        <f t="shared" si="8"/>
        <v>4.2621781125000018</v>
      </c>
      <c r="L15" s="197">
        <f t="shared" si="8"/>
        <v>4.4752870181250017</v>
      </c>
      <c r="M15" s="197">
        <f t="shared" si="8"/>
        <v>4.6990513690312516</v>
      </c>
      <c r="N15" s="197">
        <f t="shared" si="8"/>
        <v>4.9340039374828137</v>
      </c>
      <c r="O15" s="197">
        <f t="shared" si="8"/>
        <v>5.1807041343569571</v>
      </c>
    </row>
    <row r="16" spans="1:15">
      <c r="A16" s="191"/>
      <c r="B16" s="196" t="s">
        <v>36</v>
      </c>
      <c r="C16" s="474">
        <v>30</v>
      </c>
      <c r="D16" s="190" t="s">
        <v>38</v>
      </c>
      <c r="E16" s="190" t="s">
        <v>25</v>
      </c>
      <c r="F16" s="197">
        <f>+F12/$C$16/52</f>
        <v>0.71089743589743604</v>
      </c>
      <c r="G16" s="197">
        <f t="shared" ref="G16:O16" si="9">+G12/$C$16/52</f>
        <v>0.78198717948717955</v>
      </c>
      <c r="H16" s="197">
        <f t="shared" si="9"/>
        <v>0.86018589743589713</v>
      </c>
      <c r="I16" s="197">
        <f t="shared" si="9"/>
        <v>0.94620448717948724</v>
      </c>
      <c r="J16" s="197">
        <f t="shared" si="9"/>
        <v>1.0408249358974357</v>
      </c>
      <c r="K16" s="197">
        <f t="shared" si="9"/>
        <v>1.0928661826923081</v>
      </c>
      <c r="L16" s="197">
        <f t="shared" si="9"/>
        <v>1.1475094918269235</v>
      </c>
      <c r="M16" s="197">
        <f t="shared" si="9"/>
        <v>1.2048849664182697</v>
      </c>
      <c r="N16" s="197">
        <f t="shared" si="9"/>
        <v>1.2651292147391831</v>
      </c>
      <c r="O16" s="197">
        <f t="shared" si="9"/>
        <v>1.3283856754761429</v>
      </c>
    </row>
    <row r="17" spans="1:15">
      <c r="A17" s="191"/>
      <c r="B17" s="196"/>
      <c r="C17" s="474"/>
      <c r="F17" s="199"/>
      <c r="G17" s="199"/>
      <c r="H17" s="199"/>
      <c r="I17" s="199"/>
      <c r="J17" s="199"/>
      <c r="K17" s="199"/>
      <c r="L17" s="199"/>
      <c r="M17" s="199"/>
      <c r="N17" s="199"/>
      <c r="O17" s="199"/>
    </row>
    <row r="18" spans="1:15" ht="21">
      <c r="A18" s="191"/>
      <c r="B18" s="192" t="s">
        <v>27</v>
      </c>
      <c r="C18" s="472"/>
      <c r="F18" s="199"/>
      <c r="G18" s="199"/>
      <c r="H18" s="199"/>
      <c r="I18" s="199"/>
      <c r="J18" s="199"/>
      <c r="K18" s="199"/>
      <c r="L18" s="199"/>
      <c r="M18" s="199"/>
      <c r="N18" s="199"/>
      <c r="O18" s="199"/>
    </row>
    <row r="19" spans="1:15" s="195" customFormat="1">
      <c r="A19" s="193"/>
      <c r="B19" s="194" t="s">
        <v>355</v>
      </c>
      <c r="C19" s="455" t="s">
        <v>239</v>
      </c>
      <c r="E19" s="195" t="s">
        <v>240</v>
      </c>
      <c r="F19" s="194">
        <f>'MP business case Volume'!D17+'MP business case Volume'!D20</f>
        <v>6205.4999999999991</v>
      </c>
      <c r="G19" s="194">
        <f>'MP business case Volume'!E17+'MP business case Volume'!E20</f>
        <v>7091.9999999999991</v>
      </c>
      <c r="H19" s="194">
        <f>'MP business case Volume'!F17+'MP business case Volume'!F20</f>
        <v>8333.1</v>
      </c>
      <c r="I19" s="194">
        <f>'MP business case Volume'!G17+'MP business case Volume'!G20</f>
        <v>9928.7999999999993</v>
      </c>
      <c r="J19" s="194">
        <f>'MP business case Volume'!H17+'MP business case Volume'!H20</f>
        <v>11879.1</v>
      </c>
      <c r="K19" s="194">
        <f>'MP business case Volume'!I17+'MP business case Volume'!I20</f>
        <v>14361.3</v>
      </c>
      <c r="L19" s="194">
        <f>'MP business case Volume'!J17+'MP business case Volume'!J20</f>
        <v>17020.8</v>
      </c>
      <c r="M19" s="194">
        <f>'MP business case Volume'!K17+'MP business case Volume'!K20</f>
        <v>20034.899999999998</v>
      </c>
      <c r="N19" s="194">
        <f>'MP business case Volume'!L17+'MP business case Volume'!L20</f>
        <v>23403.599999999999</v>
      </c>
      <c r="O19" s="194">
        <f>'MP business case Volume'!M17+'MP business case Volume'!M20</f>
        <v>26594.999999999996</v>
      </c>
    </row>
    <row r="20" spans="1:15" s="195" customFormat="1">
      <c r="A20" s="193"/>
      <c r="B20" s="194" t="s">
        <v>356</v>
      </c>
      <c r="C20" s="455"/>
      <c r="E20" s="195" t="s">
        <v>240</v>
      </c>
      <c r="F20" s="194">
        <f>'MP business case Volume'!D18+'MP business case Volume'!D19</f>
        <v>18294.5</v>
      </c>
      <c r="G20" s="194">
        <f>'MP business case Volume'!E18+'MP business case Volume'!E19</f>
        <v>20908</v>
      </c>
      <c r="H20" s="194">
        <f>'MP business case Volume'!F18+'MP business case Volume'!F19</f>
        <v>24566.899999999998</v>
      </c>
      <c r="I20" s="194">
        <f>'MP business case Volume'!G18+'MP business case Volume'!G19</f>
        <v>29271.199999999997</v>
      </c>
      <c r="J20" s="194">
        <f>'MP business case Volume'!H18+'MP business case Volume'!H19</f>
        <v>35020.9</v>
      </c>
      <c r="K20" s="194">
        <f>'MP business case Volume'!I18+'MP business case Volume'!I19</f>
        <v>42338.7</v>
      </c>
      <c r="L20" s="194">
        <f>'MP business case Volume'!J18+'MP business case Volume'!J19</f>
        <v>50179.199999999997</v>
      </c>
      <c r="M20" s="194">
        <f>'MP business case Volume'!K18+'MP business case Volume'!K19</f>
        <v>59065.1</v>
      </c>
      <c r="N20" s="194">
        <f>'MP business case Volume'!L18+'MP business case Volume'!L19</f>
        <v>68996.399999999994</v>
      </c>
      <c r="O20" s="194">
        <f>'MP business case Volume'!M18+'MP business case Volume'!M19</f>
        <v>78405</v>
      </c>
    </row>
    <row r="21" spans="1:15" s="202" customFormat="1">
      <c r="A21" s="201"/>
      <c r="B21" s="402" t="s">
        <v>353</v>
      </c>
      <c r="C21" s="477">
        <v>10</v>
      </c>
      <c r="D21" s="202" t="s">
        <v>39</v>
      </c>
      <c r="F21" s="402">
        <f>+F19/$C$21/24</f>
        <v>25.856249999999999</v>
      </c>
      <c r="G21" s="402">
        <f t="shared" ref="G21:O21" si="10">+G19/$C$21/24</f>
        <v>29.549999999999997</v>
      </c>
      <c r="H21" s="402">
        <f t="shared" si="10"/>
        <v>34.721250000000005</v>
      </c>
      <c r="I21" s="402">
        <f t="shared" si="10"/>
        <v>41.37</v>
      </c>
      <c r="J21" s="402">
        <f t="shared" si="10"/>
        <v>49.496250000000003</v>
      </c>
      <c r="K21" s="402">
        <f t="shared" si="10"/>
        <v>59.838749999999997</v>
      </c>
      <c r="L21" s="402">
        <f t="shared" si="10"/>
        <v>70.92</v>
      </c>
      <c r="M21" s="402">
        <f t="shared" si="10"/>
        <v>83.478749999999991</v>
      </c>
      <c r="N21" s="402">
        <f t="shared" si="10"/>
        <v>97.514999999999986</v>
      </c>
      <c r="O21" s="402">
        <f t="shared" si="10"/>
        <v>110.81249999999999</v>
      </c>
    </row>
    <row r="22" spans="1:15" s="202" customFormat="1">
      <c r="A22" s="201"/>
      <c r="B22" s="402" t="s">
        <v>354</v>
      </c>
      <c r="C22" s="477">
        <v>18</v>
      </c>
      <c r="D22" s="202" t="s">
        <v>39</v>
      </c>
      <c r="F22" s="402">
        <f>+F20/$C$22/24</f>
        <v>42.348379629629626</v>
      </c>
      <c r="G22" s="402">
        <f t="shared" ref="G22:O22" si="11">+G20/$C$22/24</f>
        <v>48.398148148148152</v>
      </c>
      <c r="H22" s="402">
        <f t="shared" si="11"/>
        <v>56.867824074074065</v>
      </c>
      <c r="I22" s="402">
        <f t="shared" si="11"/>
        <v>67.757407407407399</v>
      </c>
      <c r="J22" s="402">
        <f t="shared" si="11"/>
        <v>81.066898148148155</v>
      </c>
      <c r="K22" s="402">
        <f t="shared" si="11"/>
        <v>98.00624999999998</v>
      </c>
      <c r="L22" s="402">
        <f t="shared" si="11"/>
        <v>116.15555555555555</v>
      </c>
      <c r="M22" s="402">
        <f t="shared" si="11"/>
        <v>136.72476851851852</v>
      </c>
      <c r="N22" s="402">
        <f t="shared" si="11"/>
        <v>159.71388888888887</v>
      </c>
      <c r="O22" s="402">
        <f t="shared" si="11"/>
        <v>181.49305555555554</v>
      </c>
    </row>
    <row r="23" spans="1:15">
      <c r="A23" s="191"/>
      <c r="B23" s="196" t="s">
        <v>59</v>
      </c>
      <c r="C23" s="457"/>
      <c r="D23" s="196" t="s">
        <v>39</v>
      </c>
      <c r="E23" s="190" t="s">
        <v>15</v>
      </c>
      <c r="F23" s="198">
        <f>F21+F22</f>
        <v>68.204629629629622</v>
      </c>
      <c r="G23" s="198">
        <f t="shared" ref="G23:O23" si="12">G21+G22</f>
        <v>77.94814814814815</v>
      </c>
      <c r="H23" s="198">
        <f t="shared" si="12"/>
        <v>91.589074074074063</v>
      </c>
      <c r="I23" s="198">
        <f t="shared" si="12"/>
        <v>109.12740740740739</v>
      </c>
      <c r="J23" s="198">
        <f t="shared" si="12"/>
        <v>130.56314814814817</v>
      </c>
      <c r="K23" s="198">
        <f t="shared" si="12"/>
        <v>157.84499999999997</v>
      </c>
      <c r="L23" s="198">
        <f t="shared" si="12"/>
        <v>187.07555555555555</v>
      </c>
      <c r="M23" s="198">
        <f t="shared" si="12"/>
        <v>220.20351851851851</v>
      </c>
      <c r="N23" s="198">
        <f t="shared" si="12"/>
        <v>257.22888888888883</v>
      </c>
      <c r="O23" s="198">
        <f t="shared" si="12"/>
        <v>292.30555555555554</v>
      </c>
    </row>
    <row r="24" spans="1:15" s="195" customFormat="1">
      <c r="A24" s="193"/>
      <c r="B24" s="194" t="s">
        <v>306</v>
      </c>
      <c r="C24" s="455" t="s">
        <v>239</v>
      </c>
      <c r="E24" s="195" t="s">
        <v>240</v>
      </c>
      <c r="F24" s="194">
        <f>'Graph Base Data'!F39</f>
        <v>10500</v>
      </c>
      <c r="G24" s="194">
        <f>'Graph Base Data'!G39</f>
        <v>12000</v>
      </c>
      <c r="H24" s="194">
        <f>'Graph Base Data'!H39</f>
        <v>14100</v>
      </c>
      <c r="I24" s="194">
        <f>'Graph Base Data'!I39</f>
        <v>16800</v>
      </c>
      <c r="J24" s="194">
        <f>'Graph Base Data'!J39</f>
        <v>20100</v>
      </c>
      <c r="K24" s="194">
        <f>'Graph Base Data'!K39</f>
        <v>24300</v>
      </c>
      <c r="L24" s="194">
        <f>'Graph Base Data'!L39</f>
        <v>28800</v>
      </c>
      <c r="M24" s="194">
        <f>'Graph Base Data'!M39</f>
        <v>33900</v>
      </c>
      <c r="N24" s="194">
        <f>'Graph Base Data'!N39</f>
        <v>39600</v>
      </c>
      <c r="O24" s="194">
        <f>'Graph Base Data'!O39</f>
        <v>45000</v>
      </c>
    </row>
    <row r="25" spans="1:15">
      <c r="A25" s="191"/>
      <c r="B25" s="196" t="s">
        <v>20</v>
      </c>
      <c r="C25" s="475">
        <v>12</v>
      </c>
      <c r="D25" s="196" t="s">
        <v>39</v>
      </c>
      <c r="E25" s="190" t="s">
        <v>15</v>
      </c>
      <c r="F25" s="198">
        <f>+F24/$C$25/24</f>
        <v>36.458333333333336</v>
      </c>
      <c r="G25" s="198">
        <f t="shared" ref="G25:O25" si="13">+G24/$C$25/24</f>
        <v>41.666666666666664</v>
      </c>
      <c r="H25" s="198">
        <f t="shared" si="13"/>
        <v>48.958333333333336</v>
      </c>
      <c r="I25" s="198">
        <f t="shared" si="13"/>
        <v>58.333333333333336</v>
      </c>
      <c r="J25" s="198">
        <f t="shared" si="13"/>
        <v>69.791666666666671</v>
      </c>
      <c r="K25" s="198">
        <f t="shared" si="13"/>
        <v>84.375</v>
      </c>
      <c r="L25" s="198">
        <f t="shared" si="13"/>
        <v>100</v>
      </c>
      <c r="M25" s="198">
        <f t="shared" si="13"/>
        <v>117.70833333333333</v>
      </c>
      <c r="N25" s="198">
        <f t="shared" si="13"/>
        <v>137.5</v>
      </c>
      <c r="O25" s="198">
        <f t="shared" si="13"/>
        <v>156.25</v>
      </c>
    </row>
    <row r="26" spans="1:15">
      <c r="A26" s="191"/>
      <c r="B26" s="196"/>
      <c r="C26" s="457"/>
      <c r="D26" s="196"/>
      <c r="F26" s="198"/>
      <c r="G26" s="198"/>
      <c r="H26" s="198"/>
      <c r="I26" s="198"/>
      <c r="J26" s="198"/>
      <c r="K26" s="198"/>
      <c r="L26" s="198"/>
      <c r="M26" s="198"/>
      <c r="N26" s="198"/>
      <c r="O26" s="198"/>
    </row>
    <row r="27" spans="1:15" ht="21">
      <c r="A27" s="191"/>
      <c r="B27" s="192" t="s">
        <v>11</v>
      </c>
      <c r="C27" s="204"/>
    </row>
    <row r="28" spans="1:15" ht="19">
      <c r="A28" s="191"/>
      <c r="B28" s="358" t="s">
        <v>1</v>
      </c>
      <c r="C28" s="456"/>
    </row>
    <row r="29" spans="1:15" s="195" customFormat="1">
      <c r="A29" s="193"/>
      <c r="B29" s="194" t="str">
        <f>+'Graph Base Data'!B15</f>
        <v>RHPKO</v>
      </c>
      <c r="C29" s="455" t="s">
        <v>239</v>
      </c>
      <c r="E29" s="195" t="s">
        <v>240</v>
      </c>
      <c r="F29" s="194">
        <f>+'Graph Base Data'!F15</f>
        <v>4418.1984000000002</v>
      </c>
      <c r="G29" s="194">
        <f>+'Graph Base Data'!G15</f>
        <v>4187.0474239999994</v>
      </c>
      <c r="H29" s="194">
        <f>+'Graph Base Data'!H15</f>
        <v>3871.0511257600001</v>
      </c>
      <c r="I29" s="194">
        <f>+'Graph Base Data'!I15</f>
        <v>3455.3228709888008</v>
      </c>
      <c r="J29" s="194">
        <f>+'Graph Base Data'!J15</f>
        <v>3060.9170018058253</v>
      </c>
      <c r="K29" s="194">
        <f>+'Graph Base Data'!K15</f>
        <v>2485.3411564034468</v>
      </c>
      <c r="L29" s="194">
        <f>+'Graph Base Data'!L15</f>
        <v>1829.3348924663255</v>
      </c>
      <c r="M29" s="194">
        <f>+'Graph Base Data'!M15</f>
        <v>1084.8347264233932</v>
      </c>
      <c r="N29" s="194">
        <f>+'Graph Base Data'!N15</f>
        <v>405.05968807562016</v>
      </c>
      <c r="O29" s="194">
        <f>+'Graph Base Data'!O15</f>
        <v>0</v>
      </c>
    </row>
    <row r="30" spans="1:15">
      <c r="A30" s="191"/>
      <c r="B30" s="190" t="s">
        <v>17</v>
      </c>
      <c r="C30" s="472">
        <v>200</v>
      </c>
      <c r="D30" s="196" t="s">
        <v>35</v>
      </c>
      <c r="E30" s="190" t="s">
        <v>15</v>
      </c>
      <c r="F30" s="189">
        <f>+F29/$C$30</f>
        <v>22.090992</v>
      </c>
      <c r="G30" s="189">
        <f t="shared" ref="G30:O30" si="14">+G29/$C$30</f>
        <v>20.935237119999996</v>
      </c>
      <c r="H30" s="189">
        <f t="shared" si="14"/>
        <v>19.355255628800002</v>
      </c>
      <c r="I30" s="189">
        <f t="shared" si="14"/>
        <v>17.276614354944005</v>
      </c>
      <c r="J30" s="189">
        <f t="shared" si="14"/>
        <v>15.304585009029127</v>
      </c>
      <c r="K30" s="189">
        <f t="shared" si="14"/>
        <v>12.426705782017233</v>
      </c>
      <c r="L30" s="189">
        <f t="shared" si="14"/>
        <v>9.1466744623316281</v>
      </c>
      <c r="M30" s="189">
        <f t="shared" si="14"/>
        <v>5.4241736321169665</v>
      </c>
      <c r="N30" s="189">
        <f t="shared" si="14"/>
        <v>2.0252984403781009</v>
      </c>
      <c r="O30" s="189">
        <f t="shared" si="14"/>
        <v>0</v>
      </c>
    </row>
    <row r="31" spans="1:15">
      <c r="A31" s="191"/>
      <c r="B31" s="196" t="s">
        <v>48</v>
      </c>
      <c r="C31" s="472">
        <v>400</v>
      </c>
      <c r="D31" s="196" t="s">
        <v>35</v>
      </c>
      <c r="E31" s="190" t="s">
        <v>15</v>
      </c>
      <c r="F31" s="189">
        <v>0</v>
      </c>
      <c r="G31" s="189">
        <v>1</v>
      </c>
      <c r="H31" s="189">
        <v>2</v>
      </c>
      <c r="I31" s="189">
        <v>3</v>
      </c>
      <c r="J31" s="189">
        <v>4</v>
      </c>
      <c r="K31" s="189">
        <v>5</v>
      </c>
      <c r="L31" s="189">
        <v>6</v>
      </c>
      <c r="M31" s="189">
        <v>7</v>
      </c>
      <c r="N31" s="189">
        <v>8</v>
      </c>
      <c r="O31" s="189">
        <v>9</v>
      </c>
    </row>
    <row r="32" spans="1:15">
      <c r="A32" s="191"/>
      <c r="B32" s="190" t="s">
        <v>50</v>
      </c>
      <c r="C32" s="472">
        <v>400</v>
      </c>
      <c r="D32" s="196" t="s">
        <v>35</v>
      </c>
      <c r="E32" s="190" t="s">
        <v>15</v>
      </c>
      <c r="F32" s="189">
        <f>+F29/$C$32</f>
        <v>11.045496</v>
      </c>
      <c r="G32" s="189">
        <f t="shared" ref="G32:O32" si="15">+G29/$C$32</f>
        <v>10.467618559999998</v>
      </c>
      <c r="H32" s="189">
        <f t="shared" si="15"/>
        <v>9.677627814400001</v>
      </c>
      <c r="I32" s="189">
        <f t="shared" si="15"/>
        <v>8.6383071774720026</v>
      </c>
      <c r="J32" s="189">
        <f t="shared" si="15"/>
        <v>7.6522925045145636</v>
      </c>
      <c r="K32" s="189">
        <f t="shared" si="15"/>
        <v>6.2133528910086167</v>
      </c>
      <c r="L32" s="189">
        <f t="shared" si="15"/>
        <v>4.573337231165814</v>
      </c>
      <c r="M32" s="189">
        <f t="shared" si="15"/>
        <v>2.7120868160584832</v>
      </c>
      <c r="N32" s="189">
        <f t="shared" si="15"/>
        <v>1.0126492201890505</v>
      </c>
      <c r="O32" s="189">
        <f t="shared" si="15"/>
        <v>0</v>
      </c>
    </row>
    <row r="33" spans="1:15">
      <c r="A33" s="191"/>
      <c r="B33" s="196" t="s">
        <v>16</v>
      </c>
      <c r="C33" s="474">
        <v>30</v>
      </c>
      <c r="D33" s="190" t="s">
        <v>37</v>
      </c>
      <c r="E33" s="190" t="s">
        <v>25</v>
      </c>
      <c r="F33" s="197">
        <f>+F29/$C$33/52</f>
        <v>2.8321784615384615</v>
      </c>
      <c r="G33" s="197">
        <f t="shared" ref="G33:O33" si="16">+G29/$C$33/52</f>
        <v>2.6840047589743583</v>
      </c>
      <c r="H33" s="197">
        <f t="shared" si="16"/>
        <v>2.4814430293333336</v>
      </c>
      <c r="I33" s="197">
        <f t="shared" si="16"/>
        <v>2.2149505583261542</v>
      </c>
      <c r="J33" s="197">
        <f t="shared" si="16"/>
        <v>1.9621262832088624</v>
      </c>
      <c r="K33" s="197">
        <f t="shared" si="16"/>
        <v>1.5931674079509273</v>
      </c>
      <c r="L33" s="197">
        <f t="shared" si="16"/>
        <v>1.1726505720937985</v>
      </c>
      <c r="M33" s="197">
        <f t="shared" si="16"/>
        <v>0.69540687591243155</v>
      </c>
      <c r="N33" s="197">
        <f t="shared" si="16"/>
        <v>0.25965364620232062</v>
      </c>
      <c r="O33" s="197">
        <f t="shared" si="16"/>
        <v>0</v>
      </c>
    </row>
    <row r="34" spans="1:15" s="195" customFormat="1">
      <c r="A34" s="193"/>
      <c r="B34" s="194" t="str">
        <f>+'Graph Base Data'!B16</f>
        <v>RHPKOL</v>
      </c>
      <c r="C34" s="455" t="s">
        <v>239</v>
      </c>
      <c r="E34" s="195" t="s">
        <v>240</v>
      </c>
      <c r="F34" s="194">
        <f>+'Graph Base Data'!F16</f>
        <v>4460.5937244444458</v>
      </c>
      <c r="G34" s="194">
        <f>+'Graph Base Data'!G16</f>
        <v>4819.9849112888896</v>
      </c>
      <c r="H34" s="194">
        <f>+'Graph Base Data'!H16</f>
        <v>5208.3817619697793</v>
      </c>
      <c r="I34" s="194">
        <f>+'Graph Base Data'!I16</f>
        <v>5628.130166482918</v>
      </c>
      <c r="J34" s="194">
        <f>+'Graph Base Data'!J16</f>
        <v>6081.7662297126626</v>
      </c>
      <c r="K34" s="194">
        <f>+'Graph Base Data'!K16</f>
        <v>6572.0317429918987</v>
      </c>
      <c r="L34" s="194">
        <f>+'Graph Base Data'!L16</f>
        <v>7097.7942824312513</v>
      </c>
      <c r="M34" s="194">
        <f>+'Graph Base Data'!M16</f>
        <v>7665.6178250257517</v>
      </c>
      <c r="N34" s="194">
        <f>+'Graph Base Data'!N16</f>
        <v>8278.867251027812</v>
      </c>
      <c r="O34" s="194">
        <f>+'Graph Base Data'!O16</f>
        <v>8941.1766311100382</v>
      </c>
    </row>
    <row r="35" spans="1:15">
      <c r="A35" s="191"/>
      <c r="B35" s="190" t="s">
        <v>51</v>
      </c>
      <c r="C35" s="472">
        <v>200</v>
      </c>
      <c r="D35" s="196" t="s">
        <v>35</v>
      </c>
      <c r="E35" s="190" t="s">
        <v>15</v>
      </c>
      <c r="F35" s="189">
        <f>+F34/$C$35</f>
        <v>22.302968622222227</v>
      </c>
      <c r="G35" s="189">
        <f t="shared" ref="G35:O35" si="17">+G34/$C$35</f>
        <v>24.099924556444449</v>
      </c>
      <c r="H35" s="189">
        <f t="shared" si="17"/>
        <v>26.041908809848895</v>
      </c>
      <c r="I35" s="189">
        <f t="shared" si="17"/>
        <v>28.14065083241459</v>
      </c>
      <c r="J35" s="189">
        <f t="shared" si="17"/>
        <v>30.408831148563312</v>
      </c>
      <c r="K35" s="189">
        <f t="shared" si="17"/>
        <v>32.860158714959496</v>
      </c>
      <c r="L35" s="189">
        <f t="shared" si="17"/>
        <v>35.488971412156253</v>
      </c>
      <c r="M35" s="189">
        <f t="shared" si="17"/>
        <v>38.328089125128756</v>
      </c>
      <c r="N35" s="189">
        <f t="shared" si="17"/>
        <v>41.394336255139059</v>
      </c>
      <c r="O35" s="189">
        <f t="shared" si="17"/>
        <v>44.70588315555019</v>
      </c>
    </row>
    <row r="36" spans="1:15">
      <c r="A36" s="191"/>
      <c r="B36" s="190" t="s">
        <v>47</v>
      </c>
      <c r="C36" s="472">
        <v>400</v>
      </c>
      <c r="D36" s="196" t="s">
        <v>35</v>
      </c>
      <c r="E36" s="190" t="s">
        <v>15</v>
      </c>
      <c r="F36" s="189">
        <v>0</v>
      </c>
      <c r="G36" s="189">
        <v>1</v>
      </c>
      <c r="H36" s="189">
        <v>2</v>
      </c>
      <c r="I36" s="189">
        <v>3</v>
      </c>
      <c r="J36" s="189">
        <v>4</v>
      </c>
      <c r="K36" s="189">
        <v>5</v>
      </c>
      <c r="L36" s="189">
        <v>6</v>
      </c>
      <c r="M36" s="189">
        <v>7</v>
      </c>
      <c r="N36" s="189">
        <v>8</v>
      </c>
      <c r="O36" s="189">
        <v>9</v>
      </c>
    </row>
    <row r="37" spans="1:15">
      <c r="A37" s="191"/>
      <c r="B37" s="190" t="s">
        <v>49</v>
      </c>
      <c r="C37" s="472">
        <v>400</v>
      </c>
      <c r="D37" s="196" t="s">
        <v>35</v>
      </c>
      <c r="E37" s="190" t="s">
        <v>15</v>
      </c>
      <c r="F37" s="189">
        <f>+F34/$C$37</f>
        <v>11.151484311111114</v>
      </c>
      <c r="G37" s="189">
        <f t="shared" ref="G37:O37" si="18">+G34/$C$37</f>
        <v>12.049962278222225</v>
      </c>
      <c r="H37" s="189">
        <f t="shared" si="18"/>
        <v>13.020954404924447</v>
      </c>
      <c r="I37" s="189">
        <f t="shared" si="18"/>
        <v>14.070325416207295</v>
      </c>
      <c r="J37" s="189">
        <f t="shared" si="18"/>
        <v>15.204415574281656</v>
      </c>
      <c r="K37" s="189">
        <f t="shared" si="18"/>
        <v>16.430079357479748</v>
      </c>
      <c r="L37" s="189">
        <f t="shared" si="18"/>
        <v>17.744485706078127</v>
      </c>
      <c r="M37" s="189">
        <f t="shared" si="18"/>
        <v>19.164044562564378</v>
      </c>
      <c r="N37" s="189">
        <f t="shared" si="18"/>
        <v>20.69716812756953</v>
      </c>
      <c r="O37" s="189">
        <f t="shared" si="18"/>
        <v>22.352941577775095</v>
      </c>
    </row>
    <row r="38" spans="1:15">
      <c r="A38" s="191"/>
      <c r="B38" s="196" t="s">
        <v>16</v>
      </c>
      <c r="C38" s="474">
        <v>30</v>
      </c>
      <c r="D38" s="190" t="s">
        <v>37</v>
      </c>
      <c r="E38" s="190" t="s">
        <v>25</v>
      </c>
      <c r="F38" s="197">
        <f>+F34/$C$38/52</f>
        <v>2.8593549515669525</v>
      </c>
      <c r="G38" s="197">
        <f t="shared" ref="G38:O38" si="19">+G34/$C$38/52</f>
        <v>3.089733917492878</v>
      </c>
      <c r="H38" s="197">
        <f t="shared" si="19"/>
        <v>3.3387062576729352</v>
      </c>
      <c r="I38" s="197">
        <f t="shared" si="19"/>
        <v>3.6077757477454599</v>
      </c>
      <c r="J38" s="197">
        <f t="shared" si="19"/>
        <v>3.8985680959696554</v>
      </c>
      <c r="K38" s="197">
        <f t="shared" si="19"/>
        <v>4.2128408608922427</v>
      </c>
      <c r="L38" s="197">
        <f t="shared" si="19"/>
        <v>4.549868129763623</v>
      </c>
      <c r="M38" s="197">
        <f t="shared" si="19"/>
        <v>4.9138575801447129</v>
      </c>
      <c r="N38" s="197">
        <f t="shared" si="19"/>
        <v>5.3069661865562896</v>
      </c>
      <c r="O38" s="197">
        <f t="shared" si="19"/>
        <v>5.7315234814807932</v>
      </c>
    </row>
    <row r="39" spans="1:15" s="195" customFormat="1">
      <c r="A39" s="193"/>
      <c r="B39" s="194" t="str">
        <f>+'Graph Base Data'!B17</f>
        <v>RHPKST</v>
      </c>
      <c r="C39" s="455" t="s">
        <v>239</v>
      </c>
      <c r="E39" s="195" t="s">
        <v>240</v>
      </c>
      <c r="F39" s="194">
        <f>+'Graph Base Data'!F17</f>
        <v>3645.4466000000002</v>
      </c>
      <c r="G39" s="194">
        <f>+'Graph Base Data'!G17</f>
        <v>4681.1118360000009</v>
      </c>
      <c r="H39" s="194">
        <f>+'Graph Base Data'!H17</f>
        <v>5884.5951642400014</v>
      </c>
      <c r="I39" s="194">
        <f>+'Graph Base Data'!I17</f>
        <v>7279.602527115203</v>
      </c>
      <c r="J39" s="194">
        <f>+'Graph Base Data'!J17</f>
        <v>8754.86102273898</v>
      </c>
      <c r="K39" s="194">
        <f>+'Graph Base Data'!K17</f>
        <v>10135.736794821283</v>
      </c>
      <c r="L39" s="194">
        <f>+'Graph Base Data'!L17</f>
        <v>11654.468863808539</v>
      </c>
      <c r="M39" s="194">
        <f>+'Graph Base Data'!M17</f>
        <v>13323.364877753225</v>
      </c>
      <c r="N39" s="194">
        <f>+'Graph Base Data'!N17</f>
        <v>14993.772009204882</v>
      </c>
      <c r="O39" s="194">
        <f>+'Graph Base Data'!O17</f>
        <v>16460.613164071179</v>
      </c>
    </row>
    <row r="40" spans="1:15">
      <c r="A40" s="191"/>
      <c r="B40" s="190" t="s">
        <v>17</v>
      </c>
      <c r="C40" s="472">
        <v>200</v>
      </c>
      <c r="D40" s="196" t="s">
        <v>35</v>
      </c>
      <c r="E40" s="190" t="s">
        <v>15</v>
      </c>
      <c r="F40" s="189">
        <f>+F39/$C$40</f>
        <v>18.227233000000002</v>
      </c>
      <c r="G40" s="189">
        <f t="shared" ref="G40:O40" si="20">+G39/$C$40</f>
        <v>23.405559180000004</v>
      </c>
      <c r="H40" s="189">
        <f t="shared" si="20"/>
        <v>29.422975821200009</v>
      </c>
      <c r="I40" s="189">
        <f t="shared" si="20"/>
        <v>36.398012635576016</v>
      </c>
      <c r="J40" s="189">
        <f t="shared" si="20"/>
        <v>43.774305113694901</v>
      </c>
      <c r="K40" s="189">
        <f t="shared" si="20"/>
        <v>50.678683974106413</v>
      </c>
      <c r="L40" s="189">
        <f t="shared" si="20"/>
        <v>58.272344319042695</v>
      </c>
      <c r="M40" s="189">
        <f t="shared" si="20"/>
        <v>66.616824388766133</v>
      </c>
      <c r="N40" s="189">
        <f t="shared" si="20"/>
        <v>74.968860046024417</v>
      </c>
      <c r="O40" s="189">
        <f t="shared" si="20"/>
        <v>82.303065820355897</v>
      </c>
    </row>
    <row r="41" spans="1:15">
      <c r="A41" s="191"/>
      <c r="B41" s="190" t="s">
        <v>47</v>
      </c>
      <c r="C41" s="472">
        <v>400</v>
      </c>
      <c r="D41" s="196" t="s">
        <v>35</v>
      </c>
      <c r="E41" s="190" t="s">
        <v>15</v>
      </c>
      <c r="F41" s="189">
        <v>0</v>
      </c>
      <c r="G41" s="189">
        <v>1</v>
      </c>
      <c r="H41" s="189">
        <v>2</v>
      </c>
      <c r="I41" s="189">
        <v>3</v>
      </c>
      <c r="J41" s="189">
        <v>4</v>
      </c>
      <c r="K41" s="189">
        <v>5</v>
      </c>
      <c r="L41" s="189">
        <v>6</v>
      </c>
      <c r="M41" s="189">
        <v>7</v>
      </c>
      <c r="N41" s="189">
        <v>8</v>
      </c>
      <c r="O41" s="189">
        <v>9</v>
      </c>
    </row>
    <row r="42" spans="1:15">
      <c r="A42" s="191"/>
      <c r="B42" s="190" t="s">
        <v>49</v>
      </c>
      <c r="C42" s="472">
        <v>400</v>
      </c>
      <c r="D42" s="196" t="s">
        <v>35</v>
      </c>
      <c r="E42" s="190" t="s">
        <v>15</v>
      </c>
      <c r="F42" s="189">
        <f>+F39/$C$42</f>
        <v>9.1136165000000009</v>
      </c>
      <c r="G42" s="189">
        <f t="shared" ref="G42:O42" si="21">+G39/$C$42</f>
        <v>11.702779590000002</v>
      </c>
      <c r="H42" s="189">
        <f t="shared" si="21"/>
        <v>14.711487910600004</v>
      </c>
      <c r="I42" s="189">
        <f t="shared" si="21"/>
        <v>18.199006317788008</v>
      </c>
      <c r="J42" s="189">
        <f t="shared" si="21"/>
        <v>21.88715255684745</v>
      </c>
      <c r="K42" s="189">
        <f t="shared" si="21"/>
        <v>25.339341987053206</v>
      </c>
      <c r="L42" s="189">
        <f t="shared" si="21"/>
        <v>29.136172159521347</v>
      </c>
      <c r="M42" s="189">
        <f t="shared" si="21"/>
        <v>33.308412194383067</v>
      </c>
      <c r="N42" s="189">
        <f t="shared" si="21"/>
        <v>37.484430023012209</v>
      </c>
      <c r="O42" s="189">
        <f t="shared" si="21"/>
        <v>41.151532910177949</v>
      </c>
    </row>
    <row r="43" spans="1:15">
      <c r="A43" s="191"/>
      <c r="B43" s="196" t="s">
        <v>16</v>
      </c>
      <c r="C43" s="474">
        <v>30</v>
      </c>
      <c r="D43" s="190" t="s">
        <v>37</v>
      </c>
      <c r="E43" s="190" t="s">
        <v>25</v>
      </c>
      <c r="F43" s="197">
        <f>+F39/$C$43/52</f>
        <v>2.3368247435897436</v>
      </c>
      <c r="G43" s="197">
        <f t="shared" ref="G43:O43" si="22">+G39/$C$43/52</f>
        <v>3.000712715384616</v>
      </c>
      <c r="H43" s="197">
        <f t="shared" si="22"/>
        <v>3.7721763873333343</v>
      </c>
      <c r="I43" s="197">
        <f t="shared" si="22"/>
        <v>4.6664118763558999</v>
      </c>
      <c r="J43" s="197">
        <f t="shared" si="22"/>
        <v>5.6120903991916533</v>
      </c>
      <c r="K43" s="197">
        <f t="shared" si="22"/>
        <v>6.4972671761674894</v>
      </c>
      <c r="L43" s="197">
        <f t="shared" si="22"/>
        <v>7.4708133742362435</v>
      </c>
      <c r="M43" s="197">
        <f t="shared" si="22"/>
        <v>8.5406185113802717</v>
      </c>
      <c r="N43" s="197">
        <f t="shared" si="22"/>
        <v>9.6113923135928729</v>
      </c>
      <c r="O43" s="197">
        <f t="shared" si="22"/>
        <v>10.551675105173834</v>
      </c>
    </row>
    <row r="44" spans="1:15" s="195" customFormat="1">
      <c r="A44" s="193"/>
      <c r="B44" s="194" t="str">
        <f>+'Graph Base Data'!B18</f>
        <v>Shortening</v>
      </c>
      <c r="C44" s="455" t="s">
        <v>239</v>
      </c>
      <c r="E44" s="195" t="s">
        <v>240</v>
      </c>
      <c r="F44" s="194">
        <f>+'Graph Base Data'!F18</f>
        <v>1161.6000000000004</v>
      </c>
      <c r="G44" s="194">
        <f>+'Graph Base Data'!G18</f>
        <v>1300.9920000000006</v>
      </c>
      <c r="H44" s="194">
        <f>+'Graph Base Data'!H18</f>
        <v>1457.1110400000009</v>
      </c>
      <c r="I44" s="194">
        <f>+'Graph Base Data'!I18</f>
        <v>1631.9643648000012</v>
      </c>
      <c r="J44" s="194">
        <f>+'Graph Base Data'!J18</f>
        <v>1827.8000885760016</v>
      </c>
      <c r="K44" s="194">
        <f>+'Graph Base Data'!K18</f>
        <v>2010.5800974336018</v>
      </c>
      <c r="L44" s="194">
        <f>+'Graph Base Data'!L18</f>
        <v>2171.4265052282904</v>
      </c>
      <c r="M44" s="194">
        <f>+'Graph Base Data'!M18</f>
        <v>2345.1406256465539</v>
      </c>
      <c r="N44" s="194">
        <f>+'Graph Base Data'!N18</f>
        <v>2532.7518756982781</v>
      </c>
      <c r="O44" s="194">
        <f>+'Graph Base Data'!O18</f>
        <v>2735.3720257541404</v>
      </c>
    </row>
    <row r="45" spans="1:15">
      <c r="A45" s="191"/>
      <c r="B45" s="190" t="s">
        <v>17</v>
      </c>
      <c r="C45" s="472">
        <v>200</v>
      </c>
      <c r="D45" s="196" t="s">
        <v>35</v>
      </c>
      <c r="E45" s="190" t="s">
        <v>15</v>
      </c>
      <c r="F45" s="189">
        <v>0</v>
      </c>
      <c r="G45" s="189">
        <v>0</v>
      </c>
      <c r="H45" s="189">
        <v>0</v>
      </c>
      <c r="I45" s="189">
        <v>0</v>
      </c>
      <c r="J45" s="189">
        <v>0</v>
      </c>
      <c r="K45" s="189">
        <v>0</v>
      </c>
      <c r="L45" s="189">
        <v>0</v>
      </c>
      <c r="M45" s="189">
        <v>0</v>
      </c>
      <c r="N45" s="189">
        <v>0</v>
      </c>
      <c r="O45" s="189">
        <v>0</v>
      </c>
    </row>
    <row r="46" spans="1:15">
      <c r="A46" s="191"/>
      <c r="B46" s="190" t="s">
        <v>47</v>
      </c>
      <c r="C46" s="472">
        <v>400</v>
      </c>
      <c r="D46" s="196" t="s">
        <v>35</v>
      </c>
      <c r="E46" s="190" t="s">
        <v>15</v>
      </c>
      <c r="F46" s="189">
        <v>0</v>
      </c>
      <c r="G46" s="189">
        <v>0</v>
      </c>
      <c r="H46" s="189">
        <v>0</v>
      </c>
      <c r="I46" s="189">
        <v>0</v>
      </c>
      <c r="J46" s="189">
        <v>0</v>
      </c>
      <c r="K46" s="189">
        <v>0</v>
      </c>
      <c r="L46" s="189">
        <v>0</v>
      </c>
      <c r="M46" s="189">
        <v>0</v>
      </c>
      <c r="N46" s="189">
        <v>0</v>
      </c>
      <c r="O46" s="189">
        <v>0</v>
      </c>
    </row>
    <row r="47" spans="1:15">
      <c r="A47" s="191"/>
      <c r="B47" s="190" t="s">
        <v>49</v>
      </c>
      <c r="C47" s="472">
        <v>400</v>
      </c>
      <c r="D47" s="196" t="s">
        <v>35</v>
      </c>
      <c r="E47" s="190" t="s">
        <v>15</v>
      </c>
      <c r="F47" s="189">
        <f>+F44/$C$47</f>
        <v>2.9040000000000008</v>
      </c>
      <c r="G47" s="189">
        <f t="shared" ref="G47:O47" si="23">+G44/$C$47</f>
        <v>3.2524800000000016</v>
      </c>
      <c r="H47" s="189">
        <f t="shared" si="23"/>
        <v>3.6427776000000023</v>
      </c>
      <c r="I47" s="189">
        <f t="shared" si="23"/>
        <v>4.0799109120000034</v>
      </c>
      <c r="J47" s="189">
        <f t="shared" si="23"/>
        <v>4.5695002214400038</v>
      </c>
      <c r="K47" s="189">
        <f t="shared" si="23"/>
        <v>5.0264502435840051</v>
      </c>
      <c r="L47" s="189">
        <f t="shared" si="23"/>
        <v>5.4285662630707261</v>
      </c>
      <c r="M47" s="189">
        <f t="shared" si="23"/>
        <v>5.8628515641163848</v>
      </c>
      <c r="N47" s="189">
        <f t="shared" si="23"/>
        <v>6.331879689245695</v>
      </c>
      <c r="O47" s="189">
        <f t="shared" si="23"/>
        <v>6.8384300643853511</v>
      </c>
    </row>
    <row r="48" spans="1:15">
      <c r="A48" s="191"/>
      <c r="B48" s="196" t="s">
        <v>16</v>
      </c>
      <c r="C48" s="474">
        <v>30</v>
      </c>
      <c r="D48" s="190" t="s">
        <v>37</v>
      </c>
      <c r="E48" s="190" t="s">
        <v>25</v>
      </c>
      <c r="F48" s="197">
        <f>+F44/$C$48/52</f>
        <v>0.7446153846153849</v>
      </c>
      <c r="G48" s="197">
        <f t="shared" ref="G48:O48" si="24">+G44/$C$48/52</f>
        <v>0.83396923076923113</v>
      </c>
      <c r="H48" s="197">
        <f t="shared" si="24"/>
        <v>0.93404553846153904</v>
      </c>
      <c r="I48" s="197">
        <f t="shared" si="24"/>
        <v>1.046131003076924</v>
      </c>
      <c r="J48" s="197">
        <f t="shared" si="24"/>
        <v>1.1716667234461549</v>
      </c>
      <c r="K48" s="197">
        <f t="shared" si="24"/>
        <v>1.2888333957907703</v>
      </c>
      <c r="L48" s="197">
        <f t="shared" si="24"/>
        <v>1.3919400674540323</v>
      </c>
      <c r="M48" s="197">
        <f t="shared" si="24"/>
        <v>1.503295272850355</v>
      </c>
      <c r="N48" s="197">
        <f t="shared" si="24"/>
        <v>1.6235588946783834</v>
      </c>
      <c r="O48" s="197">
        <f t="shared" si="24"/>
        <v>1.7534436062526539</v>
      </c>
    </row>
    <row r="49" spans="1:15" s="195" customFormat="1">
      <c r="A49" s="193"/>
      <c r="B49" s="194" t="str">
        <f>+'Graph Base Data'!B19</f>
        <v>RHPO</v>
      </c>
      <c r="C49" s="455" t="s">
        <v>239</v>
      </c>
      <c r="E49" s="195" t="s">
        <v>240</v>
      </c>
      <c r="F49" s="194">
        <f>+'Graph Base Data'!F19</f>
        <v>0</v>
      </c>
      <c r="G49" s="194">
        <f>+'Graph Base Data'!G19</f>
        <v>0</v>
      </c>
      <c r="H49" s="194">
        <f>+'Graph Base Data'!H19</f>
        <v>0</v>
      </c>
      <c r="I49" s="194">
        <f>+'Graph Base Data'!I19</f>
        <v>0</v>
      </c>
      <c r="J49" s="194">
        <f>+'Graph Base Data'!J19</f>
        <v>0</v>
      </c>
      <c r="K49" s="194">
        <f>+'Graph Base Data'!K19</f>
        <v>0</v>
      </c>
      <c r="L49" s="194">
        <f>+'Graph Base Data'!L19</f>
        <v>0</v>
      </c>
      <c r="M49" s="194">
        <f>+'Graph Base Data'!M19</f>
        <v>0</v>
      </c>
      <c r="N49" s="194">
        <f>+'Graph Base Data'!N19</f>
        <v>0</v>
      </c>
      <c r="O49" s="194">
        <f>+'Graph Base Data'!O19</f>
        <v>0</v>
      </c>
    </row>
    <row r="50" spans="1:15">
      <c r="A50" s="191"/>
      <c r="B50" s="190" t="s">
        <v>17</v>
      </c>
      <c r="C50" s="478">
        <v>150</v>
      </c>
      <c r="D50" s="196" t="s">
        <v>35</v>
      </c>
      <c r="E50" s="190" t="s">
        <v>15</v>
      </c>
      <c r="F50" s="189">
        <f>+F49/$C$50</f>
        <v>0</v>
      </c>
      <c r="G50" s="189">
        <f t="shared" ref="G50:O50" si="25">+G49/$C$50</f>
        <v>0</v>
      </c>
      <c r="H50" s="189">
        <f t="shared" si="25"/>
        <v>0</v>
      </c>
      <c r="I50" s="189">
        <f t="shared" si="25"/>
        <v>0</v>
      </c>
      <c r="J50" s="189">
        <f t="shared" si="25"/>
        <v>0</v>
      </c>
      <c r="K50" s="189">
        <f t="shared" si="25"/>
        <v>0</v>
      </c>
      <c r="L50" s="189">
        <f t="shared" si="25"/>
        <v>0</v>
      </c>
      <c r="M50" s="189">
        <f t="shared" si="25"/>
        <v>0</v>
      </c>
      <c r="N50" s="189">
        <f t="shared" si="25"/>
        <v>0</v>
      </c>
      <c r="O50" s="189">
        <f t="shared" si="25"/>
        <v>0</v>
      </c>
    </row>
    <row r="51" spans="1:15">
      <c r="A51" s="191"/>
      <c r="B51" s="190" t="s">
        <v>47</v>
      </c>
      <c r="C51" s="472">
        <v>400</v>
      </c>
      <c r="D51" s="196" t="s">
        <v>35</v>
      </c>
      <c r="E51" s="190" t="s">
        <v>15</v>
      </c>
      <c r="F51" s="189">
        <v>0</v>
      </c>
      <c r="G51" s="189">
        <v>0</v>
      </c>
      <c r="H51" s="189">
        <v>0</v>
      </c>
      <c r="I51" s="189">
        <v>0</v>
      </c>
      <c r="J51" s="189">
        <v>0</v>
      </c>
      <c r="K51" s="189">
        <v>0</v>
      </c>
      <c r="L51" s="189">
        <v>0</v>
      </c>
      <c r="M51" s="189">
        <v>0</v>
      </c>
      <c r="N51" s="189">
        <v>0</v>
      </c>
      <c r="O51" s="189">
        <v>0</v>
      </c>
    </row>
    <row r="52" spans="1:15">
      <c r="A52" s="191"/>
      <c r="B52" s="190" t="s">
        <v>49</v>
      </c>
      <c r="C52" s="472">
        <v>400</v>
      </c>
      <c r="D52" s="196" t="s">
        <v>35</v>
      </c>
      <c r="E52" s="190" t="s">
        <v>15</v>
      </c>
      <c r="F52" s="189">
        <f>+F49/$C$52</f>
        <v>0</v>
      </c>
      <c r="G52" s="189">
        <f t="shared" ref="G52:O52" si="26">+G49/$C$52</f>
        <v>0</v>
      </c>
      <c r="H52" s="189">
        <f t="shared" si="26"/>
        <v>0</v>
      </c>
      <c r="I52" s="189">
        <f t="shared" si="26"/>
        <v>0</v>
      </c>
      <c r="J52" s="189">
        <f t="shared" si="26"/>
        <v>0</v>
      </c>
      <c r="K52" s="189">
        <f t="shared" si="26"/>
        <v>0</v>
      </c>
      <c r="L52" s="189">
        <f t="shared" si="26"/>
        <v>0</v>
      </c>
      <c r="M52" s="189">
        <f t="shared" si="26"/>
        <v>0</v>
      </c>
      <c r="N52" s="189">
        <f t="shared" si="26"/>
        <v>0</v>
      </c>
      <c r="O52" s="189">
        <f t="shared" si="26"/>
        <v>0</v>
      </c>
    </row>
    <row r="53" spans="1:15">
      <c r="A53" s="191"/>
      <c r="B53" s="196" t="s">
        <v>16</v>
      </c>
      <c r="C53" s="474">
        <v>30</v>
      </c>
      <c r="D53" s="190" t="s">
        <v>37</v>
      </c>
      <c r="E53" s="190" t="s">
        <v>25</v>
      </c>
      <c r="F53" s="197">
        <f>+F49/$C$53/52</f>
        <v>0</v>
      </c>
      <c r="G53" s="197">
        <f t="shared" ref="G53:O53" si="27">+G49/$C$53/52</f>
        <v>0</v>
      </c>
      <c r="H53" s="197">
        <f t="shared" si="27"/>
        <v>0</v>
      </c>
      <c r="I53" s="197">
        <f t="shared" si="27"/>
        <v>0</v>
      </c>
      <c r="J53" s="197">
        <f t="shared" si="27"/>
        <v>0</v>
      </c>
      <c r="K53" s="197">
        <f t="shared" si="27"/>
        <v>0</v>
      </c>
      <c r="L53" s="197">
        <f t="shared" si="27"/>
        <v>0</v>
      </c>
      <c r="M53" s="197">
        <f t="shared" si="27"/>
        <v>0</v>
      </c>
      <c r="N53" s="197">
        <f t="shared" si="27"/>
        <v>0</v>
      </c>
      <c r="O53" s="197">
        <f t="shared" si="27"/>
        <v>0</v>
      </c>
    </row>
    <row r="54" spans="1:15" s="195" customFormat="1">
      <c r="A54" s="193"/>
      <c r="B54" s="194" t="str">
        <f>+'Graph Base Data'!B20</f>
        <v>RPST</v>
      </c>
      <c r="C54" s="455" t="s">
        <v>239</v>
      </c>
      <c r="E54" s="195" t="s">
        <v>240</v>
      </c>
      <c r="F54" s="194">
        <f>+'Graph Base Data'!F20</f>
        <v>2814.2496585000008</v>
      </c>
      <c r="G54" s="194">
        <f>+'Graph Base Data'!G20</f>
        <v>2954.9621414250009</v>
      </c>
      <c r="H54" s="194">
        <f>+'Graph Base Data'!H20</f>
        <v>3102.7102484962511</v>
      </c>
      <c r="I54" s="194">
        <f>+'Graph Base Data'!I20</f>
        <v>3257.8457609210636</v>
      </c>
      <c r="J54" s="194">
        <f>+'Graph Base Data'!J20</f>
        <v>3420.7380489671168</v>
      </c>
      <c r="K54" s="194">
        <f>+'Graph Base Data'!K20</f>
        <v>3591.774951415473</v>
      </c>
      <c r="L54" s="194">
        <f>+'Graph Base Data'!L20</f>
        <v>3771.3636989862466</v>
      </c>
      <c r="M54" s="194">
        <f>+'Graph Base Data'!M20</f>
        <v>3959.9318839355592</v>
      </c>
      <c r="N54" s="194">
        <f>+'Graph Base Data'!N20</f>
        <v>4157.9284781323377</v>
      </c>
      <c r="O54" s="194">
        <f>+'Graph Base Data'!O20</f>
        <v>4365.8249020389549</v>
      </c>
    </row>
    <row r="55" spans="1:15">
      <c r="A55" s="191"/>
      <c r="B55" s="190" t="s">
        <v>17</v>
      </c>
      <c r="C55" s="478" t="s">
        <v>241</v>
      </c>
      <c r="D55" s="196" t="s">
        <v>35</v>
      </c>
      <c r="E55" s="190" t="s">
        <v>15</v>
      </c>
      <c r="F55" s="189">
        <f>0</f>
        <v>0</v>
      </c>
      <c r="G55" s="189">
        <f>0</f>
        <v>0</v>
      </c>
      <c r="H55" s="189">
        <f>0</f>
        <v>0</v>
      </c>
      <c r="I55" s="189">
        <f>0</f>
        <v>0</v>
      </c>
      <c r="J55" s="189">
        <f>0</f>
        <v>0</v>
      </c>
      <c r="K55" s="189">
        <f>0</f>
        <v>0</v>
      </c>
      <c r="L55" s="189">
        <f>0</f>
        <v>0</v>
      </c>
      <c r="M55" s="189">
        <f>0</f>
        <v>0</v>
      </c>
      <c r="N55" s="189">
        <f>0</f>
        <v>0</v>
      </c>
      <c r="O55" s="189">
        <f>0</f>
        <v>0</v>
      </c>
    </row>
    <row r="56" spans="1:15">
      <c r="A56" s="191"/>
      <c r="B56" s="190" t="s">
        <v>47</v>
      </c>
      <c r="C56" s="472">
        <v>400</v>
      </c>
      <c r="D56" s="196" t="s">
        <v>35</v>
      </c>
      <c r="E56" s="190" t="s">
        <v>15</v>
      </c>
      <c r="F56" s="189">
        <v>0</v>
      </c>
      <c r="G56" s="189">
        <v>0</v>
      </c>
      <c r="H56" s="189">
        <v>0</v>
      </c>
      <c r="I56" s="189">
        <v>0</v>
      </c>
      <c r="J56" s="189">
        <v>0</v>
      </c>
      <c r="K56" s="189">
        <v>0</v>
      </c>
      <c r="L56" s="189">
        <v>0</v>
      </c>
      <c r="M56" s="189">
        <v>0</v>
      </c>
      <c r="N56" s="189">
        <v>0</v>
      </c>
      <c r="O56" s="189">
        <v>0</v>
      </c>
    </row>
    <row r="57" spans="1:15">
      <c r="A57" s="191"/>
      <c r="B57" s="190" t="s">
        <v>49</v>
      </c>
      <c r="C57" s="472">
        <v>400</v>
      </c>
      <c r="D57" s="196" t="s">
        <v>35</v>
      </c>
      <c r="E57" s="190" t="s">
        <v>15</v>
      </c>
      <c r="F57" s="189">
        <f>+F54/$C$57</f>
        <v>7.0356241462500018</v>
      </c>
      <c r="G57" s="189">
        <f t="shared" ref="G57:O57" si="28">+G54/$C$57</f>
        <v>7.3874053535625022</v>
      </c>
      <c r="H57" s="189">
        <f t="shared" si="28"/>
        <v>7.756775621240628</v>
      </c>
      <c r="I57" s="189">
        <f t="shared" si="28"/>
        <v>8.1446144023026594</v>
      </c>
      <c r="J57" s="189">
        <f t="shared" si="28"/>
        <v>8.5518451224177916</v>
      </c>
      <c r="K57" s="189">
        <f t="shared" si="28"/>
        <v>8.9794373785386821</v>
      </c>
      <c r="L57" s="189">
        <f t="shared" si="28"/>
        <v>9.4284092474656163</v>
      </c>
      <c r="M57" s="189">
        <f t="shared" si="28"/>
        <v>9.8998297098388974</v>
      </c>
      <c r="N57" s="189">
        <f t="shared" si="28"/>
        <v>10.394821195330843</v>
      </c>
      <c r="O57" s="189">
        <f t="shared" si="28"/>
        <v>10.914562255097387</v>
      </c>
    </row>
    <row r="58" spans="1:15">
      <c r="A58" s="191"/>
      <c r="B58" s="196" t="s">
        <v>16</v>
      </c>
      <c r="C58" s="474">
        <v>30</v>
      </c>
      <c r="D58" s="190" t="s">
        <v>37</v>
      </c>
      <c r="E58" s="190" t="s">
        <v>25</v>
      </c>
      <c r="F58" s="197">
        <f>+F54/$C$58/52</f>
        <v>1.8040061913461543</v>
      </c>
      <c r="G58" s="197">
        <f t="shared" ref="G58:O58" si="29">+G54/$C$58/52</f>
        <v>1.8942065009134621</v>
      </c>
      <c r="H58" s="197">
        <f t="shared" si="29"/>
        <v>1.9889168259591352</v>
      </c>
      <c r="I58" s="197">
        <f t="shared" si="29"/>
        <v>2.0883626672570923</v>
      </c>
      <c r="J58" s="197">
        <f t="shared" si="29"/>
        <v>2.1927808006199467</v>
      </c>
      <c r="K58" s="197">
        <f t="shared" si="29"/>
        <v>2.3024198406509444</v>
      </c>
      <c r="L58" s="197">
        <f t="shared" si="29"/>
        <v>2.4175408326834917</v>
      </c>
      <c r="M58" s="197">
        <f t="shared" si="29"/>
        <v>2.5384178743176662</v>
      </c>
      <c r="N58" s="197">
        <f t="shared" si="29"/>
        <v>2.6653387680335499</v>
      </c>
      <c r="O58" s="197">
        <f t="shared" si="29"/>
        <v>2.7986057064352274</v>
      </c>
    </row>
    <row r="59" spans="1:15" s="195" customFormat="1">
      <c r="A59" s="193"/>
      <c r="B59" s="194" t="str">
        <f>+'Graph Base Data'!B21</f>
        <v xml:space="preserve">RHPST </v>
      </c>
      <c r="C59" s="455" t="s">
        <v>239</v>
      </c>
      <c r="E59" s="195" t="s">
        <v>240</v>
      </c>
      <c r="F59" s="194">
        <f>+'Graph Base Data'!F21</f>
        <v>6361.5456000000013</v>
      </c>
      <c r="G59" s="194">
        <f>+'Graph Base Data'!G21</f>
        <v>6870.4692480000022</v>
      </c>
      <c r="H59" s="194">
        <f>+'Graph Base Data'!H21</f>
        <v>7420.1067878400027</v>
      </c>
      <c r="I59" s="194">
        <f>+'Graph Base Data'!I21</f>
        <v>8013.7153308672032</v>
      </c>
      <c r="J59" s="194">
        <f>+'Graph Base Data'!J21</f>
        <v>8654.8125573365796</v>
      </c>
      <c r="K59" s="194">
        <f>+'Graph Base Data'!K21</f>
        <v>9347.1975619235072</v>
      </c>
      <c r="L59" s="194">
        <f>+'Graph Base Data'!L21</f>
        <v>10094.973366877388</v>
      </c>
      <c r="M59" s="194">
        <f>+'Graph Base Data'!M21</f>
        <v>10902.571236227579</v>
      </c>
      <c r="N59" s="194">
        <f>+'Graph Base Data'!N21</f>
        <v>11774.776935125787</v>
      </c>
      <c r="O59" s="194">
        <f>+'Graph Base Data'!O21</f>
        <v>12716.759089935851</v>
      </c>
    </row>
    <row r="60" spans="1:15">
      <c r="A60" s="191"/>
      <c r="B60" s="190" t="s">
        <v>17</v>
      </c>
      <c r="C60" s="478">
        <v>120</v>
      </c>
      <c r="D60" s="196" t="s">
        <v>35</v>
      </c>
      <c r="E60" s="190" t="s">
        <v>15</v>
      </c>
      <c r="F60" s="198">
        <f>+F59/$C$60</f>
        <v>53.01288000000001</v>
      </c>
      <c r="G60" s="198">
        <f t="shared" ref="G60:O60" si="30">+G59/$C$60</f>
        <v>57.253910400000017</v>
      </c>
      <c r="H60" s="198">
        <f t="shared" si="30"/>
        <v>61.834223232000021</v>
      </c>
      <c r="I60" s="198">
        <f t="shared" si="30"/>
        <v>66.780961090560027</v>
      </c>
      <c r="J60" s="198">
        <f t="shared" si="30"/>
        <v>72.123437977804826</v>
      </c>
      <c r="K60" s="198">
        <f t="shared" si="30"/>
        <v>77.893313016029225</v>
      </c>
      <c r="L60" s="198">
        <f t="shared" si="30"/>
        <v>84.124778057311559</v>
      </c>
      <c r="M60" s="198">
        <f t="shared" si="30"/>
        <v>90.854760301896491</v>
      </c>
      <c r="N60" s="198">
        <f t="shared" si="30"/>
        <v>98.123141126048225</v>
      </c>
      <c r="O60" s="198">
        <f t="shared" si="30"/>
        <v>105.97299241613209</v>
      </c>
    </row>
    <row r="61" spans="1:15">
      <c r="A61" s="191"/>
      <c r="B61" s="190" t="s">
        <v>47</v>
      </c>
      <c r="C61" s="472">
        <v>400</v>
      </c>
      <c r="D61" s="196" t="s">
        <v>35</v>
      </c>
      <c r="E61" s="190" t="s">
        <v>15</v>
      </c>
      <c r="F61" s="198">
        <v>0</v>
      </c>
      <c r="G61" s="198">
        <v>1</v>
      </c>
      <c r="H61" s="198">
        <v>2</v>
      </c>
      <c r="I61" s="198">
        <v>3</v>
      </c>
      <c r="J61" s="198">
        <v>4</v>
      </c>
      <c r="K61" s="198">
        <v>5</v>
      </c>
      <c r="L61" s="198">
        <v>6</v>
      </c>
      <c r="M61" s="198">
        <v>7</v>
      </c>
      <c r="N61" s="198">
        <v>8</v>
      </c>
      <c r="O61" s="198">
        <v>9</v>
      </c>
    </row>
    <row r="62" spans="1:15">
      <c r="A62" s="191"/>
      <c r="B62" s="190" t="s">
        <v>49</v>
      </c>
      <c r="C62" s="472">
        <v>400</v>
      </c>
      <c r="D62" s="196" t="s">
        <v>35</v>
      </c>
      <c r="E62" s="190" t="s">
        <v>15</v>
      </c>
      <c r="F62" s="198">
        <f>+F59/$C$62</f>
        <v>15.903864000000004</v>
      </c>
      <c r="G62" s="198">
        <f t="shared" ref="G62:O62" si="31">+G59/$C$62</f>
        <v>17.176173120000005</v>
      </c>
      <c r="H62" s="198">
        <f t="shared" si="31"/>
        <v>18.550266969600006</v>
      </c>
      <c r="I62" s="198">
        <f t="shared" si="31"/>
        <v>20.034288327168007</v>
      </c>
      <c r="J62" s="198">
        <f t="shared" si="31"/>
        <v>21.637031393341449</v>
      </c>
      <c r="K62" s="198">
        <f t="shared" si="31"/>
        <v>23.367993904808767</v>
      </c>
      <c r="L62" s="198">
        <f t="shared" si="31"/>
        <v>25.237433417193468</v>
      </c>
      <c r="M62" s="198">
        <f t="shared" si="31"/>
        <v>27.256428090568946</v>
      </c>
      <c r="N62" s="198">
        <f t="shared" si="31"/>
        <v>29.436942337814468</v>
      </c>
      <c r="O62" s="198">
        <f t="shared" si="31"/>
        <v>31.791897724839629</v>
      </c>
    </row>
    <row r="63" spans="1:15">
      <c r="A63" s="191"/>
      <c r="B63" s="196" t="s">
        <v>16</v>
      </c>
      <c r="C63" s="474">
        <v>30</v>
      </c>
      <c r="D63" s="190" t="s">
        <v>37</v>
      </c>
      <c r="E63" s="190" t="s">
        <v>25</v>
      </c>
      <c r="F63" s="197">
        <f>+F59/$C$63/52</f>
        <v>4.0779138461538471</v>
      </c>
      <c r="G63" s="197">
        <f t="shared" ref="G63:O63" si="32">+G59/$C$63/52</f>
        <v>4.4041469538461548</v>
      </c>
      <c r="H63" s="197">
        <f t="shared" si="32"/>
        <v>4.7564787101538482</v>
      </c>
      <c r="I63" s="197">
        <f t="shared" si="32"/>
        <v>5.1369970069661557</v>
      </c>
      <c r="J63" s="197">
        <f t="shared" si="32"/>
        <v>5.5479567675234485</v>
      </c>
      <c r="K63" s="197">
        <f t="shared" si="32"/>
        <v>5.9917933089253248</v>
      </c>
      <c r="L63" s="197">
        <f t="shared" si="32"/>
        <v>6.4711367736393504</v>
      </c>
      <c r="M63" s="197">
        <f t="shared" si="32"/>
        <v>6.9888277155304994</v>
      </c>
      <c r="N63" s="197">
        <f t="shared" si="32"/>
        <v>7.5479339327729402</v>
      </c>
      <c r="O63" s="197">
        <f t="shared" si="32"/>
        <v>8.1517686473947766</v>
      </c>
    </row>
    <row r="64" spans="1:15" s="195" customFormat="1">
      <c r="A64" s="193"/>
      <c r="B64" s="194" t="str">
        <f>+'Graph Base Data'!B22</f>
        <v>RHCNO</v>
      </c>
      <c r="C64" s="455" t="s">
        <v>239</v>
      </c>
      <c r="E64" s="195" t="s">
        <v>240</v>
      </c>
      <c r="F64" s="194">
        <f>+'Graph Base Data'!F22</f>
        <v>2212.7616000000007</v>
      </c>
      <c r="G64" s="194">
        <f>+'Graph Base Data'!G22</f>
        <v>2478.292992000001</v>
      </c>
      <c r="H64" s="194">
        <f>+'Graph Base Data'!H22</f>
        <v>2775.6881510400012</v>
      </c>
      <c r="I64" s="194">
        <f>+'Graph Base Data'!I22</f>
        <v>3108.7707291648017</v>
      </c>
      <c r="J64" s="194">
        <f>+'Graph Base Data'!J22</f>
        <v>3481.823216664578</v>
      </c>
      <c r="K64" s="194">
        <f>+'Graph Base Data'!K22</f>
        <v>3830.005538331036</v>
      </c>
      <c r="L64" s="194">
        <f>+'Graph Base Data'!L22</f>
        <v>4213.0060921641398</v>
      </c>
      <c r="M64" s="194">
        <f>+'Graph Base Data'!M22</f>
        <v>4634.3067013805539</v>
      </c>
      <c r="N64" s="194">
        <f>+'Graph Base Data'!N22</f>
        <v>5097.7373715186095</v>
      </c>
      <c r="O64" s="194">
        <f>+'Graph Base Data'!O22</f>
        <v>5607.511108670471</v>
      </c>
    </row>
    <row r="65" spans="1:15">
      <c r="A65" s="191"/>
      <c r="B65" s="190" t="s">
        <v>17</v>
      </c>
      <c r="C65" s="472">
        <v>200</v>
      </c>
      <c r="D65" s="196" t="s">
        <v>35</v>
      </c>
      <c r="E65" s="190" t="s">
        <v>15</v>
      </c>
      <c r="F65" s="198">
        <f>+F64/$C$65</f>
        <v>11.063808000000003</v>
      </c>
      <c r="G65" s="198">
        <f t="shared" ref="G65:O65" si="33">+G64/$C$65</f>
        <v>12.391464960000006</v>
      </c>
      <c r="H65" s="198">
        <f t="shared" si="33"/>
        <v>13.878440755200007</v>
      </c>
      <c r="I65" s="198">
        <f t="shared" si="33"/>
        <v>15.543853645824008</v>
      </c>
      <c r="J65" s="198">
        <f t="shared" si="33"/>
        <v>17.409116083322889</v>
      </c>
      <c r="K65" s="198">
        <f t="shared" si="33"/>
        <v>19.150027691655179</v>
      </c>
      <c r="L65" s="198">
        <f t="shared" si="33"/>
        <v>21.065030460820697</v>
      </c>
      <c r="M65" s="198">
        <f t="shared" si="33"/>
        <v>23.171533506902769</v>
      </c>
      <c r="N65" s="198">
        <f t="shared" si="33"/>
        <v>25.488686857593049</v>
      </c>
      <c r="O65" s="198">
        <f t="shared" si="33"/>
        <v>28.037555543352354</v>
      </c>
    </row>
    <row r="66" spans="1:15">
      <c r="A66" s="191"/>
      <c r="B66" s="190" t="s">
        <v>47</v>
      </c>
      <c r="C66" s="472">
        <v>400</v>
      </c>
      <c r="D66" s="196" t="s">
        <v>35</v>
      </c>
      <c r="E66" s="190" t="s">
        <v>15</v>
      </c>
      <c r="F66" s="198">
        <v>0</v>
      </c>
      <c r="G66" s="198">
        <v>1</v>
      </c>
      <c r="H66" s="198">
        <v>2</v>
      </c>
      <c r="I66" s="198">
        <v>3</v>
      </c>
      <c r="J66" s="198">
        <v>4</v>
      </c>
      <c r="K66" s="198">
        <v>5</v>
      </c>
      <c r="L66" s="198">
        <v>6</v>
      </c>
      <c r="M66" s="198">
        <v>7</v>
      </c>
      <c r="N66" s="198">
        <v>8</v>
      </c>
      <c r="O66" s="198">
        <v>9</v>
      </c>
    </row>
    <row r="67" spans="1:15">
      <c r="A67" s="191"/>
      <c r="B67" s="190" t="s">
        <v>49</v>
      </c>
      <c r="C67" s="472">
        <v>400</v>
      </c>
      <c r="D67" s="196" t="s">
        <v>35</v>
      </c>
      <c r="E67" s="190" t="s">
        <v>15</v>
      </c>
      <c r="F67" s="198">
        <f>+F64/$C$67</f>
        <v>5.5319040000000017</v>
      </c>
      <c r="G67" s="198">
        <f t="shared" ref="G67:O67" si="34">+G64/$C$67</f>
        <v>6.1957324800000029</v>
      </c>
      <c r="H67" s="198">
        <f t="shared" si="34"/>
        <v>6.9392203776000034</v>
      </c>
      <c r="I67" s="198">
        <f t="shared" si="34"/>
        <v>7.771926822912004</v>
      </c>
      <c r="J67" s="198">
        <f t="shared" si="34"/>
        <v>8.7045580416614445</v>
      </c>
      <c r="K67" s="198">
        <f t="shared" si="34"/>
        <v>9.5750138458275895</v>
      </c>
      <c r="L67" s="198">
        <f t="shared" si="34"/>
        <v>10.532515230410349</v>
      </c>
      <c r="M67" s="198">
        <f t="shared" si="34"/>
        <v>11.585766753451384</v>
      </c>
      <c r="N67" s="198">
        <f t="shared" si="34"/>
        <v>12.744343428796524</v>
      </c>
      <c r="O67" s="198">
        <f t="shared" si="34"/>
        <v>14.018777771676177</v>
      </c>
    </row>
    <row r="68" spans="1:15">
      <c r="A68" s="191"/>
      <c r="B68" s="196" t="s">
        <v>16</v>
      </c>
      <c r="C68" s="474">
        <v>30</v>
      </c>
      <c r="D68" s="190" t="s">
        <v>37</v>
      </c>
      <c r="E68" s="190" t="s">
        <v>25</v>
      </c>
      <c r="F68" s="197">
        <f>+F64/$C$68/52</f>
        <v>1.4184369230769236</v>
      </c>
      <c r="G68" s="197">
        <f t="shared" ref="G68:O68" si="35">+G64/$C$68/52</f>
        <v>1.5886493538461546</v>
      </c>
      <c r="H68" s="197">
        <f t="shared" si="35"/>
        <v>1.779287276307693</v>
      </c>
      <c r="I68" s="197">
        <f t="shared" si="35"/>
        <v>1.9928017494646164</v>
      </c>
      <c r="J68" s="197">
        <f t="shared" si="35"/>
        <v>2.2319379594003705</v>
      </c>
      <c r="K68" s="197">
        <f t="shared" si="35"/>
        <v>2.4551317553404077</v>
      </c>
      <c r="L68" s="197">
        <f t="shared" si="35"/>
        <v>2.7006449308744487</v>
      </c>
      <c r="M68" s="197">
        <f t="shared" si="35"/>
        <v>2.9707094239618934</v>
      </c>
      <c r="N68" s="197">
        <f t="shared" si="35"/>
        <v>3.2677803663580827</v>
      </c>
      <c r="O68" s="197">
        <f t="shared" si="35"/>
        <v>3.5945584029938917</v>
      </c>
    </row>
    <row r="69" spans="1:15" s="195" customFormat="1">
      <c r="A69" s="193"/>
      <c r="B69" s="194" t="str">
        <f>+'Graph Base Data'!B23</f>
        <v>RCNO</v>
      </c>
      <c r="C69" s="455" t="s">
        <v>239</v>
      </c>
      <c r="E69" s="195" t="s">
        <v>240</v>
      </c>
      <c r="F69" s="194">
        <f>+'Graph Base Data'!F23</f>
        <v>1933.2337500000003</v>
      </c>
      <c r="G69" s="194">
        <f>+'Graph Base Data'!G23</f>
        <v>2029.8954375000005</v>
      </c>
      <c r="H69" s="194">
        <f>+'Graph Base Data'!H23</f>
        <v>2131.3902093750007</v>
      </c>
      <c r="I69" s="194">
        <f>+'Graph Base Data'!I23</f>
        <v>2237.9597198437509</v>
      </c>
      <c r="J69" s="194">
        <f>+'Graph Base Data'!J23</f>
        <v>2349.8577058359388</v>
      </c>
      <c r="K69" s="194">
        <f>+'Graph Base Data'!K23</f>
        <v>2467.3505911277357</v>
      </c>
      <c r="L69" s="194">
        <f>+'Graph Base Data'!L23</f>
        <v>2590.7181206841224</v>
      </c>
      <c r="M69" s="194">
        <f>+'Graph Base Data'!M23</f>
        <v>2720.2540267183285</v>
      </c>
      <c r="N69" s="194">
        <f>+'Graph Base Data'!N23</f>
        <v>2856.266728054245</v>
      </c>
      <c r="O69" s="194">
        <f>+'Graph Base Data'!O23</f>
        <v>2999.0800644569576</v>
      </c>
    </row>
    <row r="70" spans="1:15">
      <c r="A70" s="191"/>
      <c r="B70" s="190" t="s">
        <v>17</v>
      </c>
      <c r="C70" s="478" t="s">
        <v>241</v>
      </c>
      <c r="D70" s="196" t="s">
        <v>35</v>
      </c>
      <c r="E70" s="190" t="s">
        <v>15</v>
      </c>
      <c r="F70" s="198">
        <v>0</v>
      </c>
      <c r="G70" s="198">
        <v>0</v>
      </c>
      <c r="H70" s="198">
        <v>0</v>
      </c>
      <c r="I70" s="198">
        <v>0</v>
      </c>
      <c r="J70" s="198">
        <v>0</v>
      </c>
      <c r="K70" s="198">
        <v>0</v>
      </c>
      <c r="L70" s="198">
        <v>0</v>
      </c>
      <c r="M70" s="198">
        <v>0</v>
      </c>
      <c r="N70" s="198">
        <v>0</v>
      </c>
      <c r="O70" s="198">
        <v>0</v>
      </c>
    </row>
    <row r="71" spans="1:15">
      <c r="A71" s="191"/>
      <c r="B71" s="190" t="s">
        <v>47</v>
      </c>
      <c r="C71" s="472">
        <v>400</v>
      </c>
      <c r="D71" s="196" t="s">
        <v>35</v>
      </c>
      <c r="E71" s="190" t="s">
        <v>15</v>
      </c>
      <c r="F71" s="198">
        <v>0</v>
      </c>
      <c r="G71" s="198">
        <v>0</v>
      </c>
      <c r="H71" s="198">
        <v>0</v>
      </c>
      <c r="I71" s="198">
        <v>0</v>
      </c>
      <c r="J71" s="198">
        <v>0</v>
      </c>
      <c r="K71" s="198">
        <v>0</v>
      </c>
      <c r="L71" s="198">
        <v>0</v>
      </c>
      <c r="M71" s="198">
        <v>0</v>
      </c>
      <c r="N71" s="198">
        <v>0</v>
      </c>
      <c r="O71" s="198">
        <v>0</v>
      </c>
    </row>
    <row r="72" spans="1:15">
      <c r="A72" s="191"/>
      <c r="B72" s="190" t="s">
        <v>49</v>
      </c>
      <c r="C72" s="472">
        <v>400</v>
      </c>
      <c r="D72" s="196" t="s">
        <v>35</v>
      </c>
      <c r="E72" s="190" t="s">
        <v>15</v>
      </c>
      <c r="F72" s="198">
        <f>+F69/$C$72</f>
        <v>4.8330843750000012</v>
      </c>
      <c r="G72" s="198">
        <f t="shared" ref="G72:O72" si="36">+G69/$C$72</f>
        <v>5.0747385937500011</v>
      </c>
      <c r="H72" s="198">
        <f t="shared" si="36"/>
        <v>5.3284755234375014</v>
      </c>
      <c r="I72" s="198">
        <f t="shared" si="36"/>
        <v>5.5948992996093772</v>
      </c>
      <c r="J72" s="198">
        <f t="shared" si="36"/>
        <v>5.8746442645898469</v>
      </c>
      <c r="K72" s="198">
        <f t="shared" si="36"/>
        <v>6.1683764778193391</v>
      </c>
      <c r="L72" s="198">
        <f t="shared" si="36"/>
        <v>6.4767953017103057</v>
      </c>
      <c r="M72" s="198">
        <f t="shared" si="36"/>
        <v>6.8006350667958211</v>
      </c>
      <c r="N72" s="198">
        <f t="shared" si="36"/>
        <v>7.1406668201356123</v>
      </c>
      <c r="O72" s="198">
        <f t="shared" si="36"/>
        <v>7.4977001611423937</v>
      </c>
    </row>
    <row r="73" spans="1:15">
      <c r="A73" s="191"/>
      <c r="B73" s="196" t="s">
        <v>16</v>
      </c>
      <c r="C73" s="474">
        <v>30</v>
      </c>
      <c r="D73" s="190" t="s">
        <v>37</v>
      </c>
      <c r="E73" s="190" t="s">
        <v>25</v>
      </c>
      <c r="F73" s="197">
        <f>+F69/$C$73/52</f>
        <v>1.2392524038461541</v>
      </c>
      <c r="G73" s="197">
        <f t="shared" ref="G73:O73" si="37">+G69/$C$73/52</f>
        <v>1.3012150240384619</v>
      </c>
      <c r="H73" s="197">
        <f t="shared" si="37"/>
        <v>1.3662757752403851</v>
      </c>
      <c r="I73" s="197">
        <f t="shared" si="37"/>
        <v>1.4345895640024044</v>
      </c>
      <c r="J73" s="197">
        <f t="shared" si="37"/>
        <v>1.5063190422025248</v>
      </c>
      <c r="K73" s="197">
        <f t="shared" si="37"/>
        <v>1.5816349943126511</v>
      </c>
      <c r="L73" s="197">
        <f t="shared" si="37"/>
        <v>1.6607167440282837</v>
      </c>
      <c r="M73" s="197">
        <f t="shared" si="37"/>
        <v>1.7437525812296977</v>
      </c>
      <c r="N73" s="197">
        <f t="shared" si="37"/>
        <v>1.8309402102911827</v>
      </c>
      <c r="O73" s="197">
        <f t="shared" si="37"/>
        <v>1.922487220805742</v>
      </c>
    </row>
    <row r="74" spans="1:15" s="357" customFormat="1">
      <c r="A74" s="355"/>
      <c r="B74" s="356" t="str">
        <f>'Graph Base Data'!B24</f>
        <v>RPKO</v>
      </c>
      <c r="C74" s="459" t="s">
        <v>239</v>
      </c>
      <c r="E74" s="357" t="s">
        <v>240</v>
      </c>
      <c r="F74" s="356">
        <f>'Graph Base Data'!F24</f>
        <v>2780.6152499999998</v>
      </c>
      <c r="G74" s="356">
        <f>'Graph Base Data'!G24</f>
        <v>2919.6460124999999</v>
      </c>
      <c r="H74" s="356">
        <f>'Graph Base Data'!H24</f>
        <v>3065.6283131250002</v>
      </c>
      <c r="I74" s="356">
        <f>'Graph Base Data'!I24</f>
        <v>3218.9097287812501</v>
      </c>
      <c r="J74" s="356">
        <f>'Graph Base Data'!J24</f>
        <v>3379.8552152203129</v>
      </c>
      <c r="K74" s="356">
        <f>'Graph Base Data'!K24</f>
        <v>3548.8479759813285</v>
      </c>
      <c r="L74" s="356">
        <f>'Graph Base Data'!L24</f>
        <v>3726.2903747803953</v>
      </c>
      <c r="M74" s="356">
        <f>'Graph Base Data'!M24</f>
        <v>3912.6048935194153</v>
      </c>
      <c r="N74" s="356">
        <f>'Graph Base Data'!N24</f>
        <v>4108.2351381953858</v>
      </c>
      <c r="O74" s="356">
        <f>'Graph Base Data'!O24</f>
        <v>4313.6468951051556</v>
      </c>
    </row>
    <row r="75" spans="1:15">
      <c r="A75" s="191"/>
      <c r="B75" s="190" t="s">
        <v>17</v>
      </c>
      <c r="C75" s="478" t="s">
        <v>241</v>
      </c>
      <c r="D75" s="196" t="s">
        <v>35</v>
      </c>
      <c r="E75" s="190" t="s">
        <v>15</v>
      </c>
      <c r="F75" s="198">
        <v>0</v>
      </c>
      <c r="G75" s="198">
        <v>0</v>
      </c>
      <c r="H75" s="198">
        <v>0</v>
      </c>
      <c r="I75" s="198">
        <v>0</v>
      </c>
      <c r="J75" s="198">
        <v>0</v>
      </c>
      <c r="K75" s="198">
        <v>0</v>
      </c>
      <c r="L75" s="198">
        <v>0</v>
      </c>
      <c r="M75" s="198">
        <v>0</v>
      </c>
      <c r="N75" s="198">
        <v>0</v>
      </c>
      <c r="O75" s="198">
        <v>0</v>
      </c>
    </row>
    <row r="76" spans="1:15">
      <c r="A76" s="191"/>
      <c r="B76" s="190" t="s">
        <v>47</v>
      </c>
      <c r="C76" s="472">
        <v>400</v>
      </c>
      <c r="D76" s="196" t="s">
        <v>35</v>
      </c>
      <c r="E76" s="190" t="s">
        <v>15</v>
      </c>
      <c r="F76" s="198">
        <v>0</v>
      </c>
      <c r="G76" s="198">
        <v>0</v>
      </c>
      <c r="H76" s="198">
        <v>0</v>
      </c>
      <c r="I76" s="198">
        <v>0</v>
      </c>
      <c r="J76" s="198">
        <v>0</v>
      </c>
      <c r="K76" s="198">
        <v>0</v>
      </c>
      <c r="L76" s="198">
        <v>0</v>
      </c>
      <c r="M76" s="198">
        <v>0</v>
      </c>
      <c r="N76" s="198">
        <v>0</v>
      </c>
      <c r="O76" s="198">
        <v>0</v>
      </c>
    </row>
    <row r="77" spans="1:15">
      <c r="A77" s="191"/>
      <c r="B77" s="190" t="s">
        <v>49</v>
      </c>
      <c r="C77" s="472">
        <v>400</v>
      </c>
      <c r="D77" s="196" t="s">
        <v>35</v>
      </c>
      <c r="E77" s="190" t="s">
        <v>15</v>
      </c>
      <c r="F77" s="198">
        <f>+F74/$C$77</f>
        <v>6.9515381249999999</v>
      </c>
      <c r="G77" s="198">
        <f t="shared" ref="G77:O77" si="38">+G74/$C$77</f>
        <v>7.2991150312499995</v>
      </c>
      <c r="H77" s="198">
        <f t="shared" si="38"/>
        <v>7.6640707828125008</v>
      </c>
      <c r="I77" s="198">
        <f t="shared" si="38"/>
        <v>8.0472743219531253</v>
      </c>
      <c r="J77" s="198">
        <f t="shared" si="38"/>
        <v>8.4496380380507823</v>
      </c>
      <c r="K77" s="198">
        <f t="shared" si="38"/>
        <v>8.8721199399533219</v>
      </c>
      <c r="L77" s="198">
        <f t="shared" si="38"/>
        <v>9.3157259369509884</v>
      </c>
      <c r="M77" s="198">
        <f t="shared" si="38"/>
        <v>9.781512233798539</v>
      </c>
      <c r="N77" s="198">
        <f t="shared" si="38"/>
        <v>10.270587845488464</v>
      </c>
      <c r="O77" s="198">
        <f t="shared" si="38"/>
        <v>10.784117237762889</v>
      </c>
    </row>
    <row r="78" spans="1:15">
      <c r="A78" s="191"/>
      <c r="B78" s="196" t="s">
        <v>16</v>
      </c>
      <c r="C78" s="474">
        <v>30</v>
      </c>
      <c r="D78" s="190" t="s">
        <v>37</v>
      </c>
      <c r="E78" s="190" t="s">
        <v>25</v>
      </c>
      <c r="F78" s="197">
        <f>+F74/$C$78/52</f>
        <v>1.7824456730769229</v>
      </c>
      <c r="G78" s="197">
        <f t="shared" ref="G78:O78" si="39">+G74/$C$78/52</f>
        <v>1.8715679567307693</v>
      </c>
      <c r="H78" s="197">
        <f t="shared" si="39"/>
        <v>1.965146354567308</v>
      </c>
      <c r="I78" s="197">
        <f t="shared" si="39"/>
        <v>2.0634036722956735</v>
      </c>
      <c r="J78" s="197">
        <f t="shared" si="39"/>
        <v>2.1665738559104573</v>
      </c>
      <c r="K78" s="197">
        <f t="shared" si="39"/>
        <v>2.2749025487059797</v>
      </c>
      <c r="L78" s="197">
        <f t="shared" si="39"/>
        <v>2.3886476761412792</v>
      </c>
      <c r="M78" s="197">
        <f t="shared" si="39"/>
        <v>2.5080800599483433</v>
      </c>
      <c r="N78" s="197">
        <f t="shared" si="39"/>
        <v>2.6334840629457599</v>
      </c>
      <c r="O78" s="197">
        <f t="shared" si="39"/>
        <v>2.7651582660930485</v>
      </c>
    </row>
    <row r="79" spans="1:15">
      <c r="A79" s="191"/>
      <c r="B79" s="199" t="str">
        <f>+'Graph Base Data'!B25</f>
        <v>Subtotal</v>
      </c>
      <c r="C79" s="474"/>
      <c r="E79" s="190" t="s">
        <v>2</v>
      </c>
      <c r="F79" s="199">
        <f>+'Graph Base Data'!F25</f>
        <v>29788.244582944451</v>
      </c>
      <c r="G79" s="199">
        <f>+'Graph Base Data'!G25</f>
        <v>32242.402002713894</v>
      </c>
      <c r="H79" s="199">
        <f>+'Graph Base Data'!H25</f>
        <v>34916.66280184604</v>
      </c>
      <c r="I79" s="199">
        <f>+'Graph Base Data'!I25</f>
        <v>37832.221198964988</v>
      </c>
      <c r="J79" s="199">
        <f>+'Graph Base Data'!J25</f>
        <v>41012.431086857992</v>
      </c>
      <c r="K79" s="199">
        <f>+'Graph Base Data'!K25</f>
        <v>43988.866410429313</v>
      </c>
      <c r="L79" s="199">
        <f>+'Graph Base Data'!L25</f>
        <v>47149.376197426696</v>
      </c>
      <c r="M79" s="199">
        <f>+'Graph Base Data'!M25</f>
        <v>50548.626796630357</v>
      </c>
      <c r="N79" s="199">
        <f>+'Graph Base Data'!N25</f>
        <v>54205.395475032958</v>
      </c>
      <c r="O79" s="199">
        <f>+'Graph Base Data'!O25</f>
        <v>58139.983881142754</v>
      </c>
    </row>
    <row r="80" spans="1:15">
      <c r="A80" s="191"/>
      <c r="B80" s="200"/>
      <c r="C80" s="460"/>
      <c r="F80" s="188"/>
      <c r="G80" s="188"/>
      <c r="H80" s="188"/>
      <c r="I80" s="188"/>
      <c r="J80" s="188"/>
      <c r="K80" s="188"/>
      <c r="L80" s="188"/>
      <c r="M80" s="188"/>
      <c r="N80" s="188"/>
      <c r="O80" s="188"/>
    </row>
    <row r="81" spans="1:15" ht="21">
      <c r="A81" s="191"/>
      <c r="B81" s="192" t="s">
        <v>10</v>
      </c>
      <c r="C81" s="204"/>
      <c r="F81" s="188"/>
      <c r="G81" s="188"/>
      <c r="H81" s="188"/>
      <c r="I81" s="188"/>
      <c r="J81" s="188"/>
      <c r="K81" s="188"/>
      <c r="L81" s="188"/>
      <c r="M81" s="188"/>
      <c r="N81" s="188"/>
      <c r="O81" s="188"/>
    </row>
    <row r="82" spans="1:15" s="195" customFormat="1">
      <c r="A82" s="193"/>
      <c r="B82" s="194" t="str">
        <f>[1]SF!C45</f>
        <v>All-purpose Shortening</v>
      </c>
      <c r="C82" s="455" t="s">
        <v>239</v>
      </c>
      <c r="E82" s="195" t="s">
        <v>240</v>
      </c>
      <c r="F82" s="194">
        <f>+'Graph Base Data'!F28</f>
        <v>13278.133200000002</v>
      </c>
      <c r="G82" s="194">
        <f>+'Graph Base Data'!G28</f>
        <v>15537.509184000002</v>
      </c>
      <c r="H82" s="194">
        <f>+'Graph Base Data'!H28</f>
        <v>17402.010286080003</v>
      </c>
      <c r="I82" s="194">
        <f>+'Graph Base Data'!I28</f>
        <v>19490.251520409605</v>
      </c>
      <c r="J82" s="194">
        <f>+'Graph Base Data'!J28</f>
        <v>21829.081702858763</v>
      </c>
      <c r="K82" s="194">
        <f>+'Graph Base Data'!K28</f>
        <v>27096.087818744643</v>
      </c>
      <c r="L82" s="194">
        <f>+'Graph Base Data'!L28</f>
        <v>29263.774844244213</v>
      </c>
      <c r="M82" s="194">
        <f>+'Graph Base Data'!M28</f>
        <v>31604.876831783753</v>
      </c>
      <c r="N82" s="194">
        <f>+'Graph Base Data'!N28</f>
        <v>34133.266978326457</v>
      </c>
      <c r="O82" s="194">
        <f>+'Graph Base Data'!O28</f>
        <v>36863.92833659258</v>
      </c>
    </row>
    <row r="83" spans="1:15">
      <c r="A83" s="191"/>
      <c r="B83" s="190" t="s">
        <v>17</v>
      </c>
      <c r="C83" s="478" t="s">
        <v>241</v>
      </c>
      <c r="D83" s="196" t="s">
        <v>35</v>
      </c>
      <c r="E83" s="190" t="s">
        <v>15</v>
      </c>
      <c r="F83" s="198">
        <v>0</v>
      </c>
      <c r="G83" s="198">
        <v>0</v>
      </c>
      <c r="H83" s="198">
        <v>0</v>
      </c>
      <c r="I83" s="198">
        <v>0</v>
      </c>
      <c r="J83" s="198">
        <v>0</v>
      </c>
      <c r="K83" s="198">
        <v>0</v>
      </c>
      <c r="L83" s="198">
        <v>0</v>
      </c>
      <c r="M83" s="198">
        <v>0</v>
      </c>
      <c r="N83" s="198">
        <v>0</v>
      </c>
      <c r="O83" s="198">
        <v>0</v>
      </c>
    </row>
    <row r="84" spans="1:15">
      <c r="A84" s="191"/>
      <c r="B84" s="190" t="s">
        <v>47</v>
      </c>
      <c r="C84" s="472">
        <v>400</v>
      </c>
      <c r="D84" s="196" t="s">
        <v>35</v>
      </c>
      <c r="E84" s="190" t="s">
        <v>15</v>
      </c>
      <c r="F84" s="198">
        <v>0</v>
      </c>
      <c r="G84" s="198">
        <v>0</v>
      </c>
      <c r="H84" s="198">
        <v>0</v>
      </c>
      <c r="I84" s="198">
        <v>0</v>
      </c>
      <c r="J84" s="198">
        <v>0</v>
      </c>
      <c r="K84" s="198">
        <v>0</v>
      </c>
      <c r="L84" s="198">
        <v>0</v>
      </c>
      <c r="M84" s="198">
        <v>0</v>
      </c>
      <c r="N84" s="198">
        <v>0</v>
      </c>
      <c r="O84" s="198">
        <v>0</v>
      </c>
    </row>
    <row r="85" spans="1:15">
      <c r="A85" s="191"/>
      <c r="B85" s="190" t="s">
        <v>49</v>
      </c>
      <c r="C85" s="472">
        <v>400</v>
      </c>
      <c r="D85" s="196" t="s">
        <v>35</v>
      </c>
      <c r="E85" s="190" t="s">
        <v>15</v>
      </c>
      <c r="F85" s="198">
        <f>+F82/$C$85</f>
        <v>33.195333000000005</v>
      </c>
      <c r="G85" s="198">
        <f t="shared" ref="G85:O85" si="40">+G82/$C$85</f>
        <v>38.843772960000003</v>
      </c>
      <c r="H85" s="198">
        <f t="shared" si="40"/>
        <v>43.505025715200006</v>
      </c>
      <c r="I85" s="198">
        <f t="shared" si="40"/>
        <v>48.725628801024016</v>
      </c>
      <c r="J85" s="198">
        <f t="shared" si="40"/>
        <v>54.57270425714691</v>
      </c>
      <c r="K85" s="198">
        <f t="shared" si="40"/>
        <v>67.74021954686161</v>
      </c>
      <c r="L85" s="198">
        <f t="shared" si="40"/>
        <v>73.15943711061054</v>
      </c>
      <c r="M85" s="198">
        <f t="shared" si="40"/>
        <v>79.012192079459382</v>
      </c>
      <c r="N85" s="198">
        <f t="shared" si="40"/>
        <v>85.333167445816144</v>
      </c>
      <c r="O85" s="198">
        <f t="shared" si="40"/>
        <v>92.159820841481448</v>
      </c>
    </row>
    <row r="86" spans="1:15">
      <c r="A86" s="191"/>
      <c r="B86" s="403" t="s">
        <v>334</v>
      </c>
      <c r="C86" s="472">
        <v>7.5</v>
      </c>
      <c r="D86" s="196" t="s">
        <v>40</v>
      </c>
      <c r="E86" s="190" t="s">
        <v>15</v>
      </c>
      <c r="F86" s="405">
        <f>+F82/$C$86/24/80%</f>
        <v>92.209258333333338</v>
      </c>
      <c r="G86" s="405">
        <f t="shared" ref="G86:O86" si="41">+G82/$C$86/24/80%</f>
        <v>107.89936933333334</v>
      </c>
      <c r="H86" s="405">
        <f t="shared" si="41"/>
        <v>120.84729365333335</v>
      </c>
      <c r="I86" s="405">
        <f t="shared" si="41"/>
        <v>135.34896889173336</v>
      </c>
      <c r="J86" s="405">
        <f t="shared" si="41"/>
        <v>151.59084515874142</v>
      </c>
      <c r="K86" s="405">
        <f t="shared" si="41"/>
        <v>188.16727651906001</v>
      </c>
      <c r="L86" s="405">
        <f t="shared" si="41"/>
        <v>203.22065864058482</v>
      </c>
      <c r="M86" s="405">
        <f t="shared" si="41"/>
        <v>219.47831133183161</v>
      </c>
      <c r="N86" s="405">
        <f t="shared" si="41"/>
        <v>237.03657623837816</v>
      </c>
      <c r="O86" s="405">
        <f t="shared" si="41"/>
        <v>255.99950233744849</v>
      </c>
    </row>
    <row r="87" spans="1:15">
      <c r="A87" s="191"/>
      <c r="B87" s="406" t="s">
        <v>357</v>
      </c>
      <c r="C87" s="472">
        <v>7.5</v>
      </c>
      <c r="D87" s="196" t="s">
        <v>60</v>
      </c>
      <c r="E87" s="190" t="s">
        <v>15</v>
      </c>
      <c r="F87" s="405">
        <f>+F86</f>
        <v>92.209258333333338</v>
      </c>
      <c r="G87" s="405">
        <f t="shared" ref="G87:O87" si="42">+G86</f>
        <v>107.89936933333334</v>
      </c>
      <c r="H87" s="405">
        <f t="shared" si="42"/>
        <v>120.84729365333335</v>
      </c>
      <c r="I87" s="405">
        <f t="shared" si="42"/>
        <v>135.34896889173336</v>
      </c>
      <c r="J87" s="405">
        <f t="shared" si="42"/>
        <v>151.59084515874142</v>
      </c>
      <c r="K87" s="405">
        <f t="shared" si="42"/>
        <v>188.16727651906001</v>
      </c>
      <c r="L87" s="405">
        <f t="shared" si="42"/>
        <v>203.22065864058482</v>
      </c>
      <c r="M87" s="405">
        <f t="shared" si="42"/>
        <v>219.47831133183161</v>
      </c>
      <c r="N87" s="405">
        <f t="shared" si="42"/>
        <v>237.03657623837816</v>
      </c>
      <c r="O87" s="405">
        <f t="shared" si="42"/>
        <v>255.99950233744849</v>
      </c>
    </row>
    <row r="88" spans="1:15" s="195" customFormat="1">
      <c r="A88" s="193"/>
      <c r="B88" s="194" t="str">
        <f>+'Graph Base Data'!B29</f>
        <v>RHPO</v>
      </c>
      <c r="C88" s="455" t="s">
        <v>239</v>
      </c>
      <c r="E88" s="195" t="s">
        <v>240</v>
      </c>
      <c r="F88" s="194">
        <f>+'Graph Base Data'!F29</f>
        <v>665.5</v>
      </c>
      <c r="G88" s="194">
        <f>+'Graph Base Data'!G29</f>
        <v>732.05000000000007</v>
      </c>
      <c r="H88" s="194">
        <f>+'Graph Base Data'!H29</f>
        <v>805.25500000000011</v>
      </c>
      <c r="I88" s="194">
        <f>+'Graph Base Data'!I29</f>
        <v>885.78050000000019</v>
      </c>
      <c r="J88" s="194">
        <f>+'Graph Base Data'!J29</f>
        <v>974.35855000000026</v>
      </c>
      <c r="K88" s="194">
        <f>+'Graph Base Data'!K29</f>
        <v>1071.7944050000003</v>
      </c>
      <c r="L88" s="194">
        <f>+'Graph Base Data'!L29</f>
        <v>1157.5379574000003</v>
      </c>
      <c r="M88" s="194">
        <f>+'Graph Base Data'!M29</f>
        <v>1250.1409939920004</v>
      </c>
      <c r="N88" s="194">
        <f>+'Graph Base Data'!N29</f>
        <v>1350.1522735113606</v>
      </c>
      <c r="O88" s="194">
        <f>+'Graph Base Data'!O29</f>
        <v>1458.1644553922695</v>
      </c>
    </row>
    <row r="89" spans="1:15" s="202" customFormat="1">
      <c r="A89" s="201"/>
      <c r="B89" s="202" t="s">
        <v>17</v>
      </c>
      <c r="C89" s="478">
        <v>150</v>
      </c>
      <c r="D89" s="201" t="s">
        <v>35</v>
      </c>
      <c r="E89" s="202" t="s">
        <v>15</v>
      </c>
      <c r="F89" s="203">
        <f>+F88/$C$89</f>
        <v>4.4366666666666665</v>
      </c>
      <c r="G89" s="203">
        <f t="shared" ref="G89:O89" si="43">+G88/$C$89</f>
        <v>4.8803333333333336</v>
      </c>
      <c r="H89" s="203">
        <f t="shared" si="43"/>
        <v>5.3683666666666676</v>
      </c>
      <c r="I89" s="203">
        <f t="shared" si="43"/>
        <v>5.9052033333333345</v>
      </c>
      <c r="J89" s="203">
        <f t="shared" si="43"/>
        <v>6.4957236666666684</v>
      </c>
      <c r="K89" s="203">
        <f t="shared" si="43"/>
        <v>7.1452960333333353</v>
      </c>
      <c r="L89" s="203">
        <f t="shared" si="43"/>
        <v>7.7169197160000023</v>
      </c>
      <c r="M89" s="203">
        <f t="shared" si="43"/>
        <v>8.3342732932800025</v>
      </c>
      <c r="N89" s="203">
        <f t="shared" si="43"/>
        <v>9.0010151567424046</v>
      </c>
      <c r="O89" s="203">
        <f t="shared" si="43"/>
        <v>9.7210963692817973</v>
      </c>
    </row>
    <row r="90" spans="1:15" s="202" customFormat="1">
      <c r="A90" s="201"/>
      <c r="B90" s="202" t="s">
        <v>47</v>
      </c>
      <c r="C90" s="477">
        <v>400</v>
      </c>
      <c r="D90" s="201" t="s">
        <v>35</v>
      </c>
      <c r="E90" s="202" t="s">
        <v>15</v>
      </c>
      <c r="F90" s="203">
        <v>0</v>
      </c>
      <c r="G90" s="203">
        <v>1</v>
      </c>
      <c r="H90" s="203">
        <v>2</v>
      </c>
      <c r="I90" s="203">
        <v>3</v>
      </c>
      <c r="J90" s="203">
        <v>4</v>
      </c>
      <c r="K90" s="203">
        <v>5</v>
      </c>
      <c r="L90" s="203">
        <v>6</v>
      </c>
      <c r="M90" s="203">
        <v>7</v>
      </c>
      <c r="N90" s="203">
        <v>8</v>
      </c>
      <c r="O90" s="203">
        <v>9</v>
      </c>
    </row>
    <row r="91" spans="1:15" s="202" customFormat="1">
      <c r="A91" s="201"/>
      <c r="B91" s="202" t="s">
        <v>49</v>
      </c>
      <c r="C91" s="477">
        <v>400</v>
      </c>
      <c r="D91" s="201" t="s">
        <v>35</v>
      </c>
      <c r="E91" s="202" t="s">
        <v>15</v>
      </c>
      <c r="F91" s="203">
        <f>+F88/$C$91</f>
        <v>1.6637500000000001</v>
      </c>
      <c r="G91" s="203">
        <f t="shared" ref="G91:O91" si="44">+G88/$C$91</f>
        <v>1.8301250000000002</v>
      </c>
      <c r="H91" s="203">
        <f t="shared" si="44"/>
        <v>2.0131375000000005</v>
      </c>
      <c r="I91" s="203">
        <f t="shared" si="44"/>
        <v>2.2144512500000006</v>
      </c>
      <c r="J91" s="203">
        <f t="shared" si="44"/>
        <v>2.4358963750000004</v>
      </c>
      <c r="K91" s="203">
        <f t="shared" si="44"/>
        <v>2.6794860125000008</v>
      </c>
      <c r="L91" s="203">
        <f t="shared" si="44"/>
        <v>2.8938448935000007</v>
      </c>
      <c r="M91" s="203">
        <f t="shared" si="44"/>
        <v>3.125352484980001</v>
      </c>
      <c r="N91" s="203">
        <f t="shared" si="44"/>
        <v>3.3753806837784013</v>
      </c>
      <c r="O91" s="203">
        <f t="shared" si="44"/>
        <v>3.6454111384806738</v>
      </c>
    </row>
    <row r="92" spans="1:15" s="202" customFormat="1">
      <c r="A92" s="201"/>
      <c r="B92" s="403" t="s">
        <v>334</v>
      </c>
      <c r="C92" s="472">
        <v>7.5</v>
      </c>
      <c r="D92" s="201" t="s">
        <v>40</v>
      </c>
      <c r="E92" s="202" t="s">
        <v>15</v>
      </c>
      <c r="F92" s="405">
        <f>+F88/$C$92/24/80%</f>
        <v>4.6215277777777777</v>
      </c>
      <c r="G92" s="405">
        <f t="shared" ref="G92:O92" si="45">+G88/$C$92/24</f>
        <v>4.0669444444444443</v>
      </c>
      <c r="H92" s="405">
        <f t="shared" si="45"/>
        <v>4.4736388888888898</v>
      </c>
      <c r="I92" s="405">
        <f t="shared" si="45"/>
        <v>4.9210027777777787</v>
      </c>
      <c r="J92" s="405">
        <f t="shared" si="45"/>
        <v>5.413103055555557</v>
      </c>
      <c r="K92" s="405">
        <f t="shared" si="45"/>
        <v>5.9544133611111123</v>
      </c>
      <c r="L92" s="405">
        <f t="shared" si="45"/>
        <v>6.430766430000002</v>
      </c>
      <c r="M92" s="405">
        <f t="shared" si="45"/>
        <v>6.945227744400003</v>
      </c>
      <c r="N92" s="405">
        <f t="shared" si="45"/>
        <v>7.5008459639520035</v>
      </c>
      <c r="O92" s="405">
        <f t="shared" si="45"/>
        <v>8.1009136410681641</v>
      </c>
    </row>
    <row r="93" spans="1:15">
      <c r="A93" s="191"/>
      <c r="B93" s="406" t="s">
        <v>357</v>
      </c>
      <c r="C93" s="472">
        <v>7.5</v>
      </c>
      <c r="D93" s="196" t="s">
        <v>40</v>
      </c>
      <c r="E93" s="190" t="s">
        <v>15</v>
      </c>
      <c r="F93" s="405">
        <f>+F92</f>
        <v>4.6215277777777777</v>
      </c>
      <c r="G93" s="405">
        <f t="shared" ref="G93:O93" si="46">+G92</f>
        <v>4.0669444444444443</v>
      </c>
      <c r="H93" s="405">
        <f t="shared" si="46"/>
        <v>4.4736388888888898</v>
      </c>
      <c r="I93" s="405">
        <f t="shared" si="46"/>
        <v>4.9210027777777787</v>
      </c>
      <c r="J93" s="405">
        <f t="shared" si="46"/>
        <v>5.413103055555557</v>
      </c>
      <c r="K93" s="405">
        <f t="shared" si="46"/>
        <v>5.9544133611111123</v>
      </c>
      <c r="L93" s="405">
        <f t="shared" si="46"/>
        <v>6.430766430000002</v>
      </c>
      <c r="M93" s="405">
        <f t="shared" si="46"/>
        <v>6.945227744400003</v>
      </c>
      <c r="N93" s="405">
        <f t="shared" si="46"/>
        <v>7.5008459639520035</v>
      </c>
      <c r="O93" s="405">
        <f t="shared" si="46"/>
        <v>8.1009136410681641</v>
      </c>
    </row>
    <row r="94" spans="1:15" s="195" customFormat="1">
      <c r="A94" s="193"/>
      <c r="B94" s="194" t="str">
        <f>+'Graph Base Data'!B30</f>
        <v>RHSBO</v>
      </c>
      <c r="C94" s="455" t="s">
        <v>239</v>
      </c>
      <c r="E94" s="195" t="s">
        <v>240</v>
      </c>
      <c r="F94" s="194">
        <f>+'Graph Base Data'!F30</f>
        <v>1271.2528888888892</v>
      </c>
      <c r="G94" s="194">
        <f>+'Graph Base Data'!G30</f>
        <v>1398.3781777777781</v>
      </c>
      <c r="H94" s="194">
        <f>+'Graph Base Data'!H30</f>
        <v>1538.215995555556</v>
      </c>
      <c r="I94" s="194">
        <f>+'Graph Base Data'!I30</f>
        <v>1692.0375951111118</v>
      </c>
      <c r="J94" s="194">
        <f>+'Graph Base Data'!J30</f>
        <v>1861.2413546222231</v>
      </c>
      <c r="K94" s="194">
        <f>+'Graph Base Data'!K30</f>
        <v>2047.3654900844456</v>
      </c>
      <c r="L94" s="194">
        <f>+'Graph Base Data'!L30</f>
        <v>2211.1547292912014</v>
      </c>
      <c r="M94" s="194">
        <f>+'Graph Base Data'!M30</f>
        <v>2388.0471076344975</v>
      </c>
      <c r="N94" s="194">
        <f>+'Graph Base Data'!N30</f>
        <v>2579.0908762452573</v>
      </c>
      <c r="O94" s="194">
        <f>+'Graph Base Data'!O30</f>
        <v>2785.4181463448781</v>
      </c>
    </row>
    <row r="95" spans="1:15" s="202" customFormat="1">
      <c r="A95" s="201"/>
      <c r="B95" s="202" t="s">
        <v>17</v>
      </c>
      <c r="C95" s="478">
        <v>120</v>
      </c>
      <c r="D95" s="201" t="s">
        <v>35</v>
      </c>
      <c r="E95" s="202" t="s">
        <v>15</v>
      </c>
      <c r="F95" s="203">
        <f>+F94/$C$95</f>
        <v>10.593774074074076</v>
      </c>
      <c r="G95" s="203">
        <f t="shared" ref="G95:O95" si="47">+G94/$C$95</f>
        <v>11.653151481481483</v>
      </c>
      <c r="H95" s="203">
        <f t="shared" si="47"/>
        <v>12.818466629629633</v>
      </c>
      <c r="I95" s="203">
        <f t="shared" si="47"/>
        <v>14.100313292592599</v>
      </c>
      <c r="J95" s="203">
        <f t="shared" si="47"/>
        <v>15.510344621851859</v>
      </c>
      <c r="K95" s="203">
        <f t="shared" si="47"/>
        <v>17.061379084037046</v>
      </c>
      <c r="L95" s="203">
        <f t="shared" si="47"/>
        <v>18.426289410760013</v>
      </c>
      <c r="M95" s="203">
        <f t="shared" si="47"/>
        <v>19.900392563620812</v>
      </c>
      <c r="N95" s="203">
        <f t="shared" si="47"/>
        <v>21.492423968710476</v>
      </c>
      <c r="O95" s="203">
        <f t="shared" si="47"/>
        <v>23.211817886207317</v>
      </c>
    </row>
    <row r="96" spans="1:15" s="202" customFormat="1">
      <c r="A96" s="201"/>
      <c r="B96" s="202" t="s">
        <v>47</v>
      </c>
      <c r="C96" s="477">
        <v>400</v>
      </c>
      <c r="D96" s="201" t="s">
        <v>35</v>
      </c>
      <c r="E96" s="202" t="s">
        <v>15</v>
      </c>
      <c r="F96" s="203">
        <v>0</v>
      </c>
      <c r="G96" s="203">
        <v>1</v>
      </c>
      <c r="H96" s="203">
        <v>2</v>
      </c>
      <c r="I96" s="203">
        <v>3</v>
      </c>
      <c r="J96" s="203">
        <v>4</v>
      </c>
      <c r="K96" s="203">
        <v>5</v>
      </c>
      <c r="L96" s="203">
        <v>6</v>
      </c>
      <c r="M96" s="203">
        <v>7</v>
      </c>
      <c r="N96" s="203">
        <v>8</v>
      </c>
      <c r="O96" s="203">
        <v>9</v>
      </c>
    </row>
    <row r="97" spans="1:15" s="202" customFormat="1">
      <c r="A97" s="201"/>
      <c r="B97" s="202" t="s">
        <v>49</v>
      </c>
      <c r="C97" s="477">
        <v>400</v>
      </c>
      <c r="D97" s="201" t="s">
        <v>35</v>
      </c>
      <c r="E97" s="202" t="s">
        <v>15</v>
      </c>
      <c r="F97" s="203">
        <f>+F94/$C$97</f>
        <v>3.178132222222223</v>
      </c>
      <c r="G97" s="203">
        <f t="shared" ref="G97:O97" si="48">+G94/$C$97</f>
        <v>3.4959454444444451</v>
      </c>
      <c r="H97" s="203">
        <f t="shared" si="48"/>
        <v>3.8455399888888899</v>
      </c>
      <c r="I97" s="203">
        <f t="shared" si="48"/>
        <v>4.2300939877777797</v>
      </c>
      <c r="J97" s="203">
        <f t="shared" si="48"/>
        <v>4.653103386555558</v>
      </c>
      <c r="K97" s="203">
        <f t="shared" si="48"/>
        <v>5.1184137252111137</v>
      </c>
      <c r="L97" s="203">
        <f t="shared" si="48"/>
        <v>5.5278868232280036</v>
      </c>
      <c r="M97" s="203">
        <f t="shared" si="48"/>
        <v>5.9701177690862437</v>
      </c>
      <c r="N97" s="203">
        <f t="shared" si="48"/>
        <v>6.4477271906131435</v>
      </c>
      <c r="O97" s="203">
        <f t="shared" si="48"/>
        <v>6.9635453658621955</v>
      </c>
    </row>
    <row r="98" spans="1:15" s="202" customFormat="1">
      <c r="A98" s="201"/>
      <c r="B98" s="403" t="s">
        <v>334</v>
      </c>
      <c r="C98" s="472">
        <v>7.5</v>
      </c>
      <c r="D98" s="201" t="s">
        <v>41</v>
      </c>
      <c r="E98" s="202" t="s">
        <v>15</v>
      </c>
      <c r="F98" s="405">
        <f>+F94/$C$98/24/80%</f>
        <v>8.8281450617283976</v>
      </c>
      <c r="G98" s="405">
        <f t="shared" ref="G98:O98" si="49">+G94/$C$98/24/80%</f>
        <v>9.7109595679012362</v>
      </c>
      <c r="H98" s="405">
        <f t="shared" si="49"/>
        <v>10.682055524691361</v>
      </c>
      <c r="I98" s="405">
        <f t="shared" si="49"/>
        <v>11.750261077160499</v>
      </c>
      <c r="J98" s="405">
        <f t="shared" si="49"/>
        <v>12.925287184876547</v>
      </c>
      <c r="K98" s="405">
        <f t="shared" si="49"/>
        <v>14.217815903364205</v>
      </c>
      <c r="L98" s="405">
        <f t="shared" si="49"/>
        <v>15.355241175633344</v>
      </c>
      <c r="M98" s="405">
        <f t="shared" si="49"/>
        <v>16.583660469684009</v>
      </c>
      <c r="N98" s="405">
        <f t="shared" si="49"/>
        <v>17.910353307258731</v>
      </c>
      <c r="O98" s="405">
        <f t="shared" si="49"/>
        <v>19.34318157183943</v>
      </c>
    </row>
    <row r="99" spans="1:15">
      <c r="A99" s="191"/>
      <c r="B99" s="406" t="s">
        <v>357</v>
      </c>
      <c r="C99" s="472">
        <v>7.5</v>
      </c>
      <c r="D99" s="196" t="s">
        <v>40</v>
      </c>
      <c r="E99" s="190" t="s">
        <v>15</v>
      </c>
      <c r="F99" s="405">
        <f>+F98</f>
        <v>8.8281450617283976</v>
      </c>
      <c r="G99" s="405">
        <f t="shared" ref="G99:O99" si="50">+G98</f>
        <v>9.7109595679012362</v>
      </c>
      <c r="H99" s="405">
        <f t="shared" si="50"/>
        <v>10.682055524691361</v>
      </c>
      <c r="I99" s="405">
        <f t="shared" si="50"/>
        <v>11.750261077160499</v>
      </c>
      <c r="J99" s="405">
        <f t="shared" si="50"/>
        <v>12.925287184876547</v>
      </c>
      <c r="K99" s="405">
        <f t="shared" si="50"/>
        <v>14.217815903364205</v>
      </c>
      <c r="L99" s="405">
        <f t="shared" si="50"/>
        <v>15.355241175633344</v>
      </c>
      <c r="M99" s="405">
        <f t="shared" si="50"/>
        <v>16.583660469684009</v>
      </c>
      <c r="N99" s="405">
        <f t="shared" si="50"/>
        <v>17.910353307258731</v>
      </c>
      <c r="O99" s="405">
        <f t="shared" si="50"/>
        <v>19.34318157183943</v>
      </c>
    </row>
    <row r="100" spans="1:15">
      <c r="A100" s="191"/>
      <c r="B100" s="199"/>
      <c r="F100" s="199"/>
      <c r="G100" s="199"/>
      <c r="H100" s="199"/>
      <c r="I100" s="199"/>
      <c r="J100" s="199"/>
      <c r="K100" s="199"/>
      <c r="L100" s="199"/>
      <c r="M100" s="199"/>
      <c r="N100" s="199"/>
      <c r="O100" s="199"/>
    </row>
    <row r="101" spans="1:15" ht="21">
      <c r="A101" s="191"/>
      <c r="B101" s="192" t="s">
        <v>242</v>
      </c>
      <c r="C101" s="204"/>
    </row>
    <row r="102" spans="1:15" s="195" customFormat="1">
      <c r="A102" s="193"/>
      <c r="B102" s="194" t="str">
        <f>+'Graph Base Data'!B57</f>
        <v>Liquid Shortening</v>
      </c>
      <c r="C102" s="455" t="s">
        <v>239</v>
      </c>
      <c r="E102" s="195" t="s">
        <v>240</v>
      </c>
      <c r="F102" s="194">
        <f>+'Graph Base Data'!F57</f>
        <v>605.20567753258115</v>
      </c>
      <c r="G102" s="194">
        <f>+'Graph Base Data'!G57</f>
        <v>945.63947306456703</v>
      </c>
      <c r="H102" s="194">
        <f>+'Graph Base Data'!H57</f>
        <v>1286.0732685965531</v>
      </c>
      <c r="I102" s="194">
        <f>+'Graph Base Data'!I57</f>
        <v>1478.9842588860361</v>
      </c>
      <c r="J102" s="194">
        <f>+'Graph Base Data'!J57</f>
        <v>1700.8318977189413</v>
      </c>
      <c r="K102" s="194">
        <f>+'Graph Base Data'!K57</f>
        <v>1955.9566823767823</v>
      </c>
      <c r="L102" s="194">
        <f>+'Graph Base Data'!L57</f>
        <v>2249.3501847332996</v>
      </c>
      <c r="M102" s="194">
        <f>+'Graph Base Data'!M57</f>
        <v>2586.7527124432941</v>
      </c>
      <c r="N102" s="194">
        <f>+'Graph Base Data'!N57</f>
        <v>2974.7656193097878</v>
      </c>
      <c r="O102" s="194">
        <f>+'Graph Base Data'!O57</f>
        <v>3420.9804622062557</v>
      </c>
    </row>
    <row r="103" spans="1:15">
      <c r="A103" s="191"/>
      <c r="B103" s="196" t="s">
        <v>20</v>
      </c>
      <c r="C103" s="475">
        <v>10</v>
      </c>
      <c r="D103" s="190" t="s">
        <v>39</v>
      </c>
      <c r="E103" s="190" t="s">
        <v>15</v>
      </c>
      <c r="F103" s="198">
        <f>+F102/$C$103/24</f>
        <v>2.5216903230524212</v>
      </c>
      <c r="G103" s="198">
        <f t="shared" ref="G103:O103" si="51">+G102/$C$103/24</f>
        <v>3.9401644711023622</v>
      </c>
      <c r="H103" s="198">
        <f t="shared" si="51"/>
        <v>5.3586386191523045</v>
      </c>
      <c r="I103" s="198">
        <f t="shared" si="51"/>
        <v>6.1624344120251502</v>
      </c>
      <c r="J103" s="198">
        <f t="shared" si="51"/>
        <v>7.0867995738289222</v>
      </c>
      <c r="K103" s="198">
        <f t="shared" si="51"/>
        <v>8.14981950990326</v>
      </c>
      <c r="L103" s="198">
        <f t="shared" si="51"/>
        <v>9.372292436388749</v>
      </c>
      <c r="M103" s="198">
        <f t="shared" si="51"/>
        <v>10.778136301847058</v>
      </c>
      <c r="N103" s="198">
        <f t="shared" si="51"/>
        <v>12.394856747124116</v>
      </c>
      <c r="O103" s="198">
        <f t="shared" si="51"/>
        <v>14.254085259192733</v>
      </c>
    </row>
    <row r="104" spans="1:15" s="195" customFormat="1">
      <c r="A104" s="193"/>
      <c r="B104" s="194" t="str">
        <f>+'Graph Base Data'!B58</f>
        <v>Non IE Shortening</v>
      </c>
      <c r="C104" s="473"/>
      <c r="D104" s="195" t="s">
        <v>30</v>
      </c>
      <c r="E104" s="195" t="s">
        <v>31</v>
      </c>
      <c r="F104" s="194">
        <f>+'Graph Base Data'!F58</f>
        <v>1458.5753664611261</v>
      </c>
      <c r="G104" s="194">
        <f>+'Graph Base Data'!G58</f>
        <v>3248.979486820991</v>
      </c>
      <c r="H104" s="194">
        <f>+'Graph Base Data'!H58</f>
        <v>5039.3836071808564</v>
      </c>
      <c r="I104" s="194">
        <f>+'Graph Base Data'!I58</f>
        <v>6036.7553627553498</v>
      </c>
      <c r="J104" s="194">
        <f>+'Graph Base Data'!J58</f>
        <v>7221.4107240346402</v>
      </c>
      <c r="K104" s="194">
        <f>+'Graph Base Data'!K58</f>
        <v>8677.162529435438</v>
      </c>
      <c r="L104" s="194">
        <f>+'Graph Base Data'!L58</f>
        <v>10082.025598492137</v>
      </c>
      <c r="M104" s="194">
        <f>+'Graph Base Data'!M58</f>
        <v>11456.930862485813</v>
      </c>
      <c r="N104" s="194">
        <f>+'Graph Base Data'!N58</f>
        <v>12840.47352407733</v>
      </c>
      <c r="O104" s="194">
        <f>+'Graph Base Data'!O58</f>
        <v>14404.397892137711</v>
      </c>
    </row>
    <row r="105" spans="1:15">
      <c r="A105" s="191"/>
      <c r="B105" s="403" t="s">
        <v>307</v>
      </c>
      <c r="C105" s="472">
        <v>7.5</v>
      </c>
      <c r="D105" s="190" t="s">
        <v>39</v>
      </c>
      <c r="E105" s="190" t="s">
        <v>15</v>
      </c>
      <c r="F105" s="405">
        <f>+F104/$C$105/24/75%</f>
        <v>10.804261973786119</v>
      </c>
      <c r="G105" s="405">
        <f t="shared" ref="G105:O105" si="52">+G104/$C$105/24/75%</f>
        <v>24.066514717192522</v>
      </c>
      <c r="H105" s="405">
        <f t="shared" si="52"/>
        <v>37.328767460598932</v>
      </c>
      <c r="I105" s="405">
        <f t="shared" si="52"/>
        <v>44.716706390780367</v>
      </c>
      <c r="J105" s="405">
        <f t="shared" si="52"/>
        <v>53.491931289145491</v>
      </c>
      <c r="K105" s="405">
        <f t="shared" si="52"/>
        <v>64.275277995818058</v>
      </c>
      <c r="L105" s="405">
        <f t="shared" si="52"/>
        <v>74.681671099941767</v>
      </c>
      <c r="M105" s="405">
        <f t="shared" si="52"/>
        <v>84.866154536931944</v>
      </c>
      <c r="N105" s="405">
        <f t="shared" si="52"/>
        <v>95.114618696869115</v>
      </c>
      <c r="O105" s="405">
        <f t="shared" si="52"/>
        <v>106.69924364546453</v>
      </c>
    </row>
    <row r="106" spans="1:15">
      <c r="A106" s="191"/>
      <c r="B106" s="406" t="s">
        <v>358</v>
      </c>
      <c r="C106" s="472">
        <v>7.5</v>
      </c>
      <c r="D106" s="190" t="s">
        <v>39</v>
      </c>
      <c r="E106" s="190" t="s">
        <v>15</v>
      </c>
      <c r="F106" s="405">
        <f>+F105</f>
        <v>10.804261973786119</v>
      </c>
      <c r="G106" s="405">
        <f t="shared" ref="G106:O106" si="53">+G105</f>
        <v>24.066514717192522</v>
      </c>
      <c r="H106" s="405">
        <f t="shared" si="53"/>
        <v>37.328767460598932</v>
      </c>
      <c r="I106" s="405">
        <f t="shared" si="53"/>
        <v>44.716706390780367</v>
      </c>
      <c r="J106" s="405">
        <f t="shared" si="53"/>
        <v>53.491931289145491</v>
      </c>
      <c r="K106" s="405">
        <f t="shared" si="53"/>
        <v>64.275277995818058</v>
      </c>
      <c r="L106" s="405">
        <f t="shared" si="53"/>
        <v>74.681671099941767</v>
      </c>
      <c r="M106" s="405">
        <f t="shared" si="53"/>
        <v>84.866154536931944</v>
      </c>
      <c r="N106" s="405">
        <f t="shared" si="53"/>
        <v>95.114618696869115</v>
      </c>
      <c r="O106" s="405">
        <f t="shared" si="53"/>
        <v>106.69924364546453</v>
      </c>
    </row>
    <row r="107" spans="1:15" s="195" customFormat="1">
      <c r="A107" s="193"/>
      <c r="B107" s="194" t="str">
        <f>+'Graph Base Data'!B59</f>
        <v>Non-IE Margarine</v>
      </c>
      <c r="C107" s="455" t="s">
        <v>239</v>
      </c>
      <c r="E107" s="195" t="s">
        <v>240</v>
      </c>
      <c r="F107" s="194">
        <f>+'Graph Base Data'!F59</f>
        <v>147.58908995352584</v>
      </c>
      <c r="G107" s="194">
        <f>+'Graph Base Data'!G59</f>
        <v>270.61918256620027</v>
      </c>
      <c r="H107" s="194">
        <f>+'Graph Base Data'!H59</f>
        <v>498.7127163295421</v>
      </c>
      <c r="I107" s="194">
        <f>+'Graph Base Data'!I59</f>
        <v>759.56809017554326</v>
      </c>
      <c r="J107" s="194">
        <f>+'Graph Base Data'!J59</f>
        <v>960.97824966426947</v>
      </c>
      <c r="K107" s="194">
        <f>+'Graph Base Data'!K59</f>
        <v>1219.4622578637795</v>
      </c>
      <c r="L107" s="194">
        <f>+'Graph Base Data'!L59</f>
        <v>1508.9362116641621</v>
      </c>
      <c r="M107" s="194">
        <f>+'Graph Base Data'!M59</f>
        <v>1789.1375324060991</v>
      </c>
      <c r="N107" s="194">
        <f>+'Graph Base Data'!N59</f>
        <v>2017.6987631386596</v>
      </c>
      <c r="O107" s="194">
        <f>+'Graph Base Data'!O59</f>
        <v>2224.5961756353654</v>
      </c>
    </row>
    <row r="108" spans="1:15">
      <c r="A108" s="191"/>
      <c r="B108" s="403" t="s">
        <v>307</v>
      </c>
      <c r="C108" s="472">
        <v>4.5</v>
      </c>
      <c r="D108" s="190" t="s">
        <v>39</v>
      </c>
      <c r="E108" s="190" t="s">
        <v>15</v>
      </c>
      <c r="F108" s="405">
        <f>+F107/$C$108/24/75%</f>
        <v>1.8220875302904425</v>
      </c>
      <c r="G108" s="405">
        <f t="shared" ref="G108:O108" si="54">+G107/$C$108/24/75%</f>
        <v>3.3409775625456821</v>
      </c>
      <c r="H108" s="405">
        <f t="shared" si="54"/>
        <v>6.1569471151795332</v>
      </c>
      <c r="I108" s="405">
        <f t="shared" si="54"/>
        <v>9.3773838293276945</v>
      </c>
      <c r="J108" s="405">
        <f t="shared" si="54"/>
        <v>11.863929008200857</v>
      </c>
      <c r="K108" s="405">
        <f t="shared" si="54"/>
        <v>15.055089603256535</v>
      </c>
      <c r="L108" s="405">
        <f t="shared" si="54"/>
        <v>18.628842119310644</v>
      </c>
      <c r="M108" s="405">
        <f t="shared" si="54"/>
        <v>22.088117684025914</v>
      </c>
      <c r="N108" s="405">
        <f t="shared" si="54"/>
        <v>24.909861273316782</v>
      </c>
      <c r="O108" s="405">
        <f t="shared" si="54"/>
        <v>27.464150316485995</v>
      </c>
    </row>
    <row r="109" spans="1:15" s="202" customFormat="1">
      <c r="A109" s="191"/>
      <c r="B109" s="406" t="s">
        <v>358</v>
      </c>
      <c r="C109" s="472">
        <v>4.5</v>
      </c>
      <c r="D109" s="202" t="s">
        <v>39</v>
      </c>
      <c r="E109" s="202" t="s">
        <v>15</v>
      </c>
      <c r="F109" s="405">
        <f>+F108</f>
        <v>1.8220875302904425</v>
      </c>
      <c r="G109" s="405">
        <f t="shared" ref="G109:O109" si="55">+G108</f>
        <v>3.3409775625456821</v>
      </c>
      <c r="H109" s="405">
        <f t="shared" si="55"/>
        <v>6.1569471151795332</v>
      </c>
      <c r="I109" s="405">
        <f t="shared" si="55"/>
        <v>9.3773838293276945</v>
      </c>
      <c r="J109" s="405">
        <f t="shared" si="55"/>
        <v>11.863929008200857</v>
      </c>
      <c r="K109" s="405">
        <f t="shared" si="55"/>
        <v>15.055089603256535</v>
      </c>
      <c r="L109" s="405">
        <f t="shared" si="55"/>
        <v>18.628842119310644</v>
      </c>
      <c r="M109" s="405">
        <f t="shared" si="55"/>
        <v>22.088117684025914</v>
      </c>
      <c r="N109" s="405">
        <f t="shared" si="55"/>
        <v>24.909861273316782</v>
      </c>
      <c r="O109" s="405">
        <f t="shared" si="55"/>
        <v>27.464150316485995</v>
      </c>
    </row>
    <row r="110" spans="1:15" s="195" customFormat="1">
      <c r="A110" s="193"/>
      <c r="B110" s="194" t="s">
        <v>6</v>
      </c>
      <c r="C110" s="455" t="s">
        <v>239</v>
      </c>
      <c r="E110" s="195" t="s">
        <v>240</v>
      </c>
      <c r="F110" s="194">
        <f>'Graph Base Data'!F60</f>
        <v>5175.7505511215431</v>
      </c>
      <c r="G110" s="194">
        <f>'Graph Base Data'!G60</f>
        <v>8489.740760756853</v>
      </c>
      <c r="H110" s="194">
        <f>'Graph Base Data'!H60</f>
        <v>14921.337228255727</v>
      </c>
      <c r="I110" s="194">
        <f>'Graph Base Data'!I60</f>
        <v>17903.771666956185</v>
      </c>
      <c r="J110" s="194">
        <f>'Graph Base Data'!J60</f>
        <v>21441.010989538299</v>
      </c>
      <c r="K110" s="194">
        <f>'Graph Base Data'!K60</f>
        <v>25748.013166195044</v>
      </c>
      <c r="L110" s="194">
        <f>'Graph Base Data'!L60</f>
        <v>29572.304254945353</v>
      </c>
      <c r="M110" s="194">
        <f>'Graph Base Data'!M60</f>
        <v>29572.304254945353</v>
      </c>
      <c r="N110" s="194">
        <f>'Graph Base Data'!N60</f>
        <v>29572.304254945353</v>
      </c>
      <c r="O110" s="194">
        <f>'Graph Base Data'!O60</f>
        <v>29572.304254945353</v>
      </c>
    </row>
    <row r="111" spans="1:15" s="202" customFormat="1">
      <c r="A111" s="191"/>
      <c r="B111" s="403" t="s">
        <v>307</v>
      </c>
      <c r="C111" s="472">
        <v>7.5</v>
      </c>
      <c r="D111" s="190" t="s">
        <v>39</v>
      </c>
      <c r="E111" s="190" t="s">
        <v>15</v>
      </c>
      <c r="F111" s="405">
        <f>+F110/$C$111/24/75%</f>
        <v>38.338892971270688</v>
      </c>
      <c r="G111" s="405">
        <f t="shared" ref="G111:O111" si="56">+G110/$C$111/24/75%</f>
        <v>62.886968598198905</v>
      </c>
      <c r="H111" s="405">
        <f t="shared" si="56"/>
        <v>110.52842391300538</v>
      </c>
      <c r="I111" s="405">
        <f t="shared" si="56"/>
        <v>132.62053086634211</v>
      </c>
      <c r="J111" s="405">
        <f t="shared" si="56"/>
        <v>158.82230362620962</v>
      </c>
      <c r="K111" s="405">
        <f t="shared" si="56"/>
        <v>190.72602345329662</v>
      </c>
      <c r="L111" s="405">
        <f t="shared" si="56"/>
        <v>219.05410559218782</v>
      </c>
      <c r="M111" s="405">
        <f t="shared" si="56"/>
        <v>219.05410559218782</v>
      </c>
      <c r="N111" s="405">
        <f t="shared" si="56"/>
        <v>219.05410559218782</v>
      </c>
      <c r="O111" s="405">
        <f t="shared" si="56"/>
        <v>219.05410559218782</v>
      </c>
    </row>
    <row r="112" spans="1:15" s="202" customFormat="1">
      <c r="A112" s="191"/>
      <c r="B112" s="406" t="s">
        <v>358</v>
      </c>
      <c r="C112" s="472">
        <v>7.5</v>
      </c>
      <c r="D112" s="190" t="s">
        <v>39</v>
      </c>
      <c r="E112" s="190" t="s">
        <v>15</v>
      </c>
      <c r="F112" s="405">
        <f>+F111</f>
        <v>38.338892971270688</v>
      </c>
      <c r="G112" s="405">
        <f t="shared" ref="G112:O112" si="57">+G111</f>
        <v>62.886968598198905</v>
      </c>
      <c r="H112" s="405">
        <f t="shared" si="57"/>
        <v>110.52842391300538</v>
      </c>
      <c r="I112" s="405">
        <f t="shared" si="57"/>
        <v>132.62053086634211</v>
      </c>
      <c r="J112" s="405">
        <f t="shared" si="57"/>
        <v>158.82230362620962</v>
      </c>
      <c r="K112" s="405">
        <f t="shared" si="57"/>
        <v>190.72602345329662</v>
      </c>
      <c r="L112" s="405">
        <f t="shared" si="57"/>
        <v>219.05410559218782</v>
      </c>
      <c r="M112" s="405">
        <f t="shared" si="57"/>
        <v>219.05410559218782</v>
      </c>
      <c r="N112" s="405">
        <f t="shared" si="57"/>
        <v>219.05410559218782</v>
      </c>
      <c r="O112" s="405">
        <f t="shared" si="57"/>
        <v>219.05410559218782</v>
      </c>
    </row>
    <row r="113" spans="1:15" s="195" customFormat="1">
      <c r="A113" s="193"/>
      <c r="B113" s="194" t="s">
        <v>29</v>
      </c>
      <c r="C113" s="455" t="s">
        <v>239</v>
      </c>
      <c r="E113" s="195" t="s">
        <v>240</v>
      </c>
      <c r="F113" s="194">
        <f>'Graph Base Data'!F61</f>
        <v>1102.5599261984885</v>
      </c>
      <c r="G113" s="194">
        <f>'Graph Base Data'!G61</f>
        <v>2126.1128945508544</v>
      </c>
      <c r="H113" s="194">
        <f>'Graph Base Data'!H61</f>
        <v>4152.886753966427</v>
      </c>
      <c r="I113" s="194">
        <f>'Graph Base Data'!I61</f>
        <v>5356.7057664722788</v>
      </c>
      <c r="J113" s="194">
        <f>'Graph Base Data'!J61</f>
        <v>6843.1025989375812</v>
      </c>
      <c r="K113" s="194">
        <f>'Graph Base Data'!K61</f>
        <v>8779.8073941733637</v>
      </c>
      <c r="L113" s="194">
        <f>'Graph Base Data'!L61</f>
        <v>10900.720363679669</v>
      </c>
      <c r="M113" s="194">
        <f>'Graph Base Data'!M61</f>
        <v>10900.720363679669</v>
      </c>
      <c r="N113" s="194">
        <f>'Graph Base Data'!N61</f>
        <v>10900.720363679669</v>
      </c>
      <c r="O113" s="194">
        <f>'Graph Base Data'!O61</f>
        <v>10900.720363679669</v>
      </c>
    </row>
    <row r="114" spans="1:15" s="202" customFormat="1">
      <c r="A114" s="191"/>
      <c r="B114" s="403" t="s">
        <v>307</v>
      </c>
      <c r="C114" s="472">
        <v>4.5</v>
      </c>
      <c r="D114" s="190" t="s">
        <v>39</v>
      </c>
      <c r="E114" s="190" t="s">
        <v>15</v>
      </c>
      <c r="F114" s="405">
        <f>+F113/$C$114/24/75%</f>
        <v>13.61185094072208</v>
      </c>
      <c r="G114" s="405">
        <f t="shared" ref="G114:O114" si="58">+G113/$C$114/24/75%</f>
        <v>26.248307340134005</v>
      </c>
      <c r="H114" s="405">
        <f t="shared" si="58"/>
        <v>51.270206839091692</v>
      </c>
      <c r="I114" s="405">
        <f t="shared" si="58"/>
        <v>66.132169956447882</v>
      </c>
      <c r="J114" s="405">
        <f t="shared" si="58"/>
        <v>84.482748135031869</v>
      </c>
      <c r="K114" s="405">
        <f t="shared" si="58"/>
        <v>108.3926838786835</v>
      </c>
      <c r="L114" s="405">
        <f t="shared" si="58"/>
        <v>134.57679461332927</v>
      </c>
      <c r="M114" s="405">
        <f t="shared" si="58"/>
        <v>134.57679461332927</v>
      </c>
      <c r="N114" s="405">
        <f t="shared" si="58"/>
        <v>134.57679461332927</v>
      </c>
      <c r="O114" s="405">
        <f t="shared" si="58"/>
        <v>134.57679461332927</v>
      </c>
    </row>
    <row r="115" spans="1:15" s="202" customFormat="1">
      <c r="A115" s="191"/>
      <c r="B115" s="406" t="s">
        <v>358</v>
      </c>
      <c r="C115" s="472">
        <v>4.5</v>
      </c>
      <c r="D115" s="190" t="s">
        <v>39</v>
      </c>
      <c r="E115" s="190" t="s">
        <v>15</v>
      </c>
      <c r="F115" s="405">
        <f>+F114</f>
        <v>13.61185094072208</v>
      </c>
      <c r="G115" s="405">
        <f t="shared" ref="G115:O115" si="59">+G114</f>
        <v>26.248307340134005</v>
      </c>
      <c r="H115" s="405">
        <f t="shared" si="59"/>
        <v>51.270206839091692</v>
      </c>
      <c r="I115" s="405">
        <f t="shared" si="59"/>
        <v>66.132169956447882</v>
      </c>
      <c r="J115" s="405">
        <f t="shared" si="59"/>
        <v>84.482748135031869</v>
      </c>
      <c r="K115" s="405">
        <f t="shared" si="59"/>
        <v>108.3926838786835</v>
      </c>
      <c r="L115" s="405">
        <f t="shared" si="59"/>
        <v>134.57679461332927</v>
      </c>
      <c r="M115" s="405">
        <f t="shared" si="59"/>
        <v>134.57679461332927</v>
      </c>
      <c r="N115" s="405">
        <f t="shared" si="59"/>
        <v>134.57679461332927</v>
      </c>
      <c r="O115" s="405">
        <f t="shared" si="59"/>
        <v>134.57679461332927</v>
      </c>
    </row>
    <row r="116" spans="1:15" s="195" customFormat="1">
      <c r="A116" s="193"/>
      <c r="B116" s="194" t="s">
        <v>5</v>
      </c>
      <c r="C116" s="455" t="s">
        <v>239</v>
      </c>
      <c r="E116" s="195" t="s">
        <v>240</v>
      </c>
      <c r="F116" s="194">
        <f>'Graph Base Data'!F62</f>
        <v>0</v>
      </c>
      <c r="G116" s="194">
        <f>'Graph Base Data'!G62</f>
        <v>0</v>
      </c>
      <c r="H116" s="194">
        <f>'Graph Base Data'!H62</f>
        <v>0</v>
      </c>
      <c r="I116" s="194">
        <f>'Graph Base Data'!I62</f>
        <v>0</v>
      </c>
      <c r="J116" s="194">
        <f>'Graph Base Data'!J62</f>
        <v>0</v>
      </c>
      <c r="K116" s="194">
        <f>'Graph Base Data'!K62</f>
        <v>0</v>
      </c>
      <c r="L116" s="194">
        <f>'Graph Base Data'!L62</f>
        <v>0</v>
      </c>
      <c r="M116" s="194">
        <f>'Graph Base Data'!M62</f>
        <v>0</v>
      </c>
      <c r="N116" s="194">
        <f>'Graph Base Data'!N62</f>
        <v>0</v>
      </c>
      <c r="O116" s="194">
        <f>'Graph Base Data'!O62</f>
        <v>0</v>
      </c>
    </row>
    <row r="117" spans="1:15" s="202" customFormat="1">
      <c r="A117" s="191"/>
      <c r="B117" s="403" t="s">
        <v>307</v>
      </c>
      <c r="C117" s="472">
        <v>2</v>
      </c>
      <c r="D117" s="190" t="s">
        <v>39</v>
      </c>
      <c r="E117" s="190" t="s">
        <v>15</v>
      </c>
      <c r="F117" s="405">
        <f>+F116/$C$117/24/75%</f>
        <v>0</v>
      </c>
      <c r="G117" s="405">
        <f t="shared" ref="G117:O117" si="60">+G116/$C$117/24/75%</f>
        <v>0</v>
      </c>
      <c r="H117" s="405">
        <f t="shared" si="60"/>
        <v>0</v>
      </c>
      <c r="I117" s="405">
        <f t="shared" si="60"/>
        <v>0</v>
      </c>
      <c r="J117" s="405">
        <f t="shared" si="60"/>
        <v>0</v>
      </c>
      <c r="K117" s="405">
        <f t="shared" si="60"/>
        <v>0</v>
      </c>
      <c r="L117" s="405">
        <f t="shared" si="60"/>
        <v>0</v>
      </c>
      <c r="M117" s="405">
        <f t="shared" si="60"/>
        <v>0</v>
      </c>
      <c r="N117" s="405">
        <f t="shared" si="60"/>
        <v>0</v>
      </c>
      <c r="O117" s="405">
        <f t="shared" si="60"/>
        <v>0</v>
      </c>
    </row>
    <row r="118" spans="1:15" s="202" customFormat="1">
      <c r="A118" s="191"/>
      <c r="B118" s="196" t="s">
        <v>359</v>
      </c>
      <c r="C118" s="477">
        <v>2</v>
      </c>
      <c r="D118" s="190" t="s">
        <v>39</v>
      </c>
      <c r="E118" s="190" t="s">
        <v>15</v>
      </c>
      <c r="F118" s="203">
        <f>+F116/$C$118/24</f>
        <v>0</v>
      </c>
      <c r="G118" s="203">
        <f t="shared" ref="G118:O118" si="61">+G116/$C$118/24</f>
        <v>0</v>
      </c>
      <c r="H118" s="203">
        <f t="shared" si="61"/>
        <v>0</v>
      </c>
      <c r="I118" s="203">
        <f t="shared" si="61"/>
        <v>0</v>
      </c>
      <c r="J118" s="203">
        <f t="shared" si="61"/>
        <v>0</v>
      </c>
      <c r="K118" s="203">
        <f t="shared" si="61"/>
        <v>0</v>
      </c>
      <c r="L118" s="203">
        <f t="shared" si="61"/>
        <v>0</v>
      </c>
      <c r="M118" s="203">
        <f t="shared" si="61"/>
        <v>0</v>
      </c>
      <c r="N118" s="203">
        <f t="shared" si="61"/>
        <v>0</v>
      </c>
      <c r="O118" s="203">
        <f t="shared" si="61"/>
        <v>0</v>
      </c>
    </row>
    <row r="119" spans="1:15" s="202" customFormat="1">
      <c r="A119" s="191"/>
      <c r="B119" s="201"/>
      <c r="C119" s="458"/>
      <c r="D119" s="190"/>
      <c r="E119" s="190"/>
      <c r="F119" s="203"/>
      <c r="G119" s="203"/>
      <c r="H119" s="203"/>
      <c r="I119" s="203"/>
      <c r="J119" s="203"/>
      <c r="K119" s="203"/>
      <c r="L119" s="203"/>
      <c r="M119" s="203"/>
      <c r="N119" s="203"/>
      <c r="O119" s="203"/>
    </row>
    <row r="120" spans="1:15" s="202" customFormat="1" ht="21">
      <c r="A120" s="191"/>
      <c r="B120" s="192" t="s">
        <v>243</v>
      </c>
      <c r="C120" s="458"/>
      <c r="D120" s="190"/>
      <c r="E120" s="190"/>
      <c r="F120" s="203"/>
      <c r="G120" s="203"/>
      <c r="H120" s="203"/>
      <c r="I120" s="203"/>
      <c r="J120" s="203"/>
      <c r="K120" s="203"/>
      <c r="L120" s="203"/>
      <c r="M120" s="203"/>
      <c r="N120" s="203"/>
      <c r="O120" s="203"/>
    </row>
    <row r="121" spans="1:15" s="195" customFormat="1">
      <c r="A121" s="193"/>
      <c r="B121" s="194" t="str">
        <f>'Graph Base Data'!B68</f>
        <v>IE Oils</v>
      </c>
      <c r="C121" s="455" t="s">
        <v>239</v>
      </c>
      <c r="E121" s="195" t="s">
        <v>240</v>
      </c>
      <c r="F121" s="194">
        <f>'Graph Base Data'!F68</f>
        <v>9058.7549179082052</v>
      </c>
      <c r="G121" s="194">
        <f>'Graph Base Data'!G68</f>
        <v>12370.6148802526</v>
      </c>
      <c r="H121" s="194">
        <f>'Graph Base Data'!H68</f>
        <v>18645.542259625774</v>
      </c>
      <c r="I121" s="194">
        <f>'Graph Base Data'!I68</f>
        <v>16223.140439155917</v>
      </c>
      <c r="J121" s="194">
        <f>'Graph Base Data'!J68</f>
        <v>19683.396125687901</v>
      </c>
      <c r="K121" s="194">
        <f>'Graph Base Data'!K68</f>
        <v>23970.686031002799</v>
      </c>
      <c r="L121" s="194">
        <f>'Graph Base Data'!L68</f>
        <v>28019.752253518174</v>
      </c>
      <c r="M121" s="194">
        <f>'Graph Base Data'!M68</f>
        <v>28019.752253518174</v>
      </c>
      <c r="N121" s="194">
        <f>'Graph Base Data'!N68</f>
        <v>28019.752253518174</v>
      </c>
      <c r="O121" s="194">
        <f>'Graph Base Data'!O68</f>
        <v>28019.752253518174</v>
      </c>
    </row>
    <row r="122" spans="1:15" s="202" customFormat="1">
      <c r="A122" s="191"/>
      <c r="B122" s="190" t="s">
        <v>53</v>
      </c>
      <c r="C122" s="472">
        <v>80</v>
      </c>
      <c r="D122" s="190" t="s">
        <v>248</v>
      </c>
      <c r="E122" s="190" t="s">
        <v>15</v>
      </c>
      <c r="F122" s="198">
        <f>+F121/$C$122</f>
        <v>113.23443647385257</v>
      </c>
      <c r="G122" s="198">
        <f t="shared" ref="G122:O122" si="62">+G121/$C$122</f>
        <v>154.63268600315752</v>
      </c>
      <c r="H122" s="198">
        <f t="shared" si="62"/>
        <v>233.06927824532218</v>
      </c>
      <c r="I122" s="198">
        <f t="shared" si="62"/>
        <v>202.78925548944898</v>
      </c>
      <c r="J122" s="198">
        <f t="shared" si="62"/>
        <v>246.04245157109875</v>
      </c>
      <c r="K122" s="198">
        <f t="shared" si="62"/>
        <v>299.63357538753496</v>
      </c>
      <c r="L122" s="198">
        <f t="shared" si="62"/>
        <v>350.24690316897716</v>
      </c>
      <c r="M122" s="198">
        <f t="shared" si="62"/>
        <v>350.24690316897716</v>
      </c>
      <c r="N122" s="198">
        <f t="shared" si="62"/>
        <v>350.24690316897716</v>
      </c>
      <c r="O122" s="198">
        <f t="shared" si="62"/>
        <v>350.24690316897716</v>
      </c>
    </row>
    <row r="123" spans="1:15" s="202" customFormat="1">
      <c r="A123" s="191"/>
      <c r="B123" s="190" t="s">
        <v>54</v>
      </c>
      <c r="C123" s="472">
        <v>100</v>
      </c>
      <c r="D123" s="190" t="s">
        <v>248</v>
      </c>
      <c r="E123" s="190" t="s">
        <v>15</v>
      </c>
      <c r="F123" s="203">
        <f>+F121/$C$123</f>
        <v>90.587549179082046</v>
      </c>
      <c r="G123" s="203">
        <f t="shared" ref="G123:O123" si="63">+G121/$C$123</f>
        <v>123.706148802526</v>
      </c>
      <c r="H123" s="203">
        <f t="shared" si="63"/>
        <v>186.45542259625773</v>
      </c>
      <c r="I123" s="203">
        <f t="shared" si="63"/>
        <v>162.23140439155918</v>
      </c>
      <c r="J123" s="203">
        <f t="shared" si="63"/>
        <v>196.83396125687901</v>
      </c>
      <c r="K123" s="203">
        <f t="shared" si="63"/>
        <v>239.70686031002799</v>
      </c>
      <c r="L123" s="203">
        <f t="shared" si="63"/>
        <v>280.19752253518175</v>
      </c>
      <c r="M123" s="203">
        <f t="shared" si="63"/>
        <v>280.19752253518175</v>
      </c>
      <c r="N123" s="203">
        <f t="shared" si="63"/>
        <v>280.19752253518175</v>
      </c>
      <c r="O123" s="203">
        <f t="shared" si="63"/>
        <v>280.19752253518175</v>
      </c>
    </row>
    <row r="124" spans="1:15" s="195" customFormat="1">
      <c r="A124" s="193"/>
      <c r="B124" s="194" t="str">
        <f>'Graph Base Data'!B69</f>
        <v>Hydro Oils</v>
      </c>
      <c r="C124" s="455" t="s">
        <v>239</v>
      </c>
      <c r="E124" s="195" t="s">
        <v>240</v>
      </c>
      <c r="F124" s="194">
        <f>'Graph Base Data'!F69</f>
        <v>1312.3123082808968</v>
      </c>
      <c r="G124" s="194">
        <f>'Graph Base Data'!G69</f>
        <v>2279.9413012646523</v>
      </c>
      <c r="H124" s="194">
        <f>'Graph Base Data'!H69</f>
        <v>3804.1913633537797</v>
      </c>
      <c r="I124" s="194">
        <f>'Graph Base Data'!I69</f>
        <v>4666.4862362815147</v>
      </c>
      <c r="J124" s="194">
        <f>'Graph Base Data'!J69</f>
        <v>5702.2978964728109</v>
      </c>
      <c r="K124" s="194">
        <f>'Graph Base Data'!K69</f>
        <v>6997.2132967048528</v>
      </c>
      <c r="L124" s="194">
        <f>'Graph Base Data'!L69</f>
        <v>8276.201068885508</v>
      </c>
      <c r="M124" s="194">
        <f>'Graph Base Data'!M69</f>
        <v>8719.0233616139958</v>
      </c>
      <c r="N124" s="194">
        <f>'Graph Base Data'!N69</f>
        <v>9206.0643491085175</v>
      </c>
      <c r="O124" s="194">
        <f>'Graph Base Data'!O69</f>
        <v>9741.9231234279796</v>
      </c>
    </row>
    <row r="125" spans="1:15" s="202" customFormat="1">
      <c r="A125" s="191"/>
      <c r="B125" s="202" t="s">
        <v>17</v>
      </c>
      <c r="C125" s="479">
        <v>100</v>
      </c>
      <c r="D125" s="201" t="s">
        <v>35</v>
      </c>
      <c r="E125" s="202" t="s">
        <v>15</v>
      </c>
      <c r="F125" s="198">
        <f>+F124/$C$125</f>
        <v>13.123123082808968</v>
      </c>
      <c r="G125" s="198">
        <f t="shared" ref="G125:O125" si="64">+G124/$C$125</f>
        <v>22.799413012646525</v>
      </c>
      <c r="H125" s="198">
        <f t="shared" si="64"/>
        <v>38.041913633537796</v>
      </c>
      <c r="I125" s="198">
        <f t="shared" si="64"/>
        <v>46.66486236281515</v>
      </c>
      <c r="J125" s="198">
        <f t="shared" si="64"/>
        <v>57.022978964728111</v>
      </c>
      <c r="K125" s="198">
        <f t="shared" si="64"/>
        <v>69.972132967048523</v>
      </c>
      <c r="L125" s="198">
        <f t="shared" si="64"/>
        <v>82.762010688855085</v>
      </c>
      <c r="M125" s="198">
        <f t="shared" si="64"/>
        <v>87.190233616139963</v>
      </c>
      <c r="N125" s="198">
        <f t="shared" si="64"/>
        <v>92.060643491085173</v>
      </c>
      <c r="O125" s="198">
        <f t="shared" si="64"/>
        <v>97.419231234279792</v>
      </c>
    </row>
    <row r="126" spans="1:15" s="202" customFormat="1">
      <c r="A126" s="191"/>
      <c r="B126" s="190" t="s">
        <v>47</v>
      </c>
      <c r="C126" s="472">
        <v>400</v>
      </c>
      <c r="D126" s="196" t="s">
        <v>35</v>
      </c>
      <c r="E126" s="190" t="s">
        <v>15</v>
      </c>
      <c r="F126" s="203">
        <f>+F124/$C$126</f>
        <v>3.2807807707022421</v>
      </c>
      <c r="G126" s="203">
        <f t="shared" ref="G126:O126" si="65">+G124/$C$126</f>
        <v>5.6998532531616313</v>
      </c>
      <c r="H126" s="203">
        <f t="shared" si="65"/>
        <v>9.5104784083844489</v>
      </c>
      <c r="I126" s="203">
        <f t="shared" si="65"/>
        <v>11.666215590703787</v>
      </c>
      <c r="J126" s="203">
        <f t="shared" si="65"/>
        <v>14.255744741182028</v>
      </c>
      <c r="K126" s="203">
        <f t="shared" si="65"/>
        <v>17.493033241762131</v>
      </c>
      <c r="L126" s="203">
        <f t="shared" si="65"/>
        <v>20.690502672213771</v>
      </c>
      <c r="M126" s="203">
        <f t="shared" si="65"/>
        <v>21.797558404034991</v>
      </c>
      <c r="N126" s="203">
        <f t="shared" si="65"/>
        <v>23.015160872771293</v>
      </c>
      <c r="O126" s="203">
        <f t="shared" si="65"/>
        <v>24.354807808569948</v>
      </c>
    </row>
    <row r="127" spans="1:15">
      <c r="A127" s="191"/>
      <c r="F127" s="199"/>
      <c r="G127" s="199"/>
      <c r="H127" s="199"/>
      <c r="I127" s="199"/>
      <c r="J127" s="199"/>
      <c r="K127" s="199"/>
      <c r="L127" s="199"/>
      <c r="M127" s="199"/>
      <c r="N127" s="199"/>
      <c r="O127" s="199"/>
    </row>
    <row r="128" spans="1:15" ht="21">
      <c r="A128" s="191"/>
      <c r="B128" s="204" t="s">
        <v>21</v>
      </c>
      <c r="C128" s="204"/>
      <c r="F128" s="190">
        <f>F3</f>
        <v>2015</v>
      </c>
      <c r="G128" s="190">
        <f t="shared" ref="G128:O128" si="66">F128+1</f>
        <v>2016</v>
      </c>
      <c r="H128" s="190">
        <f t="shared" si="66"/>
        <v>2017</v>
      </c>
      <c r="I128" s="190">
        <f t="shared" si="66"/>
        <v>2018</v>
      </c>
      <c r="J128" s="190">
        <f t="shared" si="66"/>
        <v>2019</v>
      </c>
      <c r="K128" s="190">
        <f t="shared" si="66"/>
        <v>2020</v>
      </c>
      <c r="L128" s="190">
        <f t="shared" si="66"/>
        <v>2021</v>
      </c>
      <c r="M128" s="190">
        <f t="shared" si="66"/>
        <v>2022</v>
      </c>
      <c r="N128" s="190">
        <f t="shared" si="66"/>
        <v>2023</v>
      </c>
      <c r="O128" s="190">
        <f t="shared" si="66"/>
        <v>2024</v>
      </c>
    </row>
    <row r="129" spans="1:15">
      <c r="A129" s="191"/>
      <c r="B129" s="196" t="s">
        <v>18</v>
      </c>
      <c r="C129" s="456"/>
      <c r="E129" s="190" t="s">
        <v>15</v>
      </c>
      <c r="F129" s="189">
        <f t="shared" ref="F129:O129" si="67">+SUMIF($B$4:$B$127,$B129,F$4:F$127)</f>
        <v>18.522791111111115</v>
      </c>
      <c r="G129" s="189">
        <f t="shared" si="67"/>
        <v>23.713907555555561</v>
      </c>
      <c r="H129" s="189">
        <f t="shared" si="67"/>
        <v>28.533779022222234</v>
      </c>
      <c r="I129" s="189">
        <f t="shared" si="67"/>
        <v>38.120478880000007</v>
      </c>
      <c r="J129" s="189">
        <f t="shared" si="67"/>
        <v>49.339180919111129</v>
      </c>
      <c r="K129" s="189">
        <f t="shared" si="67"/>
        <v>51.806139965066691</v>
      </c>
      <c r="L129" s="189">
        <f t="shared" si="67"/>
        <v>54.396446963320024</v>
      </c>
      <c r="M129" s="189">
        <f t="shared" si="67"/>
        <v>57.116269311486036</v>
      </c>
      <c r="N129" s="189">
        <f t="shared" si="67"/>
        <v>59.972082777060344</v>
      </c>
      <c r="O129" s="189">
        <f t="shared" si="67"/>
        <v>62.970686915913362</v>
      </c>
    </row>
    <row r="130" spans="1:15">
      <c r="A130" s="191"/>
      <c r="B130" s="196" t="s">
        <v>22</v>
      </c>
      <c r="C130" s="456"/>
      <c r="E130" s="190" t="s">
        <v>23</v>
      </c>
      <c r="F130" s="205">
        <f>+F129/350</f>
        <v>5.2922260317460328E-2</v>
      </c>
      <c r="G130" s="205">
        <f t="shared" ref="G130:O130" si="68">+G129/350</f>
        <v>6.7754021587301608E-2</v>
      </c>
      <c r="H130" s="205">
        <f t="shared" si="68"/>
        <v>8.1525082920634956E-2</v>
      </c>
      <c r="I130" s="205">
        <f t="shared" si="68"/>
        <v>0.10891565394285717</v>
      </c>
      <c r="J130" s="205">
        <f t="shared" si="68"/>
        <v>0.14096908834031752</v>
      </c>
      <c r="K130" s="205">
        <f t="shared" si="68"/>
        <v>0.14801754275733339</v>
      </c>
      <c r="L130" s="205">
        <f t="shared" si="68"/>
        <v>0.15541841989520006</v>
      </c>
      <c r="M130" s="205">
        <f t="shared" si="68"/>
        <v>0.16318934088996009</v>
      </c>
      <c r="N130" s="205">
        <f t="shared" si="68"/>
        <v>0.17134880793445811</v>
      </c>
      <c r="O130" s="205">
        <f t="shared" si="68"/>
        <v>0.17991624833118103</v>
      </c>
    </row>
    <row r="131" spans="1:15">
      <c r="A131" s="191"/>
      <c r="B131" s="196"/>
      <c r="C131" s="456"/>
      <c r="F131" s="205"/>
      <c r="G131" s="205"/>
      <c r="H131" s="205"/>
      <c r="I131" s="205"/>
      <c r="J131" s="205"/>
      <c r="K131" s="205"/>
      <c r="L131" s="205"/>
      <c r="M131" s="205"/>
      <c r="N131" s="205"/>
      <c r="O131" s="205"/>
    </row>
    <row r="132" spans="1:15">
      <c r="A132" s="191"/>
      <c r="B132" s="196" t="s">
        <v>19</v>
      </c>
      <c r="C132" s="456"/>
      <c r="E132" s="190" t="s">
        <v>15</v>
      </c>
      <c r="F132" s="189">
        <f t="shared" ref="F132:O132" si="69">+SUMIF($B$4:$B$127,$B132,F$4:F$127)</f>
        <v>6.1093644444444459</v>
      </c>
      <c r="G132" s="189">
        <f t="shared" si="69"/>
        <v>7.555010222222224</v>
      </c>
      <c r="H132" s="189">
        <f t="shared" si="69"/>
        <v>8.9226314222222243</v>
      </c>
      <c r="I132" s="189">
        <f t="shared" si="69"/>
        <v>11.498225053333336</v>
      </c>
      <c r="J132" s="189">
        <f t="shared" si="69"/>
        <v>14.49971109644445</v>
      </c>
      <c r="K132" s="189">
        <f t="shared" si="69"/>
        <v>15.224696651266674</v>
      </c>
      <c r="L132" s="189">
        <f t="shared" si="69"/>
        <v>15.985931483830008</v>
      </c>
      <c r="M132" s="189">
        <f t="shared" si="69"/>
        <v>16.785228058021509</v>
      </c>
      <c r="N132" s="189">
        <f t="shared" si="69"/>
        <v>17.624489460922586</v>
      </c>
      <c r="O132" s="189">
        <f t="shared" si="69"/>
        <v>18.505713933968718</v>
      </c>
    </row>
    <row r="133" spans="1:15">
      <c r="A133" s="191"/>
      <c r="B133" s="196" t="s">
        <v>22</v>
      </c>
      <c r="C133" s="456"/>
      <c r="E133" s="190" t="s">
        <v>23</v>
      </c>
      <c r="F133" s="205">
        <f>+F132/350</f>
        <v>1.7455326984126988E-2</v>
      </c>
      <c r="G133" s="205">
        <f t="shared" ref="G133:O133" si="70">+G132/350</f>
        <v>2.1585743492063499E-2</v>
      </c>
      <c r="H133" s="205">
        <f t="shared" si="70"/>
        <v>2.5493232634920641E-2</v>
      </c>
      <c r="I133" s="205">
        <f t="shared" si="70"/>
        <v>3.2852071580952387E-2</v>
      </c>
      <c r="J133" s="205">
        <f t="shared" si="70"/>
        <v>4.1427745989841287E-2</v>
      </c>
      <c r="K133" s="205">
        <f t="shared" si="70"/>
        <v>4.3499133289333351E-2</v>
      </c>
      <c r="L133" s="205">
        <f t="shared" si="70"/>
        <v>4.5674089953800026E-2</v>
      </c>
      <c r="M133" s="205">
        <f t="shared" si="70"/>
        <v>4.7957794451490024E-2</v>
      </c>
      <c r="N133" s="205">
        <f t="shared" si="70"/>
        <v>5.0355684174064531E-2</v>
      </c>
      <c r="O133" s="205">
        <f t="shared" si="70"/>
        <v>5.2873468382767762E-2</v>
      </c>
    </row>
    <row r="134" spans="1:15">
      <c r="A134" s="191"/>
      <c r="B134" s="196"/>
      <c r="C134" s="456"/>
      <c r="F134" s="205"/>
      <c r="G134" s="205"/>
      <c r="H134" s="205"/>
      <c r="I134" s="205"/>
      <c r="J134" s="205"/>
      <c r="K134" s="205"/>
      <c r="L134" s="205"/>
      <c r="M134" s="205"/>
      <c r="N134" s="205"/>
      <c r="O134" s="205"/>
    </row>
    <row r="135" spans="1:15">
      <c r="A135" s="191"/>
      <c r="B135" s="196" t="s">
        <v>47</v>
      </c>
      <c r="C135" s="456"/>
      <c r="E135" s="190" t="s">
        <v>15</v>
      </c>
      <c r="F135" s="189">
        <f t="shared" ref="F135:O136" si="71">+SUMIF($B$4:$B$127,$B135,F$4:F$127)</f>
        <v>10.409420104035576</v>
      </c>
      <c r="G135" s="189">
        <f t="shared" si="71"/>
        <v>21.848198319828303</v>
      </c>
      <c r="H135" s="189">
        <f t="shared" si="71"/>
        <v>34.53200863505112</v>
      </c>
      <c r="I135" s="189">
        <f t="shared" si="71"/>
        <v>47.425363136703787</v>
      </c>
      <c r="J135" s="189">
        <f t="shared" si="71"/>
        <v>61.389817768115364</v>
      </c>
      <c r="K135" s="189">
        <f t="shared" si="71"/>
        <v>72.583809920042142</v>
      </c>
      <c r="L135" s="189">
        <f t="shared" si="71"/>
        <v>83.785818184407773</v>
      </c>
      <c r="M135" s="189">
        <f t="shared" si="71"/>
        <v>92.947639691838702</v>
      </c>
      <c r="N135" s="189">
        <f t="shared" si="71"/>
        <v>102.27274622496519</v>
      </c>
      <c r="O135" s="189">
        <f t="shared" si="71"/>
        <v>111.77527242837354</v>
      </c>
    </row>
    <row r="136" spans="1:15">
      <c r="A136" s="191"/>
      <c r="B136" s="190" t="s">
        <v>49</v>
      </c>
      <c r="E136" s="190" t="s">
        <v>15</v>
      </c>
      <c r="F136" s="189">
        <f t="shared" si="71"/>
        <v>112.50782667958335</v>
      </c>
      <c r="G136" s="189">
        <f t="shared" si="71"/>
        <v>124.77584841122916</v>
      </c>
      <c r="H136" s="189">
        <f t="shared" si="71"/>
        <v>136.65536020870402</v>
      </c>
      <c r="I136" s="189">
        <f t="shared" si="71"/>
        <v>149.7507270362143</v>
      </c>
      <c r="J136" s="189">
        <f t="shared" si="71"/>
        <v>164.19278173584746</v>
      </c>
      <c r="K136" s="189">
        <f t="shared" si="71"/>
        <v>185.510285310646</v>
      </c>
      <c r="L136" s="189">
        <f t="shared" si="71"/>
        <v>199.45460932090529</v>
      </c>
      <c r="M136" s="189">
        <f t="shared" si="71"/>
        <v>214.47922932510153</v>
      </c>
      <c r="N136" s="189">
        <f t="shared" si="71"/>
        <v>230.66976400779006</v>
      </c>
      <c r="O136" s="189">
        <f t="shared" si="71"/>
        <v>248.11873704868123</v>
      </c>
    </row>
    <row r="137" spans="1:15">
      <c r="A137" s="191"/>
      <c r="B137" s="190" t="s">
        <v>52</v>
      </c>
      <c r="E137" s="190" t="s">
        <v>15</v>
      </c>
      <c r="F137" s="189">
        <f>+F136+F135</f>
        <v>122.91724678361892</v>
      </c>
      <c r="G137" s="189">
        <f t="shared" ref="G137:O137" si="72">+G136+G135</f>
        <v>146.62404673105746</v>
      </c>
      <c r="H137" s="189">
        <f t="shared" si="72"/>
        <v>171.18736884375514</v>
      </c>
      <c r="I137" s="189">
        <f t="shared" si="72"/>
        <v>197.17609017291809</v>
      </c>
      <c r="J137" s="189">
        <f t="shared" si="72"/>
        <v>225.58259950396283</v>
      </c>
      <c r="K137" s="189">
        <f t="shared" si="72"/>
        <v>258.09409523068814</v>
      </c>
      <c r="L137" s="189">
        <f t="shared" si="72"/>
        <v>283.24042750531305</v>
      </c>
      <c r="M137" s="189">
        <f t="shared" si="72"/>
        <v>307.42686901694026</v>
      </c>
      <c r="N137" s="189">
        <f t="shared" si="72"/>
        <v>332.94251023275524</v>
      </c>
      <c r="O137" s="189">
        <f t="shared" si="72"/>
        <v>359.89400947705474</v>
      </c>
    </row>
    <row r="138" spans="1:15">
      <c r="A138" s="191"/>
      <c r="B138" s="196" t="s">
        <v>22</v>
      </c>
      <c r="C138" s="456"/>
      <c r="E138" s="190" t="s">
        <v>23</v>
      </c>
      <c r="F138" s="205">
        <f>+F137/350</f>
        <v>0.35119213366748264</v>
      </c>
      <c r="G138" s="205">
        <f t="shared" ref="G138:O138" si="73">+G137/350</f>
        <v>0.41892584780302133</v>
      </c>
      <c r="H138" s="205">
        <f t="shared" si="73"/>
        <v>0.48910676812501469</v>
      </c>
      <c r="I138" s="205">
        <f t="shared" si="73"/>
        <v>0.56336025763690889</v>
      </c>
      <c r="J138" s="205">
        <f t="shared" si="73"/>
        <v>0.64452171286846527</v>
      </c>
      <c r="K138" s="205">
        <f t="shared" si="73"/>
        <v>0.73741170065910899</v>
      </c>
      <c r="L138" s="205">
        <f t="shared" si="73"/>
        <v>0.80925836430089448</v>
      </c>
      <c r="M138" s="205">
        <f t="shared" si="73"/>
        <v>0.87836248290554364</v>
      </c>
      <c r="N138" s="205">
        <f t="shared" si="73"/>
        <v>0.95126431495072927</v>
      </c>
      <c r="O138" s="205">
        <f t="shared" si="73"/>
        <v>1.0282685985058706</v>
      </c>
    </row>
    <row r="139" spans="1:15">
      <c r="A139" s="191"/>
      <c r="B139" s="196"/>
      <c r="C139" s="456"/>
      <c r="F139" s="205"/>
      <c r="G139" s="205"/>
      <c r="H139" s="205"/>
      <c r="I139" s="205"/>
      <c r="J139" s="205"/>
      <c r="K139" s="205"/>
      <c r="L139" s="205"/>
      <c r="M139" s="205"/>
      <c r="N139" s="205"/>
      <c r="O139" s="205"/>
    </row>
    <row r="140" spans="1:15">
      <c r="A140" s="191"/>
      <c r="B140" s="190" t="s">
        <v>17</v>
      </c>
      <c r="E140" s="190" t="s">
        <v>15</v>
      </c>
      <c r="F140" s="189">
        <f t="shared" ref="F140:O140" si="74">+SUMIF($B$4:$B$127,$B140,F$4:F$127)</f>
        <v>156.3121867791053</v>
      </c>
      <c r="G140" s="189">
        <f t="shared" si="74"/>
        <v>179.46403191057249</v>
      </c>
      <c r="H140" s="189">
        <f t="shared" si="74"/>
        <v>209.33245592354973</v>
      </c>
      <c r="I140" s="189">
        <f t="shared" si="74"/>
        <v>234.52221527605974</v>
      </c>
      <c r="J140" s="189">
        <f t="shared" si="74"/>
        <v>263.10436404379504</v>
      </c>
      <c r="K140" s="189">
        <f t="shared" si="74"/>
        <v>292.49549079422644</v>
      </c>
      <c r="L140" s="189">
        <f t="shared" si="74"/>
        <v>322.57620173486998</v>
      </c>
      <c r="M140" s="189">
        <f t="shared" si="74"/>
        <v>345.6721227958235</v>
      </c>
      <c r="N140" s="189">
        <f t="shared" si="74"/>
        <v>370.69883982809108</v>
      </c>
      <c r="O140" s="189">
        <f t="shared" si="74"/>
        <v>397.82329863584812</v>
      </c>
    </row>
    <row r="141" spans="1:15">
      <c r="A141" s="191"/>
      <c r="B141" s="196" t="s">
        <v>22</v>
      </c>
      <c r="C141" s="456"/>
      <c r="E141" s="190" t="s">
        <v>23</v>
      </c>
      <c r="F141" s="273">
        <f>+F140/350</f>
        <v>0.44660624794030085</v>
      </c>
      <c r="G141" s="273">
        <f t="shared" ref="G141:O141" si="75">+G140/350</f>
        <v>0.51275437688734993</v>
      </c>
      <c r="H141" s="273">
        <f t="shared" si="75"/>
        <v>0.59809273121014206</v>
      </c>
      <c r="I141" s="273">
        <f t="shared" si="75"/>
        <v>0.67006347221731355</v>
      </c>
      <c r="J141" s="273">
        <f t="shared" si="75"/>
        <v>0.75172675441084302</v>
      </c>
      <c r="K141" s="273">
        <f t="shared" si="75"/>
        <v>0.83570140226921841</v>
      </c>
      <c r="L141" s="273">
        <f t="shared" si="75"/>
        <v>0.92164629067105708</v>
      </c>
      <c r="M141" s="273">
        <f t="shared" si="75"/>
        <v>0.98763463655949568</v>
      </c>
      <c r="N141" s="273">
        <f t="shared" si="75"/>
        <v>1.0591395423659746</v>
      </c>
      <c r="O141" s="273">
        <f t="shared" si="75"/>
        <v>1.1366379961024231</v>
      </c>
    </row>
    <row r="142" spans="1:15" ht="16" thickBot="1">
      <c r="A142" s="191"/>
      <c r="F142" s="189"/>
      <c r="G142" s="189"/>
      <c r="H142" s="189"/>
      <c r="I142" s="189"/>
      <c r="J142" s="189"/>
      <c r="K142" s="189"/>
      <c r="L142" s="189"/>
      <c r="M142" s="189"/>
      <c r="N142" s="189"/>
      <c r="O142" s="189"/>
    </row>
    <row r="143" spans="1:15">
      <c r="A143" s="191"/>
      <c r="B143" s="262" t="s">
        <v>53</v>
      </c>
      <c r="C143" s="461"/>
      <c r="D143" s="263"/>
      <c r="E143" s="263" t="s">
        <v>15</v>
      </c>
      <c r="F143" s="264">
        <f t="shared" ref="F143:O143" si="76">+SUMIF($B$4:$B$127,$B143,F$4:F$127)</f>
        <v>113.23443647385257</v>
      </c>
      <c r="G143" s="264">
        <f t="shared" si="76"/>
        <v>154.63268600315752</v>
      </c>
      <c r="H143" s="264">
        <f t="shared" si="76"/>
        <v>233.06927824532218</v>
      </c>
      <c r="I143" s="264">
        <f t="shared" si="76"/>
        <v>202.78925548944898</v>
      </c>
      <c r="J143" s="264">
        <f t="shared" si="76"/>
        <v>246.04245157109875</v>
      </c>
      <c r="K143" s="264">
        <f t="shared" si="76"/>
        <v>299.63357538753496</v>
      </c>
      <c r="L143" s="264">
        <f t="shared" si="76"/>
        <v>350.24690316897716</v>
      </c>
      <c r="M143" s="264">
        <f t="shared" si="76"/>
        <v>350.24690316897716</v>
      </c>
      <c r="N143" s="264">
        <f t="shared" si="76"/>
        <v>350.24690316897716</v>
      </c>
      <c r="O143" s="265">
        <f t="shared" si="76"/>
        <v>350.24690316897716</v>
      </c>
    </row>
    <row r="144" spans="1:15">
      <c r="A144" s="191"/>
      <c r="B144" s="266" t="s">
        <v>22</v>
      </c>
      <c r="C144" s="462"/>
      <c r="D144" s="268"/>
      <c r="E144" s="268" t="s">
        <v>23</v>
      </c>
      <c r="F144" s="205">
        <f>+F143/350</f>
        <v>0.3235269613538645</v>
      </c>
      <c r="G144" s="205">
        <f t="shared" ref="G144:O144" si="77">+G143/350</f>
        <v>0.44180767429473577</v>
      </c>
      <c r="H144" s="205">
        <f t="shared" si="77"/>
        <v>0.66591222355806334</v>
      </c>
      <c r="I144" s="205">
        <f t="shared" si="77"/>
        <v>0.57939787282699706</v>
      </c>
      <c r="J144" s="205">
        <f t="shared" si="77"/>
        <v>0.70297843306028218</v>
      </c>
      <c r="K144" s="205">
        <f t="shared" si="77"/>
        <v>0.85609592967867132</v>
      </c>
      <c r="L144" s="205">
        <f t="shared" si="77"/>
        <v>1.000705437625649</v>
      </c>
      <c r="M144" s="205">
        <f t="shared" si="77"/>
        <v>1.000705437625649</v>
      </c>
      <c r="N144" s="205">
        <f t="shared" si="77"/>
        <v>1.000705437625649</v>
      </c>
      <c r="O144" s="205">
        <f t="shared" si="77"/>
        <v>1.000705437625649</v>
      </c>
    </row>
    <row r="145" spans="1:15" ht="16" thickBot="1">
      <c r="A145" s="191"/>
      <c r="B145" s="269" t="s">
        <v>284</v>
      </c>
      <c r="C145" s="463"/>
      <c r="D145" s="270"/>
      <c r="E145" s="270"/>
      <c r="F145" s="271">
        <f>80*350</f>
        <v>28000</v>
      </c>
      <c r="G145" s="271">
        <f t="shared" ref="G145:O145" si="78">80*350</f>
        <v>28000</v>
      </c>
      <c r="H145" s="271">
        <f t="shared" si="78"/>
        <v>28000</v>
      </c>
      <c r="I145" s="271">
        <f t="shared" si="78"/>
        <v>28000</v>
      </c>
      <c r="J145" s="271">
        <f t="shared" si="78"/>
        <v>28000</v>
      </c>
      <c r="K145" s="271">
        <f t="shared" si="78"/>
        <v>28000</v>
      </c>
      <c r="L145" s="271">
        <f t="shared" si="78"/>
        <v>28000</v>
      </c>
      <c r="M145" s="271">
        <f t="shared" si="78"/>
        <v>28000</v>
      </c>
      <c r="N145" s="271">
        <f t="shared" si="78"/>
        <v>28000</v>
      </c>
      <c r="O145" s="272">
        <f t="shared" si="78"/>
        <v>28000</v>
      </c>
    </row>
    <row r="146" spans="1:15">
      <c r="A146" s="191"/>
      <c r="F146" s="189"/>
      <c r="G146" s="189"/>
      <c r="H146" s="189"/>
      <c r="I146" s="189"/>
      <c r="J146" s="189"/>
      <c r="K146" s="189"/>
      <c r="L146" s="189"/>
      <c r="M146" s="189"/>
      <c r="N146" s="189"/>
      <c r="O146" s="189"/>
    </row>
    <row r="147" spans="1:15">
      <c r="A147" s="191"/>
      <c r="B147" s="190" t="s">
        <v>54</v>
      </c>
      <c r="E147" s="190" t="s">
        <v>15</v>
      </c>
      <c r="F147" s="189">
        <f t="shared" ref="F147:O147" si="79">+SUMIF($B$4:$B$127,$B147,F$4:F$127)</f>
        <v>90.587549179082046</v>
      </c>
      <c r="G147" s="189">
        <f t="shared" si="79"/>
        <v>123.706148802526</v>
      </c>
      <c r="H147" s="189">
        <f t="shared" si="79"/>
        <v>186.45542259625773</v>
      </c>
      <c r="I147" s="189">
        <f t="shared" si="79"/>
        <v>162.23140439155918</v>
      </c>
      <c r="J147" s="189">
        <f t="shared" si="79"/>
        <v>196.83396125687901</v>
      </c>
      <c r="K147" s="189">
        <f t="shared" si="79"/>
        <v>239.70686031002799</v>
      </c>
      <c r="L147" s="189">
        <f t="shared" si="79"/>
        <v>280.19752253518175</v>
      </c>
      <c r="M147" s="189">
        <f t="shared" si="79"/>
        <v>280.19752253518175</v>
      </c>
      <c r="N147" s="189">
        <f t="shared" si="79"/>
        <v>280.19752253518175</v>
      </c>
      <c r="O147" s="189">
        <f t="shared" si="79"/>
        <v>280.19752253518175</v>
      </c>
    </row>
    <row r="148" spans="1:15">
      <c r="A148" s="191"/>
      <c r="B148" s="196" t="s">
        <v>22</v>
      </c>
      <c r="C148" s="456"/>
      <c r="E148" s="190" t="s">
        <v>23</v>
      </c>
      <c r="F148" s="205">
        <f>+F147/350</f>
        <v>0.25882156908309156</v>
      </c>
      <c r="G148" s="205">
        <f t="shared" ref="G148:O148" si="80">+G147/350</f>
        <v>0.35344613943578856</v>
      </c>
      <c r="H148" s="205">
        <f t="shared" si="80"/>
        <v>0.53272977884645067</v>
      </c>
      <c r="I148" s="205">
        <f t="shared" si="80"/>
        <v>0.46351829826159768</v>
      </c>
      <c r="J148" s="205">
        <f t="shared" si="80"/>
        <v>0.56238274644822572</v>
      </c>
      <c r="K148" s="205">
        <f t="shared" si="80"/>
        <v>0.68487674374293717</v>
      </c>
      <c r="L148" s="205">
        <f t="shared" si="80"/>
        <v>0.8005643501005193</v>
      </c>
      <c r="M148" s="205">
        <f t="shared" si="80"/>
        <v>0.8005643501005193</v>
      </c>
      <c r="N148" s="205">
        <f t="shared" si="80"/>
        <v>0.8005643501005193</v>
      </c>
      <c r="O148" s="205">
        <f t="shared" si="80"/>
        <v>0.8005643501005193</v>
      </c>
    </row>
    <row r="149" spans="1:15" ht="16" thickBot="1">
      <c r="A149" s="191"/>
      <c r="F149" s="189"/>
      <c r="G149" s="189"/>
      <c r="H149" s="189"/>
      <c r="I149" s="189"/>
      <c r="J149" s="189"/>
      <c r="K149" s="189"/>
      <c r="L149" s="189"/>
      <c r="M149" s="189"/>
      <c r="N149" s="189"/>
      <c r="O149" s="189"/>
    </row>
    <row r="150" spans="1:15">
      <c r="A150" s="191"/>
      <c r="B150" s="276" t="s">
        <v>310</v>
      </c>
      <c r="C150" s="461"/>
      <c r="D150" s="263"/>
      <c r="E150" s="263" t="s">
        <v>15</v>
      </c>
      <c r="F150" s="274">
        <f t="shared" ref="F150:O150" si="81">+SUMIF($B$4:$B$127,$B150,F$4:F$127)</f>
        <v>64.577093416069332</v>
      </c>
      <c r="G150" s="274">
        <f t="shared" si="81"/>
        <v>116.54276821807112</v>
      </c>
      <c r="H150" s="274">
        <f t="shared" si="81"/>
        <v>205.28434532787554</v>
      </c>
      <c r="I150" s="274">
        <f t="shared" si="81"/>
        <v>252.84679104289805</v>
      </c>
      <c r="J150" s="274">
        <f t="shared" si="81"/>
        <v>308.66091205858788</v>
      </c>
      <c r="K150" s="274">
        <f t="shared" si="81"/>
        <v>378.44907493105472</v>
      </c>
      <c r="L150" s="274">
        <f t="shared" si="81"/>
        <v>446.94141342476951</v>
      </c>
      <c r="M150" s="274">
        <f t="shared" si="81"/>
        <v>460.58517242647497</v>
      </c>
      <c r="N150" s="274">
        <f t="shared" si="81"/>
        <v>473.65538017570304</v>
      </c>
      <c r="O150" s="275">
        <f t="shared" si="81"/>
        <v>487.79429416746768</v>
      </c>
    </row>
    <row r="151" spans="1:15">
      <c r="A151" s="191"/>
      <c r="B151" s="266" t="s">
        <v>22</v>
      </c>
      <c r="C151" s="462"/>
      <c r="D151" s="268"/>
      <c r="E151" s="268" t="s">
        <v>23</v>
      </c>
      <c r="F151" s="407">
        <f>+F150/350</f>
        <v>0.18450598118876951</v>
      </c>
      <c r="G151" s="407">
        <f t="shared" ref="G151:O151" si="82">+G150/350</f>
        <v>0.33297933776591748</v>
      </c>
      <c r="H151" s="407">
        <f t="shared" si="82"/>
        <v>0.58652670093678727</v>
      </c>
      <c r="I151" s="407">
        <f t="shared" si="82"/>
        <v>0.72241940297970875</v>
      </c>
      <c r="J151" s="407">
        <f t="shared" si="82"/>
        <v>0.88188832016739394</v>
      </c>
      <c r="K151" s="407">
        <f t="shared" si="82"/>
        <v>1.0812830712315848</v>
      </c>
      <c r="L151" s="407">
        <f t="shared" si="82"/>
        <v>1.276975466927913</v>
      </c>
      <c r="M151" s="407">
        <f t="shared" si="82"/>
        <v>1.3159576355042142</v>
      </c>
      <c r="N151" s="407">
        <f t="shared" si="82"/>
        <v>1.3533010862162944</v>
      </c>
      <c r="O151" s="407">
        <f t="shared" si="82"/>
        <v>1.393697983335622</v>
      </c>
    </row>
    <row r="152" spans="1:15" hidden="1">
      <c r="A152" s="191"/>
      <c r="B152" s="280"/>
      <c r="C152" s="462"/>
      <c r="D152" s="281" t="s">
        <v>286</v>
      </c>
      <c r="E152" s="268" t="s">
        <v>15</v>
      </c>
      <c r="F152" s="282">
        <f t="shared" ref="F152:O152" si="83">F114+F117</f>
        <v>13.61185094072208</v>
      </c>
      <c r="G152" s="282">
        <f t="shared" si="83"/>
        <v>26.248307340134005</v>
      </c>
      <c r="H152" s="282">
        <f t="shared" si="83"/>
        <v>51.270206839091692</v>
      </c>
      <c r="I152" s="282">
        <f t="shared" si="83"/>
        <v>66.132169956447882</v>
      </c>
      <c r="J152" s="282">
        <f t="shared" si="83"/>
        <v>84.482748135031869</v>
      </c>
      <c r="K152" s="282">
        <f t="shared" si="83"/>
        <v>108.3926838786835</v>
      </c>
      <c r="L152" s="282">
        <f t="shared" si="83"/>
        <v>134.57679461332927</v>
      </c>
      <c r="M152" s="282">
        <f t="shared" si="83"/>
        <v>134.57679461332927</v>
      </c>
      <c r="N152" s="282">
        <f t="shared" si="83"/>
        <v>134.57679461332927</v>
      </c>
      <c r="O152" s="283">
        <f t="shared" si="83"/>
        <v>134.57679461332927</v>
      </c>
    </row>
    <row r="153" spans="1:15" hidden="1">
      <c r="A153" s="191"/>
      <c r="B153" s="266"/>
      <c r="C153" s="462"/>
      <c r="D153" s="268"/>
      <c r="E153" s="268" t="s">
        <v>23</v>
      </c>
      <c r="F153" s="285">
        <f>F152/350/0.75</f>
        <v>5.1854670250369828E-2</v>
      </c>
      <c r="G153" s="285">
        <f t="shared" ref="G153:O153" si="84">G152/350/0.75</f>
        <v>9.9993551771939068E-2</v>
      </c>
      <c r="H153" s="285">
        <f t="shared" si="84"/>
        <v>0.19531507367273027</v>
      </c>
      <c r="I153" s="285">
        <f t="shared" si="84"/>
        <v>0.25193207602456336</v>
      </c>
      <c r="J153" s="285">
        <f t="shared" si="84"/>
        <v>0.32183904051440709</v>
      </c>
      <c r="K153" s="285">
        <f t="shared" si="84"/>
        <v>0.41292451001403241</v>
      </c>
      <c r="L153" s="285">
        <f t="shared" si="84"/>
        <v>0.5126735032888734</v>
      </c>
      <c r="M153" s="285">
        <f t="shared" si="84"/>
        <v>0.5126735032888734</v>
      </c>
      <c r="N153" s="285">
        <f t="shared" si="84"/>
        <v>0.5126735032888734</v>
      </c>
      <c r="O153" s="286">
        <f t="shared" si="84"/>
        <v>0.5126735032888734</v>
      </c>
    </row>
    <row r="154" spans="1:15" hidden="1">
      <c r="A154" s="191"/>
      <c r="B154" s="266"/>
      <c r="C154" s="462"/>
      <c r="D154" s="268"/>
      <c r="E154" s="268"/>
      <c r="F154" s="268"/>
      <c r="G154" s="268"/>
      <c r="H154" s="268"/>
      <c r="I154" s="268"/>
      <c r="J154" s="268"/>
      <c r="K154" s="268"/>
      <c r="L154" s="268"/>
      <c r="M154" s="268"/>
      <c r="N154" s="268"/>
      <c r="O154" s="279"/>
    </row>
    <row r="155" spans="1:15">
      <c r="A155" s="191"/>
      <c r="B155" s="266" t="s">
        <v>334</v>
      </c>
      <c r="C155" s="462"/>
      <c r="D155" s="268"/>
      <c r="E155" s="268" t="s">
        <v>15</v>
      </c>
      <c r="F155" s="277">
        <f t="shared" ref="F155:O155" si="85">+SUMIF($B$4:$B$127,$B155,F$4:F$127)</f>
        <v>118.29685106948033</v>
      </c>
      <c r="G155" s="277">
        <f t="shared" si="85"/>
        <v>139.37036120097616</v>
      </c>
      <c r="H155" s="277">
        <f t="shared" si="85"/>
        <v>158.24572708500148</v>
      </c>
      <c r="I155" s="277">
        <f t="shared" si="85"/>
        <v>184.13318720403598</v>
      </c>
      <c r="J155" s="277">
        <f t="shared" si="85"/>
        <v>213.66402099348878</v>
      </c>
      <c r="K155" s="277">
        <f t="shared" si="85"/>
        <v>254.26103065756635</v>
      </c>
      <c r="L155" s="277">
        <f t="shared" si="85"/>
        <v>273.22426736395073</v>
      </c>
      <c r="M155" s="277">
        <f t="shared" si="85"/>
        <v>293.63568071953483</v>
      </c>
      <c r="N155" s="277">
        <f t="shared" si="85"/>
        <v>315.60768074188911</v>
      </c>
      <c r="O155" s="278">
        <f t="shared" si="85"/>
        <v>339.26149804427126</v>
      </c>
    </row>
    <row r="156" spans="1:15" ht="16" thickBot="1">
      <c r="A156" s="191"/>
      <c r="B156" s="266" t="s">
        <v>22</v>
      </c>
      <c r="C156" s="462"/>
      <c r="D156" s="268"/>
      <c r="E156" s="268" t="s">
        <v>23</v>
      </c>
      <c r="F156" s="407">
        <f>+F155/350</f>
        <v>0.33799100305565805</v>
      </c>
      <c r="G156" s="407">
        <f t="shared" ref="G156:O156" si="86">+G155/350</f>
        <v>0.39820103200278906</v>
      </c>
      <c r="H156" s="407">
        <f t="shared" si="86"/>
        <v>0.45213064881428994</v>
      </c>
      <c r="I156" s="407">
        <f t="shared" si="86"/>
        <v>0.52609482058295998</v>
      </c>
      <c r="J156" s="407">
        <f t="shared" si="86"/>
        <v>0.61046863140996799</v>
      </c>
      <c r="K156" s="407">
        <f t="shared" si="86"/>
        <v>0.7264600875930467</v>
      </c>
      <c r="L156" s="407">
        <f t="shared" si="86"/>
        <v>0.7806407638970021</v>
      </c>
      <c r="M156" s="407">
        <f t="shared" si="86"/>
        <v>0.83895908777009953</v>
      </c>
      <c r="N156" s="407">
        <f t="shared" si="86"/>
        <v>0.90173623069111175</v>
      </c>
      <c r="O156" s="407">
        <f t="shared" si="86"/>
        <v>0.96931856584077503</v>
      </c>
    </row>
    <row r="157" spans="1:15" hidden="1">
      <c r="A157" s="191"/>
      <c r="B157" s="266"/>
      <c r="C157" s="462"/>
      <c r="D157" s="281" t="s">
        <v>287</v>
      </c>
      <c r="E157" s="268" t="s">
        <v>15</v>
      </c>
      <c r="F157" s="282">
        <f>F111</f>
        <v>38.338892971270688</v>
      </c>
      <c r="G157" s="282">
        <f t="shared" ref="G157:O157" si="87">G111</f>
        <v>62.886968598198905</v>
      </c>
      <c r="H157" s="282">
        <f t="shared" si="87"/>
        <v>110.52842391300538</v>
      </c>
      <c r="I157" s="282">
        <f t="shared" si="87"/>
        <v>132.62053086634211</v>
      </c>
      <c r="J157" s="282">
        <f t="shared" si="87"/>
        <v>158.82230362620962</v>
      </c>
      <c r="K157" s="282">
        <f t="shared" si="87"/>
        <v>190.72602345329662</v>
      </c>
      <c r="L157" s="282">
        <f t="shared" si="87"/>
        <v>219.05410559218782</v>
      </c>
      <c r="M157" s="282">
        <f t="shared" si="87"/>
        <v>219.05410559218782</v>
      </c>
      <c r="N157" s="282">
        <f t="shared" si="87"/>
        <v>219.05410559218782</v>
      </c>
      <c r="O157" s="283">
        <f t="shared" si="87"/>
        <v>219.05410559218782</v>
      </c>
    </row>
    <row r="158" spans="1:15" ht="16" hidden="1" thickBot="1">
      <c r="A158" s="191"/>
      <c r="B158" s="269"/>
      <c r="C158" s="463"/>
      <c r="D158" s="270"/>
      <c r="E158" s="270" t="s">
        <v>23</v>
      </c>
      <c r="F158" s="287">
        <f>+F157/350/0.75</f>
        <v>0.14605292560484071</v>
      </c>
      <c r="G158" s="287">
        <f t="shared" ref="G158:O158" si="88">+G157/350/0.75</f>
        <v>0.23956940418361486</v>
      </c>
      <c r="H158" s="287">
        <f t="shared" si="88"/>
        <v>0.42106066252573476</v>
      </c>
      <c r="I158" s="287">
        <f t="shared" si="88"/>
        <v>0.50522106996701754</v>
      </c>
      <c r="J158" s="287">
        <f t="shared" si="88"/>
        <v>0.60503734714746515</v>
      </c>
      <c r="K158" s="287">
        <f t="shared" si="88"/>
        <v>0.72657532744113007</v>
      </c>
      <c r="L158" s="287">
        <f t="shared" si="88"/>
        <v>0.83449183082738221</v>
      </c>
      <c r="M158" s="287">
        <f t="shared" si="88"/>
        <v>0.83449183082738221</v>
      </c>
      <c r="N158" s="287">
        <f t="shared" si="88"/>
        <v>0.83449183082738221</v>
      </c>
      <c r="O158" s="288">
        <f t="shared" si="88"/>
        <v>0.83449183082738221</v>
      </c>
    </row>
    <row r="159" spans="1:15" ht="16" hidden="1" thickBot="1">
      <c r="A159" s="191"/>
      <c r="B159" s="343"/>
      <c r="C159" s="344"/>
      <c r="D159" s="344" t="s">
        <v>308</v>
      </c>
      <c r="E159" s="263"/>
      <c r="F159" s="345">
        <f t="shared" ref="F159:O159" si="89">F151+F156</f>
        <v>0.52249698424442759</v>
      </c>
      <c r="G159" s="345">
        <f t="shared" si="89"/>
        <v>0.73118036976870648</v>
      </c>
      <c r="H159" s="345">
        <f t="shared" si="89"/>
        <v>1.0386573497510772</v>
      </c>
      <c r="I159" s="345">
        <f t="shared" si="89"/>
        <v>1.2485142235626687</v>
      </c>
      <c r="J159" s="345">
        <f t="shared" si="89"/>
        <v>1.4923569515773618</v>
      </c>
      <c r="K159" s="345">
        <f t="shared" si="89"/>
        <v>1.8077431588246315</v>
      </c>
      <c r="L159" s="345">
        <f t="shared" si="89"/>
        <v>2.0576162308249151</v>
      </c>
      <c r="M159" s="345">
        <f t="shared" si="89"/>
        <v>2.1549167232743138</v>
      </c>
      <c r="N159" s="345">
        <f t="shared" si="89"/>
        <v>2.2550373169074063</v>
      </c>
      <c r="O159" s="346">
        <f t="shared" si="89"/>
        <v>2.3630165491763968</v>
      </c>
    </row>
    <row r="160" spans="1:15" ht="16" hidden="1" thickBot="1">
      <c r="A160" s="191"/>
      <c r="B160" s="347"/>
      <c r="C160" s="464"/>
      <c r="D160" s="344" t="s">
        <v>311</v>
      </c>
      <c r="E160" s="268"/>
      <c r="F160" s="287">
        <f>F159/2</f>
        <v>0.26124849212221379</v>
      </c>
      <c r="G160" s="287">
        <f t="shared" ref="G160:O160" si="90">G159/2</f>
        <v>0.36559018488435324</v>
      </c>
      <c r="H160" s="287">
        <f t="shared" si="90"/>
        <v>0.51932867487553858</v>
      </c>
      <c r="I160" s="287">
        <f t="shared" si="90"/>
        <v>0.62425711178133436</v>
      </c>
      <c r="J160" s="287">
        <f t="shared" si="90"/>
        <v>0.74617847578868091</v>
      </c>
      <c r="K160" s="287">
        <f t="shared" si="90"/>
        <v>0.90387157941231577</v>
      </c>
      <c r="L160" s="287">
        <f t="shared" si="90"/>
        <v>1.0288081154124575</v>
      </c>
      <c r="M160" s="287">
        <f t="shared" si="90"/>
        <v>1.0774583616371569</v>
      </c>
      <c r="N160" s="287">
        <f t="shared" si="90"/>
        <v>1.1275186584537031</v>
      </c>
      <c r="O160" s="287">
        <f t="shared" si="90"/>
        <v>1.1815082745881984</v>
      </c>
    </row>
    <row r="161" spans="1:15" ht="16" hidden="1" thickBot="1">
      <c r="A161" s="191"/>
      <c r="B161" s="348"/>
      <c r="C161" s="465"/>
      <c r="D161" s="270" t="s">
        <v>309</v>
      </c>
      <c r="E161" s="270"/>
      <c r="F161" s="287">
        <f>F153+F158</f>
        <v>0.19790759585521053</v>
      </c>
      <c r="G161" s="287">
        <f t="shared" ref="G161:O161" si="91">G153+G158</f>
        <v>0.33956295595555391</v>
      </c>
      <c r="H161" s="287">
        <f t="shared" si="91"/>
        <v>0.61637573619846497</v>
      </c>
      <c r="I161" s="287">
        <f t="shared" si="91"/>
        <v>0.7571531459915809</v>
      </c>
      <c r="J161" s="287">
        <f t="shared" si="91"/>
        <v>0.92687638766187219</v>
      </c>
      <c r="K161" s="287">
        <f t="shared" si="91"/>
        <v>1.1394998374551624</v>
      </c>
      <c r="L161" s="287">
        <f t="shared" si="91"/>
        <v>1.3471653341162555</v>
      </c>
      <c r="M161" s="287">
        <f t="shared" si="91"/>
        <v>1.3471653341162555</v>
      </c>
      <c r="N161" s="287">
        <f t="shared" si="91"/>
        <v>1.3471653341162555</v>
      </c>
      <c r="O161" s="287">
        <f t="shared" si="91"/>
        <v>1.3471653341162555</v>
      </c>
    </row>
    <row r="162" spans="1:15">
      <c r="A162" s="191"/>
      <c r="B162" s="276" t="s">
        <v>305</v>
      </c>
      <c r="C162" s="344"/>
      <c r="D162" s="263"/>
      <c r="E162" s="263"/>
      <c r="F162" s="274">
        <f t="shared" ref="F162:O162" si="92">+SUMIF($B$4:$B$127,$B162,F$4:F$127)</f>
        <v>68.204629629629622</v>
      </c>
      <c r="G162" s="274">
        <f t="shared" si="92"/>
        <v>77.94814814814815</v>
      </c>
      <c r="H162" s="274">
        <f t="shared" si="92"/>
        <v>91.589074074074063</v>
      </c>
      <c r="I162" s="274">
        <f t="shared" si="92"/>
        <v>109.12740740740739</v>
      </c>
      <c r="J162" s="274">
        <f t="shared" si="92"/>
        <v>130.56314814814817</v>
      </c>
      <c r="K162" s="274">
        <f t="shared" si="92"/>
        <v>157.84499999999997</v>
      </c>
      <c r="L162" s="274">
        <f t="shared" si="92"/>
        <v>187.07555555555555</v>
      </c>
      <c r="M162" s="274">
        <f t="shared" si="92"/>
        <v>220.20351851851851</v>
      </c>
      <c r="N162" s="274">
        <f t="shared" si="92"/>
        <v>257.22888888888883</v>
      </c>
      <c r="O162" s="275">
        <f t="shared" si="92"/>
        <v>292.30555555555554</v>
      </c>
    </row>
    <row r="163" spans="1:15">
      <c r="A163" s="191"/>
      <c r="B163" s="266" t="s">
        <v>22</v>
      </c>
      <c r="C163" s="462"/>
      <c r="D163" s="268"/>
      <c r="E163" s="268"/>
      <c r="F163" s="205">
        <f>F162/350</f>
        <v>0.19487037037037036</v>
      </c>
      <c r="G163" s="205">
        <f t="shared" ref="G163:O163" si="93">G162/350</f>
        <v>0.22270899470899472</v>
      </c>
      <c r="H163" s="205">
        <f t="shared" si="93"/>
        <v>0.26168306878306874</v>
      </c>
      <c r="I163" s="205">
        <f t="shared" si="93"/>
        <v>0.31179259259259257</v>
      </c>
      <c r="J163" s="205">
        <f t="shared" si="93"/>
        <v>0.37303756613756622</v>
      </c>
      <c r="K163" s="205">
        <f t="shared" si="93"/>
        <v>0.45098571428571421</v>
      </c>
      <c r="L163" s="205">
        <f t="shared" si="93"/>
        <v>0.53450158730158726</v>
      </c>
      <c r="M163" s="205">
        <f t="shared" si="93"/>
        <v>0.62915291005291007</v>
      </c>
      <c r="N163" s="205">
        <f t="shared" si="93"/>
        <v>0.73493968253968234</v>
      </c>
      <c r="O163" s="205">
        <f t="shared" si="93"/>
        <v>0.8351587301587301</v>
      </c>
    </row>
    <row r="164" spans="1:15">
      <c r="A164" s="191"/>
      <c r="B164" s="347"/>
      <c r="C164" s="462"/>
      <c r="D164" s="268"/>
      <c r="E164" s="268"/>
      <c r="F164" s="349"/>
      <c r="G164" s="349"/>
      <c r="H164" s="349"/>
      <c r="I164" s="349"/>
      <c r="J164" s="349"/>
      <c r="K164" s="349"/>
      <c r="L164" s="349"/>
      <c r="M164" s="349"/>
      <c r="N164" s="349"/>
      <c r="O164" s="350"/>
    </row>
    <row r="165" spans="1:15" ht="16" thickBot="1">
      <c r="A165" s="191"/>
      <c r="B165" s="348"/>
      <c r="C165" s="465"/>
      <c r="D165" s="270"/>
      <c r="E165" s="270"/>
      <c r="F165" s="351"/>
      <c r="G165" s="351"/>
      <c r="H165" s="351"/>
      <c r="I165" s="351"/>
      <c r="J165" s="351"/>
      <c r="K165" s="351"/>
      <c r="L165" s="351"/>
      <c r="M165" s="351"/>
      <c r="N165" s="351"/>
      <c r="O165" s="352"/>
    </row>
    <row r="166" spans="1:15">
      <c r="A166" s="191"/>
      <c r="B166" s="276"/>
      <c r="C166" s="344"/>
      <c r="D166" s="263"/>
      <c r="E166" s="263"/>
      <c r="F166" s="353"/>
      <c r="G166" s="353"/>
      <c r="H166" s="353"/>
      <c r="I166" s="353"/>
      <c r="J166" s="353"/>
      <c r="K166" s="353"/>
      <c r="L166" s="353"/>
      <c r="M166" s="353"/>
      <c r="N166" s="353"/>
      <c r="O166" s="354"/>
    </row>
    <row r="167" spans="1:15">
      <c r="A167" s="191"/>
      <c r="B167" s="266" t="s">
        <v>20</v>
      </c>
      <c r="C167" s="462"/>
      <c r="D167" s="268"/>
      <c r="E167" s="268" t="s">
        <v>15</v>
      </c>
      <c r="F167" s="277">
        <f t="shared" ref="F167:O167" si="94">+SUMIF($B$4:$B$127,$B167,F$4:F$127)</f>
        <v>51.617943553026585</v>
      </c>
      <c r="G167" s="277">
        <f t="shared" si="94"/>
        <v>63.299918993066193</v>
      </c>
      <c r="H167" s="277">
        <f t="shared" si="94"/>
        <v>76.559710970573505</v>
      </c>
      <c r="I167" s="277">
        <f t="shared" si="94"/>
        <v>96.608722202722831</v>
      </c>
      <c r="J167" s="277">
        <f t="shared" si="94"/>
        <v>120.61325183481085</v>
      </c>
      <c r="K167" s="277">
        <f t="shared" si="94"/>
        <v>138.4463443839343</v>
      </c>
      <c r="L167" s="277">
        <f t="shared" si="94"/>
        <v>157.58989355412135</v>
      </c>
      <c r="M167" s="277">
        <f t="shared" si="94"/>
        <v>179.11495080879959</v>
      </c>
      <c r="N167" s="277">
        <f t="shared" si="94"/>
        <v>203.05476197942431</v>
      </c>
      <c r="O167" s="278">
        <f t="shared" si="94"/>
        <v>226.32198575310792</v>
      </c>
    </row>
    <row r="168" spans="1:15">
      <c r="A168" s="191"/>
      <c r="B168" s="266" t="s">
        <v>22</v>
      </c>
      <c r="C168" s="462"/>
      <c r="D168" s="268"/>
      <c r="E168" s="268" t="s">
        <v>23</v>
      </c>
      <c r="F168" s="205">
        <f>+F167/350</f>
        <v>0.1474798387229331</v>
      </c>
      <c r="G168" s="205">
        <f t="shared" ref="G168:O168" si="95">+G167/350</f>
        <v>0.18085691140876056</v>
      </c>
      <c r="H168" s="205">
        <f t="shared" si="95"/>
        <v>0.21874203134449574</v>
      </c>
      <c r="I168" s="205">
        <f t="shared" si="95"/>
        <v>0.27602492057920808</v>
      </c>
      <c r="J168" s="205">
        <f t="shared" si="95"/>
        <v>0.34460929095660242</v>
      </c>
      <c r="K168" s="205">
        <f t="shared" si="95"/>
        <v>0.395560983954098</v>
      </c>
      <c r="L168" s="205">
        <f t="shared" si="95"/>
        <v>0.45025683872606098</v>
      </c>
      <c r="M168" s="205">
        <f t="shared" si="95"/>
        <v>0.51175700231085597</v>
      </c>
      <c r="N168" s="205">
        <f t="shared" si="95"/>
        <v>0.5801564627983552</v>
      </c>
      <c r="O168" s="205">
        <f t="shared" si="95"/>
        <v>0.64663424500887978</v>
      </c>
    </row>
    <row r="169" spans="1:15" ht="16" thickBot="1">
      <c r="A169" s="191"/>
      <c r="B169" s="280"/>
      <c r="C169" s="466"/>
      <c r="D169" s="268"/>
      <c r="E169" s="268"/>
      <c r="F169" s="411"/>
      <c r="G169" s="411"/>
      <c r="H169" s="411"/>
      <c r="I169" s="411"/>
      <c r="J169" s="411"/>
      <c r="K169" s="411"/>
      <c r="L169" s="411"/>
      <c r="M169" s="411"/>
      <c r="N169" s="411"/>
      <c r="O169" s="412"/>
    </row>
    <row r="170" spans="1:15" s="268" customFormat="1">
      <c r="A170" s="413"/>
      <c r="B170" s="262" t="s">
        <v>357</v>
      </c>
      <c r="C170" s="461"/>
      <c r="D170" s="263"/>
      <c r="E170" s="263" t="s">
        <v>15</v>
      </c>
      <c r="F170" s="274">
        <f t="shared" ref="F170:O170" si="96">+SUMIF($B$4:$B$127,$B170,F$4:F$127)</f>
        <v>105.6589311728395</v>
      </c>
      <c r="G170" s="274">
        <f t="shared" si="96"/>
        <v>121.67727334567903</v>
      </c>
      <c r="H170" s="274">
        <f t="shared" si="96"/>
        <v>136.00298806691359</v>
      </c>
      <c r="I170" s="274">
        <f t="shared" si="96"/>
        <v>152.02023274667164</v>
      </c>
      <c r="J170" s="274">
        <f t="shared" si="96"/>
        <v>169.92923539917351</v>
      </c>
      <c r="K170" s="274">
        <f t="shared" si="96"/>
        <v>208.33950578353532</v>
      </c>
      <c r="L170" s="274">
        <f t="shared" si="96"/>
        <v>225.00666624621817</v>
      </c>
      <c r="M170" s="274">
        <f t="shared" si="96"/>
        <v>243.00719954591563</v>
      </c>
      <c r="N170" s="274">
        <f t="shared" si="96"/>
        <v>262.44777550958889</v>
      </c>
      <c r="O170" s="275">
        <f t="shared" si="96"/>
        <v>283.44359755035606</v>
      </c>
    </row>
    <row r="171" spans="1:15" s="268" customFormat="1" ht="16" thickBot="1">
      <c r="A171" s="414"/>
      <c r="B171" s="408" t="s">
        <v>22</v>
      </c>
      <c r="C171" s="465"/>
      <c r="D171" s="270"/>
      <c r="E171" s="270" t="s">
        <v>23</v>
      </c>
      <c r="F171" s="409">
        <f>+F170/350</f>
        <v>0.30188266049382717</v>
      </c>
      <c r="G171" s="409">
        <f t="shared" ref="G171:O171" si="97">+G170/350</f>
        <v>0.3476493524162258</v>
      </c>
      <c r="H171" s="409">
        <f t="shared" si="97"/>
        <v>0.38857996590546739</v>
      </c>
      <c r="I171" s="409">
        <f t="shared" si="97"/>
        <v>0.43434352213334754</v>
      </c>
      <c r="J171" s="409">
        <f t="shared" si="97"/>
        <v>0.48551210114049576</v>
      </c>
      <c r="K171" s="409">
        <f t="shared" si="97"/>
        <v>0.59525573081010086</v>
      </c>
      <c r="L171" s="409">
        <f t="shared" si="97"/>
        <v>0.64287618927490908</v>
      </c>
      <c r="M171" s="409">
        <f t="shared" si="97"/>
        <v>0.69430628441690179</v>
      </c>
      <c r="N171" s="409">
        <f t="shared" si="97"/>
        <v>0.749850787170254</v>
      </c>
      <c r="O171" s="410">
        <f t="shared" si="97"/>
        <v>0.80983885014387447</v>
      </c>
    </row>
    <row r="172" spans="1:15" ht="16" hidden="1">
      <c r="A172" s="191"/>
      <c r="B172" s="267"/>
      <c r="C172" s="462"/>
      <c r="D172" s="307" t="s">
        <v>288</v>
      </c>
      <c r="E172" s="291"/>
      <c r="F172" s="268"/>
      <c r="G172" s="282"/>
      <c r="H172" s="290"/>
      <c r="I172" s="290"/>
      <c r="J172" s="290"/>
      <c r="K172" s="290"/>
      <c r="L172" s="290"/>
      <c r="M172" s="290"/>
      <c r="N172" s="290"/>
      <c r="O172" s="300"/>
    </row>
    <row r="173" spans="1:15" hidden="1">
      <c r="A173" s="191"/>
      <c r="B173" s="267"/>
      <c r="C173" s="462"/>
      <c r="D173" s="280" t="s">
        <v>296</v>
      </c>
      <c r="E173" s="291"/>
      <c r="F173" s="282">
        <v>350</v>
      </c>
      <c r="G173" s="282" t="s">
        <v>295</v>
      </c>
      <c r="H173" s="290"/>
      <c r="I173" s="290"/>
      <c r="J173" s="290"/>
      <c r="K173" s="290"/>
      <c r="L173" s="290"/>
      <c r="M173" s="290"/>
      <c r="N173" s="290"/>
      <c r="O173" s="300"/>
    </row>
    <row r="174" spans="1:15" hidden="1">
      <c r="A174" s="191"/>
      <c r="B174" s="267"/>
      <c r="C174" s="462"/>
      <c r="D174" s="280" t="s">
        <v>289</v>
      </c>
      <c r="E174" s="268"/>
      <c r="F174" s="282">
        <f t="shared" ref="F174:O174" si="98">F87+F93+F99+F106+F109</f>
        <v>118.28528067691607</v>
      </c>
      <c r="G174" s="282">
        <f t="shared" si="98"/>
        <v>149.08476562541722</v>
      </c>
      <c r="H174" s="282">
        <f t="shared" si="98"/>
        <v>179.48870264269203</v>
      </c>
      <c r="I174" s="282">
        <f t="shared" si="98"/>
        <v>206.1143229667797</v>
      </c>
      <c r="J174" s="282">
        <f t="shared" si="98"/>
        <v>235.28509569651987</v>
      </c>
      <c r="K174" s="282">
        <f t="shared" si="98"/>
        <v>287.66987338260992</v>
      </c>
      <c r="L174" s="282">
        <f t="shared" si="98"/>
        <v>318.31717946547059</v>
      </c>
      <c r="M174" s="282">
        <f t="shared" si="98"/>
        <v>349.9614717668735</v>
      </c>
      <c r="N174" s="282">
        <f t="shared" si="98"/>
        <v>382.47225547977479</v>
      </c>
      <c r="O174" s="283">
        <f t="shared" si="98"/>
        <v>417.60699151230659</v>
      </c>
    </row>
    <row r="175" spans="1:15" hidden="1">
      <c r="A175" s="191"/>
      <c r="B175" s="267"/>
      <c r="C175" s="462"/>
      <c r="D175" s="280" t="s">
        <v>290</v>
      </c>
      <c r="E175" s="268"/>
      <c r="F175" s="282">
        <f t="shared" ref="F175:O175" si="99">F112+F115</f>
        <v>51.950743911992767</v>
      </c>
      <c r="G175" s="282">
        <f t="shared" si="99"/>
        <v>89.13527593833291</v>
      </c>
      <c r="H175" s="282">
        <f t="shared" si="99"/>
        <v>161.79863075209707</v>
      </c>
      <c r="I175" s="282">
        <f t="shared" si="99"/>
        <v>198.75270082278999</v>
      </c>
      <c r="J175" s="282">
        <f t="shared" si="99"/>
        <v>243.30505176124149</v>
      </c>
      <c r="K175" s="282">
        <f t="shared" si="99"/>
        <v>299.11870733198009</v>
      </c>
      <c r="L175" s="282">
        <f t="shared" si="99"/>
        <v>353.63090020551709</v>
      </c>
      <c r="M175" s="282">
        <f t="shared" si="99"/>
        <v>353.63090020551709</v>
      </c>
      <c r="N175" s="282">
        <f t="shared" si="99"/>
        <v>353.63090020551709</v>
      </c>
      <c r="O175" s="283">
        <f t="shared" si="99"/>
        <v>353.63090020551709</v>
      </c>
    </row>
    <row r="176" spans="1:15" hidden="1">
      <c r="A176" s="191"/>
      <c r="B176" s="267"/>
      <c r="C176" s="462"/>
      <c r="D176" s="301" t="s">
        <v>291</v>
      </c>
      <c r="E176" s="292"/>
      <c r="F176" s="293">
        <f t="shared" ref="F176:O176" si="100">IF($F$173-F174-F175&gt;0,0,-($F$173-F174-F175))</f>
        <v>0</v>
      </c>
      <c r="G176" s="293">
        <f t="shared" si="100"/>
        <v>0</v>
      </c>
      <c r="H176" s="293">
        <f t="shared" si="100"/>
        <v>0</v>
      </c>
      <c r="I176" s="293">
        <f t="shared" si="100"/>
        <v>54.867023789569686</v>
      </c>
      <c r="J176" s="293">
        <f t="shared" si="100"/>
        <v>128.59014745776136</v>
      </c>
      <c r="K176" s="293">
        <f t="shared" si="100"/>
        <v>236.78858071459001</v>
      </c>
      <c r="L176" s="293">
        <f t="shared" si="100"/>
        <v>321.94807967098768</v>
      </c>
      <c r="M176" s="293">
        <f t="shared" si="100"/>
        <v>353.59237197239059</v>
      </c>
      <c r="N176" s="293">
        <f t="shared" si="100"/>
        <v>386.10315568529188</v>
      </c>
      <c r="O176" s="302">
        <f t="shared" si="100"/>
        <v>421.23789171782369</v>
      </c>
    </row>
    <row r="177" spans="1:15" hidden="1">
      <c r="A177" s="191"/>
      <c r="B177" s="267"/>
      <c r="C177" s="462"/>
      <c r="D177" s="280"/>
      <c r="E177" s="268"/>
      <c r="F177" s="268"/>
      <c r="G177" s="268"/>
      <c r="H177" s="268"/>
      <c r="I177" s="268"/>
      <c r="J177" s="268"/>
      <c r="K177" s="268"/>
      <c r="L177" s="268"/>
      <c r="M177" s="268"/>
      <c r="N177" s="268"/>
      <c r="O177" s="279"/>
    </row>
    <row r="178" spans="1:15" hidden="1">
      <c r="A178" s="191"/>
      <c r="B178" s="267"/>
      <c r="C178" s="462"/>
      <c r="D178" s="280" t="s">
        <v>292</v>
      </c>
      <c r="E178" s="268"/>
      <c r="F178" s="282">
        <f t="shared" ref="F178:O178" si="101">F115</f>
        <v>13.61185094072208</v>
      </c>
      <c r="G178" s="282">
        <f t="shared" si="101"/>
        <v>26.248307340134005</v>
      </c>
      <c r="H178" s="282">
        <f t="shared" si="101"/>
        <v>51.270206839091692</v>
      </c>
      <c r="I178" s="282">
        <f t="shared" si="101"/>
        <v>66.132169956447882</v>
      </c>
      <c r="J178" s="282">
        <f t="shared" si="101"/>
        <v>84.482748135031869</v>
      </c>
      <c r="K178" s="282">
        <f t="shared" si="101"/>
        <v>108.3926838786835</v>
      </c>
      <c r="L178" s="282">
        <f t="shared" si="101"/>
        <v>134.57679461332927</v>
      </c>
      <c r="M178" s="282">
        <f t="shared" si="101"/>
        <v>134.57679461332927</v>
      </c>
      <c r="N178" s="282">
        <f t="shared" si="101"/>
        <v>134.57679461332927</v>
      </c>
      <c r="O178" s="283">
        <f t="shared" si="101"/>
        <v>134.57679461332927</v>
      </c>
    </row>
    <row r="179" spans="1:15" hidden="1">
      <c r="A179" s="191"/>
      <c r="B179" s="267"/>
      <c r="C179" s="462"/>
      <c r="D179" s="280" t="s">
        <v>300</v>
      </c>
      <c r="E179" s="268"/>
      <c r="F179" s="282">
        <f t="shared" ref="F179:O179" si="102">F112</f>
        <v>38.338892971270688</v>
      </c>
      <c r="G179" s="282">
        <f t="shared" si="102"/>
        <v>62.886968598198905</v>
      </c>
      <c r="H179" s="282">
        <f t="shared" si="102"/>
        <v>110.52842391300538</v>
      </c>
      <c r="I179" s="282">
        <f t="shared" si="102"/>
        <v>132.62053086634211</v>
      </c>
      <c r="J179" s="282">
        <f t="shared" si="102"/>
        <v>158.82230362620962</v>
      </c>
      <c r="K179" s="282">
        <f t="shared" si="102"/>
        <v>190.72602345329662</v>
      </c>
      <c r="L179" s="282">
        <f t="shared" si="102"/>
        <v>219.05410559218782</v>
      </c>
      <c r="M179" s="282">
        <f t="shared" si="102"/>
        <v>219.05410559218782</v>
      </c>
      <c r="N179" s="282">
        <f t="shared" si="102"/>
        <v>219.05410559218782</v>
      </c>
      <c r="O179" s="282">
        <f t="shared" si="102"/>
        <v>219.05410559218782</v>
      </c>
    </row>
    <row r="180" spans="1:15" hidden="1">
      <c r="A180" s="191"/>
      <c r="B180" s="267"/>
      <c r="C180" s="462"/>
      <c r="D180" s="303" t="s">
        <v>293</v>
      </c>
      <c r="E180" s="296"/>
      <c r="F180" s="297">
        <f>F176*24*$C$115</f>
        <v>0</v>
      </c>
      <c r="G180" s="297">
        <f>G176*24*$C$115</f>
        <v>0</v>
      </c>
      <c r="H180" s="297">
        <f>H176*24*$C$115</f>
        <v>0</v>
      </c>
      <c r="I180" s="297">
        <f>I176*24*$C$115</f>
        <v>5925.6385692735257</v>
      </c>
      <c r="J180" s="297">
        <f t="shared" ref="J180:O180" si="103">IF(J176&lt;J178,J176,J178)</f>
        <v>84.482748135031869</v>
      </c>
      <c r="K180" s="297">
        <f t="shared" si="103"/>
        <v>108.3926838786835</v>
      </c>
      <c r="L180" s="297">
        <f t="shared" si="103"/>
        <v>134.57679461332927</v>
      </c>
      <c r="M180" s="297">
        <f t="shared" si="103"/>
        <v>134.57679461332927</v>
      </c>
      <c r="N180" s="297">
        <f t="shared" si="103"/>
        <v>134.57679461332927</v>
      </c>
      <c r="O180" s="304">
        <f t="shared" si="103"/>
        <v>134.57679461332927</v>
      </c>
    </row>
    <row r="181" spans="1:15" s="295" customFormat="1" hidden="1">
      <c r="A181" s="294"/>
      <c r="B181" s="284"/>
      <c r="C181" s="467"/>
      <c r="D181" s="305" t="s">
        <v>294</v>
      </c>
      <c r="E181" s="298"/>
      <c r="F181" s="299" t="str">
        <f t="shared" ref="F181:M181" si="104">IF(F180=F176,"0",F176-F180)</f>
        <v>0</v>
      </c>
      <c r="G181" s="299" t="str">
        <f t="shared" si="104"/>
        <v>0</v>
      </c>
      <c r="H181" s="299" t="str">
        <f t="shared" si="104"/>
        <v>0</v>
      </c>
      <c r="I181" s="299">
        <f t="shared" si="104"/>
        <v>-5870.7715454839563</v>
      </c>
      <c r="J181" s="299">
        <f t="shared" si="104"/>
        <v>44.107399322729492</v>
      </c>
      <c r="K181" s="299">
        <f t="shared" si="104"/>
        <v>128.39589683590651</v>
      </c>
      <c r="L181" s="299">
        <f t="shared" si="104"/>
        <v>187.37128505765841</v>
      </c>
      <c r="M181" s="299">
        <f t="shared" si="104"/>
        <v>219.01557735906133</v>
      </c>
      <c r="N181" s="299">
        <f>IF(N180=N176,"0",N176-N180)</f>
        <v>251.52636107196261</v>
      </c>
      <c r="O181" s="306">
        <f>IF(O180=O176,"0",O176-O180)</f>
        <v>286.66109710449439</v>
      </c>
    </row>
    <row r="182" spans="1:15" s="326" customFormat="1" hidden="1">
      <c r="A182" s="294"/>
      <c r="B182" s="284"/>
      <c r="C182" s="467"/>
      <c r="D182" s="323"/>
      <c r="E182" s="324"/>
      <c r="F182" s="284"/>
      <c r="G182" s="284"/>
      <c r="H182" s="284"/>
      <c r="I182" s="284"/>
      <c r="J182" s="284"/>
      <c r="K182" s="284"/>
      <c r="L182" s="284"/>
      <c r="M182" s="284"/>
      <c r="N182" s="284"/>
      <c r="O182" s="325"/>
    </row>
    <row r="183" spans="1:15" s="326" customFormat="1" ht="16" hidden="1">
      <c r="A183" s="294"/>
      <c r="B183" s="284"/>
      <c r="C183" s="467"/>
      <c r="D183" s="307" t="s">
        <v>301</v>
      </c>
      <c r="E183" s="324"/>
      <c r="F183" s="327">
        <v>0.66666666666666663</v>
      </c>
      <c r="G183" s="284"/>
      <c r="H183" s="284"/>
      <c r="I183" s="284"/>
      <c r="J183" s="284"/>
      <c r="K183" s="284"/>
      <c r="L183" s="284"/>
      <c r="M183" s="284"/>
      <c r="N183" s="284"/>
      <c r="O183" s="325"/>
    </row>
    <row r="184" spans="1:15" s="326" customFormat="1" hidden="1">
      <c r="A184" s="294"/>
      <c r="B184" s="284"/>
      <c r="C184" s="467"/>
      <c r="D184" s="280" t="s">
        <v>292</v>
      </c>
      <c r="E184" s="324"/>
      <c r="F184" s="284">
        <f>F178*$F$183</f>
        <v>9.0745672938147202</v>
      </c>
      <c r="G184" s="284">
        <f t="shared" ref="G184:O184" si="105">G178*$F$183</f>
        <v>17.498871560089334</v>
      </c>
      <c r="H184" s="284">
        <f t="shared" si="105"/>
        <v>34.180137892727792</v>
      </c>
      <c r="I184" s="284">
        <f t="shared" si="105"/>
        <v>44.088113304298588</v>
      </c>
      <c r="J184" s="284">
        <f t="shared" si="105"/>
        <v>56.321832090021246</v>
      </c>
      <c r="K184" s="284">
        <f t="shared" si="105"/>
        <v>72.261789252455657</v>
      </c>
      <c r="L184" s="284">
        <f t="shared" si="105"/>
        <v>89.717863075552842</v>
      </c>
      <c r="M184" s="284">
        <f t="shared" si="105"/>
        <v>89.717863075552842</v>
      </c>
      <c r="N184" s="284">
        <f t="shared" si="105"/>
        <v>89.717863075552842</v>
      </c>
      <c r="O184" s="284">
        <f t="shared" si="105"/>
        <v>89.717863075552842</v>
      </c>
    </row>
    <row r="185" spans="1:15" s="326" customFormat="1" hidden="1">
      <c r="A185" s="294"/>
      <c r="B185" s="284"/>
      <c r="C185" s="467"/>
      <c r="D185" s="280" t="s">
        <v>300</v>
      </c>
      <c r="E185" s="324"/>
      <c r="F185" s="284">
        <f>F179*$F$183</f>
        <v>25.559261980847126</v>
      </c>
      <c r="G185" s="284">
        <f t="shared" ref="G185:O185" si="106">G179*$F$183</f>
        <v>41.924645732132603</v>
      </c>
      <c r="H185" s="284">
        <f t="shared" si="106"/>
        <v>73.685615942003579</v>
      </c>
      <c r="I185" s="284">
        <f t="shared" si="106"/>
        <v>88.413687244228072</v>
      </c>
      <c r="J185" s="284">
        <f t="shared" si="106"/>
        <v>105.88153575080641</v>
      </c>
      <c r="K185" s="284">
        <f t="shared" si="106"/>
        <v>127.15068230219774</v>
      </c>
      <c r="L185" s="284">
        <f t="shared" si="106"/>
        <v>146.03607039479186</v>
      </c>
      <c r="M185" s="284">
        <f t="shared" si="106"/>
        <v>146.03607039479186</v>
      </c>
      <c r="N185" s="284">
        <f t="shared" si="106"/>
        <v>146.03607039479186</v>
      </c>
      <c r="O185" s="284">
        <f t="shared" si="106"/>
        <v>146.03607039479186</v>
      </c>
    </row>
    <row r="186" spans="1:15" s="326" customFormat="1" hidden="1">
      <c r="A186" s="294"/>
      <c r="B186" s="284"/>
      <c r="C186" s="467"/>
      <c r="D186" s="323"/>
      <c r="E186" s="324"/>
      <c r="F186" s="284"/>
      <c r="G186" s="284"/>
      <c r="H186" s="284"/>
      <c r="I186" s="284"/>
      <c r="J186" s="284"/>
      <c r="K186" s="284"/>
      <c r="L186" s="284"/>
      <c r="M186" s="284"/>
      <c r="N186" s="284"/>
      <c r="O186" s="325"/>
    </row>
    <row r="187" spans="1:15" s="326" customFormat="1" ht="16" hidden="1">
      <c r="A187" s="294"/>
      <c r="B187" s="284"/>
      <c r="C187" s="467"/>
      <c r="D187" s="307" t="s">
        <v>302</v>
      </c>
      <c r="E187" s="324"/>
      <c r="F187" s="284">
        <f>F174+SUM(F178:F179)-SUM(F184:F185)</f>
        <v>135.60219531424698</v>
      </c>
      <c r="G187" s="284">
        <f t="shared" ref="G187:O187" si="107">G174+SUM(G178:G179)-SUM(G184:G185)</f>
        <v>178.7965242715282</v>
      </c>
      <c r="H187" s="284">
        <f t="shared" si="107"/>
        <v>233.42157956005775</v>
      </c>
      <c r="I187" s="284">
        <f t="shared" si="107"/>
        <v>272.365223241043</v>
      </c>
      <c r="J187" s="284">
        <f t="shared" si="107"/>
        <v>316.38677961693372</v>
      </c>
      <c r="K187" s="284">
        <f t="shared" si="107"/>
        <v>387.37610915993662</v>
      </c>
      <c r="L187" s="284">
        <f t="shared" si="107"/>
        <v>436.19414620064299</v>
      </c>
      <c r="M187" s="284">
        <f t="shared" si="107"/>
        <v>467.83843850204585</v>
      </c>
      <c r="N187" s="284">
        <f t="shared" si="107"/>
        <v>500.34922221494719</v>
      </c>
      <c r="O187" s="284">
        <f t="shared" si="107"/>
        <v>535.48395824747899</v>
      </c>
    </row>
    <row r="188" spans="1:15" s="326" customFormat="1" hidden="1">
      <c r="A188" s="294"/>
      <c r="B188" s="284"/>
      <c r="C188" s="467"/>
      <c r="D188" s="280"/>
      <c r="E188" s="324"/>
      <c r="F188" s="284"/>
      <c r="G188" s="284"/>
      <c r="H188" s="284"/>
      <c r="I188" s="284"/>
      <c r="J188" s="284"/>
      <c r="K188" s="284"/>
      <c r="L188" s="284"/>
      <c r="M188" s="284"/>
      <c r="N188" s="284"/>
      <c r="O188" s="325"/>
    </row>
    <row r="189" spans="1:15" s="326" customFormat="1" hidden="1">
      <c r="A189" s="294"/>
      <c r="B189" s="284"/>
      <c r="C189" s="467"/>
      <c r="D189" s="280"/>
      <c r="E189" s="324"/>
      <c r="F189" s="284"/>
      <c r="G189" s="284"/>
      <c r="H189" s="284"/>
      <c r="I189" s="284"/>
      <c r="J189" s="284"/>
      <c r="K189" s="284"/>
      <c r="L189" s="284"/>
      <c r="M189" s="284"/>
      <c r="N189" s="284"/>
      <c r="O189" s="325"/>
    </row>
    <row r="190" spans="1:15" s="326" customFormat="1" hidden="1">
      <c r="A190" s="294"/>
      <c r="B190" s="284"/>
      <c r="C190" s="467"/>
      <c r="D190" s="323"/>
      <c r="E190" s="324"/>
      <c r="F190" s="284"/>
      <c r="G190" s="284"/>
      <c r="H190" s="284"/>
      <c r="I190" s="284"/>
      <c r="J190" s="284"/>
      <c r="K190" s="284"/>
      <c r="L190" s="284"/>
      <c r="M190" s="284"/>
      <c r="N190" s="284"/>
      <c r="O190" s="325"/>
    </row>
    <row r="191" spans="1:15" s="326" customFormat="1" hidden="1">
      <c r="A191" s="294"/>
      <c r="B191" s="284"/>
      <c r="C191" s="467"/>
      <c r="D191" s="323"/>
      <c r="E191" s="324"/>
      <c r="F191" s="284"/>
      <c r="G191" s="284"/>
      <c r="H191" s="284"/>
      <c r="I191" s="284"/>
      <c r="J191" s="284"/>
      <c r="K191" s="284"/>
      <c r="L191" s="284"/>
      <c r="M191" s="284"/>
      <c r="N191" s="284"/>
      <c r="O191" s="325"/>
    </row>
    <row r="192" spans="1:15" s="326" customFormat="1" hidden="1">
      <c r="A192" s="294"/>
      <c r="B192" s="284"/>
      <c r="C192" s="467"/>
      <c r="D192" s="323"/>
      <c r="E192" s="324"/>
      <c r="F192" s="284"/>
      <c r="G192" s="284"/>
      <c r="H192" s="284"/>
      <c r="I192" s="284"/>
      <c r="J192" s="284"/>
      <c r="K192" s="284"/>
      <c r="L192" s="284"/>
      <c r="M192" s="284"/>
      <c r="N192" s="284"/>
      <c r="O192" s="325"/>
    </row>
    <row r="193" spans="1:15" s="326" customFormat="1" hidden="1">
      <c r="A193" s="294"/>
      <c r="B193" s="284"/>
      <c r="C193" s="467"/>
      <c r="D193" s="323"/>
      <c r="E193" s="324"/>
      <c r="F193" s="284"/>
      <c r="G193" s="284"/>
      <c r="H193" s="284"/>
      <c r="I193" s="284"/>
      <c r="J193" s="284"/>
      <c r="K193" s="284"/>
      <c r="L193" s="284"/>
      <c r="M193" s="284"/>
      <c r="N193" s="284"/>
      <c r="O193" s="325"/>
    </row>
    <row r="194" spans="1:15" hidden="1">
      <c r="A194" s="191"/>
      <c r="B194" s="267"/>
      <c r="C194" s="462"/>
      <c r="D194" s="280"/>
      <c r="E194" s="268"/>
      <c r="F194" s="290"/>
      <c r="G194" s="290"/>
      <c r="H194" s="290"/>
      <c r="I194" s="290"/>
      <c r="J194" s="290"/>
      <c r="K194" s="290"/>
      <c r="L194" s="290"/>
      <c r="M194" s="290"/>
      <c r="N194" s="290"/>
      <c r="O194" s="300"/>
    </row>
    <row r="195" spans="1:15" ht="16" hidden="1">
      <c r="A195" s="191"/>
      <c r="B195" s="267"/>
      <c r="C195" s="462"/>
      <c r="D195" s="307" t="s">
        <v>297</v>
      </c>
      <c r="E195" s="268"/>
      <c r="F195" s="290"/>
      <c r="G195" s="290"/>
      <c r="H195" s="290"/>
      <c r="I195" s="290"/>
      <c r="J195" s="290"/>
      <c r="K195" s="290"/>
      <c r="L195" s="290"/>
      <c r="M195" s="290"/>
      <c r="N195" s="290"/>
      <c r="O195" s="300"/>
    </row>
    <row r="196" spans="1:15" s="289" customFormat="1" hidden="1">
      <c r="A196" s="191"/>
      <c r="B196" s="190"/>
      <c r="C196" s="454"/>
      <c r="D196" s="308" t="s">
        <v>298</v>
      </c>
      <c r="E196" s="309"/>
      <c r="F196" s="310">
        <f>F180*$C$115*24</f>
        <v>0</v>
      </c>
      <c r="G196" s="310">
        <f t="shared" ref="G196:O196" si="108">G180*$C$115*24</f>
        <v>0</v>
      </c>
      <c r="H196" s="310">
        <f t="shared" si="108"/>
        <v>0</v>
      </c>
      <c r="I196" s="310">
        <f t="shared" si="108"/>
        <v>639968.96548154077</v>
      </c>
      <c r="J196" s="310">
        <f t="shared" si="108"/>
        <v>9124.1367985834422</v>
      </c>
      <c r="K196" s="310">
        <f t="shared" si="108"/>
        <v>11706.40985889782</v>
      </c>
      <c r="L196" s="310">
        <f t="shared" si="108"/>
        <v>14534.293818239559</v>
      </c>
      <c r="M196" s="310">
        <f t="shared" si="108"/>
        <v>14534.293818239559</v>
      </c>
      <c r="N196" s="310">
        <f t="shared" si="108"/>
        <v>14534.293818239559</v>
      </c>
      <c r="O196" s="311">
        <f t="shared" si="108"/>
        <v>14534.293818239559</v>
      </c>
    </row>
    <row r="197" spans="1:15" s="289" customFormat="1" hidden="1">
      <c r="A197" s="191"/>
      <c r="B197" s="196" t="s">
        <v>16</v>
      </c>
      <c r="C197" s="456"/>
      <c r="D197" s="312"/>
      <c r="E197" s="309" t="s">
        <v>25</v>
      </c>
      <c r="F197" s="313"/>
      <c r="G197" s="313"/>
      <c r="H197" s="313"/>
      <c r="I197" s="313"/>
      <c r="J197" s="313"/>
      <c r="K197" s="313"/>
      <c r="L197" s="313"/>
      <c r="M197" s="313"/>
      <c r="N197" s="313"/>
      <c r="O197" s="314"/>
    </row>
    <row r="198" spans="1:15" s="289" customFormat="1" hidden="1">
      <c r="A198" s="191"/>
      <c r="B198" s="190"/>
      <c r="C198" s="454"/>
      <c r="D198" s="312"/>
      <c r="E198" s="309" t="s">
        <v>26</v>
      </c>
      <c r="F198" s="315"/>
      <c r="G198" s="315"/>
      <c r="H198" s="315"/>
      <c r="I198" s="315"/>
      <c r="J198" s="315"/>
      <c r="K198" s="315"/>
      <c r="L198" s="315"/>
      <c r="M198" s="315"/>
      <c r="N198" s="315"/>
      <c r="O198" s="316"/>
    </row>
    <row r="199" spans="1:15" s="289" customFormat="1" hidden="1">
      <c r="A199" s="191"/>
      <c r="B199" s="196"/>
      <c r="C199" s="456"/>
      <c r="D199" s="312"/>
      <c r="E199" s="309"/>
      <c r="F199" s="315"/>
      <c r="G199" s="315"/>
      <c r="H199" s="315"/>
      <c r="I199" s="315"/>
      <c r="J199" s="315"/>
      <c r="K199" s="315"/>
      <c r="L199" s="315"/>
      <c r="M199" s="315"/>
      <c r="N199" s="315"/>
      <c r="O199" s="316"/>
    </row>
    <row r="200" spans="1:15" s="289" customFormat="1" hidden="1">
      <c r="A200" s="191"/>
      <c r="B200" s="196" t="s">
        <v>59</v>
      </c>
      <c r="C200" s="456"/>
      <c r="D200" s="312"/>
      <c r="E200" s="309" t="s">
        <v>15</v>
      </c>
      <c r="F200" s="313"/>
      <c r="G200" s="313"/>
      <c r="H200" s="313"/>
      <c r="I200" s="313"/>
      <c r="J200" s="313"/>
      <c r="K200" s="313"/>
      <c r="L200" s="313"/>
      <c r="M200" s="313"/>
      <c r="N200" s="313"/>
      <c r="O200" s="314"/>
    </row>
    <row r="201" spans="1:15" s="289" customFormat="1" hidden="1">
      <c r="A201" s="191"/>
      <c r="B201" s="196" t="s">
        <v>22</v>
      </c>
      <c r="C201" s="456"/>
      <c r="D201" s="312"/>
      <c r="E201" s="309" t="s">
        <v>23</v>
      </c>
      <c r="F201" s="317"/>
      <c r="G201" s="317"/>
      <c r="H201" s="317"/>
      <c r="I201" s="317"/>
      <c r="J201" s="317"/>
      <c r="K201" s="317"/>
      <c r="L201" s="317"/>
      <c r="M201" s="317"/>
      <c r="N201" s="317"/>
      <c r="O201" s="318"/>
    </row>
    <row r="202" spans="1:15" s="289" customFormat="1" hidden="1">
      <c r="A202" s="191"/>
      <c r="B202" s="196"/>
      <c r="C202" s="456"/>
      <c r="D202" s="312"/>
      <c r="E202" s="309"/>
      <c r="F202" s="315"/>
      <c r="G202" s="315"/>
      <c r="H202" s="315"/>
      <c r="I202" s="315"/>
      <c r="J202" s="315"/>
      <c r="K202" s="315"/>
      <c r="L202" s="315"/>
      <c r="M202" s="315"/>
      <c r="N202" s="315"/>
      <c r="O202" s="316"/>
    </row>
    <row r="203" spans="1:15" s="289" customFormat="1" hidden="1">
      <c r="A203" s="191"/>
      <c r="B203" s="196" t="s">
        <v>24</v>
      </c>
      <c r="C203" s="456"/>
      <c r="D203" s="312"/>
      <c r="E203" s="309" t="s">
        <v>15</v>
      </c>
      <c r="F203" s="313"/>
      <c r="G203" s="313"/>
      <c r="H203" s="313"/>
      <c r="I203" s="313"/>
      <c r="J203" s="313"/>
      <c r="K203" s="313"/>
      <c r="L203" s="313"/>
      <c r="M203" s="313"/>
      <c r="N203" s="313"/>
      <c r="O203" s="314"/>
    </row>
    <row r="204" spans="1:15" s="289" customFormat="1" hidden="1">
      <c r="A204" s="191"/>
      <c r="B204" s="196" t="s">
        <v>22</v>
      </c>
      <c r="C204" s="456"/>
      <c r="D204" s="312"/>
      <c r="E204" s="309" t="s">
        <v>23</v>
      </c>
      <c r="F204" s="317"/>
      <c r="G204" s="317"/>
      <c r="H204" s="317"/>
      <c r="I204" s="317"/>
      <c r="J204" s="317"/>
      <c r="K204" s="317"/>
      <c r="L204" s="317"/>
      <c r="M204" s="317"/>
      <c r="N204" s="317"/>
      <c r="O204" s="318"/>
    </row>
    <row r="205" spans="1:15" s="289" customFormat="1" ht="16" hidden="1" thickBot="1">
      <c r="A205" s="191"/>
      <c r="B205" s="190"/>
      <c r="C205" s="454"/>
      <c r="D205" s="319" t="s">
        <v>299</v>
      </c>
      <c r="E205" s="320"/>
      <c r="F205" s="321">
        <f>F181*$C$112*24</f>
        <v>0</v>
      </c>
      <c r="G205" s="321">
        <f t="shared" ref="G205:O205" si="109">G181*$C$112*24</f>
        <v>0</v>
      </c>
      <c r="H205" s="321">
        <f t="shared" si="109"/>
        <v>0</v>
      </c>
      <c r="I205" s="321">
        <f t="shared" si="109"/>
        <v>-1056738.878187112</v>
      </c>
      <c r="J205" s="321">
        <f t="shared" si="109"/>
        <v>7939.3318780913087</v>
      </c>
      <c r="K205" s="321">
        <f t="shared" si="109"/>
        <v>23111.261430463172</v>
      </c>
      <c r="L205" s="321">
        <f t="shared" si="109"/>
        <v>33726.831310378511</v>
      </c>
      <c r="M205" s="321">
        <f t="shared" si="109"/>
        <v>39422.803924631036</v>
      </c>
      <c r="N205" s="321">
        <f t="shared" si="109"/>
        <v>45274.744992953274</v>
      </c>
      <c r="O205" s="322">
        <f t="shared" si="109"/>
        <v>51598.997478808989</v>
      </c>
    </row>
    <row r="206" spans="1:15" s="268" customFormat="1">
      <c r="A206" s="329"/>
      <c r="B206" s="262" t="s">
        <v>358</v>
      </c>
      <c r="C206" s="461"/>
      <c r="D206" s="263"/>
      <c r="E206" s="263" t="s">
        <v>15</v>
      </c>
      <c r="F206" s="274">
        <f t="shared" ref="F206:O206" si="110">+SUMIF($B$4:$B$127,$B206,F$4:F$127)</f>
        <v>64.577093416069332</v>
      </c>
      <c r="G206" s="274">
        <f t="shared" si="110"/>
        <v>116.54276821807112</v>
      </c>
      <c r="H206" s="274">
        <f t="shared" si="110"/>
        <v>205.28434532787554</v>
      </c>
      <c r="I206" s="274">
        <f t="shared" si="110"/>
        <v>252.84679104289805</v>
      </c>
      <c r="J206" s="274">
        <f t="shared" si="110"/>
        <v>308.66091205858788</v>
      </c>
      <c r="K206" s="274">
        <f t="shared" si="110"/>
        <v>378.44907493105472</v>
      </c>
      <c r="L206" s="274">
        <f t="shared" si="110"/>
        <v>446.94141342476951</v>
      </c>
      <c r="M206" s="274">
        <f t="shared" si="110"/>
        <v>460.58517242647497</v>
      </c>
      <c r="N206" s="274">
        <f t="shared" si="110"/>
        <v>473.65538017570304</v>
      </c>
      <c r="O206" s="275">
        <f t="shared" si="110"/>
        <v>487.79429416746768</v>
      </c>
    </row>
    <row r="207" spans="1:15" s="268" customFormat="1" ht="16" thickBot="1">
      <c r="A207" s="329"/>
      <c r="B207" s="408" t="s">
        <v>22</v>
      </c>
      <c r="C207" s="465"/>
      <c r="D207" s="270"/>
      <c r="E207" s="270" t="s">
        <v>23</v>
      </c>
      <c r="F207" s="409">
        <f>+F206/350</f>
        <v>0.18450598118876951</v>
      </c>
      <c r="G207" s="409">
        <f t="shared" ref="G207:O207" si="111">+G206/350</f>
        <v>0.33297933776591748</v>
      </c>
      <c r="H207" s="409">
        <f t="shared" si="111"/>
        <v>0.58652670093678727</v>
      </c>
      <c r="I207" s="409">
        <f t="shared" si="111"/>
        <v>0.72241940297970875</v>
      </c>
      <c r="J207" s="409">
        <f t="shared" si="111"/>
        <v>0.88188832016739394</v>
      </c>
      <c r="K207" s="409">
        <f t="shared" si="111"/>
        <v>1.0812830712315848</v>
      </c>
      <c r="L207" s="409">
        <f t="shared" si="111"/>
        <v>1.276975466927913</v>
      </c>
      <c r="M207" s="409">
        <f t="shared" si="111"/>
        <v>1.3159576355042142</v>
      </c>
      <c r="N207" s="409">
        <f t="shared" si="111"/>
        <v>1.3533010862162944</v>
      </c>
      <c r="O207" s="410">
        <f t="shared" si="111"/>
        <v>1.393697983335622</v>
      </c>
    </row>
    <row r="208" spans="1:15" s="289" customFormat="1">
      <c r="A208" s="191"/>
      <c r="B208" s="190"/>
      <c r="C208" s="454"/>
      <c r="D208" s="330"/>
      <c r="E208" s="328"/>
      <c r="F208" s="267"/>
      <c r="G208" s="267"/>
      <c r="H208" s="267"/>
      <c r="I208" s="267"/>
      <c r="J208" s="267"/>
      <c r="K208" s="267"/>
      <c r="L208" s="267"/>
      <c r="M208" s="267"/>
      <c r="N208" s="267"/>
      <c r="O208" s="267"/>
    </row>
    <row r="209" spans="1:15" s="289" customFormat="1">
      <c r="A209" s="191"/>
      <c r="B209" s="190"/>
      <c r="C209" s="454"/>
      <c r="D209" s="330"/>
      <c r="E209" s="328"/>
      <c r="F209" s="267"/>
      <c r="G209" s="267"/>
      <c r="H209" s="267"/>
      <c r="I209" s="267"/>
      <c r="J209" s="267"/>
      <c r="K209" s="267"/>
      <c r="L209" s="267"/>
      <c r="M209" s="267"/>
      <c r="N209" s="267"/>
      <c r="O209" s="267"/>
    </row>
    <row r="210" spans="1:15">
      <c r="D210" s="289"/>
      <c r="E210" s="289"/>
      <c r="F210" s="289"/>
      <c r="G210" s="289"/>
      <c r="H210" s="289"/>
      <c r="I210" s="289"/>
      <c r="J210" s="289"/>
      <c r="K210" s="289"/>
      <c r="L210" s="289"/>
      <c r="M210" s="289"/>
      <c r="N210" s="289"/>
      <c r="O210" s="289"/>
    </row>
    <row r="229" spans="2:16">
      <c r="C229" s="454">
        <v>2015</v>
      </c>
      <c r="D229" s="190">
        <f>C229+1</f>
        <v>2016</v>
      </c>
      <c r="E229" s="190">
        <f t="shared" ref="E229:L229" si="112">D229+1</f>
        <v>2017</v>
      </c>
      <c r="F229" s="190">
        <f t="shared" si="112"/>
        <v>2018</v>
      </c>
      <c r="G229" s="190">
        <f t="shared" si="112"/>
        <v>2019</v>
      </c>
      <c r="H229" s="190">
        <f t="shared" si="112"/>
        <v>2020</v>
      </c>
      <c r="I229" s="190">
        <f t="shared" si="112"/>
        <v>2021</v>
      </c>
      <c r="J229" s="190">
        <f t="shared" si="112"/>
        <v>2022</v>
      </c>
      <c r="K229" s="190">
        <f t="shared" si="112"/>
        <v>2023</v>
      </c>
      <c r="L229" s="190">
        <f t="shared" si="112"/>
        <v>2024</v>
      </c>
    </row>
    <row r="230" spans="2:16">
      <c r="B230" s="332" t="s">
        <v>303</v>
      </c>
      <c r="C230" s="468">
        <f>F171</f>
        <v>0.30188266049382717</v>
      </c>
      <c r="D230" s="333">
        <f>G171</f>
        <v>0.3476493524162258</v>
      </c>
      <c r="E230" s="333">
        <f>H171</f>
        <v>0.38857996590546739</v>
      </c>
      <c r="F230" s="333">
        <f>I171</f>
        <v>0.43434352213334754</v>
      </c>
      <c r="G230" s="333">
        <f t="shared" ref="G230:L230" si="113">J171</f>
        <v>0.48551210114049576</v>
      </c>
      <c r="H230" s="333">
        <f t="shared" si="113"/>
        <v>0.59525573081010086</v>
      </c>
      <c r="I230" s="333">
        <f t="shared" si="113"/>
        <v>0.64287618927490908</v>
      </c>
      <c r="J230" s="333">
        <f t="shared" si="113"/>
        <v>0.69430628441690179</v>
      </c>
      <c r="K230" s="333">
        <f t="shared" si="113"/>
        <v>0.749850787170254</v>
      </c>
      <c r="L230" s="333">
        <f t="shared" si="113"/>
        <v>0.80983885014387447</v>
      </c>
      <c r="P230" s="331"/>
    </row>
    <row r="231" spans="2:16">
      <c r="B231" s="334" t="s">
        <v>303</v>
      </c>
      <c r="C231" s="469">
        <f>+F207</f>
        <v>0.18450598118876951</v>
      </c>
      <c r="D231" s="335">
        <f t="shared" ref="D231:L231" si="114">+G207</f>
        <v>0.33297933776591748</v>
      </c>
      <c r="E231" s="335">
        <f t="shared" si="114"/>
        <v>0.58652670093678727</v>
      </c>
      <c r="F231" s="335">
        <f t="shared" si="114"/>
        <v>0.72241940297970875</v>
      </c>
      <c r="G231" s="335">
        <f t="shared" si="114"/>
        <v>0.88188832016739394</v>
      </c>
      <c r="H231" s="335">
        <f t="shared" si="114"/>
        <v>1.0812830712315848</v>
      </c>
      <c r="I231" s="335">
        <f t="shared" si="114"/>
        <v>1.276975466927913</v>
      </c>
      <c r="J231" s="335">
        <f t="shared" si="114"/>
        <v>1.3159576355042142</v>
      </c>
      <c r="K231" s="335">
        <f t="shared" si="114"/>
        <v>1.3533010862162944</v>
      </c>
      <c r="L231" s="335">
        <f t="shared" si="114"/>
        <v>1.393697983335622</v>
      </c>
    </row>
    <row r="232" spans="2:16">
      <c r="B232" s="268"/>
      <c r="C232" s="470"/>
      <c r="D232" s="291"/>
      <c r="E232" s="291"/>
      <c r="F232" s="291"/>
      <c r="G232" s="291"/>
      <c r="H232" s="291"/>
      <c r="I232" s="291"/>
      <c r="J232" s="291"/>
      <c r="K232" s="291"/>
      <c r="L232" s="291"/>
    </row>
    <row r="233" spans="2:16">
      <c r="B233" s="268"/>
      <c r="C233" s="470"/>
      <c r="D233" s="291"/>
      <c r="E233" s="291"/>
      <c r="F233" s="291"/>
      <c r="G233" s="291"/>
      <c r="H233" s="291"/>
      <c r="I233" s="291"/>
      <c r="J233" s="291"/>
      <c r="K233" s="291"/>
      <c r="L233" s="291"/>
    </row>
    <row r="234" spans="2:16">
      <c r="B234" s="268"/>
      <c r="C234" s="470"/>
      <c r="D234" s="291"/>
      <c r="E234" s="291"/>
      <c r="F234" s="291"/>
      <c r="G234" s="291"/>
      <c r="H234" s="291"/>
      <c r="I234" s="291"/>
      <c r="J234" s="291"/>
      <c r="K234" s="291"/>
      <c r="L234" s="291"/>
    </row>
    <row r="235" spans="2:16">
      <c r="B235" s="268"/>
      <c r="C235" s="470"/>
      <c r="D235" s="291"/>
      <c r="E235" s="291"/>
      <c r="F235" s="291"/>
      <c r="G235" s="291"/>
      <c r="H235" s="291"/>
      <c r="I235" s="291"/>
      <c r="J235" s="291"/>
      <c r="K235" s="291"/>
      <c r="L235" s="291"/>
    </row>
    <row r="236" spans="2:16">
      <c r="B236" s="268"/>
      <c r="C236" s="470"/>
      <c r="D236" s="291"/>
      <c r="E236" s="291"/>
      <c r="F236" s="291"/>
      <c r="G236" s="291"/>
      <c r="H236" s="291"/>
      <c r="I236" s="291"/>
      <c r="J236" s="291"/>
      <c r="K236" s="291"/>
      <c r="L236" s="291"/>
    </row>
    <row r="237" spans="2:16">
      <c r="B237" s="268"/>
      <c r="C237" s="470"/>
      <c r="D237" s="291"/>
      <c r="E237" s="291"/>
      <c r="F237" s="291"/>
      <c r="G237" s="291"/>
      <c r="H237" s="291"/>
      <c r="I237" s="291"/>
      <c r="J237" s="291"/>
      <c r="K237" s="291"/>
      <c r="L237" s="291"/>
    </row>
    <row r="238" spans="2:16">
      <c r="B238" s="268"/>
      <c r="C238" s="470"/>
      <c r="D238" s="291"/>
      <c r="E238" s="291"/>
      <c r="F238" s="291"/>
      <c r="G238" s="291"/>
      <c r="H238" s="291"/>
      <c r="I238" s="291"/>
      <c r="J238" s="291"/>
      <c r="K238" s="291"/>
      <c r="L238" s="291"/>
    </row>
    <row r="241" spans="2:15" hidden="1">
      <c r="C241" s="471"/>
      <c r="D241" s="331"/>
      <c r="E241" s="331"/>
      <c r="F241" s="331"/>
      <c r="G241" s="331"/>
      <c r="H241" s="331"/>
      <c r="I241" s="331"/>
      <c r="J241" s="331"/>
      <c r="K241" s="331"/>
      <c r="L241" s="331"/>
    </row>
    <row r="242" spans="2:15" hidden="1">
      <c r="C242" s="471"/>
      <c r="D242" s="331"/>
      <c r="E242" s="331"/>
      <c r="F242" s="331"/>
      <c r="G242" s="331"/>
      <c r="H242" s="331"/>
      <c r="I242" s="331"/>
      <c r="J242" s="331"/>
      <c r="K242" s="331"/>
      <c r="L242" s="331"/>
    </row>
    <row r="243" spans="2:15" hidden="1">
      <c r="B243" s="357"/>
      <c r="C243" s="471"/>
      <c r="D243" s="331"/>
      <c r="E243" s="331"/>
      <c r="F243" s="331"/>
      <c r="G243" s="331"/>
      <c r="H243" s="331"/>
      <c r="I243" s="331"/>
      <c r="J243" s="331"/>
      <c r="K243" s="331"/>
      <c r="L243" s="331"/>
    </row>
    <row r="244" spans="2:15" hidden="1">
      <c r="F244" s="205"/>
      <c r="G244" s="205"/>
      <c r="H244" s="205"/>
      <c r="I244" s="205"/>
      <c r="J244" s="205"/>
      <c r="K244" s="205"/>
      <c r="L244" s="205"/>
      <c r="M244" s="205"/>
      <c r="N244" s="205"/>
      <c r="O244" s="205"/>
    </row>
  </sheetData>
  <dataConsolidate/>
  <phoneticPr fontId="11" type="noConversion"/>
  <conditionalFormatting sqref="F130:O130">
    <cfRule type="cellIs" dxfId="19" priority="34" operator="greaterThan">
      <formula>0.9</formula>
    </cfRule>
  </conditionalFormatting>
  <conditionalFormatting sqref="F201:O201">
    <cfRule type="cellIs" dxfId="18" priority="24" operator="greaterThan">
      <formula>0.8</formula>
    </cfRule>
  </conditionalFormatting>
  <conditionalFormatting sqref="H172:O173 F194:O195">
    <cfRule type="cellIs" dxfId="17" priority="25" operator="greaterThan">
      <formula>0.8</formula>
    </cfRule>
  </conditionalFormatting>
  <conditionalFormatting sqref="F141:O141">
    <cfRule type="cellIs" dxfId="16" priority="31" operator="greaterThan">
      <formula>0.8</formula>
    </cfRule>
  </conditionalFormatting>
  <conditionalFormatting sqref="F204:O204">
    <cfRule type="cellIs" dxfId="15" priority="23" operator="greaterThan">
      <formula>0.8</formula>
    </cfRule>
  </conditionalFormatting>
  <conditionalFormatting sqref="F153:O153">
    <cfRule type="cellIs" dxfId="14" priority="28" operator="greaterThan">
      <formula>0.8</formula>
    </cfRule>
  </conditionalFormatting>
  <conditionalFormatting sqref="F158:O158">
    <cfRule type="cellIs" dxfId="13" priority="21" operator="greaterThan">
      <formula>0.8</formula>
    </cfRule>
  </conditionalFormatting>
  <conditionalFormatting sqref="J161:O161">
    <cfRule type="cellIs" dxfId="12" priority="13" operator="greaterThan">
      <formula>0.8</formula>
    </cfRule>
  </conditionalFormatting>
  <conditionalFormatting sqref="F161:I161">
    <cfRule type="cellIs" dxfId="11" priority="12" operator="greaterThan">
      <formula>0.8</formula>
    </cfRule>
  </conditionalFormatting>
  <conditionalFormatting sqref="F160:O160">
    <cfRule type="cellIs" dxfId="10" priority="11" operator="greaterThan">
      <formula>0.8</formula>
    </cfRule>
  </conditionalFormatting>
  <conditionalFormatting sqref="F133:O133">
    <cfRule type="cellIs" dxfId="9" priority="10" operator="greaterThan">
      <formula>0.9</formula>
    </cfRule>
  </conditionalFormatting>
  <conditionalFormatting sqref="F138:O138">
    <cfRule type="cellIs" dxfId="8" priority="9" operator="greaterThan">
      <formula>0.9</formula>
    </cfRule>
  </conditionalFormatting>
  <conditionalFormatting sqref="F144:O144">
    <cfRule type="cellIs" dxfId="7" priority="8" operator="greaterThan">
      <formula>0.9</formula>
    </cfRule>
  </conditionalFormatting>
  <conditionalFormatting sqref="F148:O148">
    <cfRule type="cellIs" dxfId="6" priority="7" operator="greaterThan">
      <formula>0.9</formula>
    </cfRule>
  </conditionalFormatting>
  <conditionalFormatting sqref="F151:O151">
    <cfRule type="cellIs" dxfId="5" priority="6" operator="greaterThan">
      <formula>0.9</formula>
    </cfRule>
  </conditionalFormatting>
  <conditionalFormatting sqref="F156:O156">
    <cfRule type="cellIs" dxfId="4" priority="5" operator="greaterThan">
      <formula>0.9</formula>
    </cfRule>
  </conditionalFormatting>
  <conditionalFormatting sqref="F163:O163">
    <cfRule type="cellIs" dxfId="3" priority="4" operator="greaterThan">
      <formula>0.9</formula>
    </cfRule>
  </conditionalFormatting>
  <conditionalFormatting sqref="F168:O168">
    <cfRule type="cellIs" dxfId="2" priority="3" operator="greaterThan">
      <formula>0.9</formula>
    </cfRule>
  </conditionalFormatting>
  <conditionalFormatting sqref="F171:O171">
    <cfRule type="cellIs" dxfId="1" priority="2" operator="greaterThan">
      <formula>0.9</formula>
    </cfRule>
  </conditionalFormatting>
  <conditionalFormatting sqref="F207:O207">
    <cfRule type="cellIs" dxfId="0" priority="1" operator="greaterThan">
      <formula>0.9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79"/>
  <sheetViews>
    <sheetView showGridLines="0" topLeftCell="A44" zoomScale="95" zoomScaleNormal="95" workbookViewId="0">
      <selection activeCell="F59" sqref="F59"/>
    </sheetView>
  </sheetViews>
  <sheetFormatPr baseColWidth="10" defaultColWidth="8.83203125" defaultRowHeight="15"/>
  <cols>
    <col min="1" max="1" width="4" customWidth="1"/>
    <col min="2" max="2" width="37.5" customWidth="1"/>
    <col min="3" max="4" width="12.5" customWidth="1"/>
    <col min="6" max="6" width="10.5" customWidth="1"/>
    <col min="7" max="15" width="11.5" customWidth="1"/>
    <col min="16" max="16" width="10.5" customWidth="1"/>
  </cols>
  <sheetData>
    <row r="1" spans="1:15">
      <c r="A1" s="7"/>
      <c r="B1" s="17" t="s">
        <v>14</v>
      </c>
      <c r="C1" s="7"/>
      <c r="D1" s="7"/>
      <c r="E1" s="44">
        <f>6.09</f>
        <v>6.09</v>
      </c>
    </row>
    <row r="2" spans="1:15">
      <c r="A2" s="1"/>
      <c r="B2" s="1"/>
      <c r="C2" s="1"/>
      <c r="D2" s="1"/>
      <c r="E2" s="1"/>
    </row>
    <row r="3" spans="1:15">
      <c r="A3" s="1"/>
      <c r="B3" s="7"/>
      <c r="C3" s="7"/>
      <c r="D3" s="7" t="str">
        <f>[2]Summary!G9</f>
        <v>1- Yes; 0- No</v>
      </c>
      <c r="E3" s="7"/>
    </row>
    <row r="4" spans="1:15">
      <c r="A4" s="1"/>
      <c r="B4" s="9" t="s">
        <v>13</v>
      </c>
      <c r="C4" s="7"/>
      <c r="E4" s="11"/>
      <c r="F4" s="15">
        <f>[2]Summary!C6</f>
        <v>2015</v>
      </c>
      <c r="G4" s="15">
        <f>F4+1</f>
        <v>2016</v>
      </c>
      <c r="H4" s="15">
        <f t="shared" ref="H4:N4" si="0">G4+1</f>
        <v>2017</v>
      </c>
      <c r="I4" s="15">
        <f t="shared" si="0"/>
        <v>2018</v>
      </c>
      <c r="J4" s="15">
        <f t="shared" si="0"/>
        <v>2019</v>
      </c>
      <c r="K4" s="15">
        <f t="shared" si="0"/>
        <v>2020</v>
      </c>
      <c r="L4" s="15">
        <f t="shared" si="0"/>
        <v>2021</v>
      </c>
      <c r="M4" s="15">
        <f t="shared" si="0"/>
        <v>2022</v>
      </c>
      <c r="N4" s="15">
        <f t="shared" si="0"/>
        <v>2023</v>
      </c>
      <c r="O4" s="15">
        <f>N4+1</f>
        <v>2024</v>
      </c>
    </row>
    <row r="5" spans="1:15">
      <c r="A5" s="35"/>
      <c r="B5" s="39" t="s">
        <v>44</v>
      </c>
      <c r="C5" s="39" t="s">
        <v>32</v>
      </c>
      <c r="D5" s="39">
        <v>34</v>
      </c>
      <c r="E5" s="40" t="s">
        <v>2</v>
      </c>
      <c r="F5" s="480">
        <v>1862.0140000000001</v>
      </c>
      <c r="G5" s="480">
        <v>2423.8346000000006</v>
      </c>
      <c r="H5" s="480">
        <v>2941.6721400000015</v>
      </c>
      <c r="I5" s="480">
        <v>3993.3380740000007</v>
      </c>
      <c r="J5" s="480">
        <v>5225.9204734000023</v>
      </c>
      <c r="K5" s="480">
        <v>5487.2164970700032</v>
      </c>
      <c r="L5" s="480">
        <v>5761.5773219235025</v>
      </c>
      <c r="M5" s="480">
        <v>6049.6561880196787</v>
      </c>
      <c r="N5" s="480">
        <v>6352.1389974206631</v>
      </c>
      <c r="O5" s="480">
        <v>6669.7459472916962</v>
      </c>
    </row>
    <row r="6" spans="1:15">
      <c r="A6" s="35"/>
      <c r="B6" s="39" t="s">
        <v>42</v>
      </c>
      <c r="C6" s="39" t="s">
        <v>32</v>
      </c>
      <c r="D6" s="39">
        <v>1</v>
      </c>
      <c r="E6" s="40" t="s">
        <v>2</v>
      </c>
      <c r="F6" s="480">
        <v>344.31760000000003</v>
      </c>
      <c r="G6" s="480">
        <v>482.04464000000019</v>
      </c>
      <c r="H6" s="480">
        <v>605.99897600000043</v>
      </c>
      <c r="I6" s="480">
        <v>874.91102160000014</v>
      </c>
      <c r="J6" s="480">
        <v>1191.5454865600007</v>
      </c>
      <c r="K6" s="480">
        <v>1251.1227608880006</v>
      </c>
      <c r="L6" s="480">
        <v>1313.6788989324007</v>
      </c>
      <c r="M6" s="480">
        <v>1379.3628438790208</v>
      </c>
      <c r="N6" s="480">
        <v>1448.3309860729721</v>
      </c>
      <c r="O6" s="480">
        <v>1520.7475353766208</v>
      </c>
    </row>
    <row r="7" spans="1:15">
      <c r="A7" s="35"/>
      <c r="B7" s="39" t="s">
        <v>45</v>
      </c>
      <c r="C7" s="39" t="s">
        <v>32</v>
      </c>
      <c r="D7" s="39">
        <v>5</v>
      </c>
      <c r="E7" s="40" t="s">
        <v>2</v>
      </c>
      <c r="F7" s="480">
        <v>916.4046666666668</v>
      </c>
      <c r="G7" s="480">
        <v>1133.2515333333336</v>
      </c>
      <c r="H7" s="480">
        <v>1338.3947133333338</v>
      </c>
      <c r="I7" s="480">
        <v>1724.7337580000003</v>
      </c>
      <c r="J7" s="480">
        <v>2174.9566644666675</v>
      </c>
      <c r="K7" s="480">
        <v>2283.7044976900011</v>
      </c>
      <c r="L7" s="480">
        <v>2397.8897225745013</v>
      </c>
      <c r="M7" s="480">
        <v>2517.7842087032263</v>
      </c>
      <c r="N7" s="480">
        <v>2643.673419138388</v>
      </c>
      <c r="O7" s="480">
        <v>2775.8570900953077</v>
      </c>
    </row>
    <row r="8" spans="1:15">
      <c r="A8" s="35"/>
      <c r="B8" s="39" t="s">
        <v>227</v>
      </c>
      <c r="C8" s="39" t="s">
        <v>32</v>
      </c>
      <c r="D8" s="39">
        <v>5</v>
      </c>
      <c r="E8" s="40" t="s">
        <v>2</v>
      </c>
      <c r="F8" s="480">
        <v>73.037066666666675</v>
      </c>
      <c r="G8" s="480">
        <v>102.25189333333338</v>
      </c>
      <c r="H8" s="480">
        <v>128.54523733333343</v>
      </c>
      <c r="I8" s="480">
        <v>185.58718640000004</v>
      </c>
      <c r="J8" s="480">
        <v>252.75207290666683</v>
      </c>
      <c r="K8" s="480">
        <v>265.38967655200014</v>
      </c>
      <c r="L8" s="480">
        <v>278.65916037960017</v>
      </c>
      <c r="M8" s="480">
        <v>292.59211839858017</v>
      </c>
      <c r="N8" s="480">
        <v>307.22172431850925</v>
      </c>
      <c r="O8" s="480">
        <v>322.58281053443471</v>
      </c>
    </row>
    <row r="9" spans="1:15" s="38" customFormat="1">
      <c r="A9" s="37"/>
      <c r="B9" s="41" t="s">
        <v>34</v>
      </c>
      <c r="C9" s="41"/>
      <c r="D9" s="41"/>
      <c r="E9" s="42" t="s">
        <v>2</v>
      </c>
      <c r="F9" s="43">
        <f t="shared" ref="F9:O9" si="1">F6/16.5%</f>
        <v>2086.7733333333335</v>
      </c>
      <c r="G9" s="43">
        <f t="shared" si="1"/>
        <v>2921.4826666666677</v>
      </c>
      <c r="H9" s="43">
        <f t="shared" si="1"/>
        <v>3672.7210666666692</v>
      </c>
      <c r="I9" s="43">
        <f t="shared" si="1"/>
        <v>5302.4910400000008</v>
      </c>
      <c r="J9" s="43">
        <f t="shared" si="1"/>
        <v>7221.4877973333369</v>
      </c>
      <c r="K9" s="43">
        <f t="shared" si="1"/>
        <v>7582.5621872000029</v>
      </c>
      <c r="L9" s="43">
        <f t="shared" si="1"/>
        <v>7961.6902965600038</v>
      </c>
      <c r="M9" s="43">
        <f t="shared" si="1"/>
        <v>8359.7748113880043</v>
      </c>
      <c r="N9" s="43">
        <f t="shared" si="1"/>
        <v>8777.7635519574069</v>
      </c>
      <c r="O9" s="43">
        <f t="shared" si="1"/>
        <v>9216.6517295552767</v>
      </c>
    </row>
    <row r="10" spans="1:15" s="38" customFormat="1">
      <c r="A10" s="37"/>
      <c r="B10" s="41" t="s">
        <v>33</v>
      </c>
      <c r="C10" s="41"/>
      <c r="D10" s="41"/>
      <c r="E10" s="42" t="s">
        <v>2</v>
      </c>
      <c r="F10" s="43">
        <f t="shared" ref="F10:O10" si="2">(F7-F9*20%)/45%</f>
        <v>1109.0000000000002</v>
      </c>
      <c r="G10" s="43">
        <f t="shared" si="2"/>
        <v>1219.9000000000001</v>
      </c>
      <c r="H10" s="43">
        <f t="shared" si="2"/>
        <v>1341.8899999999996</v>
      </c>
      <c r="I10" s="43">
        <f t="shared" si="2"/>
        <v>1476.0790000000002</v>
      </c>
      <c r="J10" s="43">
        <f t="shared" si="2"/>
        <v>1623.6868999999999</v>
      </c>
      <c r="K10" s="43">
        <f t="shared" si="2"/>
        <v>1704.8712450000007</v>
      </c>
      <c r="L10" s="43">
        <f t="shared" si="2"/>
        <v>1790.1148072500007</v>
      </c>
      <c r="M10" s="43">
        <f t="shared" si="2"/>
        <v>1879.6205476125008</v>
      </c>
      <c r="N10" s="43">
        <f t="shared" si="2"/>
        <v>1973.6015749931255</v>
      </c>
      <c r="O10" s="43">
        <f t="shared" si="2"/>
        <v>2072.281653742783</v>
      </c>
    </row>
    <row r="11" spans="1:15" s="29" customFormat="1">
      <c r="A11" s="24"/>
      <c r="B11" s="25" t="s">
        <v>12</v>
      </c>
      <c r="C11" s="26"/>
      <c r="D11" s="27"/>
      <c r="E11" s="26" t="s">
        <v>2</v>
      </c>
      <c r="F11" s="28">
        <f>F9+F10</f>
        <v>3195.7733333333335</v>
      </c>
      <c r="G11" s="28">
        <f t="shared" ref="G11:O11" si="3">G9+G10</f>
        <v>4141.3826666666682</v>
      </c>
      <c r="H11" s="28">
        <f t="shared" si="3"/>
        <v>5014.6110666666691</v>
      </c>
      <c r="I11" s="28">
        <f t="shared" si="3"/>
        <v>6778.5700400000005</v>
      </c>
      <c r="J11" s="28">
        <f t="shared" si="3"/>
        <v>8845.1746973333375</v>
      </c>
      <c r="K11" s="28">
        <f t="shared" si="3"/>
        <v>9287.4334322000032</v>
      </c>
      <c r="L11" s="28">
        <f t="shared" si="3"/>
        <v>9751.8051038100039</v>
      </c>
      <c r="M11" s="28">
        <f t="shared" si="3"/>
        <v>10239.395359000506</v>
      </c>
      <c r="N11" s="28">
        <f t="shared" si="3"/>
        <v>10751.365126950532</v>
      </c>
      <c r="O11" s="28">
        <f t="shared" si="3"/>
        <v>11288.933383298059</v>
      </c>
    </row>
    <row r="12" spans="1:15">
      <c r="A12" s="1"/>
      <c r="B12" s="10"/>
      <c r="D12" s="8"/>
    </row>
    <row r="13" spans="1:15">
      <c r="A13" s="1"/>
      <c r="B13" s="9" t="s">
        <v>11</v>
      </c>
      <c r="D13" s="8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>
      <c r="A14" s="1"/>
      <c r="B14" s="9" t="s">
        <v>1</v>
      </c>
      <c r="D14" s="8">
        <f>[2]Summary!H10</f>
        <v>1</v>
      </c>
      <c r="F14" s="34"/>
      <c r="G14" s="34"/>
      <c r="H14" s="34"/>
      <c r="I14" s="34"/>
      <c r="J14" s="34"/>
      <c r="K14" s="34"/>
      <c r="L14" s="34"/>
      <c r="M14" s="34"/>
      <c r="N14" s="34"/>
      <c r="O14" s="34"/>
    </row>
    <row r="15" spans="1:15">
      <c r="A15" s="1"/>
      <c r="B15" s="13" t="str">
        <f>[2]SF!C33</f>
        <v>RHPKO</v>
      </c>
      <c r="C15" s="18" t="s">
        <v>1</v>
      </c>
      <c r="D15" s="19"/>
      <c r="E15" s="18" t="s">
        <v>2</v>
      </c>
      <c r="F15" s="481">
        <v>4418.1984000000002</v>
      </c>
      <c r="G15" s="481">
        <v>4187.0474239999994</v>
      </c>
      <c r="H15" s="481">
        <v>3871.0511257600001</v>
      </c>
      <c r="I15" s="481">
        <v>3455.3228709888008</v>
      </c>
      <c r="J15" s="481">
        <v>3060.9170018058253</v>
      </c>
      <c r="K15" s="481">
        <v>2485.3411564034468</v>
      </c>
      <c r="L15" s="481">
        <v>1829.3348924663255</v>
      </c>
      <c r="M15" s="481">
        <v>1084.8347264233932</v>
      </c>
      <c r="N15" s="481">
        <v>405.05968807562016</v>
      </c>
      <c r="O15" s="481">
        <v>0</v>
      </c>
    </row>
    <row r="16" spans="1:15">
      <c r="A16" s="1"/>
      <c r="B16" s="13" t="str">
        <f>[2]SF!C34</f>
        <v>RHPKOL</v>
      </c>
      <c r="C16" s="18" t="s">
        <v>1</v>
      </c>
      <c r="D16" s="19"/>
      <c r="E16" s="18" t="s">
        <v>2</v>
      </c>
      <c r="F16" s="481">
        <v>4460.5937244444458</v>
      </c>
      <c r="G16" s="481">
        <v>4819.9849112888896</v>
      </c>
      <c r="H16" s="481">
        <v>5208.3817619697793</v>
      </c>
      <c r="I16" s="481">
        <v>5628.130166482918</v>
      </c>
      <c r="J16" s="481">
        <v>6081.7662297126626</v>
      </c>
      <c r="K16" s="481">
        <v>6572.0317429918987</v>
      </c>
      <c r="L16" s="481">
        <v>7097.7942824312513</v>
      </c>
      <c r="M16" s="481">
        <v>7665.6178250257517</v>
      </c>
      <c r="N16" s="481">
        <v>8278.867251027812</v>
      </c>
      <c r="O16" s="481">
        <v>8941.1766311100382</v>
      </c>
    </row>
    <row r="17" spans="1:15">
      <c r="A17" s="1"/>
      <c r="B17" s="13" t="str">
        <f>[2]SF!C35</f>
        <v>RHPKST</v>
      </c>
      <c r="C17" s="18" t="s">
        <v>1</v>
      </c>
      <c r="D17" s="19"/>
      <c r="E17" s="18" t="s">
        <v>2</v>
      </c>
      <c r="F17" s="481">
        <v>3645.4466000000002</v>
      </c>
      <c r="G17" s="481">
        <v>4681.1118360000009</v>
      </c>
      <c r="H17" s="481">
        <v>5884.5951642400014</v>
      </c>
      <c r="I17" s="481">
        <v>7279.602527115203</v>
      </c>
      <c r="J17" s="481">
        <v>8754.86102273898</v>
      </c>
      <c r="K17" s="481">
        <v>10135.736794821283</v>
      </c>
      <c r="L17" s="481">
        <v>11654.468863808539</v>
      </c>
      <c r="M17" s="481">
        <v>13323.364877753225</v>
      </c>
      <c r="N17" s="481">
        <v>14993.772009204882</v>
      </c>
      <c r="O17" s="481">
        <v>16460.613164071179</v>
      </c>
    </row>
    <row r="18" spans="1:15">
      <c r="A18" s="1"/>
      <c r="B18" s="13" t="str">
        <f>[2]SF!C36</f>
        <v>Shortening</v>
      </c>
      <c r="C18" s="18" t="s">
        <v>1</v>
      </c>
      <c r="D18" s="19"/>
      <c r="E18" s="18" t="s">
        <v>2</v>
      </c>
      <c r="F18" s="481">
        <v>1161.6000000000004</v>
      </c>
      <c r="G18" s="481">
        <v>1300.9920000000006</v>
      </c>
      <c r="H18" s="481">
        <v>1457.1110400000009</v>
      </c>
      <c r="I18" s="481">
        <v>1631.9643648000012</v>
      </c>
      <c r="J18" s="481">
        <v>1827.8000885760016</v>
      </c>
      <c r="K18" s="481">
        <v>2010.5800974336018</v>
      </c>
      <c r="L18" s="481">
        <v>2171.4265052282904</v>
      </c>
      <c r="M18" s="481">
        <v>2345.1406256465539</v>
      </c>
      <c r="N18" s="481">
        <v>2532.7518756982781</v>
      </c>
      <c r="O18" s="481">
        <v>2735.3720257541404</v>
      </c>
    </row>
    <row r="19" spans="1:15" s="342" customFormat="1">
      <c r="A19" s="1"/>
      <c r="B19" s="13" t="str">
        <f>[2]SF!C37</f>
        <v>RHPO</v>
      </c>
      <c r="C19" s="340" t="s">
        <v>1</v>
      </c>
      <c r="D19" s="341"/>
      <c r="E19" s="340" t="s">
        <v>2</v>
      </c>
      <c r="F19" s="482">
        <v>0</v>
      </c>
      <c r="G19" s="482">
        <v>0</v>
      </c>
      <c r="H19" s="482">
        <v>0</v>
      </c>
      <c r="I19" s="482">
        <v>0</v>
      </c>
      <c r="J19" s="482">
        <v>0</v>
      </c>
      <c r="K19" s="482">
        <v>0</v>
      </c>
      <c r="L19" s="482">
        <v>0</v>
      </c>
      <c r="M19" s="482">
        <v>0</v>
      </c>
      <c r="N19" s="482">
        <v>0</v>
      </c>
      <c r="O19" s="482">
        <v>0</v>
      </c>
    </row>
    <row r="20" spans="1:15" s="342" customFormat="1">
      <c r="A20" s="1"/>
      <c r="B20" s="13" t="str">
        <f>[2]SF!C38</f>
        <v>RPST</v>
      </c>
      <c r="C20" s="340" t="s">
        <v>1</v>
      </c>
      <c r="D20" s="341"/>
      <c r="E20" s="340" t="s">
        <v>2</v>
      </c>
      <c r="F20" s="482">
        <v>2814.2496585000008</v>
      </c>
      <c r="G20" s="482">
        <v>2954.9621414250009</v>
      </c>
      <c r="H20" s="482">
        <v>3102.7102484962511</v>
      </c>
      <c r="I20" s="482">
        <v>3257.8457609210636</v>
      </c>
      <c r="J20" s="482">
        <v>3420.7380489671168</v>
      </c>
      <c r="K20" s="482">
        <v>3591.774951415473</v>
      </c>
      <c r="L20" s="482">
        <v>3771.3636989862466</v>
      </c>
      <c r="M20" s="482">
        <v>3959.9318839355592</v>
      </c>
      <c r="N20" s="482">
        <v>4157.9284781323377</v>
      </c>
      <c r="O20" s="482">
        <v>4365.8249020389549</v>
      </c>
    </row>
    <row r="21" spans="1:15" s="342" customFormat="1">
      <c r="A21" s="1"/>
      <c r="B21" s="13" t="str">
        <f>[2]SF!C39</f>
        <v xml:space="preserve">RHPST </v>
      </c>
      <c r="C21" s="340" t="s">
        <v>1</v>
      </c>
      <c r="D21" s="341"/>
      <c r="E21" s="340" t="s">
        <v>2</v>
      </c>
      <c r="F21" s="482">
        <v>6361.5456000000013</v>
      </c>
      <c r="G21" s="482">
        <v>6870.4692480000022</v>
      </c>
      <c r="H21" s="482">
        <v>7420.1067878400027</v>
      </c>
      <c r="I21" s="482">
        <v>8013.7153308672032</v>
      </c>
      <c r="J21" s="482">
        <v>8654.8125573365796</v>
      </c>
      <c r="K21" s="482">
        <v>9347.1975619235072</v>
      </c>
      <c r="L21" s="482">
        <v>10094.973366877388</v>
      </c>
      <c r="M21" s="482">
        <v>10902.571236227579</v>
      </c>
      <c r="N21" s="482">
        <v>11774.776935125787</v>
      </c>
      <c r="O21" s="482">
        <v>12716.759089935851</v>
      </c>
    </row>
    <row r="22" spans="1:15" s="342" customFormat="1">
      <c r="A22" s="1"/>
      <c r="B22" s="13" t="str">
        <f>[2]SF!C40</f>
        <v>RHCNO</v>
      </c>
      <c r="C22" s="340" t="s">
        <v>1</v>
      </c>
      <c r="D22" s="341"/>
      <c r="E22" s="340" t="s">
        <v>2</v>
      </c>
      <c r="F22" s="482">
        <v>2212.7616000000007</v>
      </c>
      <c r="G22" s="482">
        <v>2478.292992000001</v>
      </c>
      <c r="H22" s="482">
        <v>2775.6881510400012</v>
      </c>
      <c r="I22" s="482">
        <v>3108.7707291648017</v>
      </c>
      <c r="J22" s="482">
        <v>3481.823216664578</v>
      </c>
      <c r="K22" s="482">
        <v>3830.005538331036</v>
      </c>
      <c r="L22" s="482">
        <v>4213.0060921641398</v>
      </c>
      <c r="M22" s="482">
        <v>4634.3067013805539</v>
      </c>
      <c r="N22" s="482">
        <v>5097.7373715186095</v>
      </c>
      <c r="O22" s="482">
        <v>5607.511108670471</v>
      </c>
    </row>
    <row r="23" spans="1:15">
      <c r="A23" s="1"/>
      <c r="B23" s="13" t="str">
        <f>[2]SF!C41</f>
        <v>RCNO</v>
      </c>
      <c r="C23" s="18" t="s">
        <v>1</v>
      </c>
      <c r="D23" s="19"/>
      <c r="E23" s="18" t="s">
        <v>2</v>
      </c>
      <c r="F23" s="481">
        <v>1933.2337500000003</v>
      </c>
      <c r="G23" s="481">
        <v>2029.8954375000005</v>
      </c>
      <c r="H23" s="481">
        <v>2131.3902093750007</v>
      </c>
      <c r="I23" s="481">
        <v>2237.9597198437509</v>
      </c>
      <c r="J23" s="481">
        <v>2349.8577058359388</v>
      </c>
      <c r="K23" s="481">
        <v>2467.3505911277357</v>
      </c>
      <c r="L23" s="481">
        <v>2590.7181206841224</v>
      </c>
      <c r="M23" s="481">
        <v>2720.2540267183285</v>
      </c>
      <c r="N23" s="481">
        <v>2856.266728054245</v>
      </c>
      <c r="O23" s="481">
        <v>2999.0800644569576</v>
      </c>
    </row>
    <row r="24" spans="1:15" s="339" customFormat="1">
      <c r="A24" s="1"/>
      <c r="B24" s="336" t="s">
        <v>304</v>
      </c>
      <c r="C24" s="337" t="s">
        <v>1</v>
      </c>
      <c r="D24" s="338"/>
      <c r="E24" s="337" t="s">
        <v>2</v>
      </c>
      <c r="F24" s="483">
        <v>2780.6152499999998</v>
      </c>
      <c r="G24" s="483">
        <v>2919.6460124999999</v>
      </c>
      <c r="H24" s="483">
        <v>3065.6283131250002</v>
      </c>
      <c r="I24" s="483">
        <v>3218.9097287812501</v>
      </c>
      <c r="J24" s="483">
        <v>3379.8552152203129</v>
      </c>
      <c r="K24" s="483">
        <v>3548.8479759813285</v>
      </c>
      <c r="L24" s="483">
        <v>3726.2903747803953</v>
      </c>
      <c r="M24" s="483">
        <v>3912.6048935194153</v>
      </c>
      <c r="N24" s="483">
        <v>4108.2351381953858</v>
      </c>
      <c r="O24" s="483">
        <v>4313.6468951051556</v>
      </c>
    </row>
    <row r="25" spans="1:15">
      <c r="A25" s="1"/>
      <c r="B25" s="12" t="s">
        <v>9</v>
      </c>
      <c r="C25" s="6"/>
      <c r="D25" s="14"/>
      <c r="E25" s="6" t="s">
        <v>2</v>
      </c>
      <c r="F25" s="5">
        <f>SUM(F15:F24)</f>
        <v>29788.244582944451</v>
      </c>
      <c r="G25" s="5">
        <f t="shared" ref="G25:O25" si="4">SUM(G15:G24)</f>
        <v>32242.402002713894</v>
      </c>
      <c r="H25" s="5">
        <f t="shared" si="4"/>
        <v>34916.66280184604</v>
      </c>
      <c r="I25" s="5">
        <f t="shared" si="4"/>
        <v>37832.221198964988</v>
      </c>
      <c r="J25" s="5">
        <f t="shared" si="4"/>
        <v>41012.431086857992</v>
      </c>
      <c r="K25" s="5">
        <f t="shared" si="4"/>
        <v>43988.866410429313</v>
      </c>
      <c r="L25" s="5">
        <f t="shared" si="4"/>
        <v>47149.376197426696</v>
      </c>
      <c r="M25" s="5">
        <f t="shared" si="4"/>
        <v>50548.626796630357</v>
      </c>
      <c r="N25" s="5">
        <f t="shared" si="4"/>
        <v>54205.395475032958</v>
      </c>
      <c r="O25" s="5">
        <f t="shared" si="4"/>
        <v>58139.983881142754</v>
      </c>
    </row>
    <row r="26" spans="1:15">
      <c r="A26" s="1"/>
      <c r="B26" s="13"/>
      <c r="C26" s="18"/>
      <c r="D26" s="19"/>
      <c r="E26" s="18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>
      <c r="A27" s="1"/>
      <c r="B27" s="9" t="s">
        <v>10</v>
      </c>
      <c r="C27" s="18"/>
      <c r="D27" s="19"/>
      <c r="E27" s="18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 s="342" customFormat="1">
      <c r="A28" s="1"/>
      <c r="B28" s="20" t="str">
        <f>[2]SF!C45</f>
        <v>All-purpose Shortening</v>
      </c>
      <c r="C28" s="340"/>
      <c r="D28" s="341"/>
      <c r="E28" s="340" t="s">
        <v>2</v>
      </c>
      <c r="F28" s="482">
        <v>13278.133200000002</v>
      </c>
      <c r="G28" s="482">
        <v>15537.509184000002</v>
      </c>
      <c r="H28" s="482">
        <v>17402.010286080003</v>
      </c>
      <c r="I28" s="482">
        <v>19490.251520409605</v>
      </c>
      <c r="J28" s="482">
        <v>21829.081702858763</v>
      </c>
      <c r="K28" s="482">
        <v>27096.087818744643</v>
      </c>
      <c r="L28" s="482">
        <v>29263.774844244213</v>
      </c>
      <c r="M28" s="482">
        <v>31604.876831783753</v>
      </c>
      <c r="N28" s="482">
        <v>34133.266978326457</v>
      </c>
      <c r="O28" s="482">
        <v>36863.92833659258</v>
      </c>
    </row>
    <row r="29" spans="1:15" s="342" customFormat="1">
      <c r="A29" s="1"/>
      <c r="B29" s="20" t="str">
        <f>[2]SF!C46</f>
        <v>RHPO</v>
      </c>
      <c r="C29" s="340"/>
      <c r="D29" s="341"/>
      <c r="E29" s="340" t="s">
        <v>2</v>
      </c>
      <c r="F29" s="482">
        <v>665.5</v>
      </c>
      <c r="G29" s="482">
        <v>732.05000000000007</v>
      </c>
      <c r="H29" s="482">
        <v>805.25500000000011</v>
      </c>
      <c r="I29" s="482">
        <v>885.78050000000019</v>
      </c>
      <c r="J29" s="482">
        <v>974.35855000000026</v>
      </c>
      <c r="K29" s="482">
        <v>1071.7944050000003</v>
      </c>
      <c r="L29" s="482">
        <v>1157.5379574000003</v>
      </c>
      <c r="M29" s="482">
        <v>1250.1409939920004</v>
      </c>
      <c r="N29" s="482">
        <v>1350.1522735113606</v>
      </c>
      <c r="O29" s="482">
        <v>1458.1644553922695</v>
      </c>
    </row>
    <row r="30" spans="1:15" s="342" customFormat="1">
      <c r="A30" s="1"/>
      <c r="B30" s="20" t="str">
        <f>[2]SF!C47</f>
        <v>RHSBO</v>
      </c>
      <c r="C30" s="340"/>
      <c r="D30" s="341"/>
      <c r="E30" s="340" t="s">
        <v>2</v>
      </c>
      <c r="F30" s="482">
        <v>1271.2528888888892</v>
      </c>
      <c r="G30" s="482">
        <v>1398.3781777777781</v>
      </c>
      <c r="H30" s="482">
        <v>1538.215995555556</v>
      </c>
      <c r="I30" s="482">
        <v>1692.0375951111118</v>
      </c>
      <c r="J30" s="482">
        <v>1861.2413546222231</v>
      </c>
      <c r="K30" s="482">
        <v>2047.3654900844456</v>
      </c>
      <c r="L30" s="482">
        <v>2211.1547292912014</v>
      </c>
      <c r="M30" s="482">
        <v>2388.0471076344975</v>
      </c>
      <c r="N30" s="482">
        <v>2579.0908762452573</v>
      </c>
      <c r="O30" s="482">
        <v>2785.4181463448781</v>
      </c>
    </row>
    <row r="31" spans="1:15">
      <c r="A31" s="1"/>
      <c r="B31" s="12" t="s">
        <v>9</v>
      </c>
      <c r="C31" s="18"/>
      <c r="D31" s="19"/>
      <c r="E31" s="18"/>
      <c r="F31" s="5">
        <f>SUM(F28:F30)</f>
        <v>15214.886088888892</v>
      </c>
      <c r="G31" s="5">
        <f t="shared" ref="G31:O31" si="5">SUM(G28:G30)</f>
        <v>17667.937361777778</v>
      </c>
      <c r="H31" s="5">
        <f t="shared" si="5"/>
        <v>19745.481281635559</v>
      </c>
      <c r="I31" s="5">
        <f t="shared" si="5"/>
        <v>22068.069615520719</v>
      </c>
      <c r="J31" s="5">
        <f t="shared" si="5"/>
        <v>24664.681607480987</v>
      </c>
      <c r="K31" s="5">
        <f t="shared" si="5"/>
        <v>30215.247713829089</v>
      </c>
      <c r="L31" s="5">
        <f t="shared" si="5"/>
        <v>32632.467530935413</v>
      </c>
      <c r="M31" s="5">
        <f t="shared" si="5"/>
        <v>35243.064933410249</v>
      </c>
      <c r="N31" s="5">
        <f t="shared" si="5"/>
        <v>38062.510128083079</v>
      </c>
      <c r="O31" s="5">
        <f t="shared" si="5"/>
        <v>41107.510938329724</v>
      </c>
    </row>
    <row r="32" spans="1:15" s="29" customFormat="1">
      <c r="A32" s="24"/>
      <c r="B32" s="30" t="s">
        <v>8</v>
      </c>
      <c r="D32" s="31"/>
      <c r="E32" s="29" t="s">
        <v>2</v>
      </c>
      <c r="F32" s="32">
        <f>F25+F31</f>
        <v>45003.130671833344</v>
      </c>
      <c r="G32" s="32">
        <f t="shared" ref="G32:O32" si="6">G25+G31</f>
        <v>49910.339364491672</v>
      </c>
      <c r="H32" s="32">
        <f t="shared" si="6"/>
        <v>54662.144083481602</v>
      </c>
      <c r="I32" s="32">
        <f t="shared" si="6"/>
        <v>59900.290814485707</v>
      </c>
      <c r="J32" s="32">
        <f t="shared" si="6"/>
        <v>65677.112694338983</v>
      </c>
      <c r="K32" s="32">
        <f t="shared" si="6"/>
        <v>74204.114124258398</v>
      </c>
      <c r="L32" s="32">
        <f t="shared" si="6"/>
        <v>79781.843728362117</v>
      </c>
      <c r="M32" s="32">
        <f t="shared" si="6"/>
        <v>85791.691730040606</v>
      </c>
      <c r="N32" s="32">
        <f t="shared" si="6"/>
        <v>92267.905603116029</v>
      </c>
      <c r="O32" s="33">
        <f t="shared" si="6"/>
        <v>99247.494819472486</v>
      </c>
    </row>
    <row r="33" spans="1:15">
      <c r="A33" s="1"/>
      <c r="B33" s="10"/>
      <c r="D33" s="8"/>
    </row>
    <row r="34" spans="1:15">
      <c r="A34" s="1"/>
      <c r="B34" s="9" t="s">
        <v>55</v>
      </c>
      <c r="D34" s="8">
        <f>[2]Summary!H11</f>
        <v>1</v>
      </c>
      <c r="E34" s="18"/>
    </row>
    <row r="35" spans="1:15">
      <c r="A35" s="1"/>
      <c r="B35" s="13" t="str">
        <f>'MP volume'!B5</f>
        <v>G1SBO</v>
      </c>
      <c r="D35" s="8"/>
      <c r="E35" s="18" t="s">
        <v>2</v>
      </c>
      <c r="F35" s="484">
        <v>2100</v>
      </c>
      <c r="G35" s="484">
        <v>2400</v>
      </c>
      <c r="H35" s="484">
        <v>2820</v>
      </c>
      <c r="I35" s="484">
        <v>3360</v>
      </c>
      <c r="J35" s="484">
        <v>4020</v>
      </c>
      <c r="K35" s="484">
        <v>4860</v>
      </c>
      <c r="L35" s="484">
        <v>5760</v>
      </c>
      <c r="M35" s="484">
        <v>6780</v>
      </c>
      <c r="N35" s="484">
        <v>7920</v>
      </c>
      <c r="O35" s="484">
        <v>9000</v>
      </c>
    </row>
    <row r="36" spans="1:15">
      <c r="A36" s="1"/>
      <c r="B36" s="13" t="str">
        <f>'MP volume'!B6</f>
        <v>Blended Oil</v>
      </c>
      <c r="D36" s="8"/>
      <c r="E36" s="18" t="s">
        <v>2</v>
      </c>
      <c r="F36" s="484">
        <v>4725</v>
      </c>
      <c r="G36" s="484">
        <v>5400</v>
      </c>
      <c r="H36" s="484">
        <v>6345</v>
      </c>
      <c r="I36" s="484">
        <v>7560</v>
      </c>
      <c r="J36" s="484">
        <v>9045</v>
      </c>
      <c r="K36" s="484">
        <v>10935</v>
      </c>
      <c r="L36" s="484">
        <v>12960</v>
      </c>
      <c r="M36" s="484">
        <v>15255</v>
      </c>
      <c r="N36" s="484">
        <v>17820</v>
      </c>
      <c r="O36" s="484">
        <v>20250</v>
      </c>
    </row>
    <row r="37" spans="1:15">
      <c r="A37" s="1"/>
      <c r="B37" s="13" t="str">
        <f>'MP volume'!B7</f>
        <v>ROL</v>
      </c>
      <c r="D37" s="8"/>
      <c r="E37" s="18" t="s">
        <v>2</v>
      </c>
      <c r="F37" s="484">
        <v>1575</v>
      </c>
      <c r="G37" s="484">
        <v>1800</v>
      </c>
      <c r="H37" s="484">
        <v>2115</v>
      </c>
      <c r="I37" s="484">
        <v>2520</v>
      </c>
      <c r="J37" s="484">
        <v>3015</v>
      </c>
      <c r="K37" s="484">
        <v>3645</v>
      </c>
      <c r="L37" s="484">
        <v>4320</v>
      </c>
      <c r="M37" s="484">
        <v>5085</v>
      </c>
      <c r="N37" s="484">
        <v>5940</v>
      </c>
      <c r="O37" s="484">
        <v>6750</v>
      </c>
    </row>
    <row r="38" spans="1:15">
      <c r="A38" s="1"/>
      <c r="B38" s="13" t="str">
        <f>'MP volume'!B8</f>
        <v>SPMF</v>
      </c>
      <c r="D38" s="8"/>
      <c r="E38" s="18"/>
      <c r="F38" s="484">
        <v>2100</v>
      </c>
      <c r="G38" s="484">
        <v>2400</v>
      </c>
      <c r="H38" s="484">
        <v>2820</v>
      </c>
      <c r="I38" s="484">
        <v>3360</v>
      </c>
      <c r="J38" s="484">
        <v>4020</v>
      </c>
      <c r="K38" s="484">
        <v>4860</v>
      </c>
      <c r="L38" s="484">
        <v>5760</v>
      </c>
      <c r="M38" s="484">
        <v>6780</v>
      </c>
      <c r="N38" s="484">
        <v>7920</v>
      </c>
      <c r="O38" s="484">
        <v>9000</v>
      </c>
    </row>
    <row r="39" spans="1:15">
      <c r="A39" s="1"/>
      <c r="B39" s="21" t="s">
        <v>58</v>
      </c>
      <c r="D39" s="8"/>
      <c r="E39" s="15" t="s">
        <v>2</v>
      </c>
      <c r="F39" s="3">
        <f>SUM(F35:F38)</f>
        <v>10500</v>
      </c>
      <c r="G39" s="3">
        <f t="shared" ref="G39:O39" si="7">SUM(G35:G38)</f>
        <v>12000</v>
      </c>
      <c r="H39" s="3">
        <f t="shared" si="7"/>
        <v>14100</v>
      </c>
      <c r="I39" s="3">
        <f t="shared" si="7"/>
        <v>16800</v>
      </c>
      <c r="J39" s="3">
        <f t="shared" si="7"/>
        <v>20100</v>
      </c>
      <c r="K39" s="3">
        <f t="shared" si="7"/>
        <v>24300</v>
      </c>
      <c r="L39" s="3">
        <f t="shared" si="7"/>
        <v>28800</v>
      </c>
      <c r="M39" s="3">
        <f t="shared" si="7"/>
        <v>33900</v>
      </c>
      <c r="N39" s="3">
        <f t="shared" si="7"/>
        <v>39600</v>
      </c>
      <c r="O39" s="3">
        <f t="shared" si="7"/>
        <v>45000</v>
      </c>
    </row>
    <row r="40" spans="1:15">
      <c r="A40" s="1"/>
      <c r="B40" s="21"/>
      <c r="D40" s="8"/>
      <c r="E40" s="15"/>
      <c r="F40" s="3"/>
      <c r="G40" s="3"/>
      <c r="H40" s="3"/>
      <c r="I40" s="3"/>
      <c r="J40" s="3"/>
      <c r="K40" s="3"/>
      <c r="L40" s="3"/>
      <c r="M40" s="3"/>
      <c r="N40" s="3"/>
      <c r="O40" s="33"/>
    </row>
    <row r="41" spans="1:15">
      <c r="A41" s="1"/>
      <c r="B41" s="21" t="s">
        <v>56</v>
      </c>
      <c r="D41" s="8">
        <v>1</v>
      </c>
      <c r="E41" s="15"/>
      <c r="F41" s="3"/>
      <c r="G41" s="3"/>
      <c r="H41" s="3"/>
      <c r="I41" s="3"/>
      <c r="J41" s="3"/>
      <c r="K41" s="3"/>
      <c r="L41" s="3"/>
      <c r="M41" s="3"/>
      <c r="N41" s="3"/>
      <c r="O41" s="33"/>
    </row>
    <row r="42" spans="1:15">
      <c r="A42" s="1"/>
      <c r="B42" s="13" t="str">
        <f>'MP volume'!B14</f>
        <v>G1SBO</v>
      </c>
      <c r="C42" s="13" t="str">
        <f>'MP volume'!C14</f>
        <v>5L</v>
      </c>
      <c r="D42" s="8"/>
      <c r="E42" s="36" t="s">
        <v>2</v>
      </c>
      <c r="F42" s="485">
        <v>490</v>
      </c>
      <c r="G42" s="485">
        <v>560</v>
      </c>
      <c r="H42" s="485">
        <v>658</v>
      </c>
      <c r="I42" s="485">
        <v>784</v>
      </c>
      <c r="J42" s="485">
        <v>938</v>
      </c>
      <c r="K42" s="485">
        <v>1134</v>
      </c>
      <c r="L42" s="485">
        <v>1344</v>
      </c>
      <c r="M42" s="485">
        <v>1582</v>
      </c>
      <c r="N42" s="485">
        <v>1848</v>
      </c>
      <c r="O42" s="485">
        <v>2100</v>
      </c>
    </row>
    <row r="43" spans="1:15">
      <c r="A43" s="1"/>
      <c r="B43" s="13" t="str">
        <f>'MP volume'!B15</f>
        <v>G1SBO</v>
      </c>
      <c r="C43" s="13" t="str">
        <f>'MP volume'!C15</f>
        <v>20L without box</v>
      </c>
      <c r="D43" s="8"/>
      <c r="E43" s="36" t="s">
        <v>2</v>
      </c>
      <c r="F43" s="485">
        <v>2940</v>
      </c>
      <c r="G43" s="485">
        <v>3360</v>
      </c>
      <c r="H43" s="485">
        <v>3948</v>
      </c>
      <c r="I43" s="485">
        <v>4704</v>
      </c>
      <c r="J43" s="485">
        <v>5628</v>
      </c>
      <c r="K43" s="485">
        <v>6804</v>
      </c>
      <c r="L43" s="485">
        <v>8064</v>
      </c>
      <c r="M43" s="485">
        <v>9492</v>
      </c>
      <c r="N43" s="485">
        <v>11088</v>
      </c>
      <c r="O43" s="485">
        <v>12600</v>
      </c>
    </row>
    <row r="44" spans="1:15">
      <c r="A44" s="1"/>
      <c r="B44" s="13" t="str">
        <f>'MP volume'!B16</f>
        <v>G1SBO</v>
      </c>
      <c r="C44" s="13" t="str">
        <f>'MP volume'!C16</f>
        <v>20L with box</v>
      </c>
      <c r="D44" s="8"/>
      <c r="E44" s="36" t="s">
        <v>2</v>
      </c>
      <c r="F44" s="485">
        <v>735</v>
      </c>
      <c r="G44" s="485">
        <v>840</v>
      </c>
      <c r="H44" s="485">
        <v>987</v>
      </c>
      <c r="I44" s="485">
        <v>1176</v>
      </c>
      <c r="J44" s="485">
        <v>1407</v>
      </c>
      <c r="K44" s="485">
        <v>1701</v>
      </c>
      <c r="L44" s="485">
        <v>2016</v>
      </c>
      <c r="M44" s="485">
        <v>2373</v>
      </c>
      <c r="N44" s="485">
        <v>2772</v>
      </c>
      <c r="O44" s="485">
        <v>3150</v>
      </c>
    </row>
    <row r="45" spans="1:15">
      <c r="A45" s="1"/>
      <c r="B45" s="13" t="str">
        <f>'MP volume'!B17</f>
        <v>G1SBO</v>
      </c>
      <c r="C45" s="13" t="str">
        <f>'MP volume'!C17</f>
        <v>10L*2</v>
      </c>
      <c r="D45" s="8"/>
      <c r="E45" s="36" t="s">
        <v>2</v>
      </c>
      <c r="F45" s="485">
        <v>3675</v>
      </c>
      <c r="G45" s="485">
        <v>4200</v>
      </c>
      <c r="H45" s="485">
        <v>4935</v>
      </c>
      <c r="I45" s="485">
        <v>5880</v>
      </c>
      <c r="J45" s="485">
        <v>7035</v>
      </c>
      <c r="K45" s="485">
        <v>8505</v>
      </c>
      <c r="L45" s="485">
        <v>10080</v>
      </c>
      <c r="M45" s="485">
        <v>11865</v>
      </c>
      <c r="N45" s="485">
        <v>13860</v>
      </c>
      <c r="O45" s="485">
        <v>15750</v>
      </c>
    </row>
    <row r="46" spans="1:15">
      <c r="A46" s="1"/>
      <c r="B46" s="13" t="str">
        <f>'MP volume'!B18</f>
        <v>Blended OIl</v>
      </c>
      <c r="C46" s="13" t="str">
        <f>'MP volume'!C18</f>
        <v>5L</v>
      </c>
      <c r="D46" s="8"/>
      <c r="E46" s="36" t="s">
        <v>2</v>
      </c>
      <c r="F46" s="485">
        <v>808.5</v>
      </c>
      <c r="G46" s="485">
        <v>924</v>
      </c>
      <c r="H46" s="485">
        <v>1085.7</v>
      </c>
      <c r="I46" s="485">
        <v>1293.6000000000001</v>
      </c>
      <c r="J46" s="485">
        <v>1547.7</v>
      </c>
      <c r="K46" s="485">
        <v>1871.1000000000001</v>
      </c>
      <c r="L46" s="485">
        <v>2217.6</v>
      </c>
      <c r="M46" s="485">
        <v>2610.3000000000002</v>
      </c>
      <c r="N46" s="485">
        <v>3049.2000000000003</v>
      </c>
      <c r="O46" s="485">
        <v>3465</v>
      </c>
    </row>
    <row r="47" spans="1:15">
      <c r="A47" s="1"/>
      <c r="B47" s="13" t="str">
        <f>'MP volume'!B19</f>
        <v>Blended Oil</v>
      </c>
      <c r="C47" s="13" t="str">
        <f>'MP volume'!C19</f>
        <v>20L without box</v>
      </c>
      <c r="D47" s="8"/>
      <c r="E47" s="36" t="s">
        <v>2</v>
      </c>
      <c r="F47" s="485">
        <v>9873.5</v>
      </c>
      <c r="G47" s="485">
        <v>11284</v>
      </c>
      <c r="H47" s="485">
        <v>13258.7</v>
      </c>
      <c r="I47" s="485">
        <v>15797.6</v>
      </c>
      <c r="J47" s="485">
        <v>18900.7</v>
      </c>
      <c r="K47" s="485">
        <v>22850.100000000002</v>
      </c>
      <c r="L47" s="485">
        <v>27081.600000000002</v>
      </c>
      <c r="M47" s="485">
        <v>31877.300000000003</v>
      </c>
      <c r="N47" s="485">
        <v>37237.200000000004</v>
      </c>
      <c r="O47" s="485">
        <v>42315</v>
      </c>
    </row>
    <row r="48" spans="1:15">
      <c r="A48" s="1"/>
      <c r="B48" s="13" t="str">
        <f>'MP volume'!B20</f>
        <v>Blended Oil</v>
      </c>
      <c r="C48" s="13" t="str">
        <f>'MP volume'!C20</f>
        <v>20L with Box</v>
      </c>
      <c r="D48" s="8"/>
      <c r="E48" s="36" t="s">
        <v>2</v>
      </c>
      <c r="F48" s="485">
        <v>1102.5</v>
      </c>
      <c r="G48" s="485">
        <v>1260</v>
      </c>
      <c r="H48" s="485">
        <v>1480.5</v>
      </c>
      <c r="I48" s="485">
        <v>1764</v>
      </c>
      <c r="J48" s="485">
        <v>2110.5</v>
      </c>
      <c r="K48" s="485">
        <v>2551.5</v>
      </c>
      <c r="L48" s="485">
        <v>3024</v>
      </c>
      <c r="M48" s="485">
        <v>3559.5</v>
      </c>
      <c r="N48" s="485">
        <v>4158</v>
      </c>
      <c r="O48" s="485">
        <v>4725</v>
      </c>
    </row>
    <row r="49" spans="1:15">
      <c r="A49" s="1"/>
      <c r="B49" s="13" t="str">
        <f>'MP volume'!B21</f>
        <v>Blended Oil</v>
      </c>
      <c r="C49" s="13" t="str">
        <f>'MP volume'!C21</f>
        <v>10L*2</v>
      </c>
      <c r="D49" s="8"/>
      <c r="E49" s="36" t="s">
        <v>2</v>
      </c>
      <c r="F49" s="485">
        <v>440.99999999999994</v>
      </c>
      <c r="G49" s="485">
        <v>503.99999999999994</v>
      </c>
      <c r="H49" s="485">
        <v>592.19999999999993</v>
      </c>
      <c r="I49" s="485">
        <v>705.59999999999991</v>
      </c>
      <c r="J49" s="485">
        <v>844.19999999999993</v>
      </c>
      <c r="K49" s="485">
        <v>1020.5999999999999</v>
      </c>
      <c r="L49" s="485">
        <v>1209.5999999999999</v>
      </c>
      <c r="M49" s="485">
        <v>1423.8</v>
      </c>
      <c r="N49" s="485">
        <v>1663.1999999999998</v>
      </c>
      <c r="O49" s="485">
        <v>1889.9999999999998</v>
      </c>
    </row>
    <row r="50" spans="1:15">
      <c r="A50" s="1"/>
      <c r="B50" s="13" t="str">
        <f>'MP volume'!B22</f>
        <v>Super Olein</v>
      </c>
      <c r="C50" s="13" t="str">
        <f>'MP volume'!C22</f>
        <v>5L</v>
      </c>
      <c r="D50" s="8"/>
      <c r="E50" s="36" t="s">
        <v>2</v>
      </c>
      <c r="F50" s="485">
        <v>318.5</v>
      </c>
      <c r="G50" s="485">
        <v>364</v>
      </c>
      <c r="H50" s="485">
        <v>427.7</v>
      </c>
      <c r="I50" s="485">
        <v>509.59999999999997</v>
      </c>
      <c r="J50" s="485">
        <v>609.69999999999993</v>
      </c>
      <c r="K50" s="485">
        <v>737.1</v>
      </c>
      <c r="L50" s="485">
        <v>873.59999999999991</v>
      </c>
      <c r="M50" s="485">
        <v>1028.3</v>
      </c>
      <c r="N50" s="485">
        <v>1201.2</v>
      </c>
      <c r="O50" s="485">
        <v>1365</v>
      </c>
    </row>
    <row r="51" spans="1:15">
      <c r="A51" s="1"/>
      <c r="B51" s="13" t="str">
        <f>'MP volume'!B23</f>
        <v>Super Olein</v>
      </c>
      <c r="C51" s="13" t="str">
        <f>'MP volume'!C23</f>
        <v>20L Without box</v>
      </c>
      <c r="D51" s="8"/>
      <c r="E51" s="36" t="s">
        <v>2</v>
      </c>
      <c r="F51" s="485">
        <v>3283</v>
      </c>
      <c r="G51" s="485">
        <v>3752</v>
      </c>
      <c r="H51" s="485">
        <v>4408.6000000000004</v>
      </c>
      <c r="I51" s="485">
        <v>5252.8</v>
      </c>
      <c r="J51" s="485">
        <v>6284.6</v>
      </c>
      <c r="K51" s="485">
        <v>7597.8</v>
      </c>
      <c r="L51" s="485">
        <v>9004.8000000000011</v>
      </c>
      <c r="M51" s="485">
        <v>10599.400000000001</v>
      </c>
      <c r="N51" s="485">
        <v>12381.6</v>
      </c>
      <c r="O51" s="485">
        <v>14070</v>
      </c>
    </row>
    <row r="52" spans="1:15">
      <c r="A52" s="1"/>
      <c r="B52" s="13" t="str">
        <f>'MP volume'!B24</f>
        <v>Super Olein</v>
      </c>
      <c r="C52" s="13" t="str">
        <f>'MP volume'!C24</f>
        <v>20L with box</v>
      </c>
      <c r="D52" s="8"/>
      <c r="E52" s="36" t="s">
        <v>2</v>
      </c>
      <c r="F52" s="485">
        <v>367.5</v>
      </c>
      <c r="G52" s="485">
        <v>420</v>
      </c>
      <c r="H52" s="485">
        <v>493.5</v>
      </c>
      <c r="I52" s="485">
        <v>588</v>
      </c>
      <c r="J52" s="485">
        <v>703.5</v>
      </c>
      <c r="K52" s="485">
        <v>850.5</v>
      </c>
      <c r="L52" s="485">
        <v>1008</v>
      </c>
      <c r="M52" s="485">
        <v>1186.5</v>
      </c>
      <c r="N52" s="485">
        <v>1386</v>
      </c>
      <c r="O52" s="485">
        <v>1575</v>
      </c>
    </row>
    <row r="53" spans="1:15">
      <c r="A53" s="1"/>
      <c r="B53" s="13" t="str">
        <f>'MP volume'!B25</f>
        <v>Super Olein</v>
      </c>
      <c r="C53" s="13" t="str">
        <f>'MP volume'!C25</f>
        <v>10L*2</v>
      </c>
      <c r="D53" s="8"/>
      <c r="E53" s="36" t="s">
        <v>2</v>
      </c>
      <c r="F53" s="485">
        <v>465.5</v>
      </c>
      <c r="G53" s="485">
        <v>532</v>
      </c>
      <c r="H53" s="485">
        <v>625.1</v>
      </c>
      <c r="I53" s="485">
        <v>744.8</v>
      </c>
      <c r="J53" s="485">
        <v>891.1</v>
      </c>
      <c r="K53" s="485">
        <v>1077.3</v>
      </c>
      <c r="L53" s="485">
        <v>1276.8</v>
      </c>
      <c r="M53" s="485">
        <v>1502.8999999999999</v>
      </c>
      <c r="N53" s="485">
        <v>1755.6</v>
      </c>
      <c r="O53" s="485">
        <v>1995</v>
      </c>
    </row>
    <row r="54" spans="1:15">
      <c r="A54" s="1"/>
      <c r="B54" s="21" t="s">
        <v>57</v>
      </c>
      <c r="D54" s="8"/>
      <c r="E54" s="15" t="s">
        <v>2</v>
      </c>
      <c r="F54" s="3">
        <f t="shared" ref="F54:O54" si="8">SUM(F42:F53)</f>
        <v>24500</v>
      </c>
      <c r="G54" s="3">
        <f t="shared" si="8"/>
        <v>28000</v>
      </c>
      <c r="H54" s="3">
        <f t="shared" si="8"/>
        <v>32900</v>
      </c>
      <c r="I54" s="3">
        <f t="shared" si="8"/>
        <v>39200</v>
      </c>
      <c r="J54" s="3">
        <f t="shared" si="8"/>
        <v>46899.999999999993</v>
      </c>
      <c r="K54" s="3">
        <f t="shared" si="8"/>
        <v>56700</v>
      </c>
      <c r="L54" s="3">
        <f t="shared" si="8"/>
        <v>67200</v>
      </c>
      <c r="M54" s="3">
        <f t="shared" si="8"/>
        <v>79100</v>
      </c>
      <c r="N54" s="3">
        <f t="shared" si="8"/>
        <v>92400.000000000015</v>
      </c>
      <c r="O54" s="3">
        <f t="shared" si="8"/>
        <v>105000</v>
      </c>
    </row>
    <row r="55" spans="1:15">
      <c r="A55" s="1"/>
      <c r="B55" s="21"/>
      <c r="D55" s="8"/>
      <c r="E55" s="15"/>
      <c r="F55" s="3"/>
      <c r="G55" s="3"/>
      <c r="H55" s="3"/>
      <c r="I55" s="3"/>
      <c r="J55" s="3"/>
      <c r="K55" s="3"/>
      <c r="L55" s="3"/>
      <c r="M55" s="3"/>
      <c r="N55" s="3"/>
      <c r="O55" s="33"/>
    </row>
    <row r="56" spans="1:15">
      <c r="A56" s="1"/>
      <c r="B56" s="9" t="s">
        <v>244</v>
      </c>
      <c r="D56" s="8"/>
    </row>
    <row r="57" spans="1:15">
      <c r="A57" s="1"/>
      <c r="B57" s="22" t="str">
        <f>[2]Bakery!C77</f>
        <v>Liquid Shortening</v>
      </c>
      <c r="C57" s="18" t="s">
        <v>0</v>
      </c>
      <c r="D57" s="19">
        <f>[2]Summary!H12</f>
        <v>1</v>
      </c>
      <c r="E57" s="18" t="s">
        <v>2</v>
      </c>
      <c r="F57" s="486">
        <f>'Volume Database'!H95</f>
        <v>605.20567753258115</v>
      </c>
      <c r="G57" s="486">
        <f>'Volume Database'!I95</f>
        <v>945.63947306456703</v>
      </c>
      <c r="H57" s="486">
        <f>'Volume Database'!J95</f>
        <v>1286.0732685965531</v>
      </c>
      <c r="I57" s="486">
        <f>'Volume Database'!K95</f>
        <v>1478.9842588860361</v>
      </c>
      <c r="J57" s="486">
        <f>'Volume Database'!L95</f>
        <v>1700.8318977189413</v>
      </c>
      <c r="K57" s="486">
        <f>'Volume Database'!M95</f>
        <v>1955.9566823767823</v>
      </c>
      <c r="L57" s="486">
        <f>'Volume Database'!N95</f>
        <v>2249.3501847332996</v>
      </c>
      <c r="M57" s="486">
        <f>'Volume Database'!O95</f>
        <v>2586.7527124432941</v>
      </c>
      <c r="N57" s="486">
        <f>'Volume Database'!P95</f>
        <v>2974.7656193097878</v>
      </c>
      <c r="O57" s="486">
        <f>'Volume Database'!Q95</f>
        <v>3420.9804622062557</v>
      </c>
    </row>
    <row r="58" spans="1:15">
      <c r="A58" s="1"/>
      <c r="B58" s="23" t="s">
        <v>7</v>
      </c>
      <c r="C58" s="18" t="s">
        <v>0</v>
      </c>
      <c r="D58" s="19">
        <f>[2]Summary!H12</f>
        <v>1</v>
      </c>
      <c r="E58" s="18" t="s">
        <v>2</v>
      </c>
      <c r="F58" s="486">
        <f>'Volume Database'!H96+'Volume Database'!H97</f>
        <v>1458.5753664611261</v>
      </c>
      <c r="G58" s="486">
        <f>'Volume Database'!I96+'Volume Database'!I97</f>
        <v>3248.979486820991</v>
      </c>
      <c r="H58" s="486">
        <f>'Volume Database'!J96+'Volume Database'!J97</f>
        <v>5039.3836071808564</v>
      </c>
      <c r="I58" s="486">
        <f>'Volume Database'!K96+'Volume Database'!K97</f>
        <v>6036.7553627553498</v>
      </c>
      <c r="J58" s="486">
        <f>'Volume Database'!L96+'Volume Database'!L97</f>
        <v>7221.4107240346402</v>
      </c>
      <c r="K58" s="486">
        <f>'Volume Database'!M96+'Volume Database'!M97</f>
        <v>8677.162529435438</v>
      </c>
      <c r="L58" s="486">
        <f>'Volume Database'!N96+'Volume Database'!N97</f>
        <v>10082.025598492137</v>
      </c>
      <c r="M58" s="486">
        <f>'Volume Database'!O96+'Volume Database'!O97</f>
        <v>11456.930862485813</v>
      </c>
      <c r="N58" s="486">
        <f>'Volume Database'!P96+'Volume Database'!P97</f>
        <v>12840.47352407733</v>
      </c>
      <c r="O58" s="486">
        <f>'Volume Database'!Q96+'Volume Database'!Q97</f>
        <v>14404.397892137711</v>
      </c>
    </row>
    <row r="59" spans="1:15">
      <c r="A59" s="1"/>
      <c r="B59" s="23" t="s">
        <v>28</v>
      </c>
      <c r="C59" s="18" t="s">
        <v>0</v>
      </c>
      <c r="D59" s="19">
        <f>[2]Summary!H13</f>
        <v>1</v>
      </c>
      <c r="E59" s="18" t="s">
        <v>2</v>
      </c>
      <c r="F59" s="486">
        <f>'Volume Database'!H98</f>
        <v>147.58908995352584</v>
      </c>
      <c r="G59" s="486">
        <f>'Volume Database'!I98</f>
        <v>270.61918256620027</v>
      </c>
      <c r="H59" s="486">
        <f>'Volume Database'!J98</f>
        <v>498.7127163295421</v>
      </c>
      <c r="I59" s="486">
        <f>'Volume Database'!K98</f>
        <v>759.56809017554326</v>
      </c>
      <c r="J59" s="486">
        <f>'Volume Database'!L98</f>
        <v>960.97824966426947</v>
      </c>
      <c r="K59" s="486">
        <f>'Volume Database'!M98</f>
        <v>1219.4622578637795</v>
      </c>
      <c r="L59" s="486">
        <f>'Volume Database'!N98</f>
        <v>1508.9362116641621</v>
      </c>
      <c r="M59" s="486">
        <f>'Volume Database'!O98</f>
        <v>1789.1375324060991</v>
      </c>
      <c r="N59" s="486">
        <f>'Volume Database'!P98</f>
        <v>2017.6987631386596</v>
      </c>
      <c r="O59" s="486">
        <f>'Volume Database'!Q98</f>
        <v>2224.5961756353654</v>
      </c>
    </row>
    <row r="60" spans="1:15">
      <c r="A60" s="1"/>
      <c r="B60" s="23" t="s">
        <v>6</v>
      </c>
      <c r="C60" s="18" t="s">
        <v>0</v>
      </c>
      <c r="D60" s="19">
        <f>[2]Summary!H14</f>
        <v>1</v>
      </c>
      <c r="E60" s="18" t="s">
        <v>2</v>
      </c>
      <c r="F60" s="486">
        <f>'Volume Database'!H100+'Volume Database'!H101</f>
        <v>5175.7505511215431</v>
      </c>
      <c r="G60" s="486">
        <f>'Volume Database'!I100+'Volume Database'!I101</f>
        <v>8489.740760756853</v>
      </c>
      <c r="H60" s="486">
        <f>'Volume Database'!J100+'Volume Database'!J101</f>
        <v>14921.337228255727</v>
      </c>
      <c r="I60" s="486">
        <f>'Volume Database'!K100+'Volume Database'!K101</f>
        <v>17903.771666956185</v>
      </c>
      <c r="J60" s="486">
        <f>'Volume Database'!L100+'Volume Database'!L101</f>
        <v>21441.010989538299</v>
      </c>
      <c r="K60" s="486">
        <f>'Volume Database'!M100+'Volume Database'!M101</f>
        <v>25748.013166195044</v>
      </c>
      <c r="L60" s="486">
        <f>'Volume Database'!N100+'Volume Database'!N101</f>
        <v>29572.304254945353</v>
      </c>
      <c r="M60" s="486">
        <f>'Volume Database'!O100+'Volume Database'!O101</f>
        <v>29572.304254945353</v>
      </c>
      <c r="N60" s="486">
        <f>'Volume Database'!P100+'Volume Database'!P101</f>
        <v>29572.304254945353</v>
      </c>
      <c r="O60" s="486">
        <f>'Volume Database'!Q100+'Volume Database'!Q101</f>
        <v>29572.304254945353</v>
      </c>
    </row>
    <row r="61" spans="1:15">
      <c r="A61" s="1"/>
      <c r="B61" s="23" t="s">
        <v>29</v>
      </c>
      <c r="C61" s="18" t="s">
        <v>0</v>
      </c>
      <c r="D61" s="19">
        <f>[2]Summary!H14</f>
        <v>1</v>
      </c>
      <c r="E61" s="18" t="s">
        <v>2</v>
      </c>
      <c r="F61" s="486">
        <f>'Volume Database'!H102</f>
        <v>1102.5599261984885</v>
      </c>
      <c r="G61" s="486">
        <f>'Volume Database'!I102</f>
        <v>2126.1128945508544</v>
      </c>
      <c r="H61" s="486">
        <f>'Volume Database'!J102</f>
        <v>4152.886753966427</v>
      </c>
      <c r="I61" s="486">
        <f>'Volume Database'!K102</f>
        <v>5356.7057664722788</v>
      </c>
      <c r="J61" s="486">
        <f>'Volume Database'!L102</f>
        <v>6843.1025989375812</v>
      </c>
      <c r="K61" s="486">
        <f>'Volume Database'!M102</f>
        <v>8779.8073941733637</v>
      </c>
      <c r="L61" s="486">
        <f>'Volume Database'!N102</f>
        <v>10900.720363679669</v>
      </c>
      <c r="M61" s="486">
        <f>'Volume Database'!O102</f>
        <v>10900.720363679669</v>
      </c>
      <c r="N61" s="486">
        <f>'Volume Database'!P102</f>
        <v>10900.720363679669</v>
      </c>
      <c r="O61" s="486">
        <f>'Volume Database'!Q102</f>
        <v>10900.720363679669</v>
      </c>
    </row>
    <row r="62" spans="1:15">
      <c r="A62" s="1"/>
      <c r="B62" s="23" t="s">
        <v>5</v>
      </c>
      <c r="C62" s="18" t="s">
        <v>0</v>
      </c>
      <c r="D62" s="19">
        <f>[2]Summary!H14</f>
        <v>1</v>
      </c>
      <c r="E62" s="18" t="s">
        <v>2</v>
      </c>
      <c r="F62" s="486">
        <v>0</v>
      </c>
      <c r="G62" s="486">
        <v>0</v>
      </c>
      <c r="H62" s="486">
        <v>0</v>
      </c>
      <c r="I62" s="486">
        <v>0</v>
      </c>
      <c r="J62" s="486">
        <v>0</v>
      </c>
      <c r="K62" s="486">
        <v>0</v>
      </c>
      <c r="L62" s="486">
        <v>0</v>
      </c>
      <c r="M62" s="486">
        <v>0</v>
      </c>
      <c r="N62" s="486">
        <v>0</v>
      </c>
      <c r="O62" s="486">
        <v>0</v>
      </c>
    </row>
    <row r="63" spans="1:15">
      <c r="A63" s="1"/>
      <c r="B63" s="21" t="s">
        <v>4</v>
      </c>
      <c r="E63" s="18" t="s">
        <v>2</v>
      </c>
      <c r="F63" s="5">
        <f>SUM(F57:F62)</f>
        <v>8489.6806112672639</v>
      </c>
      <c r="G63" s="5">
        <f t="shared" ref="G63:O63" si="9">SUM(G57:G62)</f>
        <v>15081.091797759465</v>
      </c>
      <c r="H63" s="5">
        <f t="shared" si="9"/>
        <v>25898.393574329108</v>
      </c>
      <c r="I63" s="5">
        <f t="shared" si="9"/>
        <v>31535.785145245394</v>
      </c>
      <c r="J63" s="5">
        <f t="shared" si="9"/>
        <v>38167.334459893726</v>
      </c>
      <c r="K63" s="5">
        <f t="shared" si="9"/>
        <v>46380.40203004441</v>
      </c>
      <c r="L63" s="5">
        <f t="shared" si="9"/>
        <v>54313.336613514621</v>
      </c>
      <c r="M63" s="5">
        <f t="shared" si="9"/>
        <v>56305.845725960229</v>
      </c>
      <c r="N63" s="5">
        <f t="shared" si="9"/>
        <v>58305.962525150804</v>
      </c>
      <c r="O63" s="33">
        <f t="shared" si="9"/>
        <v>60522.999148604351</v>
      </c>
    </row>
    <row r="64" spans="1:15">
      <c r="A64" s="1"/>
    </row>
    <row r="65" spans="1:15">
      <c r="A65" s="1"/>
      <c r="B65" s="4" t="s">
        <v>3</v>
      </c>
      <c r="C65" s="4"/>
      <c r="D65" s="4"/>
      <c r="E65" s="4" t="s">
        <v>2</v>
      </c>
      <c r="F65" s="3">
        <f t="shared" ref="F65:O65" si="10">SUM(F11,F32,F39,F54,F63)</f>
        <v>91688.584616433931</v>
      </c>
      <c r="G65" s="3">
        <f t="shared" si="10"/>
        <v>109132.8138289178</v>
      </c>
      <c r="H65" s="3">
        <f t="shared" si="10"/>
        <v>132575.14872447739</v>
      </c>
      <c r="I65" s="3">
        <f t="shared" si="10"/>
        <v>154214.64599973112</v>
      </c>
      <c r="J65" s="3">
        <f t="shared" si="10"/>
        <v>179689.62185156604</v>
      </c>
      <c r="K65" s="3">
        <f t="shared" si="10"/>
        <v>210871.9495865028</v>
      </c>
      <c r="L65" s="3">
        <f t="shared" si="10"/>
        <v>239846.98544568673</v>
      </c>
      <c r="M65" s="3">
        <f t="shared" si="10"/>
        <v>265336.93281500135</v>
      </c>
      <c r="N65" s="3">
        <f t="shared" si="10"/>
        <v>293325.23325521738</v>
      </c>
      <c r="O65" s="3">
        <f t="shared" si="10"/>
        <v>321059.42735137488</v>
      </c>
    </row>
    <row r="66" spans="1:15">
      <c r="A66" s="1"/>
    </row>
    <row r="67" spans="1:15">
      <c r="A67" s="1"/>
      <c r="B67" s="15" t="s">
        <v>245</v>
      </c>
    </row>
    <row r="68" spans="1:15">
      <c r="A68" s="1"/>
      <c r="B68" t="s">
        <v>246</v>
      </c>
      <c r="E68" t="s">
        <v>2</v>
      </c>
      <c r="F68" s="7">
        <f>'IE&amp;Hydro Oil in IE Product'!F65</f>
        <v>9058.7549179082052</v>
      </c>
      <c r="G68" s="7">
        <f>'IE&amp;Hydro Oil in IE Product'!G65</f>
        <v>12370.6148802526</v>
      </c>
      <c r="H68" s="7">
        <f>'IE&amp;Hydro Oil in IE Product'!H65</f>
        <v>18645.542259625774</v>
      </c>
      <c r="I68" s="7">
        <f>'IE&amp;Hydro Oil in IE Product'!I65</f>
        <v>16223.140439155917</v>
      </c>
      <c r="J68" s="7">
        <f>'IE&amp;Hydro Oil in IE Product'!J65</f>
        <v>19683.396125687901</v>
      </c>
      <c r="K68" s="7">
        <f>'IE&amp;Hydro Oil in IE Product'!K65</f>
        <v>23970.686031002799</v>
      </c>
      <c r="L68" s="7">
        <f>'IE&amp;Hydro Oil in IE Product'!L65</f>
        <v>28019.752253518174</v>
      </c>
      <c r="M68" s="7">
        <f>'IE&amp;Hydro Oil in IE Product'!M65</f>
        <v>28019.752253518174</v>
      </c>
      <c r="N68" s="7">
        <f>'IE&amp;Hydro Oil in IE Product'!N65</f>
        <v>28019.752253518174</v>
      </c>
      <c r="O68" s="7">
        <f>'IE&amp;Hydro Oil in IE Product'!O65</f>
        <v>28019.752253518174</v>
      </c>
    </row>
    <row r="69" spans="1:15">
      <c r="A69" s="1"/>
      <c r="B69" t="s">
        <v>247</v>
      </c>
      <c r="E69" t="s">
        <v>2</v>
      </c>
      <c r="F69" s="7">
        <f>'IE&amp;Hydro Oil in IE Product'!F66+'Hydro Oil In NonIE Product'!G62</f>
        <v>1312.3123082808968</v>
      </c>
      <c r="G69" s="7">
        <f>'IE&amp;Hydro Oil in IE Product'!G66+'Hydro Oil In NonIE Product'!H62</f>
        <v>2279.9413012646523</v>
      </c>
      <c r="H69" s="7">
        <f>'IE&amp;Hydro Oil in IE Product'!H66+'Hydro Oil In NonIE Product'!I62</f>
        <v>3804.1913633537797</v>
      </c>
      <c r="I69" s="7">
        <f>'IE&amp;Hydro Oil in IE Product'!I66+'Hydro Oil In NonIE Product'!J62</f>
        <v>4666.4862362815147</v>
      </c>
      <c r="J69" s="7">
        <f>'IE&amp;Hydro Oil in IE Product'!J66+'Hydro Oil In NonIE Product'!K62</f>
        <v>5702.2978964728109</v>
      </c>
      <c r="K69" s="7">
        <f>'IE&amp;Hydro Oil in IE Product'!K66+'Hydro Oil In NonIE Product'!L62</f>
        <v>6997.2132967048528</v>
      </c>
      <c r="L69" s="7">
        <f>'IE&amp;Hydro Oil in IE Product'!L66+'Hydro Oil In NonIE Product'!M62</f>
        <v>8276.201068885508</v>
      </c>
      <c r="M69" s="7">
        <f>'IE&amp;Hydro Oil in IE Product'!M66+'Hydro Oil In NonIE Product'!N62</f>
        <v>8719.0233616139958</v>
      </c>
      <c r="N69" s="7">
        <f>'IE&amp;Hydro Oil in IE Product'!N66+'Hydro Oil In NonIE Product'!O62</f>
        <v>9206.0643491085175</v>
      </c>
      <c r="O69" s="7">
        <f>'IE&amp;Hydro Oil in IE Product'!O66+'Hydro Oil In NonIE Product'!P62</f>
        <v>9741.9231234279796</v>
      </c>
    </row>
    <row r="70" spans="1:15">
      <c r="A70" s="1"/>
    </row>
    <row r="71" spans="1:15">
      <c r="A71" s="1"/>
    </row>
    <row r="72" spans="1:15">
      <c r="A72" s="1"/>
    </row>
    <row r="73" spans="1:15">
      <c r="A73" s="1"/>
    </row>
    <row r="74" spans="1:15">
      <c r="A74" s="1"/>
    </row>
    <row r="75" spans="1:15">
      <c r="A75" s="1"/>
    </row>
    <row r="76" spans="1:15">
      <c r="A76" s="1"/>
      <c r="B76" s="18" t="s">
        <v>1</v>
      </c>
      <c r="F76" s="16">
        <f t="shared" ref="F76:O76" si="11">SUM(F10,F15:F23)</f>
        <v>28116.629332944452</v>
      </c>
      <c r="G76" s="16">
        <f t="shared" si="11"/>
        <v>30542.655990213894</v>
      </c>
      <c r="H76" s="16">
        <f t="shared" si="11"/>
        <v>33192.924488721037</v>
      </c>
      <c r="I76" s="16">
        <f t="shared" si="11"/>
        <v>36089.390470183738</v>
      </c>
      <c r="J76" s="16">
        <f t="shared" si="11"/>
        <v>39256.262771637674</v>
      </c>
      <c r="K76" s="16">
        <f t="shared" si="11"/>
        <v>42144.889679447988</v>
      </c>
      <c r="L76" s="16">
        <f t="shared" si="11"/>
        <v>45213.200629896302</v>
      </c>
      <c r="M76" s="16">
        <f t="shared" si="11"/>
        <v>48515.642450723448</v>
      </c>
      <c r="N76" s="16">
        <f t="shared" si="11"/>
        <v>52070.761911830697</v>
      </c>
      <c r="O76" s="16">
        <f t="shared" si="11"/>
        <v>55898.618639780376</v>
      </c>
    </row>
    <row r="77" spans="1:15">
      <c r="A77" s="1"/>
      <c r="B77" s="18" t="s">
        <v>0</v>
      </c>
      <c r="F77" s="16">
        <f t="shared" ref="F77:O77" si="12">SUM(F9,F31,F57:F62)</f>
        <v>25791.34003348949</v>
      </c>
      <c r="G77" s="16">
        <f t="shared" si="12"/>
        <v>35670.511826203903</v>
      </c>
      <c r="H77" s="16">
        <f t="shared" si="12"/>
        <v>49316.595922631335</v>
      </c>
      <c r="I77" s="16">
        <f t="shared" si="12"/>
        <v>58906.345800766117</v>
      </c>
      <c r="J77" s="16">
        <f t="shared" si="12"/>
        <v>70053.503864708066</v>
      </c>
      <c r="K77" s="16">
        <f t="shared" si="12"/>
        <v>84178.2119310735</v>
      </c>
      <c r="L77" s="16">
        <f t="shared" si="12"/>
        <v>94907.494441010029</v>
      </c>
      <c r="M77" s="16">
        <f t="shared" si="12"/>
        <v>99908.685470758472</v>
      </c>
      <c r="N77" s="16">
        <f t="shared" si="12"/>
        <v>105146.23620519126</v>
      </c>
      <c r="O77" s="16">
        <f t="shared" si="12"/>
        <v>110847.16181648936</v>
      </c>
    </row>
    <row r="78" spans="1:15">
      <c r="A78" s="1"/>
    </row>
    <row r="79" spans="1:15">
      <c r="A79" s="1"/>
    </row>
  </sheetData>
  <phoneticPr fontId="11" type="noConversion"/>
  <pageMargins left="0.7" right="0.7" top="0.75" bottom="0.75" header="0.3" footer="0.3"/>
  <pageSetup paperSize="9" scale="47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8"/>
  <sheetViews>
    <sheetView topLeftCell="A27" zoomScaleNormal="100" workbookViewId="0">
      <selection activeCell="F46" sqref="F46"/>
    </sheetView>
  </sheetViews>
  <sheetFormatPr baseColWidth="10" defaultColWidth="9" defaultRowHeight="14"/>
  <cols>
    <col min="1" max="1" width="4.5" style="77" customWidth="1"/>
    <col min="2" max="2" width="12.5" style="77" customWidth="1"/>
    <col min="3" max="3" width="28.5" style="77" customWidth="1"/>
    <col min="4" max="4" width="25.83203125" style="77" customWidth="1"/>
    <col min="5" max="8" width="8.5" style="77" customWidth="1"/>
    <col min="9" max="10" width="9.5" style="77" customWidth="1"/>
    <col min="11" max="11" width="10" style="77" customWidth="1"/>
    <col min="12" max="12" width="10.1640625" style="77" customWidth="1"/>
    <col min="13" max="16" width="10.5" style="77" customWidth="1"/>
    <col min="17" max="16384" width="9" style="77"/>
  </cols>
  <sheetData>
    <row r="1" spans="1:16" ht="15.75" customHeight="1">
      <c r="O1" s="420"/>
      <c r="P1" s="420"/>
    </row>
    <row r="2" spans="1:16" ht="49.5" customHeight="1">
      <c r="B2" s="78"/>
      <c r="C2" s="79" t="s">
        <v>72</v>
      </c>
      <c r="D2" s="80"/>
      <c r="E2" s="80"/>
      <c r="F2" s="421"/>
      <c r="G2" s="422"/>
      <c r="H2" s="423"/>
      <c r="I2" s="421" t="s">
        <v>73</v>
      </c>
      <c r="J2" s="422"/>
      <c r="K2" s="422"/>
      <c r="L2" s="423"/>
      <c r="M2" s="418" t="s">
        <v>74</v>
      </c>
      <c r="N2" s="418"/>
      <c r="O2" s="418" t="s">
        <v>75</v>
      </c>
      <c r="P2" s="418"/>
    </row>
    <row r="3" spans="1:16" ht="45" customHeight="1">
      <c r="B3" s="78"/>
      <c r="C3" s="79"/>
      <c r="D3" s="79"/>
      <c r="E3" s="79"/>
      <c r="F3" s="418" t="s">
        <v>76</v>
      </c>
      <c r="G3" s="418"/>
      <c r="H3" s="418"/>
      <c r="I3" s="419" t="s">
        <v>77</v>
      </c>
      <c r="J3" s="419"/>
      <c r="K3" s="419" t="s">
        <v>78</v>
      </c>
      <c r="L3" s="419"/>
      <c r="M3" s="79" t="s">
        <v>77</v>
      </c>
      <c r="N3" s="79" t="s">
        <v>78</v>
      </c>
      <c r="O3" s="79" t="s">
        <v>77</v>
      </c>
      <c r="P3" s="79" t="s">
        <v>78</v>
      </c>
    </row>
    <row r="4" spans="1:16" ht="45.5" customHeight="1">
      <c r="A4" s="77" t="s">
        <v>79</v>
      </c>
      <c r="B4" s="78"/>
      <c r="C4" s="79" t="s">
        <v>80</v>
      </c>
      <c r="D4" s="79"/>
      <c r="E4" s="79" t="s">
        <v>81</v>
      </c>
      <c r="F4" s="79" t="s">
        <v>82</v>
      </c>
      <c r="G4" s="79" t="s">
        <v>83</v>
      </c>
      <c r="H4" s="79" t="s">
        <v>222</v>
      </c>
      <c r="I4" s="79" t="s">
        <v>84</v>
      </c>
      <c r="J4" s="79" t="s">
        <v>85</v>
      </c>
      <c r="K4" s="79" t="s">
        <v>84</v>
      </c>
      <c r="L4" s="79" t="s">
        <v>85</v>
      </c>
      <c r="M4" s="78"/>
      <c r="N4" s="78"/>
      <c r="O4" s="78"/>
      <c r="P4" s="78"/>
    </row>
    <row r="5" spans="1:16" ht="13.5" customHeight="1">
      <c r="A5" s="81">
        <v>0.13</v>
      </c>
      <c r="B5" s="415" t="s">
        <v>86</v>
      </c>
      <c r="C5" s="79" t="s">
        <v>87</v>
      </c>
      <c r="D5" s="79"/>
      <c r="E5" s="487">
        <f>F5/(1+A5)</f>
        <v>5102.6548672566378</v>
      </c>
      <c r="F5" s="487">
        <f>[3]Summary!G28</f>
        <v>5766</v>
      </c>
      <c r="G5" s="488" t="s">
        <v>88</v>
      </c>
      <c r="H5" s="488" t="s">
        <v>362</v>
      </c>
      <c r="I5" s="499">
        <v>0.17748853719863927</v>
      </c>
      <c r="J5" s="499">
        <v>0.29747296714411081</v>
      </c>
      <c r="K5" s="499">
        <v>0</v>
      </c>
      <c r="L5" s="506">
        <v>0.17848378028646647</v>
      </c>
      <c r="M5" s="491">
        <v>0.14895574574445847</v>
      </c>
      <c r="N5" s="491">
        <v>0.24825957624076411</v>
      </c>
      <c r="O5" s="491"/>
      <c r="P5" s="491">
        <v>0.14895574574445847</v>
      </c>
    </row>
    <row r="6" spans="1:16" ht="15">
      <c r="A6" s="81">
        <v>0.13</v>
      </c>
      <c r="B6" s="416"/>
      <c r="C6" s="79" t="s">
        <v>89</v>
      </c>
      <c r="D6" s="79"/>
      <c r="E6" s="487">
        <f t="shared" ref="E6:E25" si="0">F6/(1+A6)</f>
        <v>5833.6283185840712</v>
      </c>
      <c r="F6" s="487">
        <f>[3]Summary!G30</f>
        <v>6592</v>
      </c>
      <c r="G6" s="488" t="s">
        <v>90</v>
      </c>
      <c r="H6" s="488" t="s">
        <v>91</v>
      </c>
      <c r="I6" s="489">
        <v>0</v>
      </c>
      <c r="J6" s="489">
        <v>9.9157655714703613E-2</v>
      </c>
      <c r="K6" s="489">
        <v>0</v>
      </c>
      <c r="L6" s="490">
        <v>0</v>
      </c>
      <c r="M6" s="491">
        <v>0</v>
      </c>
      <c r="N6" s="491">
        <v>8.2753192080254723E-2</v>
      </c>
      <c r="O6" s="491"/>
      <c r="P6" s="491">
        <v>0</v>
      </c>
    </row>
    <row r="7" spans="1:16" ht="15">
      <c r="A7" s="81">
        <v>0.13</v>
      </c>
      <c r="B7" s="416"/>
      <c r="C7" s="79" t="s">
        <v>92</v>
      </c>
      <c r="D7" s="79"/>
      <c r="E7" s="487">
        <f t="shared" si="0"/>
        <v>6726.5486725663723</v>
      </c>
      <c r="F7" s="487">
        <f>[3]Summary!G22</f>
        <v>7601</v>
      </c>
      <c r="G7" s="488" t="s">
        <v>93</v>
      </c>
      <c r="H7" s="488"/>
      <c r="I7" s="489">
        <v>7.888379431050635E-2</v>
      </c>
      <c r="J7" s="489">
        <v>3.9663062285881442E-2</v>
      </c>
      <c r="K7" s="489">
        <v>0</v>
      </c>
      <c r="L7" s="490">
        <v>0</v>
      </c>
      <c r="M7" s="491">
        <v>6.6202553664203773E-2</v>
      </c>
      <c r="N7" s="491">
        <v>3.3101276832101886E-2</v>
      </c>
      <c r="O7" s="491"/>
      <c r="P7" s="491">
        <v>0</v>
      </c>
    </row>
    <row r="8" spans="1:16" ht="17">
      <c r="A8" s="81">
        <v>0.13</v>
      </c>
      <c r="B8" s="416"/>
      <c r="C8" s="79" t="s">
        <v>94</v>
      </c>
      <c r="D8" s="79"/>
      <c r="E8" s="487">
        <f t="shared" si="0"/>
        <v>5031.3514475030024</v>
      </c>
      <c r="F8" s="487">
        <f>'[3]IE-Ingredient'!H3</f>
        <v>5685.427135678392</v>
      </c>
      <c r="G8" s="488" t="s">
        <v>360</v>
      </c>
      <c r="H8" s="488" t="s">
        <v>95</v>
      </c>
      <c r="I8" s="489">
        <v>7.888379431050635E-2</v>
      </c>
      <c r="J8" s="489">
        <v>1.9831531142940721E-2</v>
      </c>
      <c r="K8" s="489">
        <v>0</v>
      </c>
      <c r="L8" s="490">
        <v>1.9831531142940721E-2</v>
      </c>
      <c r="M8" s="491">
        <v>6.6202553664203773E-2</v>
      </c>
      <c r="N8" s="491">
        <v>1.6550638416050943E-2</v>
      </c>
      <c r="O8" s="491"/>
      <c r="P8" s="491">
        <v>1.6550638416050943E-2</v>
      </c>
    </row>
    <row r="9" spans="1:16" ht="15">
      <c r="A9" s="81">
        <v>0.13</v>
      </c>
      <c r="B9" s="416"/>
      <c r="C9" s="79" t="s">
        <v>96</v>
      </c>
      <c r="D9" s="492" t="s">
        <v>61</v>
      </c>
      <c r="E9" s="487">
        <f t="shared" si="0"/>
        <v>5882.4724580097536</v>
      </c>
      <c r="F9" s="487">
        <f>'[3]IE-Ingredient'!N6</f>
        <v>6647.1938775510207</v>
      </c>
      <c r="G9" s="488"/>
      <c r="H9" s="488" t="s">
        <v>97</v>
      </c>
      <c r="I9" s="489">
        <v>0.33525612581965197</v>
      </c>
      <c r="J9" s="489">
        <v>0.33713602942999227</v>
      </c>
      <c r="K9" s="489">
        <v>0.14790711433219939</v>
      </c>
      <c r="L9" s="490">
        <v>0</v>
      </c>
      <c r="M9" s="491">
        <v>0.28136085307286601</v>
      </c>
      <c r="N9" s="491">
        <v>0.28136085307286601</v>
      </c>
      <c r="O9" s="491">
        <v>0.12401074561378125</v>
      </c>
      <c r="P9" s="491">
        <v>0</v>
      </c>
    </row>
    <row r="10" spans="1:16" ht="30">
      <c r="A10" s="81">
        <v>0.13</v>
      </c>
      <c r="B10" s="416"/>
      <c r="C10" s="79" t="s">
        <v>98</v>
      </c>
      <c r="D10" s="492" t="s">
        <v>62</v>
      </c>
      <c r="E10" s="487">
        <f t="shared" si="0"/>
        <v>5628.6278330427649</v>
      </c>
      <c r="F10" s="487">
        <f>'[3]IE-Ingredient'!N7</f>
        <v>6360.3494513383239</v>
      </c>
      <c r="G10" s="488"/>
      <c r="H10" s="488" t="s">
        <v>99</v>
      </c>
      <c r="I10" s="489">
        <v>0.3155351772420254</v>
      </c>
      <c r="J10" s="489"/>
      <c r="K10" s="489">
        <v>0.24651185722033234</v>
      </c>
      <c r="L10" s="490">
        <v>0.29747296714411081</v>
      </c>
      <c r="M10" s="491">
        <v>0.26481021465681509</v>
      </c>
      <c r="N10" s="491"/>
      <c r="O10" s="491">
        <v>0.20668457602296877</v>
      </c>
      <c r="P10" s="491">
        <v>0.24825957624076411</v>
      </c>
    </row>
    <row r="11" spans="1:16" ht="30">
      <c r="A11" s="81">
        <v>0.13</v>
      </c>
      <c r="B11" s="416"/>
      <c r="C11" s="79" t="s">
        <v>100</v>
      </c>
      <c r="D11" s="492" t="s">
        <v>63</v>
      </c>
      <c r="E11" s="487">
        <f t="shared" si="0"/>
        <v>5858.5999348376345</v>
      </c>
      <c r="F11" s="487">
        <f>'[3]IE-Ingredient'!N8</f>
        <v>6620.2179263665266</v>
      </c>
      <c r="G11" s="488"/>
      <c r="H11" s="488" t="s">
        <v>64</v>
      </c>
      <c r="I11" s="489"/>
      <c r="J11" s="489">
        <v>0.19831531142940723</v>
      </c>
      <c r="K11" s="489"/>
      <c r="L11" s="490">
        <v>0.19831531142940723</v>
      </c>
      <c r="M11" s="491"/>
      <c r="N11" s="491">
        <v>0.16550638416050945</v>
      </c>
      <c r="O11" s="491"/>
      <c r="P11" s="491">
        <v>0.16550638416050945</v>
      </c>
    </row>
    <row r="12" spans="1:16" ht="15">
      <c r="A12" s="81">
        <v>0.13</v>
      </c>
      <c r="B12" s="416"/>
      <c r="C12" s="79" t="s">
        <v>65</v>
      </c>
      <c r="D12" s="492"/>
      <c r="E12" s="487">
        <f t="shared" si="0"/>
        <v>5385.3621094455484</v>
      </c>
      <c r="F12" s="487">
        <f>'[3]IE-Ingredient'!N9</f>
        <v>6085.4591836734689</v>
      </c>
      <c r="G12" s="488"/>
      <c r="H12" s="488" t="s">
        <v>101</v>
      </c>
      <c r="I12" s="489"/>
      <c r="J12" s="489"/>
      <c r="K12" s="489">
        <v>0.59162845732879754</v>
      </c>
      <c r="L12" s="490">
        <v>0.29747296714411081</v>
      </c>
      <c r="M12" s="491"/>
      <c r="N12" s="491"/>
      <c r="O12" s="491">
        <v>0.49604298245512501</v>
      </c>
      <c r="P12" s="491">
        <v>0.24825957624076411</v>
      </c>
    </row>
    <row r="13" spans="1:16" ht="17">
      <c r="A13" s="81">
        <v>0.06</v>
      </c>
      <c r="B13" s="82" t="s">
        <v>102</v>
      </c>
      <c r="C13" s="79" t="s">
        <v>232</v>
      </c>
      <c r="D13" s="79"/>
      <c r="E13" s="487">
        <f t="shared" si="0"/>
        <v>8.0188679245283012</v>
      </c>
      <c r="F13" s="493">
        <v>8.5</v>
      </c>
      <c r="G13" s="488"/>
      <c r="H13" s="488"/>
      <c r="I13" s="494"/>
      <c r="J13" s="494"/>
      <c r="K13" s="495"/>
      <c r="L13" s="496"/>
      <c r="M13" s="491">
        <v>0.13240510732840755</v>
      </c>
      <c r="N13" s="491">
        <v>0.13240510732840755</v>
      </c>
      <c r="O13" s="491">
        <v>0.13227812865470001</v>
      </c>
      <c r="P13" s="491">
        <v>0.13240510732840755</v>
      </c>
    </row>
    <row r="14" spans="1:16" ht="32">
      <c r="A14" s="81">
        <v>0.17</v>
      </c>
      <c r="B14" s="415" t="s">
        <v>103</v>
      </c>
      <c r="C14" s="79" t="s">
        <v>233</v>
      </c>
      <c r="D14" s="492" t="s">
        <v>361</v>
      </c>
      <c r="E14" s="487">
        <f t="shared" si="0"/>
        <v>256410.25641025644</v>
      </c>
      <c r="F14" s="487">
        <v>300000</v>
      </c>
      <c r="G14" s="488"/>
      <c r="H14" s="488"/>
      <c r="I14" s="497">
        <v>9.8604742888132934E-5</v>
      </c>
      <c r="J14" s="497">
        <v>9.9157655714703603E-5</v>
      </c>
      <c r="K14" s="497">
        <v>9.8604742888132934E-5</v>
      </c>
      <c r="L14" s="498">
        <v>9.9157655714703603E-5</v>
      </c>
      <c r="M14" s="491">
        <v>9.5993702813095469E-5</v>
      </c>
      <c r="N14" s="491">
        <v>9.5993702813095469E-5</v>
      </c>
      <c r="O14" s="491">
        <v>9.5901643274657515E-5</v>
      </c>
      <c r="P14" s="491">
        <v>9.5993702813095469E-5</v>
      </c>
    </row>
    <row r="15" spans="1:16" ht="32">
      <c r="A15" s="81">
        <v>0.17</v>
      </c>
      <c r="B15" s="417"/>
      <c r="C15" s="79" t="s">
        <v>234</v>
      </c>
      <c r="D15" s="79"/>
      <c r="E15" s="487">
        <f t="shared" si="0"/>
        <v>135042.73504273506</v>
      </c>
      <c r="F15" s="487">
        <v>158000</v>
      </c>
      <c r="G15" s="488"/>
      <c r="H15" s="488"/>
      <c r="I15" s="497">
        <v>4.9302371444066467E-5</v>
      </c>
      <c r="J15" s="497">
        <v>4.9578827857351802E-5</v>
      </c>
      <c r="K15" s="497">
        <v>4.9302371444066467E-5</v>
      </c>
      <c r="L15" s="498">
        <v>4.9578827857351802E-5</v>
      </c>
      <c r="M15" s="491">
        <v>4.7996851406547734E-5</v>
      </c>
      <c r="N15" s="491">
        <v>4.7996851406547734E-5</v>
      </c>
      <c r="O15" s="491">
        <v>4.7950821637328758E-5</v>
      </c>
      <c r="P15" s="491">
        <v>4.7996851406547734E-5</v>
      </c>
    </row>
    <row r="16" spans="1:16" ht="32">
      <c r="A16" s="81">
        <v>0.17</v>
      </c>
      <c r="B16" s="415" t="s">
        <v>66</v>
      </c>
      <c r="C16" s="78" t="s">
        <v>223</v>
      </c>
      <c r="D16" s="78"/>
      <c r="E16" s="487">
        <f t="shared" si="0"/>
        <v>25641.025641025644</v>
      </c>
      <c r="F16" s="487">
        <v>30000</v>
      </c>
      <c r="G16" s="488"/>
      <c r="H16" s="488"/>
      <c r="I16" s="497"/>
      <c r="J16" s="497"/>
      <c r="K16" s="497"/>
      <c r="L16" s="498"/>
      <c r="M16" s="491">
        <v>4.799685140654773E-4</v>
      </c>
      <c r="N16" s="491">
        <v>4.799685140654773E-4</v>
      </c>
      <c r="O16" s="491">
        <v>4.7950821637328758E-4</v>
      </c>
      <c r="P16" s="491">
        <v>4.799685140654773E-4</v>
      </c>
    </row>
    <row r="17" spans="1:16" ht="32">
      <c r="A17" s="81">
        <v>0.17</v>
      </c>
      <c r="B17" s="417"/>
      <c r="C17" s="78" t="s">
        <v>224</v>
      </c>
      <c r="D17" s="78"/>
      <c r="E17" s="487">
        <f t="shared" si="0"/>
        <v>29914.529914529918</v>
      </c>
      <c r="F17" s="487">
        <v>35000</v>
      </c>
      <c r="G17" s="488"/>
      <c r="H17" s="488"/>
      <c r="I17" s="497"/>
      <c r="J17" s="497"/>
      <c r="K17" s="497"/>
      <c r="L17" s="498"/>
      <c r="M17" s="491">
        <v>4.3197166265892959E-4</v>
      </c>
      <c r="N17" s="491">
        <v>4.3197166265892959E-4</v>
      </c>
      <c r="O17" s="491">
        <v>4.3155739473595882E-4</v>
      </c>
      <c r="P17" s="491">
        <v>4.3197166265892959E-4</v>
      </c>
    </row>
    <row r="18" spans="1:16" ht="47">
      <c r="A18" s="81">
        <v>0.17</v>
      </c>
      <c r="B18" s="415" t="s">
        <v>104</v>
      </c>
      <c r="C18" s="79" t="s">
        <v>235</v>
      </c>
      <c r="D18" s="79"/>
      <c r="E18" s="487">
        <f t="shared" si="0"/>
        <v>35470.085470085469</v>
      </c>
      <c r="F18" s="487">
        <v>41500</v>
      </c>
      <c r="G18" s="488" t="s">
        <v>127</v>
      </c>
      <c r="H18" s="488"/>
      <c r="I18" s="497">
        <v>4.9302371444066469E-3</v>
      </c>
      <c r="J18" s="497">
        <v>0</v>
      </c>
      <c r="K18" s="497">
        <v>4.9302371444066469E-3</v>
      </c>
      <c r="L18" s="498">
        <v>0</v>
      </c>
      <c r="M18" s="491">
        <v>9.5993702813095463E-3</v>
      </c>
      <c r="N18" s="491"/>
      <c r="O18" s="491"/>
      <c r="P18" s="491"/>
    </row>
    <row r="19" spans="1:16" ht="32">
      <c r="A19" s="81">
        <v>0.17</v>
      </c>
      <c r="B19" s="416"/>
      <c r="C19" s="79" t="s">
        <v>236</v>
      </c>
      <c r="D19" s="79"/>
      <c r="E19" s="487">
        <f t="shared" si="0"/>
        <v>34188.034188034188</v>
      </c>
      <c r="F19" s="487">
        <v>40000</v>
      </c>
      <c r="G19" s="488" t="s">
        <v>105</v>
      </c>
      <c r="H19" s="488" t="s">
        <v>106</v>
      </c>
      <c r="I19" s="497">
        <v>8.8744268599319637E-3</v>
      </c>
      <c r="J19" s="497">
        <v>6.9410359000292524E-3</v>
      </c>
      <c r="K19" s="497">
        <v>8.8744268599319637E-3</v>
      </c>
      <c r="L19" s="498">
        <v>6.9410359000292524E-3</v>
      </c>
      <c r="M19" s="491">
        <v>2.8798110843928641E-3</v>
      </c>
      <c r="N19" s="491">
        <v>2.8798110843928641E-3</v>
      </c>
      <c r="O19" s="491">
        <v>5.7540985964794509E-3</v>
      </c>
      <c r="P19" s="491">
        <v>2.8798110843928641E-3</v>
      </c>
    </row>
    <row r="20" spans="1:16" ht="32">
      <c r="A20" s="81">
        <v>0.17</v>
      </c>
      <c r="B20" s="416"/>
      <c r="C20" s="79" t="s">
        <v>225</v>
      </c>
      <c r="D20" s="79"/>
      <c r="E20" s="487">
        <f t="shared" si="0"/>
        <v>12820.512820512822</v>
      </c>
      <c r="F20" s="487">
        <v>15000</v>
      </c>
      <c r="G20" s="488"/>
      <c r="H20" s="488"/>
      <c r="I20" s="497"/>
      <c r="J20" s="497"/>
      <c r="K20" s="497"/>
      <c r="L20" s="498"/>
      <c r="M20" s="491">
        <v>6.7195591969166817E-3</v>
      </c>
      <c r="N20" s="491">
        <v>6.7195591969166817E-3</v>
      </c>
      <c r="O20" s="491">
        <v>4.7950821637328753E-3</v>
      </c>
      <c r="P20" s="491">
        <v>6.7195591969166817E-3</v>
      </c>
    </row>
    <row r="21" spans="1:16" ht="32">
      <c r="A21" s="81">
        <v>0.17</v>
      </c>
      <c r="B21" s="417"/>
      <c r="C21" s="79" t="s">
        <v>237</v>
      </c>
      <c r="D21" s="79"/>
      <c r="E21" s="487">
        <f t="shared" si="0"/>
        <v>13931.623931623932</v>
      </c>
      <c r="F21" s="487">
        <v>16300</v>
      </c>
      <c r="G21" s="488" t="s">
        <v>107</v>
      </c>
      <c r="H21" s="488" t="s">
        <v>108</v>
      </c>
      <c r="I21" s="497"/>
      <c r="J21" s="497">
        <v>6.9410359000292516E-4</v>
      </c>
      <c r="K21" s="497"/>
      <c r="L21" s="498">
        <v>6.9410359000292516E-4</v>
      </c>
      <c r="M21" s="491"/>
      <c r="N21" s="491">
        <v>9.5993702813095463E-3</v>
      </c>
      <c r="O21" s="491">
        <v>9.5901643274657507E-3</v>
      </c>
      <c r="P21" s="491">
        <v>9.5993702813095463E-3</v>
      </c>
    </row>
    <row r="22" spans="1:16" ht="15">
      <c r="A22" s="81">
        <v>0.17</v>
      </c>
      <c r="B22" s="415" t="s">
        <v>109</v>
      </c>
      <c r="C22" s="79" t="s">
        <v>110</v>
      </c>
      <c r="D22" s="79"/>
      <c r="E22" s="487">
        <f t="shared" si="0"/>
        <v>854700.85470085475</v>
      </c>
      <c r="F22" s="487">
        <v>1000000</v>
      </c>
      <c r="G22" s="492"/>
      <c r="H22" s="492"/>
      <c r="I22" s="497"/>
      <c r="J22" s="497">
        <v>5.9494593428822159E-4</v>
      </c>
      <c r="K22" s="497"/>
      <c r="L22" s="498">
        <v>5.9494593428822159E-4</v>
      </c>
      <c r="M22" s="491">
        <v>5.7596221687857268E-4</v>
      </c>
      <c r="N22" s="491">
        <v>5.7596221687857268E-4</v>
      </c>
      <c r="O22" s="491">
        <v>5.7540985964794498E-4</v>
      </c>
      <c r="P22" s="491">
        <v>5.7596221687857268E-4</v>
      </c>
    </row>
    <row r="23" spans="1:16" ht="17">
      <c r="A23" s="81">
        <v>0.17</v>
      </c>
      <c r="B23" s="417"/>
      <c r="C23" s="79" t="s">
        <v>238</v>
      </c>
      <c r="D23" s="79"/>
      <c r="E23" s="487">
        <f t="shared" si="0"/>
        <v>29914.529914529918</v>
      </c>
      <c r="F23" s="487">
        <v>35000</v>
      </c>
      <c r="G23" s="492"/>
      <c r="H23" s="492"/>
      <c r="I23" s="499"/>
      <c r="J23" s="500"/>
      <c r="K23" s="489"/>
      <c r="L23" s="501"/>
      <c r="M23" s="491">
        <v>9.5993702813095463E-3</v>
      </c>
      <c r="N23" s="491">
        <v>9.5993702813095463E-3</v>
      </c>
      <c r="O23" s="491">
        <v>9.5901643274657507E-3</v>
      </c>
      <c r="P23" s="491">
        <v>9.5993702813095463E-3</v>
      </c>
    </row>
    <row r="24" spans="1:16" ht="15">
      <c r="A24" s="81">
        <v>0.17</v>
      </c>
      <c r="B24" s="83" t="s">
        <v>111</v>
      </c>
      <c r="C24" s="79" t="s">
        <v>112</v>
      </c>
      <c r="D24" s="79"/>
      <c r="E24" s="487">
        <f t="shared" si="0"/>
        <v>666666.66666666674</v>
      </c>
      <c r="F24" s="487">
        <v>780000</v>
      </c>
      <c r="G24" s="492"/>
      <c r="H24" s="492"/>
      <c r="I24" s="500"/>
      <c r="J24" s="502">
        <v>4.4620945071616624E-5</v>
      </c>
      <c r="K24" s="500"/>
      <c r="L24" s="503">
        <v>4.4620945071616624E-5</v>
      </c>
      <c r="M24" s="491">
        <v>3.3597795984583405E-5</v>
      </c>
      <c r="N24" s="491">
        <v>3.3597795984583405E-5</v>
      </c>
      <c r="O24" s="491">
        <v>3.3565575146130118E-5</v>
      </c>
      <c r="P24" s="491">
        <v>3.3597795984583405E-5</v>
      </c>
    </row>
    <row r="25" spans="1:16" ht="32">
      <c r="A25" s="81">
        <v>0.13</v>
      </c>
      <c r="B25" s="84" t="s">
        <v>113</v>
      </c>
      <c r="C25" s="85" t="s">
        <v>226</v>
      </c>
      <c r="D25" s="85"/>
      <c r="E25" s="487">
        <f t="shared" si="0"/>
        <v>17699.115044247788</v>
      </c>
      <c r="F25" s="504">
        <v>20000</v>
      </c>
      <c r="G25" s="505"/>
      <c r="H25" s="505"/>
      <c r="I25" s="505"/>
      <c r="J25" s="505"/>
      <c r="K25" s="505"/>
      <c r="L25" s="505"/>
      <c r="M25" s="491">
        <v>9.5993702813095463E-3</v>
      </c>
      <c r="N25" s="491">
        <v>9.5993702813095463E-3</v>
      </c>
      <c r="O25" s="491">
        <v>9.5901643274657507E-3</v>
      </c>
      <c r="P25" s="491">
        <v>9.5993702813095463E-3</v>
      </c>
    </row>
    <row r="26" spans="1:16" ht="15">
      <c r="C26" s="77" t="s">
        <v>67</v>
      </c>
      <c r="I26" s="86">
        <f t="shared" ref="I26:P26" si="1">SUM(I5:I25)</f>
        <v>1.0000000000000002</v>
      </c>
      <c r="J26" s="86">
        <f t="shared" si="1"/>
        <v>1</v>
      </c>
      <c r="K26" s="86">
        <f t="shared" si="1"/>
        <v>1</v>
      </c>
      <c r="L26" s="86">
        <f t="shared" si="1"/>
        <v>1</v>
      </c>
      <c r="M26" s="86">
        <f t="shared" si="1"/>
        <v>1.0000000000000002</v>
      </c>
      <c r="N26" s="86">
        <f t="shared" si="1"/>
        <v>1.0000000000000002</v>
      </c>
      <c r="O26" s="86">
        <f t="shared" si="1"/>
        <v>1</v>
      </c>
      <c r="P26" s="86">
        <f t="shared" si="1"/>
        <v>1.0000000000000002</v>
      </c>
    </row>
    <row r="28" spans="1:16" ht="15">
      <c r="C28" s="77" t="s">
        <v>114</v>
      </c>
      <c r="E28" s="77" t="s">
        <v>115</v>
      </c>
      <c r="F28" s="77" t="s">
        <v>116</v>
      </c>
      <c r="I28" s="87">
        <f t="shared" ref="I28:P28" si="2">SUMPRODUCT($E5:$E25, I5:I25)</f>
        <v>6091.5518665331983</v>
      </c>
      <c r="J28" s="87">
        <f t="shared" si="2"/>
        <v>6425.3079508188021</v>
      </c>
      <c r="K28" s="87">
        <f t="shared" si="2"/>
        <v>5953.9328403740874</v>
      </c>
      <c r="L28" s="87">
        <f t="shared" si="2"/>
        <v>6266.0736305607143</v>
      </c>
      <c r="M28" s="87">
        <f t="shared" si="2"/>
        <v>6238.3033347468536</v>
      </c>
      <c r="N28" s="87">
        <f t="shared" si="2"/>
        <v>6027.6561673174974</v>
      </c>
      <c r="O28" s="87">
        <f t="shared" si="2"/>
        <v>5984.1489732286154</v>
      </c>
      <c r="P28" s="87">
        <f t="shared" si="2"/>
        <v>5894.7652856693912</v>
      </c>
    </row>
    <row r="29" spans="1:16" ht="15">
      <c r="C29" s="77" t="s">
        <v>114</v>
      </c>
      <c r="E29" s="77" t="s">
        <v>117</v>
      </c>
      <c r="F29" s="77" t="s">
        <v>116</v>
      </c>
      <c r="I29" s="87">
        <f t="shared" ref="I29:P29" si="3">SUMPRODUCT($F5:$F25, I5:I25)</f>
        <v>6903.8622626336182</v>
      </c>
      <c r="J29" s="87">
        <f t="shared" si="3"/>
        <v>7293.291534766382</v>
      </c>
      <c r="K29" s="87">
        <f t="shared" si="3"/>
        <v>6748.3527630738208</v>
      </c>
      <c r="L29" s="87">
        <f t="shared" si="3"/>
        <v>7113.3567528747417</v>
      </c>
      <c r="M29" s="87">
        <f t="shared" si="3"/>
        <v>7104.5385604634403</v>
      </c>
      <c r="N29" s="87">
        <f t="shared" si="3"/>
        <v>6858.2370345643712</v>
      </c>
      <c r="O29" s="87">
        <f t="shared" si="3"/>
        <v>6811.9796651075903</v>
      </c>
      <c r="P29" s="87">
        <f t="shared" si="3"/>
        <v>6708.0703383020109</v>
      </c>
    </row>
    <row r="31" spans="1:16" ht="15">
      <c r="B31" s="88" t="s">
        <v>118</v>
      </c>
      <c r="F31" s="89">
        <f>[3]Bakery!J5</f>
        <v>2015</v>
      </c>
      <c r="G31" s="89">
        <f>[3]Bakery!K5</f>
        <v>2016</v>
      </c>
      <c r="H31" s="89">
        <f>[3]Bakery!L5</f>
        <v>2017</v>
      </c>
      <c r="I31" s="89">
        <f>[3]Bakery!M5</f>
        <v>2018</v>
      </c>
      <c r="J31" s="89">
        <f>[3]Bakery!N5</f>
        <v>2019</v>
      </c>
      <c r="K31" s="89">
        <f>[3]Bakery!O5</f>
        <v>2020</v>
      </c>
      <c r="L31" s="89">
        <f>[3]Bakery!P5</f>
        <v>2021</v>
      </c>
      <c r="M31" s="89">
        <f>[3]Bakery!Q5</f>
        <v>2022</v>
      </c>
      <c r="N31" s="89">
        <f>[3]Bakery!R5</f>
        <v>2023</v>
      </c>
      <c r="O31" s="89">
        <f>[3]Bakery!S5</f>
        <v>2024</v>
      </c>
    </row>
    <row r="32" spans="1:16" ht="30">
      <c r="B32" s="161" t="str">
        <f>[3]Bakery!C83</f>
        <v>White Shortening</v>
      </c>
      <c r="C32" s="162" t="str">
        <f>[3]Bakery!D83</f>
        <v>Ambient</v>
      </c>
      <c r="D32" s="162" t="str">
        <f>[3]Bakery!E83</f>
        <v>Low Transfat</v>
      </c>
      <c r="E32" s="162" t="str">
        <f>[3]Bakery!I83</f>
        <v>mt</v>
      </c>
      <c r="F32" s="163">
        <f>'Volume Database'!H25</f>
        <v>114.41142674948894</v>
      </c>
      <c r="G32" s="163">
        <f>'Volume Database'!I25</f>
        <v>260.03962575524855</v>
      </c>
      <c r="H32" s="163">
        <f>'Volume Database'!J25</f>
        <v>445.16782476100821</v>
      </c>
      <c r="I32" s="163">
        <f>'Volume Database'!K25</f>
        <v>515.28888971320976</v>
      </c>
      <c r="J32" s="163">
        <f>'Volume Database'!L25</f>
        <v>596.59729265585167</v>
      </c>
      <c r="K32" s="163">
        <f>'Volume Database'!M25</f>
        <v>690.90496993702186</v>
      </c>
      <c r="L32" s="163">
        <f>'Volume Database'!N25</f>
        <v>783.06428642442643</v>
      </c>
      <c r="M32" s="163">
        <f>'Volume Database'!O25</f>
        <v>783.06428642442643</v>
      </c>
      <c r="N32" s="163">
        <f>'Volume Database'!P25</f>
        <v>783.06428642442643</v>
      </c>
      <c r="O32" s="163">
        <f>'Volume Database'!Q25</f>
        <v>783.06428642442643</v>
      </c>
    </row>
    <row r="33" spans="2:15" ht="15">
      <c r="B33" s="164"/>
      <c r="C33" s="78" t="s">
        <v>122</v>
      </c>
      <c r="D33" s="78"/>
      <c r="E33" s="78" t="s">
        <v>119</v>
      </c>
      <c r="F33" s="165">
        <f>I9+I10+I11+I12</f>
        <v>0.65079130306167743</v>
      </c>
      <c r="G33" s="165">
        <f>F33</f>
        <v>0.65079130306167743</v>
      </c>
      <c r="H33" s="165">
        <f>F33</f>
        <v>0.65079130306167743</v>
      </c>
      <c r="I33" s="165">
        <f t="shared" ref="I33:O33" si="4">G33</f>
        <v>0.65079130306167743</v>
      </c>
      <c r="J33" s="165">
        <f t="shared" si="4"/>
        <v>0.65079130306167743</v>
      </c>
      <c r="K33" s="165">
        <f t="shared" si="4"/>
        <v>0.65079130306167743</v>
      </c>
      <c r="L33" s="165">
        <f t="shared" si="4"/>
        <v>0.65079130306167743</v>
      </c>
      <c r="M33" s="165">
        <f t="shared" si="4"/>
        <v>0.65079130306167743</v>
      </c>
      <c r="N33" s="165">
        <f t="shared" si="4"/>
        <v>0.65079130306167743</v>
      </c>
      <c r="O33" s="166">
        <f t="shared" si="4"/>
        <v>0.65079130306167743</v>
      </c>
    </row>
    <row r="34" spans="2:15" ht="15">
      <c r="B34" s="164"/>
      <c r="C34" s="78" t="s">
        <v>120</v>
      </c>
      <c r="D34" s="78"/>
      <c r="E34" s="78" t="s">
        <v>121</v>
      </c>
      <c r="F34" s="167">
        <f>F32*F33</f>
        <v>74.45796149944556</v>
      </c>
      <c r="G34" s="167">
        <f t="shared" ref="G34:O34" si="5">G32*G33</f>
        <v>169.23152689292914</v>
      </c>
      <c r="H34" s="167">
        <f t="shared" si="5"/>
        <v>289.71134875734901</v>
      </c>
      <c r="I34" s="167">
        <f t="shared" si="5"/>
        <v>335.34552798966479</v>
      </c>
      <c r="J34" s="167">
        <f t="shared" si="5"/>
        <v>388.26032949057065</v>
      </c>
      <c r="K34" s="167">
        <f t="shared" si="5"/>
        <v>449.63494567710353</v>
      </c>
      <c r="L34" s="167">
        <f t="shared" si="5"/>
        <v>509.6114273432151</v>
      </c>
      <c r="M34" s="167">
        <f t="shared" si="5"/>
        <v>509.6114273432151</v>
      </c>
      <c r="N34" s="167">
        <f t="shared" si="5"/>
        <v>509.6114273432151</v>
      </c>
      <c r="O34" s="167">
        <f t="shared" si="5"/>
        <v>509.6114273432151</v>
      </c>
    </row>
    <row r="35" spans="2:15" ht="15">
      <c r="B35" s="164"/>
      <c r="C35" s="78" t="s">
        <v>125</v>
      </c>
      <c r="D35" s="78"/>
      <c r="E35" s="78" t="s">
        <v>121</v>
      </c>
      <c r="F35" s="167">
        <f>F32*($I$8+$I$10*15%+$I$11*50%)</f>
        <v>14.4403319271652</v>
      </c>
      <c r="G35" s="167">
        <f t="shared" ref="G35:O35" si="6">G32*($I$8+$I$10*15%+$I$11*50%)</f>
        <v>32.820659761052923</v>
      </c>
      <c r="H35" s="167">
        <f t="shared" si="6"/>
        <v>56.186443395364655</v>
      </c>
      <c r="I35" s="167">
        <f t="shared" si="6"/>
        <v>65.036708458601652</v>
      </c>
      <c r="J35" s="167">
        <f t="shared" si="6"/>
        <v>75.298972992110663</v>
      </c>
      <c r="K35" s="167">
        <f t="shared" si="6"/>
        <v>87.201928858589767</v>
      </c>
      <c r="L35" s="167">
        <f t="shared" si="6"/>
        <v>98.833731363532621</v>
      </c>
      <c r="M35" s="167">
        <f t="shared" si="6"/>
        <v>98.833731363532621</v>
      </c>
      <c r="N35" s="167">
        <f t="shared" si="6"/>
        <v>98.833731363532621</v>
      </c>
      <c r="O35" s="167">
        <f t="shared" si="6"/>
        <v>98.833731363532621</v>
      </c>
    </row>
    <row r="36" spans="2:15" ht="30">
      <c r="B36" s="164" t="str">
        <f>[3]Bakery!C84</f>
        <v xml:space="preserve">White Shortening </v>
      </c>
      <c r="C36" s="78" t="str">
        <f>[3]Bakery!D84</f>
        <v>Low Temp</v>
      </c>
      <c r="D36" s="78" t="str">
        <f>[3]Bakery!E84</f>
        <v>Low Transfat</v>
      </c>
      <c r="E36" s="78" t="str">
        <f>[3]Bakery!I84</f>
        <v>mt</v>
      </c>
      <c r="F36" s="167">
        <f>'Volume Database'!H26</f>
        <v>926.48105079949323</v>
      </c>
      <c r="G36" s="167">
        <f>'Volume Database'!I26</f>
        <v>1226.8409376257966</v>
      </c>
      <c r="H36" s="167">
        <f>'Volume Database'!J26</f>
        <v>1962.0700823156612</v>
      </c>
      <c r="I36" s="167">
        <f>'Volume Database'!K26</f>
        <v>2208.5853275922987</v>
      </c>
      <c r="J36" s="167">
        <f>'Volume Database'!L26</f>
        <v>2477.1915798540304</v>
      </c>
      <c r="K36" s="167">
        <f>'Volume Database'!M26</f>
        <v>2766.6270662696602</v>
      </c>
      <c r="L36" s="167">
        <f>'Volume Database'!N26</f>
        <v>3037.0645077982931</v>
      </c>
      <c r="M36" s="167">
        <f>'Volume Database'!O26</f>
        <v>3037.0645077982931</v>
      </c>
      <c r="N36" s="167">
        <f>'Volume Database'!P26</f>
        <v>3037.0645077982931</v>
      </c>
      <c r="O36" s="167">
        <f>'Volume Database'!Q26</f>
        <v>3037.0645077982931</v>
      </c>
    </row>
    <row r="37" spans="2:15" ht="15">
      <c r="B37" s="164"/>
      <c r="C37" s="78" t="s">
        <v>122</v>
      </c>
      <c r="D37" s="78"/>
      <c r="E37" s="78" t="s">
        <v>119</v>
      </c>
      <c r="F37" s="165">
        <f>SUM(K9:K12)</f>
        <v>0.98604742888132924</v>
      </c>
      <c r="G37" s="165">
        <f>F37</f>
        <v>0.98604742888132924</v>
      </c>
      <c r="H37" s="165">
        <f t="shared" ref="H37:O37" si="7">F37</f>
        <v>0.98604742888132924</v>
      </c>
      <c r="I37" s="165">
        <f t="shared" si="7"/>
        <v>0.98604742888132924</v>
      </c>
      <c r="J37" s="165">
        <f t="shared" si="7"/>
        <v>0.98604742888132924</v>
      </c>
      <c r="K37" s="165">
        <f t="shared" si="7"/>
        <v>0.98604742888132924</v>
      </c>
      <c r="L37" s="165">
        <f t="shared" si="7"/>
        <v>0.98604742888132924</v>
      </c>
      <c r="M37" s="165">
        <f t="shared" si="7"/>
        <v>0.98604742888132924</v>
      </c>
      <c r="N37" s="165">
        <f t="shared" si="7"/>
        <v>0.98604742888132924</v>
      </c>
      <c r="O37" s="166">
        <f t="shared" si="7"/>
        <v>0.98604742888132924</v>
      </c>
    </row>
    <row r="38" spans="2:15" ht="15">
      <c r="B38" s="164"/>
      <c r="C38" s="78" t="s">
        <v>120</v>
      </c>
      <c r="D38" s="78"/>
      <c r="E38" s="78" t="s">
        <v>121</v>
      </c>
      <c r="F38" s="167">
        <f t="shared" ref="F38:O38" si="8">F36*F37</f>
        <v>913.5542580481125</v>
      </c>
      <c r="G38" s="167">
        <f t="shared" si="8"/>
        <v>1209.723352192276</v>
      </c>
      <c r="H38" s="167">
        <f t="shared" si="8"/>
        <v>1934.6941599523357</v>
      </c>
      <c r="I38" s="167">
        <f t="shared" si="8"/>
        <v>2177.7698837374141</v>
      </c>
      <c r="J38" s="167">
        <f t="shared" si="8"/>
        <v>2442.6283881615445</v>
      </c>
      <c r="K38" s="167">
        <f t="shared" si="8"/>
        <v>2728.0255053686933</v>
      </c>
      <c r="L38" s="167">
        <f t="shared" si="8"/>
        <v>2994.6896492612468</v>
      </c>
      <c r="M38" s="167">
        <f t="shared" si="8"/>
        <v>2994.6896492612468</v>
      </c>
      <c r="N38" s="167">
        <f t="shared" si="8"/>
        <v>2994.6896492612468</v>
      </c>
      <c r="O38" s="168">
        <f t="shared" si="8"/>
        <v>2994.6896492612468</v>
      </c>
    </row>
    <row r="39" spans="2:15" ht="15">
      <c r="B39" s="164"/>
      <c r="C39" s="78" t="s">
        <v>125</v>
      </c>
      <c r="D39" s="78"/>
      <c r="E39" s="78" t="s">
        <v>121</v>
      </c>
      <c r="F39" s="167">
        <f>F36*($K$8+$K$10*15%)</f>
        <v>34.258284676804216</v>
      </c>
      <c r="G39" s="167">
        <f t="shared" ref="G39:O39" si="9">G36*($K$8+$K$10*15%)</f>
        <v>45.364625707210351</v>
      </c>
      <c r="H39" s="167">
        <f t="shared" si="9"/>
        <v>72.551030998212596</v>
      </c>
      <c r="I39" s="167">
        <f t="shared" si="9"/>
        <v>81.666370640153033</v>
      </c>
      <c r="J39" s="167">
        <f t="shared" si="9"/>
        <v>91.598564556057923</v>
      </c>
      <c r="K39" s="167">
        <f t="shared" si="9"/>
        <v>102.300956451326</v>
      </c>
      <c r="L39" s="167">
        <f t="shared" si="9"/>
        <v>112.30086184729674</v>
      </c>
      <c r="M39" s="167">
        <f t="shared" si="9"/>
        <v>112.30086184729674</v>
      </c>
      <c r="N39" s="167">
        <f t="shared" si="9"/>
        <v>112.30086184729674</v>
      </c>
      <c r="O39" s="167">
        <f t="shared" si="9"/>
        <v>112.30086184729674</v>
      </c>
    </row>
    <row r="40" spans="2:15" ht="30">
      <c r="B40" s="164" t="str">
        <f>[3]Bakery!C85</f>
        <v>Yellow Shortening</v>
      </c>
      <c r="C40" s="78" t="str">
        <f>[3]Bakery!D85</f>
        <v>Ambient</v>
      </c>
      <c r="D40" s="78" t="str">
        <f>[3]Bakery!E85</f>
        <v>Low Transfat</v>
      </c>
      <c r="E40" s="78" t="str">
        <f>[3]Bakery!I85</f>
        <v>mt</v>
      </c>
      <c r="F40" s="167">
        <f>'Volume Database'!H27</f>
        <v>1071.4993977728518</v>
      </c>
      <c r="G40" s="167">
        <f>'Volume Database'!I27</f>
        <v>2741.7230119615547</v>
      </c>
      <c r="H40" s="167">
        <f>'Volume Database'!J27</f>
        <v>5491.9466261502594</v>
      </c>
      <c r="I40" s="167">
        <f>'Volume Database'!K27</f>
        <v>6699.6252766103607</v>
      </c>
      <c r="J40" s="167">
        <f>'Volume Database'!L27</f>
        <v>8134.5221234239871</v>
      </c>
      <c r="K40" s="167">
        <f>'Volume Database'!M27</f>
        <v>9935.1370666223829</v>
      </c>
      <c r="L40" s="167">
        <f>'Volume Database'!N27</f>
        <v>11440.789291946861</v>
      </c>
      <c r="M40" s="167">
        <f>'Volume Database'!O27</f>
        <v>11440.789291946861</v>
      </c>
      <c r="N40" s="167">
        <f>'Volume Database'!P27</f>
        <v>11440.789291946861</v>
      </c>
      <c r="O40" s="167">
        <f>'Volume Database'!Q27</f>
        <v>11440.789291946861</v>
      </c>
    </row>
    <row r="41" spans="2:15" ht="15">
      <c r="B41" s="164"/>
      <c r="C41" s="78" t="s">
        <v>122</v>
      </c>
      <c r="D41" s="78"/>
      <c r="E41" s="78" t="s">
        <v>119</v>
      </c>
      <c r="F41" s="165">
        <f>SUM(J9:J12)</f>
        <v>0.53545134085939949</v>
      </c>
      <c r="G41" s="165">
        <f>F41</f>
        <v>0.53545134085939949</v>
      </c>
      <c r="H41" s="165">
        <f t="shared" ref="H41:O41" si="10">F41</f>
        <v>0.53545134085939949</v>
      </c>
      <c r="I41" s="165">
        <f t="shared" si="10"/>
        <v>0.53545134085939949</v>
      </c>
      <c r="J41" s="165">
        <f t="shared" si="10"/>
        <v>0.53545134085939949</v>
      </c>
      <c r="K41" s="165">
        <f t="shared" si="10"/>
        <v>0.53545134085939949</v>
      </c>
      <c r="L41" s="165">
        <f t="shared" si="10"/>
        <v>0.53545134085939949</v>
      </c>
      <c r="M41" s="165">
        <f t="shared" si="10"/>
        <v>0.53545134085939949</v>
      </c>
      <c r="N41" s="165">
        <f t="shared" si="10"/>
        <v>0.53545134085939949</v>
      </c>
      <c r="O41" s="166">
        <f t="shared" si="10"/>
        <v>0.53545134085939949</v>
      </c>
    </row>
    <row r="42" spans="2:15" ht="15">
      <c r="B42" s="164"/>
      <c r="C42" s="78" t="s">
        <v>120</v>
      </c>
      <c r="D42" s="78"/>
      <c r="E42" s="78" t="s">
        <v>121</v>
      </c>
      <c r="F42" s="167">
        <f t="shared" ref="F42:O42" si="11">F40*F41</f>
        <v>573.73578926751259</v>
      </c>
      <c r="G42" s="167">
        <f t="shared" si="11"/>
        <v>1468.0592630198857</v>
      </c>
      <c r="H42" s="167">
        <f t="shared" si="11"/>
        <v>2940.6701849004116</v>
      </c>
      <c r="I42" s="167">
        <f t="shared" si="11"/>
        <v>3587.3233376165431</v>
      </c>
      <c r="J42" s="167">
        <f t="shared" si="11"/>
        <v>4355.6407782378237</v>
      </c>
      <c r="K42" s="167">
        <f t="shared" si="11"/>
        <v>5319.7824639448763</v>
      </c>
      <c r="L42" s="167">
        <f t="shared" si="11"/>
        <v>6125.9859668628069</v>
      </c>
      <c r="M42" s="167">
        <f t="shared" si="11"/>
        <v>6125.9859668628069</v>
      </c>
      <c r="N42" s="167">
        <f t="shared" si="11"/>
        <v>6125.9859668628069</v>
      </c>
      <c r="O42" s="168">
        <f t="shared" si="11"/>
        <v>6125.9859668628069</v>
      </c>
    </row>
    <row r="43" spans="2:15" ht="15">
      <c r="B43" s="164"/>
      <c r="C43" s="78" t="s">
        <v>125</v>
      </c>
      <c r="D43" s="78"/>
      <c r="E43" s="78" t="s">
        <v>121</v>
      </c>
      <c r="F43" s="167">
        <f>F40*($J$8+$J$10*15%+$J$11*50%)</f>
        <v>127.49684205944725</v>
      </c>
      <c r="G43" s="167">
        <f t="shared" ref="G43:O43" si="12">G40*($J$8+$J$10*15%+$J$11*50%)</f>
        <v>326.23539178219687</v>
      </c>
      <c r="H43" s="167">
        <f t="shared" si="12"/>
        <v>653.48226331120259</v>
      </c>
      <c r="I43" s="167">
        <f t="shared" si="12"/>
        <v>797.18296391478736</v>
      </c>
      <c r="J43" s="167">
        <f t="shared" si="12"/>
        <v>967.92017294173866</v>
      </c>
      <c r="K43" s="167">
        <f t="shared" si="12"/>
        <v>1182.1738808766393</v>
      </c>
      <c r="L43" s="167">
        <f t="shared" si="12"/>
        <v>1361.3302148584016</v>
      </c>
      <c r="M43" s="167">
        <f t="shared" si="12"/>
        <v>1361.3302148584016</v>
      </c>
      <c r="N43" s="167">
        <f t="shared" si="12"/>
        <v>1361.3302148584016</v>
      </c>
      <c r="O43" s="167">
        <f t="shared" si="12"/>
        <v>1361.3302148584016</v>
      </c>
    </row>
    <row r="44" spans="2:15" ht="30">
      <c r="B44" s="164" t="str">
        <f>[3]Bakery!C86</f>
        <v>Yellow Shortening</v>
      </c>
      <c r="C44" s="78" t="str">
        <f>[3]Bakery!D86</f>
        <v>Low Temp</v>
      </c>
      <c r="D44" s="78" t="str">
        <f>[3]Bakery!E86</f>
        <v>Low Transfat</v>
      </c>
      <c r="E44" s="78" t="str">
        <f>[3]Bakery!I86</f>
        <v>mt</v>
      </c>
      <c r="F44" s="167">
        <f>'Volume Database'!H28</f>
        <v>3063.3586757997086</v>
      </c>
      <c r="G44" s="167">
        <f>'Volume Database'!I28</f>
        <v>4261.1371854142544</v>
      </c>
      <c r="H44" s="167">
        <f>'Volume Database'!J28</f>
        <v>7022.152695028798</v>
      </c>
      <c r="I44" s="167">
        <f>'Volume Database'!K28</f>
        <v>8480.2721730403173</v>
      </c>
      <c r="J44" s="167">
        <f>'Volume Database'!L28</f>
        <v>10232.69999360443</v>
      </c>
      <c r="K44" s="167">
        <f>'Volume Database'!M28</f>
        <v>12355.344063365979</v>
      </c>
      <c r="L44" s="167">
        <f>'Volume Database'!N28</f>
        <v>14311.386168775771</v>
      </c>
      <c r="M44" s="167">
        <f>'Volume Database'!O28</f>
        <v>14311.386168775771</v>
      </c>
      <c r="N44" s="167">
        <f>'Volume Database'!P28</f>
        <v>14311.386168775771</v>
      </c>
      <c r="O44" s="167">
        <f>'Volume Database'!Q28</f>
        <v>14311.386168775771</v>
      </c>
    </row>
    <row r="45" spans="2:15" ht="15">
      <c r="B45" s="164"/>
      <c r="C45" s="78" t="s">
        <v>122</v>
      </c>
      <c r="D45" s="78"/>
      <c r="E45" s="78" t="s">
        <v>119</v>
      </c>
      <c r="F45" s="165">
        <f>SUM(L9:L12)</f>
        <v>0.7932612457176289</v>
      </c>
      <c r="G45" s="165">
        <f>F45</f>
        <v>0.7932612457176289</v>
      </c>
      <c r="H45" s="165">
        <f t="shared" ref="H45:O45" si="13">F45</f>
        <v>0.7932612457176289</v>
      </c>
      <c r="I45" s="165">
        <f t="shared" si="13"/>
        <v>0.7932612457176289</v>
      </c>
      <c r="J45" s="165">
        <f t="shared" si="13"/>
        <v>0.7932612457176289</v>
      </c>
      <c r="K45" s="165">
        <f t="shared" si="13"/>
        <v>0.7932612457176289</v>
      </c>
      <c r="L45" s="165">
        <f t="shared" si="13"/>
        <v>0.7932612457176289</v>
      </c>
      <c r="M45" s="165">
        <f t="shared" si="13"/>
        <v>0.7932612457176289</v>
      </c>
      <c r="N45" s="165">
        <f t="shared" si="13"/>
        <v>0.7932612457176289</v>
      </c>
      <c r="O45" s="166">
        <f t="shared" si="13"/>
        <v>0.7932612457176289</v>
      </c>
    </row>
    <row r="46" spans="2:15" ht="15">
      <c r="B46" s="164"/>
      <c r="C46" s="78" t="s">
        <v>120</v>
      </c>
      <c r="D46" s="78"/>
      <c r="E46" s="78" t="s">
        <v>121</v>
      </c>
      <c r="F46" s="167">
        <f t="shared" ref="F46:O46" si="14">F44*F45</f>
        <v>2430.043719244783</v>
      </c>
      <c r="G46" s="167">
        <f t="shared" si="14"/>
        <v>3380.1949918754226</v>
      </c>
      <c r="H46" s="167">
        <f t="shared" si="14"/>
        <v>5570.4015944779494</v>
      </c>
      <c r="I46" s="167">
        <f t="shared" si="14"/>
        <v>6727.0712680105062</v>
      </c>
      <c r="J46" s="167">
        <f t="shared" si="14"/>
        <v>8117.2043439814233</v>
      </c>
      <c r="K46" s="167">
        <f t="shared" si="14"/>
        <v>9801.0156229756085</v>
      </c>
      <c r="L46" s="167">
        <f t="shared" si="14"/>
        <v>11352.668020189112</v>
      </c>
      <c r="M46" s="167">
        <f t="shared" si="14"/>
        <v>11352.668020189112</v>
      </c>
      <c r="N46" s="167">
        <f t="shared" si="14"/>
        <v>11352.668020189112</v>
      </c>
      <c r="O46" s="168">
        <f t="shared" si="14"/>
        <v>11352.668020189112</v>
      </c>
    </row>
    <row r="47" spans="2:15" ht="15">
      <c r="B47" s="164"/>
      <c r="C47" s="78" t="s">
        <v>125</v>
      </c>
      <c r="D47" s="78"/>
      <c r="E47" s="78" t="s">
        <v>121</v>
      </c>
      <c r="F47" s="167">
        <f>F44*($L$8+$L$10*15%+$L$11*50%)</f>
        <v>501.19651709423641</v>
      </c>
      <c r="G47" s="167">
        <f t="shared" ref="G47:O47" si="15">G44*($L$8+$L$10*15%+$L$11*50%)</f>
        <v>697.16521707430582</v>
      </c>
      <c r="H47" s="167">
        <f t="shared" si="15"/>
        <v>1148.8953288610769</v>
      </c>
      <c r="I47" s="167">
        <f t="shared" si="15"/>
        <v>1387.4584490271666</v>
      </c>
      <c r="J47" s="167">
        <f t="shared" si="15"/>
        <v>1674.1733959461685</v>
      </c>
      <c r="K47" s="167">
        <f t="shared" si="15"/>
        <v>2021.4594722387187</v>
      </c>
      <c r="L47" s="167">
        <f t="shared" si="15"/>
        <v>2341.4877791640042</v>
      </c>
      <c r="M47" s="167">
        <f t="shared" si="15"/>
        <v>2341.4877791640042</v>
      </c>
      <c r="N47" s="167">
        <f t="shared" si="15"/>
        <v>2341.4877791640042</v>
      </c>
      <c r="O47" s="167">
        <f t="shared" si="15"/>
        <v>2341.4877791640042</v>
      </c>
    </row>
    <row r="48" spans="2:15" ht="15">
      <c r="B48" s="164" t="str">
        <f>[3]Bakery!C88</f>
        <v>Cake Margarine</v>
      </c>
      <c r="C48" s="78" t="str">
        <f>[3]Bakery!D88</f>
        <v>Ambient</v>
      </c>
      <c r="D48" s="78" t="str">
        <f>[3]Bakery!E88</f>
        <v>Low Transfat</v>
      </c>
      <c r="E48" s="78" t="str">
        <f>[3]Bakery!I88</f>
        <v>mt</v>
      </c>
      <c r="F48" s="167">
        <f>'Volume Database'!H29</f>
        <v>483.2370210711087</v>
      </c>
      <c r="G48" s="167">
        <f>'Volume Database'!I29</f>
        <v>944.87354154736022</v>
      </c>
      <c r="H48" s="167">
        <f>'Volume Database'!J29</f>
        <v>1809.4102119741788</v>
      </c>
      <c r="I48" s="167">
        <f>'Volume Database'!K29</f>
        <v>2195.4632304767101</v>
      </c>
      <c r="J48" s="167">
        <f>'Volume Database'!L29</f>
        <v>2653.181180159389</v>
      </c>
      <c r="K48" s="167">
        <f>'Volume Database'!M29</f>
        <v>3224.4962850833799</v>
      </c>
      <c r="L48" s="167">
        <f>'Volume Database'!N29</f>
        <v>3825.1738291784427</v>
      </c>
      <c r="M48" s="167">
        <f>'Volume Database'!O29</f>
        <v>3825.1738291784427</v>
      </c>
      <c r="N48" s="167">
        <f>'Volume Database'!P29</f>
        <v>3825.1738291784427</v>
      </c>
      <c r="O48" s="167">
        <f>'Volume Database'!Q29</f>
        <v>3825.1738291784427</v>
      </c>
    </row>
    <row r="49" spans="2:15" ht="15">
      <c r="B49" s="164"/>
      <c r="C49" s="78" t="s">
        <v>122</v>
      </c>
      <c r="D49" s="78"/>
      <c r="E49" s="78" t="s">
        <v>119</v>
      </c>
      <c r="F49" s="165">
        <f>SUM(M9:M12)</f>
        <v>0.54617106772968116</v>
      </c>
      <c r="G49" s="165">
        <f>F49</f>
        <v>0.54617106772968116</v>
      </c>
      <c r="H49" s="165">
        <f t="shared" ref="H49:O49" si="16">F49</f>
        <v>0.54617106772968116</v>
      </c>
      <c r="I49" s="165">
        <f t="shared" si="16"/>
        <v>0.54617106772968116</v>
      </c>
      <c r="J49" s="165">
        <f t="shared" si="16"/>
        <v>0.54617106772968116</v>
      </c>
      <c r="K49" s="165">
        <f t="shared" si="16"/>
        <v>0.54617106772968116</v>
      </c>
      <c r="L49" s="165">
        <f t="shared" si="16"/>
        <v>0.54617106772968116</v>
      </c>
      <c r="M49" s="165">
        <f t="shared" si="16"/>
        <v>0.54617106772968116</v>
      </c>
      <c r="N49" s="165">
        <f t="shared" si="16"/>
        <v>0.54617106772968116</v>
      </c>
      <c r="O49" s="166">
        <f t="shared" si="16"/>
        <v>0.54617106772968116</v>
      </c>
    </row>
    <row r="50" spans="2:15" ht="15">
      <c r="B50" s="164"/>
      <c r="C50" s="78" t="s">
        <v>120</v>
      </c>
      <c r="D50" s="78"/>
      <c r="E50" s="78" t="s">
        <v>121</v>
      </c>
      <c r="F50" s="167">
        <f t="shared" ref="F50:O50" si="17">F48*F49</f>
        <v>263.93007976491788</v>
      </c>
      <c r="G50" s="167">
        <f t="shared" si="17"/>
        <v>516.06259105644699</v>
      </c>
      <c r="H50" s="167">
        <f t="shared" si="17"/>
        <v>988.24750743492598</v>
      </c>
      <c r="I50" s="167">
        <f t="shared" si="17"/>
        <v>1199.0984967507197</v>
      </c>
      <c r="J50" s="167">
        <f t="shared" si="17"/>
        <v>1449.090798047949</v>
      </c>
      <c r="K50" s="167">
        <f t="shared" si="17"/>
        <v>1761.1265789143799</v>
      </c>
      <c r="L50" s="167">
        <f t="shared" si="17"/>
        <v>2089.1992745340231</v>
      </c>
      <c r="M50" s="167">
        <f t="shared" si="17"/>
        <v>2089.1992745340231</v>
      </c>
      <c r="N50" s="167">
        <f t="shared" si="17"/>
        <v>2089.1992745340231</v>
      </c>
      <c r="O50" s="168">
        <f t="shared" si="17"/>
        <v>2089.1992745340231</v>
      </c>
    </row>
    <row r="51" spans="2:15" ht="15">
      <c r="B51" s="164"/>
      <c r="C51" s="78" t="s">
        <v>125</v>
      </c>
      <c r="D51" s="78"/>
      <c r="E51" s="78" t="s">
        <v>121</v>
      </c>
      <c r="F51" s="167">
        <f>F48*($M$8+$M$10*15%+$M$11*50%)</f>
        <v>51.186439711984065</v>
      </c>
      <c r="G51" s="167">
        <f t="shared" ref="G51:O51" si="18">G48*($M$8+$M$10*15%+$M$11*50%)</f>
        <v>100.08486614428061</v>
      </c>
      <c r="H51" s="167">
        <f t="shared" si="18"/>
        <v>191.66012265404623</v>
      </c>
      <c r="I51" s="167">
        <f t="shared" si="18"/>
        <v>232.55243573347292</v>
      </c>
      <c r="J51" s="167">
        <f t="shared" si="18"/>
        <v>281.0357911365719</v>
      </c>
      <c r="K51" s="167">
        <f t="shared" si="18"/>
        <v>341.55182136521307</v>
      </c>
      <c r="L51" s="167">
        <f t="shared" si="18"/>
        <v>405.17804112174986</v>
      </c>
      <c r="M51" s="167">
        <f t="shared" si="18"/>
        <v>405.17804112174986</v>
      </c>
      <c r="N51" s="167">
        <f t="shared" si="18"/>
        <v>405.17804112174986</v>
      </c>
      <c r="O51" s="167">
        <f t="shared" si="18"/>
        <v>405.17804112174986</v>
      </c>
    </row>
    <row r="52" spans="2:15" ht="15">
      <c r="B52" s="164" t="str">
        <f>[3]Bakery!C89</f>
        <v>Cake Margarine</v>
      </c>
      <c r="C52" s="78" t="str">
        <f>[3]Bakery!D89</f>
        <v>Low Temp</v>
      </c>
      <c r="D52" s="78" t="str">
        <f>[3]Bakery!E89</f>
        <v>Low Transfat</v>
      </c>
      <c r="E52" s="78" t="str">
        <f>[3]Bakery!I89</f>
        <v>mt</v>
      </c>
      <c r="F52" s="167">
        <f>'Volume Database'!H30+'Volume Database'!H31+'Volume Database'!H32</f>
        <v>619.32290512737984</v>
      </c>
      <c r="G52" s="167">
        <f>'Volume Database'!I30+'Volume Database'!I31+'Volume Database'!I32</f>
        <v>1181.2393530034942</v>
      </c>
      <c r="H52" s="167">
        <f>'Volume Database'!J30+'Volume Database'!J31+'Volume Database'!J32</f>
        <v>2343.4765419922478</v>
      </c>
      <c r="I52" s="167">
        <f>'Volume Database'!K30+'Volume Database'!K31+'Volume Database'!K32</f>
        <v>3161.2425359955687</v>
      </c>
      <c r="J52" s="167">
        <f>'Volume Database'!L30+'Volume Database'!L31+'Volume Database'!L32</f>
        <v>4189.9214187781918</v>
      </c>
      <c r="K52" s="167">
        <f>'Volume Database'!M30+'Volume Database'!M31+'Volume Database'!M32</f>
        <v>5555.3111090899838</v>
      </c>
      <c r="L52" s="167">
        <f>'Volume Database'!N30+'Volume Database'!N31+'Volume Database'!N32</f>
        <v>7075.5465345012271</v>
      </c>
      <c r="M52" s="167">
        <f>'Volume Database'!O30+'Volume Database'!O31+'Volume Database'!O32</f>
        <v>7075.5465345012271</v>
      </c>
      <c r="N52" s="167">
        <f>'Volume Database'!P30+'Volume Database'!P31+'Volume Database'!P32</f>
        <v>7075.5465345012271</v>
      </c>
      <c r="O52" s="167">
        <f>'Volume Database'!Q30+'Volume Database'!Q31+'Volume Database'!Q32</f>
        <v>7075.5465345012271</v>
      </c>
    </row>
    <row r="53" spans="2:15" ht="15">
      <c r="B53" s="164"/>
      <c r="C53" s="78" t="s">
        <v>122</v>
      </c>
      <c r="D53" s="78"/>
      <c r="E53" s="78" t="s">
        <v>119</v>
      </c>
      <c r="F53" s="165">
        <f>SUM(N9:N12)</f>
        <v>0.44686723723337546</v>
      </c>
      <c r="G53" s="165">
        <f>F53</f>
        <v>0.44686723723337546</v>
      </c>
      <c r="H53" s="165">
        <f t="shared" ref="H53:O53" si="19">F53</f>
        <v>0.44686723723337546</v>
      </c>
      <c r="I53" s="165">
        <f t="shared" si="19"/>
        <v>0.44686723723337546</v>
      </c>
      <c r="J53" s="165">
        <f t="shared" si="19"/>
        <v>0.44686723723337546</v>
      </c>
      <c r="K53" s="165">
        <f t="shared" si="19"/>
        <v>0.44686723723337546</v>
      </c>
      <c r="L53" s="165">
        <f t="shared" si="19"/>
        <v>0.44686723723337546</v>
      </c>
      <c r="M53" s="165">
        <f t="shared" si="19"/>
        <v>0.44686723723337546</v>
      </c>
      <c r="N53" s="165">
        <f t="shared" si="19"/>
        <v>0.44686723723337546</v>
      </c>
      <c r="O53" s="166">
        <f t="shared" si="19"/>
        <v>0.44686723723337546</v>
      </c>
    </row>
    <row r="54" spans="2:15" ht="15">
      <c r="B54" s="164"/>
      <c r="C54" s="78" t="s">
        <v>120</v>
      </c>
      <c r="D54" s="78"/>
      <c r="E54" s="78" t="s">
        <v>121</v>
      </c>
      <c r="F54" s="167">
        <f t="shared" ref="F54:O54" si="20">F52*F53</f>
        <v>276.7551155696201</v>
      </c>
      <c r="G54" s="167">
        <f t="shared" si="20"/>
        <v>527.85716618801143</v>
      </c>
      <c r="H54" s="167">
        <f t="shared" si="20"/>
        <v>1047.2228878413002</v>
      </c>
      <c r="I54" s="167">
        <f t="shared" si="20"/>
        <v>1412.6557182849692</v>
      </c>
      <c r="J54" s="167">
        <f t="shared" si="20"/>
        <v>1872.3386086343553</v>
      </c>
      <c r="K54" s="167">
        <f t="shared" si="20"/>
        <v>2482.4865272909201</v>
      </c>
      <c r="L54" s="167">
        <f t="shared" si="20"/>
        <v>3161.8299317887477</v>
      </c>
      <c r="M54" s="167">
        <f t="shared" si="20"/>
        <v>3161.8299317887477</v>
      </c>
      <c r="N54" s="167">
        <f t="shared" si="20"/>
        <v>3161.8299317887477</v>
      </c>
      <c r="O54" s="168">
        <f t="shared" si="20"/>
        <v>3161.8299317887477</v>
      </c>
    </row>
    <row r="55" spans="2:15" ht="15">
      <c r="B55" s="164"/>
      <c r="C55" s="78" t="s">
        <v>125</v>
      </c>
      <c r="D55" s="78"/>
      <c r="E55" s="78" t="s">
        <v>121</v>
      </c>
      <c r="F55" s="167">
        <f>F52*($N$8+$N$10*15%+$N$11*50%)</f>
        <v>61.501136793248925</v>
      </c>
      <c r="G55" s="167">
        <f t="shared" ref="G55:O55" si="21">G52*($N$8+$N$10*15%+$N$11*50%)</f>
        <v>117.30159248622478</v>
      </c>
      <c r="H55" s="167">
        <f t="shared" si="21"/>
        <v>232.71619729806673</v>
      </c>
      <c r="I55" s="167">
        <f t="shared" si="21"/>
        <v>313.92349295221544</v>
      </c>
      <c r="J55" s="167">
        <f t="shared" si="21"/>
        <v>416.0752463631901</v>
      </c>
      <c r="K55" s="167">
        <f t="shared" si="21"/>
        <v>551.66367273131561</v>
      </c>
      <c r="L55" s="167">
        <f t="shared" si="21"/>
        <v>702.62887373083288</v>
      </c>
      <c r="M55" s="167">
        <f t="shared" si="21"/>
        <v>702.62887373083288</v>
      </c>
      <c r="N55" s="167">
        <f t="shared" si="21"/>
        <v>702.62887373083288</v>
      </c>
      <c r="O55" s="167">
        <f t="shared" si="21"/>
        <v>702.62887373083288</v>
      </c>
    </row>
    <row r="56" spans="2:15" ht="15">
      <c r="B56" s="164" t="str">
        <f>[3]Bakery!C92</f>
        <v>Sheet Margarine</v>
      </c>
      <c r="C56" s="78" t="str">
        <f>[3]Bakery!D92</f>
        <v>Ambient</v>
      </c>
      <c r="D56" s="78" t="str">
        <f>[3]Bakery!E92</f>
        <v>Low Transfat</v>
      </c>
      <c r="E56" s="78" t="str">
        <f>[3]Bakery!I92</f>
        <v>mt</v>
      </c>
      <c r="F56" s="167">
        <f>'Volume Database'!H33</f>
        <v>33.549872284458715</v>
      </c>
      <c r="G56" s="167">
        <f>'Volume Database'!I33</f>
        <v>67.09974456891743</v>
      </c>
      <c r="H56" s="167">
        <f>'Volume Database'!J33</f>
        <v>140.61570083175314</v>
      </c>
      <c r="I56" s="167">
        <f>'Volume Database'!K33</f>
        <v>196.86198116445439</v>
      </c>
      <c r="J56" s="167">
        <f>'Volume Database'!L33</f>
        <v>265.76367457201343</v>
      </c>
      <c r="K56" s="167">
        <f>'Volume Database'!M33</f>
        <v>358.78096067221816</v>
      </c>
      <c r="L56" s="167">
        <f>'Volume Database'!N33</f>
        <v>448.47620084027267</v>
      </c>
      <c r="M56" s="167">
        <f>'Volume Database'!O33</f>
        <v>448.47620084027267</v>
      </c>
      <c r="N56" s="167">
        <f>'Volume Database'!P33</f>
        <v>448.47620084027267</v>
      </c>
      <c r="O56" s="167">
        <f>'Volume Database'!Q33</f>
        <v>448.47620084027267</v>
      </c>
    </row>
    <row r="57" spans="2:15" ht="15">
      <c r="B57" s="164"/>
      <c r="C57" s="78" t="s">
        <v>122</v>
      </c>
      <c r="D57" s="78"/>
      <c r="E57" s="78" t="s">
        <v>119</v>
      </c>
      <c r="F57" s="165">
        <f>SUM(O9:O12)</f>
        <v>0.82673830409187499</v>
      </c>
      <c r="G57" s="165">
        <f>F57</f>
        <v>0.82673830409187499</v>
      </c>
      <c r="H57" s="165">
        <f t="shared" ref="H57:O57" si="22">F57</f>
        <v>0.82673830409187499</v>
      </c>
      <c r="I57" s="165">
        <f t="shared" si="22"/>
        <v>0.82673830409187499</v>
      </c>
      <c r="J57" s="165">
        <f t="shared" si="22"/>
        <v>0.82673830409187499</v>
      </c>
      <c r="K57" s="165">
        <f t="shared" si="22"/>
        <v>0.82673830409187499</v>
      </c>
      <c r="L57" s="165">
        <f t="shared" si="22"/>
        <v>0.82673830409187499</v>
      </c>
      <c r="M57" s="165">
        <f t="shared" si="22"/>
        <v>0.82673830409187499</v>
      </c>
      <c r="N57" s="165">
        <f t="shared" si="22"/>
        <v>0.82673830409187499</v>
      </c>
      <c r="O57" s="166">
        <f t="shared" si="22"/>
        <v>0.82673830409187499</v>
      </c>
    </row>
    <row r="58" spans="2:15" ht="15">
      <c r="B58" s="164"/>
      <c r="C58" s="78" t="s">
        <v>120</v>
      </c>
      <c r="D58" s="78"/>
      <c r="E58" s="78" t="s">
        <v>121</v>
      </c>
      <c r="F58" s="167">
        <f t="shared" ref="F58:O58" si="23">F56*F57</f>
        <v>27.736964514952398</v>
      </c>
      <c r="G58" s="167">
        <f t="shared" si="23"/>
        <v>55.473929029904795</v>
      </c>
      <c r="H58" s="167">
        <f t="shared" si="23"/>
        <v>116.25238603433405</v>
      </c>
      <c r="I58" s="167">
        <f t="shared" si="23"/>
        <v>162.75334044806766</v>
      </c>
      <c r="J58" s="167">
        <f t="shared" si="23"/>
        <v>219.71700960489133</v>
      </c>
      <c r="K58" s="167">
        <f t="shared" si="23"/>
        <v>296.61796296660333</v>
      </c>
      <c r="L58" s="167">
        <f t="shared" si="23"/>
        <v>370.77245370825415</v>
      </c>
      <c r="M58" s="167">
        <f t="shared" si="23"/>
        <v>370.77245370825415</v>
      </c>
      <c r="N58" s="167">
        <f t="shared" si="23"/>
        <v>370.77245370825415</v>
      </c>
      <c r="O58" s="168">
        <f t="shared" si="23"/>
        <v>370.77245370825415</v>
      </c>
    </row>
    <row r="59" spans="2:15" ht="15">
      <c r="B59" s="164"/>
      <c r="C59" s="78" t="s">
        <v>125</v>
      </c>
      <c r="D59" s="78"/>
      <c r="E59" s="78" t="s">
        <v>121</v>
      </c>
      <c r="F59" s="167">
        <f>F56*($O$8+$O$10*15%+$O$11*50%)</f>
        <v>1.040136169310715</v>
      </c>
      <c r="G59" s="167">
        <f t="shared" ref="G59:O59" si="24">G56*($O$8+$O$10*15%+$O$11*50%)</f>
        <v>2.0802723386214299</v>
      </c>
      <c r="H59" s="167">
        <f t="shared" si="24"/>
        <v>4.3594644762875268</v>
      </c>
      <c r="I59" s="167">
        <f t="shared" si="24"/>
        <v>6.1032502668025375</v>
      </c>
      <c r="J59" s="167">
        <f t="shared" si="24"/>
        <v>8.2393878601834256</v>
      </c>
      <c r="K59" s="167">
        <f t="shared" si="24"/>
        <v>11.123173611247626</v>
      </c>
      <c r="L59" s="167">
        <f t="shared" si="24"/>
        <v>13.903967014059532</v>
      </c>
      <c r="M59" s="167">
        <f t="shared" si="24"/>
        <v>13.903967014059532</v>
      </c>
      <c r="N59" s="167">
        <f t="shared" si="24"/>
        <v>13.903967014059532</v>
      </c>
      <c r="O59" s="167">
        <f t="shared" si="24"/>
        <v>13.903967014059532</v>
      </c>
    </row>
    <row r="60" spans="2:15" ht="15">
      <c r="B60" s="164" t="str">
        <f>[3]Bakery!C93</f>
        <v>Sheet Margarine</v>
      </c>
      <c r="C60" s="78" t="str">
        <f>[3]Bakery!D93</f>
        <v>Low Temp</v>
      </c>
      <c r="D60" s="78" t="str">
        <f>[3]Bakery!E93</f>
        <v>Low Transfat</v>
      </c>
      <c r="E60" s="78" t="str">
        <f>[3]Bakery!I93</f>
        <v>mt</v>
      </c>
      <c r="F60" s="167">
        <f>'Volume Database'!H34+'Volume Database'!H35</f>
        <v>160.47874910950253</v>
      </c>
      <c r="G60" s="167">
        <f>'Volume Database'!I34+'Volume Database'!I35</f>
        <v>320.95749821900506</v>
      </c>
      <c r="H60" s="167">
        <f>'Volume Database'!J34+'Volume Database'!J35</f>
        <v>670.15419447038016</v>
      </c>
      <c r="I60" s="167">
        <f>'Volume Database'!K34+'Volume Database'!K35</f>
        <v>938.21587225853216</v>
      </c>
      <c r="J60" s="167">
        <f>'Volume Database'!L34+'Volume Database'!L35</f>
        <v>1266.5914275490186</v>
      </c>
      <c r="K60" s="167">
        <f>'Volume Database'!M34+'Volume Database'!M35</f>
        <v>1709.8984271911752</v>
      </c>
      <c r="L60" s="167">
        <f>'Volume Database'!N34+'Volume Database'!N35</f>
        <v>2137.3730339889689</v>
      </c>
      <c r="M60" s="167">
        <f>'Volume Database'!O34+'Volume Database'!O35</f>
        <v>2137.3730339889689</v>
      </c>
      <c r="N60" s="167">
        <f>'Volume Database'!P34+'Volume Database'!P35</f>
        <v>2137.3730339889689</v>
      </c>
      <c r="O60" s="167">
        <f>'Volume Database'!Q34+'Volume Database'!Q35</f>
        <v>2137.3730339889689</v>
      </c>
    </row>
    <row r="61" spans="2:15" ht="11.5" customHeight="1">
      <c r="B61" s="164"/>
      <c r="C61" s="78" t="s">
        <v>122</v>
      </c>
      <c r="D61" s="78"/>
      <c r="E61" s="78" t="s">
        <v>119</v>
      </c>
      <c r="F61" s="165">
        <f>SUM(P9:P12)</f>
        <v>0.66202553664203767</v>
      </c>
      <c r="G61" s="165">
        <f>F61</f>
        <v>0.66202553664203767</v>
      </c>
      <c r="H61" s="165">
        <f t="shared" ref="H61:O61" si="25">F61</f>
        <v>0.66202553664203767</v>
      </c>
      <c r="I61" s="165">
        <f t="shared" si="25"/>
        <v>0.66202553664203767</v>
      </c>
      <c r="J61" s="165">
        <f t="shared" si="25"/>
        <v>0.66202553664203767</v>
      </c>
      <c r="K61" s="165">
        <f t="shared" si="25"/>
        <v>0.66202553664203767</v>
      </c>
      <c r="L61" s="165">
        <f t="shared" si="25"/>
        <v>0.66202553664203767</v>
      </c>
      <c r="M61" s="165">
        <f t="shared" si="25"/>
        <v>0.66202553664203767</v>
      </c>
      <c r="N61" s="165">
        <f t="shared" si="25"/>
        <v>0.66202553664203767</v>
      </c>
      <c r="O61" s="166">
        <f t="shared" si="25"/>
        <v>0.66202553664203767</v>
      </c>
    </row>
    <row r="62" spans="2:15" ht="15">
      <c r="B62" s="164"/>
      <c r="C62" s="78" t="s">
        <v>120</v>
      </c>
      <c r="D62" s="78"/>
      <c r="E62" s="78" t="s">
        <v>121</v>
      </c>
      <c r="F62" s="167">
        <f t="shared" ref="F62:O62" si="26">F60*F61</f>
        <v>106.24102999886134</v>
      </c>
      <c r="G62" s="167">
        <f t="shared" si="26"/>
        <v>212.48205999772267</v>
      </c>
      <c r="H62" s="167">
        <f t="shared" si="26"/>
        <v>443.65919022716588</v>
      </c>
      <c r="I62" s="167">
        <f t="shared" si="26"/>
        <v>621.12286631803227</v>
      </c>
      <c r="J62" s="167">
        <f t="shared" si="26"/>
        <v>838.5158695293436</v>
      </c>
      <c r="K62" s="167">
        <f t="shared" si="26"/>
        <v>1131.9964238646139</v>
      </c>
      <c r="L62" s="167">
        <f t="shared" si="26"/>
        <v>1414.9955298307673</v>
      </c>
      <c r="M62" s="167">
        <f t="shared" si="26"/>
        <v>1414.9955298307673</v>
      </c>
      <c r="N62" s="167">
        <f t="shared" si="26"/>
        <v>1414.9955298307673</v>
      </c>
      <c r="O62" s="168">
        <f t="shared" si="26"/>
        <v>1414.9955298307673</v>
      </c>
    </row>
    <row r="63" spans="2:15" ht="15">
      <c r="B63" s="164"/>
      <c r="C63" s="78" t="s">
        <v>126</v>
      </c>
      <c r="D63" s="78"/>
      <c r="E63" s="78" t="s">
        <v>121</v>
      </c>
      <c r="F63" s="167">
        <f>F60*($P$8+$P$10*15%+$P$11*50%)</f>
        <v>21.912212437265154</v>
      </c>
      <c r="G63" s="167">
        <f t="shared" ref="G63:O63" si="27">G60*($P$8+$P$10*15%+$P$11*50%)</f>
        <v>43.824424874530308</v>
      </c>
      <c r="H63" s="167">
        <f t="shared" si="27"/>
        <v>91.504707984352976</v>
      </c>
      <c r="I63" s="167">
        <f t="shared" si="27"/>
        <v>128.10659117809416</v>
      </c>
      <c r="J63" s="167">
        <f t="shared" si="27"/>
        <v>172.94389809042715</v>
      </c>
      <c r="K63" s="167">
        <f t="shared" si="27"/>
        <v>233.47426242207666</v>
      </c>
      <c r="L63" s="167">
        <f t="shared" si="27"/>
        <v>291.84282802759583</v>
      </c>
      <c r="M63" s="167">
        <f t="shared" si="27"/>
        <v>291.84282802759583</v>
      </c>
      <c r="N63" s="167">
        <f t="shared" si="27"/>
        <v>291.84282802759583</v>
      </c>
      <c r="O63" s="167">
        <f t="shared" si="27"/>
        <v>291.84282802759583</v>
      </c>
    </row>
    <row r="64" spans="2:15">
      <c r="B64" s="90"/>
      <c r="C64" s="90"/>
      <c r="D64" s="90"/>
      <c r="E64" s="90"/>
      <c r="F64" s="91"/>
      <c r="G64" s="91"/>
      <c r="H64" s="91"/>
      <c r="I64" s="91"/>
      <c r="J64" s="91"/>
      <c r="K64" s="91"/>
      <c r="L64" s="91"/>
      <c r="M64" s="91"/>
      <c r="N64" s="91"/>
      <c r="O64" s="91"/>
    </row>
    <row r="65" spans="1:15" s="171" customFormat="1" ht="17">
      <c r="A65" s="169"/>
      <c r="B65" s="170" t="s">
        <v>120</v>
      </c>
      <c r="C65" s="169"/>
      <c r="E65" s="171" t="s">
        <v>123</v>
      </c>
      <c r="F65" s="169">
        <f>+SUMIF($C$32:$C$64,$B65,F$32:F$64)+F68*$F$69/2</f>
        <v>9058.7549179082052</v>
      </c>
      <c r="G65" s="169">
        <f>+SUMIF($C$32:$C$64,$B65,G$32:G$64)+G68*$F$69/2</f>
        <v>12370.6148802526</v>
      </c>
      <c r="H65" s="169">
        <f>+SUMIF($C$32:$C$64,$B65,H$32:H$64)+H68*$F$69/2</f>
        <v>18645.542259625774</v>
      </c>
      <c r="I65" s="169">
        <f t="shared" ref="I65:O65" si="28">+SUMIF($C$32:$C$64,$B65,I$32:I$64)</f>
        <v>16223.140439155917</v>
      </c>
      <c r="J65" s="169">
        <f t="shared" si="28"/>
        <v>19683.396125687901</v>
      </c>
      <c r="K65" s="169">
        <f t="shared" si="28"/>
        <v>23970.686031002799</v>
      </c>
      <c r="L65" s="169">
        <f t="shared" si="28"/>
        <v>28019.752253518174</v>
      </c>
      <c r="M65" s="169">
        <f t="shared" si="28"/>
        <v>28019.752253518174</v>
      </c>
      <c r="N65" s="169">
        <f t="shared" si="28"/>
        <v>28019.752253518174</v>
      </c>
      <c r="O65" s="169">
        <f t="shared" si="28"/>
        <v>28019.752253518174</v>
      </c>
    </row>
    <row r="66" spans="1:15" s="172" customFormat="1" ht="17">
      <c r="B66" s="170" t="s">
        <v>124</v>
      </c>
      <c r="C66" s="170"/>
      <c r="D66" s="170"/>
      <c r="E66" s="171" t="s">
        <v>123</v>
      </c>
      <c r="F66" s="169">
        <f>+SUMIF($C$32:$C$64,$B66,F$32:F$64)</f>
        <v>813.03190086946188</v>
      </c>
      <c r="G66" s="169">
        <f t="shared" ref="G66:O66" si="29">+SUMIF($C$32:$C$64,$B66,G$32:G$64)</f>
        <v>1364.8770501684228</v>
      </c>
      <c r="H66" s="169">
        <f t="shared" si="29"/>
        <v>2451.3555589786101</v>
      </c>
      <c r="I66" s="169">
        <f t="shared" si="29"/>
        <v>3012.030262171294</v>
      </c>
      <c r="J66" s="169">
        <f t="shared" si="29"/>
        <v>3687.2854298864481</v>
      </c>
      <c r="K66" s="169">
        <f t="shared" si="29"/>
        <v>4530.9491685551275</v>
      </c>
      <c r="L66" s="169">
        <f t="shared" si="29"/>
        <v>5327.5062971274729</v>
      </c>
      <c r="M66" s="169">
        <f t="shared" si="29"/>
        <v>5327.5062971274729</v>
      </c>
      <c r="N66" s="169">
        <f t="shared" si="29"/>
        <v>5327.5062971274729</v>
      </c>
      <c r="O66" s="169">
        <f t="shared" si="29"/>
        <v>5327.5062971274729</v>
      </c>
    </row>
    <row r="67" spans="1:15">
      <c r="B67" s="90"/>
      <c r="C67" s="90"/>
      <c r="D67" s="90"/>
      <c r="E67" s="90"/>
      <c r="F67" s="91"/>
      <c r="G67" s="91"/>
      <c r="H67" s="91"/>
      <c r="I67" s="91"/>
      <c r="J67" s="91"/>
      <c r="K67" s="91"/>
      <c r="L67" s="91"/>
      <c r="M67" s="91"/>
      <c r="N67" s="91"/>
      <c r="O67" s="91"/>
    </row>
    <row r="68" spans="1:15" ht="15">
      <c r="B68" s="90" t="s">
        <v>249</v>
      </c>
      <c r="C68" s="90"/>
      <c r="D68" s="90"/>
      <c r="E68" s="90"/>
      <c r="F68" s="176">
        <v>8784.6000000000022</v>
      </c>
      <c r="G68" s="176">
        <v>9663.0600000000031</v>
      </c>
      <c r="H68" s="176">
        <v>10629.366000000004</v>
      </c>
      <c r="I68" s="176">
        <v>11692.302600000005</v>
      </c>
      <c r="J68" s="176">
        <v>12861.532860000007</v>
      </c>
      <c r="K68" s="176">
        <v>14147.686146000009</v>
      </c>
      <c r="L68" s="176">
        <v>15562.454760600011</v>
      </c>
      <c r="M68" s="176">
        <v>17118.700236660014</v>
      </c>
      <c r="N68" s="176">
        <v>18830.570260326018</v>
      </c>
      <c r="O68" s="176">
        <v>20713.62728635862</v>
      </c>
    </row>
    <row r="69" spans="1:15" ht="15">
      <c r="B69" s="90" t="s">
        <v>122</v>
      </c>
      <c r="C69" s="90"/>
      <c r="D69" s="90"/>
      <c r="E69" s="90"/>
      <c r="F69" s="177">
        <v>1</v>
      </c>
      <c r="G69" s="91"/>
      <c r="H69" s="91"/>
      <c r="I69" s="91"/>
      <c r="J69" s="91"/>
      <c r="K69" s="91"/>
      <c r="L69" s="91"/>
      <c r="M69" s="91"/>
      <c r="N69" s="91"/>
      <c r="O69" s="91"/>
    </row>
    <row r="70" spans="1:15">
      <c r="B70" s="90"/>
      <c r="C70" s="90"/>
      <c r="D70" s="90"/>
      <c r="E70" s="90"/>
      <c r="F70" s="91"/>
      <c r="G70" s="91"/>
      <c r="H70" s="91"/>
      <c r="I70" s="91"/>
      <c r="J70" s="91"/>
      <c r="K70" s="91"/>
      <c r="L70" s="91"/>
      <c r="M70" s="91"/>
      <c r="N70" s="91"/>
      <c r="O70" s="91"/>
    </row>
    <row r="71" spans="1:15">
      <c r="B71" s="90"/>
      <c r="C71" s="90"/>
      <c r="D71" s="90"/>
      <c r="E71" s="90"/>
      <c r="F71" s="91"/>
      <c r="G71" s="91"/>
      <c r="H71" s="91"/>
      <c r="I71" s="91"/>
      <c r="J71" s="91"/>
      <c r="K71" s="91"/>
      <c r="L71" s="91"/>
      <c r="M71" s="91"/>
      <c r="N71" s="91"/>
      <c r="O71" s="91"/>
    </row>
    <row r="72" spans="1:15">
      <c r="B72" s="90"/>
      <c r="C72" s="90"/>
      <c r="D72" s="90"/>
      <c r="E72" s="90"/>
      <c r="F72" s="91"/>
      <c r="G72" s="91"/>
      <c r="H72" s="91"/>
      <c r="I72" s="91"/>
      <c r="J72" s="91"/>
      <c r="K72" s="91"/>
      <c r="L72" s="91"/>
      <c r="M72" s="91"/>
      <c r="N72" s="91"/>
      <c r="O72" s="91"/>
    </row>
    <row r="73" spans="1:15">
      <c r="B73" s="90"/>
      <c r="C73" s="90"/>
      <c r="D73" s="90"/>
      <c r="E73" s="90"/>
      <c r="F73" s="91"/>
      <c r="G73" s="91"/>
      <c r="H73" s="91"/>
      <c r="I73" s="91"/>
      <c r="J73" s="91"/>
      <c r="K73" s="91"/>
      <c r="L73" s="91"/>
      <c r="M73" s="91"/>
      <c r="N73" s="91"/>
      <c r="O73" s="91"/>
    </row>
    <row r="74" spans="1:15">
      <c r="B74" s="90"/>
      <c r="C74" s="90"/>
      <c r="D74" s="90"/>
      <c r="E74" s="90"/>
      <c r="F74" s="91"/>
      <c r="G74" s="91"/>
      <c r="H74" s="91"/>
      <c r="I74" s="91"/>
      <c r="J74" s="91"/>
      <c r="K74" s="91"/>
      <c r="L74" s="91"/>
      <c r="M74" s="91"/>
      <c r="N74" s="91"/>
      <c r="O74" s="91"/>
    </row>
    <row r="75" spans="1:15">
      <c r="B75" s="90"/>
      <c r="C75" s="90"/>
      <c r="D75" s="90"/>
      <c r="E75" s="90"/>
      <c r="F75" s="91"/>
      <c r="G75" s="91"/>
      <c r="H75" s="91"/>
      <c r="I75" s="91"/>
      <c r="J75" s="91"/>
      <c r="K75" s="91"/>
      <c r="L75" s="91"/>
      <c r="M75" s="91"/>
      <c r="N75" s="91"/>
      <c r="O75" s="91"/>
    </row>
    <row r="76" spans="1:15">
      <c r="B76" s="90"/>
      <c r="C76" s="90"/>
      <c r="D76" s="90"/>
      <c r="E76" s="90"/>
      <c r="F76" s="91"/>
      <c r="G76" s="91"/>
      <c r="H76" s="91"/>
      <c r="I76" s="91"/>
      <c r="J76" s="91"/>
      <c r="K76" s="91"/>
      <c r="L76" s="91"/>
      <c r="M76" s="91"/>
      <c r="N76" s="91"/>
      <c r="O76" s="91"/>
    </row>
    <row r="77" spans="1:15">
      <c r="B77" s="90"/>
      <c r="C77" s="90"/>
      <c r="D77" s="90"/>
      <c r="E77" s="90"/>
      <c r="F77" s="91"/>
      <c r="G77" s="91"/>
      <c r="H77" s="91"/>
      <c r="I77" s="91"/>
      <c r="J77" s="91"/>
      <c r="K77" s="91"/>
      <c r="L77" s="91"/>
      <c r="M77" s="91"/>
      <c r="N77" s="91"/>
      <c r="O77" s="91"/>
    </row>
    <row r="78" spans="1:15">
      <c r="B78" s="90"/>
      <c r="C78" s="90"/>
      <c r="D78" s="90"/>
      <c r="E78" s="90"/>
      <c r="F78" s="91"/>
      <c r="G78" s="91"/>
      <c r="H78" s="91"/>
      <c r="I78" s="91"/>
      <c r="J78" s="91"/>
      <c r="K78" s="91"/>
      <c r="L78" s="91"/>
      <c r="M78" s="91"/>
      <c r="N78" s="91"/>
      <c r="O78" s="91"/>
    </row>
    <row r="79" spans="1:15">
      <c r="C79" s="92"/>
      <c r="D79" s="90"/>
      <c r="E79" s="90"/>
      <c r="F79" s="91"/>
      <c r="G79" s="91"/>
      <c r="H79" s="91"/>
      <c r="I79" s="91"/>
      <c r="J79" s="91"/>
      <c r="K79" s="91"/>
      <c r="L79" s="91"/>
      <c r="M79" s="91"/>
      <c r="N79" s="93"/>
      <c r="O79" s="91"/>
    </row>
    <row r="80" spans="1:15">
      <c r="C80" s="92"/>
      <c r="D80" s="90"/>
      <c r="E80" s="90"/>
      <c r="F80" s="91"/>
      <c r="G80" s="91"/>
      <c r="H80" s="91"/>
      <c r="I80" s="91"/>
      <c r="J80" s="91"/>
      <c r="K80" s="91"/>
      <c r="L80" s="91"/>
      <c r="M80" s="91"/>
      <c r="N80" s="93"/>
      <c r="O80" s="91"/>
    </row>
    <row r="81" spans="3:15">
      <c r="C81" s="92"/>
      <c r="D81" s="90"/>
      <c r="E81" s="90"/>
      <c r="F81" s="91"/>
      <c r="G81" s="91"/>
      <c r="H81" s="91"/>
      <c r="I81" s="91"/>
      <c r="J81" s="91"/>
      <c r="K81" s="91"/>
      <c r="L81" s="91"/>
      <c r="M81" s="91"/>
      <c r="N81" s="93"/>
      <c r="O81" s="91"/>
    </row>
    <row r="82" spans="3:15">
      <c r="C82" s="92"/>
      <c r="D82" s="90"/>
      <c r="E82" s="90"/>
      <c r="F82" s="91"/>
      <c r="G82" s="91"/>
      <c r="H82" s="91"/>
      <c r="I82" s="91"/>
      <c r="J82" s="91"/>
      <c r="K82" s="91"/>
      <c r="L82" s="91"/>
      <c r="M82" s="91"/>
      <c r="N82" s="93"/>
      <c r="O82" s="91"/>
    </row>
    <row r="83" spans="3:15">
      <c r="C83" s="92"/>
      <c r="D83" s="90"/>
      <c r="E83" s="90"/>
      <c r="F83" s="91"/>
      <c r="G83" s="91"/>
      <c r="H83" s="91"/>
      <c r="I83" s="91"/>
      <c r="J83" s="91"/>
      <c r="K83" s="91"/>
      <c r="L83" s="91"/>
      <c r="M83" s="91"/>
      <c r="N83" s="93"/>
      <c r="O83" s="91"/>
    </row>
    <row r="84" spans="3:15">
      <c r="C84" s="92"/>
      <c r="D84" s="90"/>
      <c r="E84" s="90"/>
      <c r="F84" s="91"/>
      <c r="G84" s="91"/>
      <c r="H84" s="91"/>
      <c r="I84" s="91"/>
      <c r="J84" s="91"/>
      <c r="K84" s="91"/>
      <c r="L84" s="91"/>
      <c r="M84" s="91"/>
      <c r="N84" s="93"/>
      <c r="O84" s="91"/>
    </row>
    <row r="85" spans="3:15">
      <c r="C85" s="92"/>
      <c r="D85" s="90"/>
      <c r="E85" s="90"/>
      <c r="F85" s="91"/>
      <c r="G85" s="91"/>
      <c r="H85" s="91"/>
      <c r="I85" s="91"/>
      <c r="J85" s="91"/>
      <c r="K85" s="91"/>
      <c r="L85" s="91"/>
      <c r="M85" s="91"/>
      <c r="N85" s="93"/>
      <c r="O85" s="91"/>
    </row>
    <row r="86" spans="3:15">
      <c r="C86" s="92"/>
      <c r="D86" s="90"/>
      <c r="E86" s="90"/>
      <c r="F86" s="91"/>
      <c r="G86" s="91"/>
      <c r="H86" s="91"/>
      <c r="I86" s="91"/>
      <c r="J86" s="91"/>
      <c r="K86" s="91"/>
      <c r="L86" s="91"/>
      <c r="M86" s="91"/>
      <c r="N86" s="93"/>
      <c r="O86" s="91"/>
    </row>
    <row r="87" spans="3:15">
      <c r="C87" s="92"/>
      <c r="D87" s="90"/>
      <c r="E87" s="90"/>
      <c r="F87" s="94"/>
      <c r="G87" s="94"/>
      <c r="H87" s="94"/>
      <c r="I87" s="94"/>
      <c r="J87" s="94"/>
      <c r="K87" s="94"/>
      <c r="L87" s="94"/>
      <c r="M87" s="91"/>
      <c r="N87" s="93"/>
      <c r="O87" s="91"/>
    </row>
    <row r="88" spans="3:15">
      <c r="C88" s="92"/>
      <c r="D88" s="90"/>
      <c r="E88" s="90"/>
      <c r="F88" s="94"/>
      <c r="G88" s="94"/>
      <c r="H88" s="94"/>
      <c r="I88" s="94"/>
      <c r="J88" s="94"/>
      <c r="K88" s="94"/>
      <c r="L88" s="94"/>
      <c r="M88" s="91"/>
      <c r="N88" s="93"/>
      <c r="O88" s="91"/>
    </row>
    <row r="89" spans="3:15">
      <c r="C89" s="92"/>
      <c r="D89" s="90"/>
      <c r="E89" s="90"/>
      <c r="F89" s="94"/>
      <c r="G89" s="94"/>
      <c r="H89" s="94"/>
      <c r="I89" s="94"/>
      <c r="J89" s="94"/>
      <c r="K89" s="94"/>
      <c r="L89" s="94"/>
      <c r="M89" s="91"/>
      <c r="N89" s="93"/>
      <c r="O89" s="91"/>
    </row>
    <row r="90" spans="3:15">
      <c r="C90" s="92"/>
      <c r="D90" s="90"/>
      <c r="E90" s="90"/>
      <c r="F90" s="94"/>
      <c r="G90" s="94"/>
      <c r="H90" s="94"/>
      <c r="I90" s="94"/>
      <c r="J90" s="94"/>
      <c r="K90" s="94"/>
      <c r="L90" s="94"/>
      <c r="M90" s="91"/>
      <c r="N90" s="93"/>
      <c r="O90" s="91"/>
    </row>
    <row r="91" spans="3:15">
      <c r="C91" s="92"/>
      <c r="D91" s="90"/>
      <c r="E91" s="90"/>
      <c r="F91" s="94"/>
      <c r="G91" s="94"/>
      <c r="H91" s="94"/>
      <c r="I91" s="94"/>
      <c r="J91" s="94"/>
      <c r="K91" s="94"/>
      <c r="L91" s="94"/>
      <c r="M91" s="91"/>
      <c r="N91" s="93"/>
      <c r="O91" s="91"/>
    </row>
    <row r="92" spans="3:15">
      <c r="C92" s="92"/>
      <c r="D92" s="90"/>
      <c r="E92" s="90"/>
      <c r="F92" s="94"/>
      <c r="G92" s="94"/>
      <c r="H92" s="94"/>
      <c r="I92" s="94"/>
      <c r="J92" s="94"/>
      <c r="K92" s="94"/>
      <c r="L92" s="94"/>
      <c r="M92" s="91"/>
      <c r="N92" s="93"/>
      <c r="O92" s="91"/>
    </row>
    <row r="93" spans="3:15">
      <c r="C93" s="92"/>
      <c r="D93" s="90"/>
      <c r="E93" s="90"/>
      <c r="F93" s="94"/>
      <c r="G93" s="94"/>
      <c r="H93" s="94"/>
      <c r="I93" s="94"/>
      <c r="J93" s="94"/>
      <c r="K93" s="94"/>
      <c r="L93" s="94"/>
      <c r="M93" s="91"/>
      <c r="N93" s="93"/>
      <c r="O93" s="91"/>
    </row>
    <row r="94" spans="3:15">
      <c r="C94" s="92"/>
      <c r="D94" s="90"/>
      <c r="E94" s="90"/>
      <c r="F94" s="94"/>
      <c r="G94" s="94"/>
      <c r="H94" s="94"/>
      <c r="I94" s="94"/>
      <c r="J94" s="94"/>
      <c r="K94" s="94"/>
      <c r="L94" s="94"/>
      <c r="M94" s="91"/>
      <c r="N94" s="93"/>
      <c r="O94" s="91"/>
    </row>
    <row r="95" spans="3:15">
      <c r="C95" s="92"/>
      <c r="D95" s="90"/>
      <c r="E95" s="90"/>
      <c r="F95" s="94"/>
      <c r="G95" s="94"/>
      <c r="H95" s="94"/>
      <c r="I95" s="94"/>
      <c r="J95" s="94"/>
      <c r="K95" s="94"/>
      <c r="L95" s="94"/>
      <c r="M95" s="91"/>
      <c r="N95" s="93"/>
      <c r="O95" s="91"/>
    </row>
    <row r="96" spans="3:15">
      <c r="C96" s="92"/>
      <c r="D96" s="90"/>
      <c r="E96" s="90"/>
      <c r="F96" s="94"/>
      <c r="G96" s="94"/>
      <c r="H96" s="94"/>
      <c r="I96" s="94"/>
      <c r="J96" s="94"/>
      <c r="K96" s="94"/>
      <c r="L96" s="94"/>
      <c r="M96" s="91"/>
      <c r="N96" s="93"/>
      <c r="O96" s="91"/>
    </row>
    <row r="97" spans="3:15">
      <c r="C97" s="92"/>
      <c r="D97" s="90"/>
      <c r="E97" s="90"/>
      <c r="F97" s="94"/>
      <c r="G97" s="94"/>
      <c r="H97" s="94"/>
      <c r="I97" s="94"/>
      <c r="J97" s="94"/>
      <c r="K97" s="94"/>
      <c r="L97" s="94"/>
      <c r="M97" s="91"/>
      <c r="N97" s="93"/>
      <c r="O97" s="91"/>
    </row>
    <row r="98" spans="3:15">
      <c r="C98" s="84"/>
      <c r="D98" s="85"/>
      <c r="E98" s="85"/>
      <c r="F98" s="95"/>
      <c r="G98" s="95"/>
      <c r="H98" s="95"/>
      <c r="I98" s="95"/>
      <c r="J98" s="95"/>
      <c r="K98" s="95"/>
      <c r="L98" s="95"/>
      <c r="M98" s="96"/>
      <c r="N98" s="97"/>
      <c r="O98" s="91"/>
    </row>
  </sheetData>
  <mergeCells count="13">
    <mergeCell ref="F3:H3"/>
    <mergeCell ref="I3:J3"/>
    <mergeCell ref="K3:L3"/>
    <mergeCell ref="O1:P1"/>
    <mergeCell ref="F2:H2"/>
    <mergeCell ref="I2:L2"/>
    <mergeCell ref="M2:N2"/>
    <mergeCell ref="O2:P2"/>
    <mergeCell ref="B5:B12"/>
    <mergeCell ref="B14:B15"/>
    <mergeCell ref="B16:B17"/>
    <mergeCell ref="B18:B21"/>
    <mergeCell ref="B22:B23"/>
  </mergeCells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62"/>
  <sheetViews>
    <sheetView topLeftCell="A26" zoomScaleNormal="100" workbookViewId="0">
      <selection activeCell="G72" sqref="G72"/>
    </sheetView>
  </sheetViews>
  <sheetFormatPr baseColWidth="10" defaultColWidth="8.83203125" defaultRowHeight="13"/>
  <cols>
    <col min="1" max="1" width="3.1640625" style="109" customWidth="1"/>
    <col min="2" max="2" width="8.83203125" style="109"/>
    <col min="3" max="3" width="19.5" style="109" customWidth="1"/>
    <col min="4" max="4" width="14.5" style="109" customWidth="1"/>
    <col min="5" max="6" width="8.83203125" style="109"/>
    <col min="7" max="8" width="9" style="109" customWidth="1"/>
    <col min="9" max="9" width="10.5" style="109" customWidth="1"/>
    <col min="10" max="10" width="10.5" style="109" bestFit="1" customWidth="1"/>
    <col min="11" max="26" width="9.5" style="109" bestFit="1" customWidth="1"/>
    <col min="27" max="27" width="10.5" style="109" bestFit="1" customWidth="1"/>
    <col min="28" max="31" width="8.83203125" style="109"/>
    <col min="32" max="32" width="9.1640625" style="109" bestFit="1" customWidth="1"/>
    <col min="33" max="16384" width="8.83203125" style="109"/>
  </cols>
  <sheetData>
    <row r="1" spans="1:32" ht="30" customHeight="1" thickBot="1"/>
    <row r="2" spans="1:32" s="110" customFormat="1">
      <c r="B2" s="111" t="s">
        <v>137</v>
      </c>
      <c r="K2" s="439" t="s">
        <v>136</v>
      </c>
      <c r="L2" s="440"/>
      <c r="M2" s="440"/>
      <c r="N2" s="441"/>
      <c r="O2" s="439" t="s">
        <v>131</v>
      </c>
      <c r="P2" s="440"/>
      <c r="Q2" s="440"/>
      <c r="R2" s="440"/>
      <c r="S2" s="432" t="s">
        <v>209</v>
      </c>
      <c r="T2" s="432"/>
      <c r="U2" s="432"/>
      <c r="V2" s="432"/>
      <c r="W2" s="432"/>
      <c r="X2" s="432"/>
      <c r="Y2" s="432" t="s">
        <v>138</v>
      </c>
      <c r="Z2" s="432"/>
      <c r="AA2" s="433"/>
      <c r="AD2" s="110" t="s">
        <v>139</v>
      </c>
      <c r="AF2" s="507">
        <v>0.99</v>
      </c>
    </row>
    <row r="3" spans="1:32" s="110" customFormat="1">
      <c r="K3" s="434" t="s">
        <v>140</v>
      </c>
      <c r="L3" s="435"/>
      <c r="M3" s="435" t="s">
        <v>141</v>
      </c>
      <c r="N3" s="436"/>
      <c r="O3" s="434" t="s">
        <v>140</v>
      </c>
      <c r="P3" s="435"/>
      <c r="Q3" s="435" t="s">
        <v>141</v>
      </c>
      <c r="R3" s="435"/>
      <c r="S3" s="437" t="s">
        <v>140</v>
      </c>
      <c r="T3" s="437"/>
      <c r="U3" s="437"/>
      <c r="V3" s="437"/>
      <c r="W3" s="112" t="s">
        <v>141</v>
      </c>
      <c r="X3" s="112"/>
      <c r="Y3" s="437" t="s">
        <v>140</v>
      </c>
      <c r="Z3" s="437"/>
      <c r="AA3" s="438"/>
      <c r="AD3" s="110" t="s">
        <v>142</v>
      </c>
      <c r="AF3" s="507">
        <v>0.01</v>
      </c>
    </row>
    <row r="4" spans="1:32" s="110" customFormat="1" ht="19.5" customHeight="1">
      <c r="C4" s="113"/>
      <c r="K4" s="448" t="s">
        <v>143</v>
      </c>
      <c r="L4" s="446" t="s">
        <v>144</v>
      </c>
      <c r="M4" s="446" t="s">
        <v>143</v>
      </c>
      <c r="N4" s="450" t="s">
        <v>144</v>
      </c>
      <c r="O4" s="448" t="s">
        <v>143</v>
      </c>
      <c r="P4" s="446" t="s">
        <v>144</v>
      </c>
      <c r="Q4" s="446" t="s">
        <v>143</v>
      </c>
      <c r="R4" s="446" t="s">
        <v>144</v>
      </c>
      <c r="S4" s="426" t="s">
        <v>143</v>
      </c>
      <c r="T4" s="426" t="s">
        <v>144</v>
      </c>
      <c r="U4" s="426" t="s">
        <v>229</v>
      </c>
      <c r="V4" s="114"/>
      <c r="W4" s="426" t="s">
        <v>143</v>
      </c>
      <c r="X4" s="426" t="s">
        <v>144</v>
      </c>
      <c r="Y4" s="426" t="s">
        <v>143</v>
      </c>
      <c r="Z4" s="426" t="s">
        <v>144</v>
      </c>
      <c r="AA4" s="428" t="s">
        <v>230</v>
      </c>
    </row>
    <row r="5" spans="1:32" s="110" customFormat="1" ht="66.75" customHeight="1" thickBot="1">
      <c r="I5" s="115"/>
      <c r="J5" s="115"/>
      <c r="K5" s="449"/>
      <c r="L5" s="447"/>
      <c r="M5" s="447"/>
      <c r="N5" s="451"/>
      <c r="O5" s="449"/>
      <c r="P5" s="447"/>
      <c r="Q5" s="447"/>
      <c r="R5" s="447"/>
      <c r="S5" s="427"/>
      <c r="T5" s="427"/>
      <c r="U5" s="427"/>
      <c r="V5" s="116" t="s">
        <v>145</v>
      </c>
      <c r="W5" s="427"/>
      <c r="X5" s="427"/>
      <c r="Y5" s="427"/>
      <c r="Z5" s="427"/>
      <c r="AA5" s="429"/>
    </row>
    <row r="6" spans="1:32" s="110" customFormat="1" ht="53" customHeight="1">
      <c r="B6" s="111" t="s">
        <v>146</v>
      </c>
      <c r="C6" s="111" t="s">
        <v>147</v>
      </c>
      <c r="D6" s="111" t="s">
        <v>148</v>
      </c>
      <c r="E6" s="111" t="s">
        <v>149</v>
      </c>
      <c r="F6" s="111" t="s">
        <v>17</v>
      </c>
      <c r="G6" s="115" t="s">
        <v>150</v>
      </c>
      <c r="H6" s="115" t="s">
        <v>151</v>
      </c>
      <c r="I6" s="115"/>
      <c r="J6" s="111" t="s">
        <v>152</v>
      </c>
      <c r="K6" s="117" t="str">
        <f>[4]FormulaOriginal!D5</f>
        <v>room temperature</v>
      </c>
      <c r="L6" s="117" t="s">
        <v>153</v>
      </c>
      <c r="M6" s="117" t="s">
        <v>154</v>
      </c>
      <c r="N6" s="117" t="s">
        <v>153</v>
      </c>
      <c r="O6" s="117" t="s">
        <v>154</v>
      </c>
      <c r="P6" s="117" t="s">
        <v>153</v>
      </c>
      <c r="Q6" s="117" t="s">
        <v>154</v>
      </c>
      <c r="R6" s="117" t="s">
        <v>153</v>
      </c>
      <c r="S6" s="118" t="str">
        <f>[5]FormulaOriginal!D5</f>
        <v>room temperature</v>
      </c>
      <c r="T6" s="118" t="s">
        <v>153</v>
      </c>
      <c r="U6" s="118" t="s">
        <v>153</v>
      </c>
      <c r="V6" s="118" t="s">
        <v>153</v>
      </c>
      <c r="W6" s="118" t="s">
        <v>154</v>
      </c>
      <c r="X6" s="118" t="s">
        <v>153</v>
      </c>
      <c r="Y6" s="118" t="s">
        <v>154</v>
      </c>
      <c r="Z6" s="118" t="s">
        <v>153</v>
      </c>
      <c r="AA6" s="118" t="s">
        <v>153</v>
      </c>
      <c r="AE6" s="442"/>
      <c r="AF6" s="442"/>
    </row>
    <row r="7" spans="1:32" s="110" customFormat="1" ht="14.25" customHeight="1">
      <c r="B7" s="111" t="s">
        <v>155</v>
      </c>
      <c r="C7" s="111"/>
      <c r="D7" s="111"/>
      <c r="E7" s="111"/>
      <c r="F7" s="111"/>
      <c r="G7" s="111"/>
      <c r="H7" s="111"/>
      <c r="I7" s="111" t="s">
        <v>46</v>
      </c>
      <c r="J7" s="111" t="s">
        <v>46</v>
      </c>
      <c r="K7" s="508" t="s">
        <v>156</v>
      </c>
      <c r="L7" s="508" t="s">
        <v>157</v>
      </c>
      <c r="M7" s="508" t="s">
        <v>156</v>
      </c>
      <c r="N7" s="508" t="s">
        <v>157</v>
      </c>
      <c r="O7" s="509" t="s">
        <v>158</v>
      </c>
      <c r="P7" s="509" t="s">
        <v>158</v>
      </c>
      <c r="Q7" s="509" t="s">
        <v>158</v>
      </c>
      <c r="R7" s="509" t="s">
        <v>158</v>
      </c>
      <c r="S7" s="510" t="s">
        <v>156</v>
      </c>
      <c r="T7" s="510" t="s">
        <v>157</v>
      </c>
      <c r="U7" s="510" t="s">
        <v>157</v>
      </c>
      <c r="V7" s="510" t="s">
        <v>157</v>
      </c>
      <c r="W7" s="510" t="s">
        <v>156</v>
      </c>
      <c r="X7" s="510" t="s">
        <v>157</v>
      </c>
      <c r="Y7" s="511" t="s">
        <v>158</v>
      </c>
      <c r="Z7" s="511" t="s">
        <v>158</v>
      </c>
      <c r="AA7" s="511" t="s">
        <v>158</v>
      </c>
      <c r="AE7" s="118"/>
      <c r="AF7" s="118"/>
    </row>
    <row r="8" spans="1:32" s="110" customFormat="1" ht="15" customHeight="1">
      <c r="B8" s="111" t="s">
        <v>152</v>
      </c>
      <c r="J8" s="110" t="s">
        <v>159</v>
      </c>
      <c r="K8" s="512" t="s">
        <v>160</v>
      </c>
      <c r="L8" s="513" t="s">
        <v>166</v>
      </c>
      <c r="M8" s="512" t="s">
        <v>160</v>
      </c>
      <c r="N8" s="513" t="s">
        <v>166</v>
      </c>
      <c r="O8" s="512" t="s">
        <v>160</v>
      </c>
      <c r="P8" s="513" t="s">
        <v>166</v>
      </c>
      <c r="Q8" s="512" t="s">
        <v>160</v>
      </c>
      <c r="R8" s="513" t="s">
        <v>166</v>
      </c>
      <c r="S8" s="514" t="s">
        <v>160</v>
      </c>
      <c r="T8" s="515" t="s">
        <v>166</v>
      </c>
      <c r="U8" s="515" t="s">
        <v>161</v>
      </c>
      <c r="V8" s="515" t="s">
        <v>161</v>
      </c>
      <c r="W8" s="514" t="s">
        <v>160</v>
      </c>
      <c r="X8" s="515" t="s">
        <v>166</v>
      </c>
      <c r="Y8" s="514" t="s">
        <v>160</v>
      </c>
      <c r="Z8" s="515" t="s">
        <v>166</v>
      </c>
      <c r="AA8" s="515" t="s">
        <v>166</v>
      </c>
      <c r="AE8" s="118"/>
      <c r="AF8" s="118"/>
    </row>
    <row r="9" spans="1:32" s="110" customFormat="1" ht="12" customHeight="1">
      <c r="A9" s="119"/>
      <c r="B9" s="443" t="s">
        <v>167</v>
      </c>
      <c r="C9" s="120" t="s">
        <v>162</v>
      </c>
      <c r="D9" s="121"/>
      <c r="E9" s="121"/>
      <c r="F9" s="121"/>
      <c r="G9" s="122"/>
      <c r="H9" s="123"/>
      <c r="I9" s="124"/>
      <c r="J9" s="125"/>
      <c r="K9" s="516">
        <v>0.24784498783081113</v>
      </c>
      <c r="L9" s="516">
        <v>0.34698298296313557</v>
      </c>
      <c r="M9" s="516">
        <v>0.69396596592627113</v>
      </c>
      <c r="N9" s="516">
        <v>0.69396596592627113</v>
      </c>
      <c r="O9" s="516">
        <v>0.24805278563278269</v>
      </c>
      <c r="P9" s="516">
        <v>0.34727389988589574</v>
      </c>
      <c r="Q9" s="516">
        <v>0.69454779977179149</v>
      </c>
      <c r="R9" s="516">
        <v>0.69454779977179149</v>
      </c>
      <c r="S9" s="516">
        <v>0.20291129394599661</v>
      </c>
      <c r="T9" s="516">
        <v>0.28537178410750941</v>
      </c>
      <c r="U9" s="517">
        <v>0.163828</v>
      </c>
      <c r="V9" s="518">
        <v>0.40810000000000002</v>
      </c>
      <c r="W9" s="516">
        <v>0.56815162304879052</v>
      </c>
      <c r="X9" s="516">
        <v>0.56848119806445696</v>
      </c>
      <c r="Y9" s="516">
        <v>0.16217233706748013</v>
      </c>
      <c r="Z9" s="516">
        <v>0.2584776933173708</v>
      </c>
      <c r="AA9" s="519">
        <v>0.15494069999999999</v>
      </c>
    </row>
    <row r="10" spans="1:32" s="110" customFormat="1" ht="12" customHeight="1">
      <c r="A10" s="119"/>
      <c r="B10" s="444"/>
      <c r="C10" s="110" t="s">
        <v>163</v>
      </c>
      <c r="G10" s="126"/>
      <c r="H10" s="127"/>
      <c r="I10" s="128"/>
      <c r="J10" s="129"/>
      <c r="K10" s="520">
        <v>0.15862079221171912</v>
      </c>
      <c r="L10" s="520">
        <v>0.11896559415878934</v>
      </c>
      <c r="M10" s="520">
        <v>0.25775878734404356</v>
      </c>
      <c r="N10" s="520">
        <v>0.17844839123818401</v>
      </c>
      <c r="O10" s="520">
        <v>0.15875378280498093</v>
      </c>
      <c r="P10" s="520">
        <v>0.11906533710373568</v>
      </c>
      <c r="Q10" s="520">
        <v>0.25797489705809401</v>
      </c>
      <c r="R10" s="520">
        <v>0.17859800565560352</v>
      </c>
      <c r="S10" s="520">
        <v>0.12986322812543785</v>
      </c>
      <c r="T10" s="520">
        <v>9.784175455114609E-2</v>
      </c>
      <c r="U10" s="518">
        <v>5.6169600000000007E-2</v>
      </c>
      <c r="V10" s="518">
        <v>0.12239999999999999</v>
      </c>
      <c r="W10" s="520">
        <v>0.21102774570383648</v>
      </c>
      <c r="X10" s="520">
        <v>0.14618087950228895</v>
      </c>
      <c r="Y10" s="520">
        <v>0.13784648650735812</v>
      </c>
      <c r="Z10" s="520">
        <v>0.16154855832335677</v>
      </c>
      <c r="AA10" s="521">
        <v>9.6837900000000005E-2</v>
      </c>
    </row>
    <row r="11" spans="1:32" s="110" customFormat="1" ht="12" customHeight="1">
      <c r="A11" s="119"/>
      <c r="B11" s="444"/>
      <c r="C11" s="110" t="s">
        <v>164</v>
      </c>
      <c r="G11" s="126"/>
      <c r="H11" s="127"/>
      <c r="I11" s="128"/>
      <c r="J11" s="129"/>
      <c r="K11" s="520">
        <v>0.17844839123818401</v>
      </c>
      <c r="L11" s="520">
        <v>0.11896559415878934</v>
      </c>
      <c r="M11" s="520">
        <v>0</v>
      </c>
      <c r="N11" s="520">
        <v>0</v>
      </c>
      <c r="O11" s="520">
        <v>0.17859800565560352</v>
      </c>
      <c r="P11" s="520">
        <v>0.11906533710373568</v>
      </c>
      <c r="Q11" s="520">
        <v>0</v>
      </c>
      <c r="R11" s="520">
        <v>0</v>
      </c>
      <c r="S11" s="520">
        <v>0.14609613164111757</v>
      </c>
      <c r="T11" s="520">
        <v>9.784175455114609E-2</v>
      </c>
      <c r="U11" s="518">
        <v>5.6169600000000007E-2</v>
      </c>
      <c r="V11" s="518">
        <v>0.12239999999999999</v>
      </c>
      <c r="W11" s="520"/>
      <c r="X11" s="520"/>
      <c r="Y11" s="520">
        <v>0.16217233706748013</v>
      </c>
      <c r="Z11" s="520">
        <v>8.0774279161678383E-2</v>
      </c>
      <c r="AA11" s="521">
        <v>4.8418999999999997E-2</v>
      </c>
    </row>
    <row r="12" spans="1:32" s="110" customFormat="1" ht="12" customHeight="1">
      <c r="A12" s="119"/>
      <c r="B12" s="444"/>
      <c r="C12" s="110" t="s">
        <v>69</v>
      </c>
      <c r="G12" s="126"/>
      <c r="H12" s="127"/>
      <c r="I12" s="128"/>
      <c r="J12" s="129"/>
      <c r="K12" s="520">
        <v>0</v>
      </c>
      <c r="L12" s="520">
        <v>0</v>
      </c>
      <c r="M12" s="520">
        <v>0</v>
      </c>
      <c r="N12" s="520">
        <v>9.913799513232445E-2</v>
      </c>
      <c r="O12" s="520">
        <v>0</v>
      </c>
      <c r="P12" s="520">
        <v>0</v>
      </c>
      <c r="Q12" s="520">
        <v>0</v>
      </c>
      <c r="R12" s="520">
        <v>9.9221114253113071E-2</v>
      </c>
      <c r="S12" s="520"/>
      <c r="T12" s="520"/>
      <c r="U12" s="518">
        <v>0</v>
      </c>
      <c r="V12" s="518"/>
      <c r="W12" s="520"/>
      <c r="X12" s="520">
        <v>8.1211599723493857E-2</v>
      </c>
      <c r="Y12" s="520"/>
      <c r="Z12" s="520"/>
      <c r="AA12" s="521"/>
    </row>
    <row r="13" spans="1:32" s="110" customFormat="1" ht="12" customHeight="1">
      <c r="A13" s="119"/>
      <c r="B13" s="444"/>
      <c r="C13" s="110" t="s">
        <v>70</v>
      </c>
      <c r="H13" s="127"/>
      <c r="I13" s="128"/>
      <c r="J13" s="129"/>
      <c r="K13" s="520">
        <v>7.9310396105859562E-2</v>
      </c>
      <c r="L13" s="520">
        <v>0</v>
      </c>
      <c r="M13" s="520">
        <v>0</v>
      </c>
      <c r="N13" s="520">
        <v>0</v>
      </c>
      <c r="O13" s="520">
        <v>7.9376891402490463E-2</v>
      </c>
      <c r="P13" s="520">
        <v>0</v>
      </c>
      <c r="Q13" s="520">
        <v>0</v>
      </c>
      <c r="R13" s="520">
        <v>0</v>
      </c>
      <c r="S13" s="520">
        <v>6.4931614062718926E-2</v>
      </c>
      <c r="T13" s="520"/>
      <c r="U13" s="518">
        <v>0</v>
      </c>
      <c r="V13" s="518"/>
      <c r="W13" s="520"/>
      <c r="X13" s="520"/>
      <c r="Y13" s="520"/>
      <c r="Z13" s="520"/>
      <c r="AA13" s="521"/>
    </row>
    <row r="14" spans="1:32" s="110" customFormat="1" ht="12" customHeight="1">
      <c r="A14" s="119"/>
      <c r="B14" s="444"/>
      <c r="C14" s="110" t="s">
        <v>71</v>
      </c>
      <c r="F14" s="130"/>
      <c r="G14" s="126"/>
      <c r="H14" s="127"/>
      <c r="I14" s="128"/>
      <c r="J14" s="129"/>
      <c r="K14" s="520">
        <v>2.9741398539697334E-2</v>
      </c>
      <c r="L14" s="520">
        <v>9.9137995132324453E-3</v>
      </c>
      <c r="M14" s="520">
        <v>3.9655198052929781E-2</v>
      </c>
      <c r="N14" s="520">
        <v>1.9827599026464891E-2</v>
      </c>
      <c r="O14" s="520">
        <v>2.976633427593392E-2</v>
      </c>
      <c r="P14" s="520">
        <v>9.9221114253113078E-3</v>
      </c>
      <c r="Q14" s="520">
        <v>3.9688445701245231E-2</v>
      </c>
      <c r="R14" s="520">
        <v>1.9844222850622616E-2</v>
      </c>
      <c r="S14" s="520">
        <v>2.4349355273519592E-2</v>
      </c>
      <c r="T14" s="520">
        <v>8.153479545928842E-3</v>
      </c>
      <c r="U14" s="518">
        <v>4.6808000000000006E-3</v>
      </c>
      <c r="V14" s="518"/>
      <c r="W14" s="520">
        <v>3.2465807031359463E-2</v>
      </c>
      <c r="X14" s="520">
        <v>1.6242319944698772E-2</v>
      </c>
      <c r="Y14" s="520">
        <v>6.4868934826992047E-2</v>
      </c>
      <c r="Z14" s="520">
        <v>2.4232283748503513E-2</v>
      </c>
      <c r="AA14" s="521">
        <v>1.4525700000000001E-2</v>
      </c>
    </row>
    <row r="15" spans="1:32" s="110" customFormat="1" ht="12" customHeight="1">
      <c r="A15" s="119"/>
      <c r="B15" s="445"/>
      <c r="C15" s="131" t="s">
        <v>165</v>
      </c>
      <c r="D15" s="131"/>
      <c r="E15" s="131"/>
      <c r="F15" s="131"/>
      <c r="G15" s="132"/>
      <c r="H15" s="133"/>
      <c r="I15" s="134"/>
      <c r="J15" s="134"/>
      <c r="K15" s="522">
        <v>0.29741398539697333</v>
      </c>
      <c r="L15" s="522">
        <v>0.3965519805292978</v>
      </c>
      <c r="M15" s="522">
        <v>0</v>
      </c>
      <c r="N15" s="522">
        <v>0</v>
      </c>
      <c r="O15" s="522">
        <v>0.2976633427593392</v>
      </c>
      <c r="P15" s="522">
        <v>0.39688445701245229</v>
      </c>
      <c r="Q15" s="522">
        <v>0</v>
      </c>
      <c r="R15" s="522">
        <v>0</v>
      </c>
      <c r="S15" s="523">
        <v>0.24349355273519593</v>
      </c>
      <c r="T15" s="523">
        <v>0.32613918183715368</v>
      </c>
      <c r="U15" s="524">
        <v>0.18723200000000004</v>
      </c>
      <c r="V15" s="524"/>
      <c r="W15" s="523">
        <v>0</v>
      </c>
      <c r="X15" s="523">
        <v>0</v>
      </c>
      <c r="Y15" s="523">
        <v>0.28380158986809018</v>
      </c>
      <c r="Z15" s="523">
        <v>0.28270997706587431</v>
      </c>
      <c r="AA15" s="525">
        <v>0.16946639999999999</v>
      </c>
    </row>
    <row r="16" spans="1:32" s="110" customFormat="1" ht="12" customHeight="1">
      <c r="A16" s="119"/>
      <c r="B16" s="135" t="s">
        <v>168</v>
      </c>
      <c r="C16" s="131" t="s">
        <v>168</v>
      </c>
      <c r="D16" s="131"/>
      <c r="E16" s="131"/>
      <c r="F16" s="131"/>
      <c r="G16" s="131"/>
      <c r="H16" s="133"/>
      <c r="I16" s="134"/>
      <c r="J16" s="134"/>
      <c r="K16" s="526"/>
      <c r="L16" s="526"/>
      <c r="M16" s="526"/>
      <c r="N16" s="526"/>
      <c r="O16" s="523"/>
      <c r="P16" s="522"/>
      <c r="Q16" s="522"/>
      <c r="R16" s="522"/>
      <c r="S16" s="523"/>
      <c r="T16" s="523"/>
      <c r="U16" s="524"/>
      <c r="V16" s="524">
        <v>0.16320000000000001</v>
      </c>
      <c r="W16" s="523"/>
      <c r="X16" s="523"/>
      <c r="Y16" s="523"/>
      <c r="Z16" s="523"/>
      <c r="AA16" s="525"/>
    </row>
    <row r="17" spans="1:27" s="110" customFormat="1" ht="14">
      <c r="A17" s="119"/>
      <c r="B17" s="135" t="s">
        <v>228</v>
      </c>
      <c r="C17" s="131" t="s">
        <v>231</v>
      </c>
      <c r="D17" s="131"/>
      <c r="E17" s="131"/>
      <c r="F17" s="131"/>
      <c r="G17" s="131"/>
      <c r="H17" s="133"/>
      <c r="I17" s="134">
        <f>J17/(1+A17)</f>
        <v>0</v>
      </c>
      <c r="J17" s="131">
        <f>[5]Summary!J30</f>
        <v>0</v>
      </c>
      <c r="K17" s="526"/>
      <c r="L17" s="526"/>
      <c r="M17" s="526"/>
      <c r="N17" s="526"/>
      <c r="O17" s="526"/>
      <c r="P17" s="526"/>
      <c r="Q17" s="526"/>
      <c r="R17" s="526"/>
      <c r="S17" s="523">
        <v>0.15459908110171169</v>
      </c>
      <c r="T17" s="523">
        <v>0.15530437230340649</v>
      </c>
      <c r="U17" s="524">
        <v>0.1</v>
      </c>
      <c r="V17" s="524">
        <v>0.1555</v>
      </c>
      <c r="W17" s="523">
        <v>0.15459908110171169</v>
      </c>
      <c r="X17" s="523">
        <v>0.15468876137808352</v>
      </c>
      <c r="Y17" s="523">
        <v>0.15444984482617152</v>
      </c>
      <c r="Z17" s="523">
        <v>0.15385576983176832</v>
      </c>
      <c r="AA17" s="525">
        <v>6.9169999999999995E-2</v>
      </c>
    </row>
    <row r="20" spans="1:27">
      <c r="B20" s="136" t="s">
        <v>128</v>
      </c>
      <c r="G20" s="136"/>
      <c r="H20" s="136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</row>
    <row r="21" spans="1:27" ht="14" thickBot="1">
      <c r="B21" s="136"/>
      <c r="G21" s="137" t="s">
        <v>171</v>
      </c>
      <c r="H21" s="137" t="s">
        <v>172</v>
      </c>
      <c r="I21" s="137" t="s">
        <v>173</v>
      </c>
      <c r="J21" s="137" t="s">
        <v>174</v>
      </c>
      <c r="K21" s="137" t="s">
        <v>175</v>
      </c>
      <c r="L21" s="137" t="s">
        <v>176</v>
      </c>
      <c r="M21" s="137" t="s">
        <v>177</v>
      </c>
      <c r="N21" s="137" t="s">
        <v>178</v>
      </c>
      <c r="O21" s="137" t="s">
        <v>179</v>
      </c>
      <c r="P21" s="137" t="s">
        <v>180</v>
      </c>
      <c r="T21" s="137"/>
      <c r="U21" s="137"/>
      <c r="V21" s="137"/>
      <c r="W21" s="137"/>
      <c r="X21" s="137"/>
      <c r="Y21" s="137"/>
      <c r="Z21" s="137"/>
    </row>
    <row r="22" spans="1:27">
      <c r="C22" s="138" t="s">
        <v>129</v>
      </c>
      <c r="D22" s="139"/>
      <c r="E22" s="139" t="s">
        <v>130</v>
      </c>
      <c r="F22" s="139"/>
      <c r="G22" s="140">
        <f>'Volume Database'!H95</f>
        <v>605.20567753258115</v>
      </c>
      <c r="H22" s="140">
        <f>'Volume Database'!I95</f>
        <v>945.63947306456703</v>
      </c>
      <c r="I22" s="140">
        <f>'Volume Database'!J95</f>
        <v>1286.0732685965531</v>
      </c>
      <c r="J22" s="140">
        <f>'Volume Database'!K95</f>
        <v>1478.9842588860361</v>
      </c>
      <c r="K22" s="140">
        <f>'Volume Database'!L95</f>
        <v>1700.8318977189413</v>
      </c>
      <c r="L22" s="140">
        <f>'Volume Database'!M95</f>
        <v>1955.9566823767823</v>
      </c>
      <c r="M22" s="140">
        <f>'Volume Database'!N95</f>
        <v>2249.3501847332996</v>
      </c>
      <c r="N22" s="140">
        <f>'Volume Database'!O95</f>
        <v>2586.7527124432941</v>
      </c>
      <c r="O22" s="140">
        <f>'Volume Database'!P95</f>
        <v>2974.7656193097878</v>
      </c>
      <c r="P22" s="140">
        <f>'Volume Database'!Q95</f>
        <v>3420.9804622062557</v>
      </c>
      <c r="T22" s="137"/>
      <c r="U22" s="137"/>
      <c r="V22" s="137"/>
      <c r="W22" s="137"/>
      <c r="X22" s="137"/>
      <c r="Y22" s="137"/>
      <c r="Z22" s="137"/>
    </row>
    <row r="23" spans="1:27" ht="15">
      <c r="C23" s="141"/>
      <c r="D23" s="142" t="s">
        <v>170</v>
      </c>
      <c r="E23" s="424"/>
      <c r="F23" s="425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T23" s="137"/>
      <c r="U23" s="137"/>
      <c r="V23" s="137"/>
      <c r="W23" s="137"/>
      <c r="X23" s="137"/>
      <c r="Y23" s="137"/>
      <c r="Z23" s="137"/>
    </row>
    <row r="24" spans="1:27">
      <c r="C24" s="141" t="s">
        <v>131</v>
      </c>
      <c r="D24" s="142" t="s">
        <v>132</v>
      </c>
      <c r="E24" s="142" t="s">
        <v>133</v>
      </c>
      <c r="F24" s="142"/>
      <c r="G24" s="143">
        <f>'Volume Database'!H4</f>
        <v>665.67341954340156</v>
      </c>
      <c r="H24" s="143">
        <f>'Volume Database'!I4</f>
        <v>1065.6275691123665</v>
      </c>
      <c r="I24" s="143">
        <f>'Volume Database'!J4</f>
        <v>1465.5817186813313</v>
      </c>
      <c r="J24" s="143">
        <f>'Volume Database'!K4</f>
        <v>1686.023689493607</v>
      </c>
      <c r="K24" s="143">
        <f>'Volume Database'!L4</f>
        <v>1939.6528985297393</v>
      </c>
      <c r="L24" s="143">
        <f>'Volume Database'!M4</f>
        <v>2231.4716200437097</v>
      </c>
      <c r="M24" s="143">
        <f>'Volume Database'!N4</f>
        <v>2567.2373071316779</v>
      </c>
      <c r="N24" s="143">
        <f>'Volume Database'!O4</f>
        <v>2951.0689703037351</v>
      </c>
      <c r="O24" s="143">
        <f>'Volume Database'!P4</f>
        <v>3392.3499896618318</v>
      </c>
      <c r="P24" s="143">
        <f>'Volume Database'!Q4</f>
        <v>3899.6852293048969</v>
      </c>
      <c r="T24" s="137"/>
      <c r="U24" s="137"/>
      <c r="V24" s="137"/>
      <c r="W24" s="137"/>
      <c r="X24" s="137"/>
      <c r="Y24" s="137"/>
      <c r="Z24" s="137"/>
    </row>
    <row r="25" spans="1:27" ht="15">
      <c r="C25" s="141"/>
      <c r="D25" s="142" t="s">
        <v>170</v>
      </c>
      <c r="E25" s="424"/>
      <c r="F25" s="425"/>
      <c r="G25" s="143">
        <f t="shared" ref="G25:P25" si="0">G24*($O$11+$O$15+$O$14)</f>
        <v>336.84917792045917</v>
      </c>
      <c r="H25" s="143">
        <f t="shared" si="0"/>
        <v>539.23704940944276</v>
      </c>
      <c r="I25" s="143">
        <f t="shared" si="0"/>
        <v>741.62492089842624</v>
      </c>
      <c r="J25" s="143">
        <f t="shared" si="0"/>
        <v>853.17466055637203</v>
      </c>
      <c r="K25" s="143">
        <f t="shared" si="0"/>
        <v>981.51806146764602</v>
      </c>
      <c r="L25" s="143">
        <f t="shared" si="0"/>
        <v>1129.1864128811746</v>
      </c>
      <c r="M25" s="143">
        <f t="shared" si="0"/>
        <v>1299.0931454454092</v>
      </c>
      <c r="N25" s="143">
        <f t="shared" si="0"/>
        <v>1493.3225925037505</v>
      </c>
      <c r="O25" s="143">
        <f t="shared" si="0"/>
        <v>1716.623004144996</v>
      </c>
      <c r="P25" s="144">
        <f t="shared" si="0"/>
        <v>1973.3486798089968</v>
      </c>
      <c r="T25" s="137"/>
      <c r="U25" s="137"/>
      <c r="V25" s="137"/>
      <c r="W25" s="137"/>
      <c r="X25" s="137"/>
      <c r="Y25" s="137"/>
      <c r="Z25" s="137"/>
    </row>
    <row r="26" spans="1:27">
      <c r="C26" s="141" t="s">
        <v>131</v>
      </c>
      <c r="D26" s="142" t="s">
        <v>132</v>
      </c>
      <c r="E26" s="142" t="s">
        <v>130</v>
      </c>
      <c r="F26" s="142"/>
      <c r="G26" s="143">
        <f>'Volume Database'!H5</f>
        <v>119.31804688054908</v>
      </c>
      <c r="H26" s="143">
        <f>'Volume Database'!I5</f>
        <v>302.58945369307753</v>
      </c>
      <c r="I26" s="143">
        <f>'Volume Database'!J5</f>
        <v>485.86086050560607</v>
      </c>
      <c r="J26" s="143">
        <f>'Volume Database'!K5</f>
        <v>559.72376484927111</v>
      </c>
      <c r="K26" s="143">
        <f>'Volume Database'!L5</f>
        <v>644.86285989805071</v>
      </c>
      <c r="L26" s="143">
        <f>'Volume Database'!M5</f>
        <v>743.00892526842506</v>
      </c>
      <c r="M26" s="143">
        <f>'Volume Database'!N5</f>
        <v>834.88993816111645</v>
      </c>
      <c r="N26" s="143">
        <f>'Volume Database'!O5</f>
        <v>934.26074818230643</v>
      </c>
      <c r="O26" s="143">
        <f>'Volume Database'!P5</f>
        <v>1009.8991888508494</v>
      </c>
      <c r="P26" s="143">
        <f>'Volume Database'!Q5</f>
        <v>1091.6784628542719</v>
      </c>
      <c r="T26" s="137"/>
      <c r="U26" s="137"/>
      <c r="V26" s="137"/>
      <c r="W26" s="137"/>
      <c r="X26" s="137"/>
      <c r="Y26" s="137"/>
      <c r="Z26" s="137"/>
    </row>
    <row r="27" spans="1:27" ht="15">
      <c r="C27" s="141"/>
      <c r="D27" s="142" t="s">
        <v>170</v>
      </c>
      <c r="E27" s="424"/>
      <c r="F27" s="425"/>
      <c r="G27" s="143">
        <f t="shared" ref="G27:P27" si="1">G26*($Q$11+$Q$15+$Q$14)</f>
        <v>4.7355478247973046</v>
      </c>
      <c r="H27" s="143">
        <f t="shared" si="1"/>
        <v>12.009305102667167</v>
      </c>
      <c r="I27" s="143">
        <f t="shared" si="1"/>
        <v>19.283062380537029</v>
      </c>
      <c r="J27" s="143">
        <f t="shared" si="1"/>
        <v>22.214566248916849</v>
      </c>
      <c r="K27" s="143">
        <f t="shared" si="1"/>
        <v>25.593604599813496</v>
      </c>
      <c r="L27" s="143">
        <f t="shared" si="1"/>
        <v>29.488869386056464</v>
      </c>
      <c r="M27" s="143">
        <f t="shared" si="1"/>
        <v>33.135483977223458</v>
      </c>
      <c r="N27" s="143">
        <f t="shared" si="1"/>
        <v>37.079356975038216</v>
      </c>
      <c r="O27" s="143">
        <f t="shared" si="1"/>
        <v>40.081329120438539</v>
      </c>
      <c r="P27" s="144">
        <f t="shared" si="1"/>
        <v>43.327021396210625</v>
      </c>
      <c r="T27" s="137"/>
      <c r="U27" s="137"/>
      <c r="V27" s="137"/>
      <c r="W27" s="137"/>
      <c r="X27" s="137"/>
      <c r="Y27" s="137"/>
      <c r="Z27" s="137"/>
    </row>
    <row r="28" spans="1:27">
      <c r="C28" s="141" t="s">
        <v>134</v>
      </c>
      <c r="D28" s="142" t="s">
        <v>135</v>
      </c>
      <c r="E28" s="142" t="s">
        <v>133</v>
      </c>
      <c r="F28" s="142"/>
      <c r="G28" s="143">
        <f>'Volume Database'!H6</f>
        <v>42.819748450484902</v>
      </c>
      <c r="H28" s="143">
        <f>'Volume Database'!I6</f>
        <v>78.0273997703639</v>
      </c>
      <c r="I28" s="143">
        <f>'Volume Database'!J6</f>
        <v>113.23505109024288</v>
      </c>
      <c r="J28" s="143">
        <f>'Volume Database'!K6</f>
        <v>147.20556641731577</v>
      </c>
      <c r="K28" s="143">
        <f>'Volume Database'!L6</f>
        <v>191.36723634251049</v>
      </c>
      <c r="L28" s="143">
        <f>'Volume Database'!M6</f>
        <v>248.77740724526362</v>
      </c>
      <c r="M28" s="143">
        <f>'Volume Database'!N6</f>
        <v>323.41062941884275</v>
      </c>
      <c r="N28" s="143">
        <f>'Volume Database'!O6</f>
        <v>371.9222238316691</v>
      </c>
      <c r="O28" s="143">
        <f>'Volume Database'!P6</f>
        <v>427.71055740641941</v>
      </c>
      <c r="P28" s="143">
        <f>'Volume Database'!Q6</f>
        <v>491.86714101738232</v>
      </c>
      <c r="T28" s="137"/>
      <c r="U28" s="137"/>
      <c r="V28" s="137"/>
      <c r="W28" s="137"/>
      <c r="X28" s="137"/>
      <c r="Y28" s="137"/>
      <c r="Z28" s="137"/>
    </row>
    <row r="29" spans="1:27" ht="15">
      <c r="C29" s="141"/>
      <c r="D29" s="142" t="s">
        <v>170</v>
      </c>
      <c r="E29" s="424"/>
      <c r="F29" s="425"/>
      <c r="G29" s="143">
        <f t="shared" ref="G29:P29" si="2">G28*($P$11+$P$15+$P$14)</f>
        <v>22.517702712464153</v>
      </c>
      <c r="H29" s="143">
        <f t="shared" si="2"/>
        <v>41.0324174016896</v>
      </c>
      <c r="I29" s="143">
        <f t="shared" si="2"/>
        <v>59.547132090915042</v>
      </c>
      <c r="J29" s="143">
        <f t="shared" si="2"/>
        <v>77.411271718189568</v>
      </c>
      <c r="K29" s="143">
        <f t="shared" si="2"/>
        <v>100.63465323364643</v>
      </c>
      <c r="L29" s="143">
        <f t="shared" si="2"/>
        <v>130.82504920374035</v>
      </c>
      <c r="M29" s="143">
        <f t="shared" si="2"/>
        <v>170.07256396486247</v>
      </c>
      <c r="N29" s="143">
        <f t="shared" si="2"/>
        <v>195.58344855959183</v>
      </c>
      <c r="O29" s="143">
        <f t="shared" si="2"/>
        <v>224.92096584353055</v>
      </c>
      <c r="P29" s="144">
        <f t="shared" si="2"/>
        <v>258.65911072006014</v>
      </c>
      <c r="T29" s="137"/>
      <c r="U29" s="137"/>
      <c r="V29" s="137"/>
      <c r="W29" s="137"/>
      <c r="X29" s="137"/>
      <c r="Y29" s="137"/>
      <c r="Z29" s="137"/>
    </row>
    <row r="30" spans="1:27">
      <c r="C30" s="141" t="s">
        <v>134</v>
      </c>
      <c r="D30" s="142" t="s">
        <v>135</v>
      </c>
      <c r="E30" s="142" t="s">
        <v>130</v>
      </c>
      <c r="F30" s="142"/>
      <c r="G30" s="143">
        <f>'Volume Database'!H7</f>
        <v>0</v>
      </c>
      <c r="H30" s="143">
        <f>'Volume Database'!I7</f>
        <v>0</v>
      </c>
      <c r="I30" s="143">
        <f>'Volume Database'!J7</f>
        <v>0</v>
      </c>
      <c r="J30" s="143">
        <f>'Volume Database'!K7</f>
        <v>0</v>
      </c>
      <c r="K30" s="143">
        <f>'Volume Database'!L7</f>
        <v>0</v>
      </c>
      <c r="L30" s="143">
        <f>'Volume Database'!M7</f>
        <v>0</v>
      </c>
      <c r="M30" s="143">
        <f>'Volume Database'!N7</f>
        <v>0</v>
      </c>
      <c r="N30" s="143">
        <f>'Volume Database'!O7</f>
        <v>0</v>
      </c>
      <c r="O30" s="143">
        <f>'Volume Database'!P7</f>
        <v>0</v>
      </c>
      <c r="P30" s="143">
        <f>'Volume Database'!Q7</f>
        <v>0</v>
      </c>
      <c r="T30" s="137"/>
      <c r="U30" s="137"/>
      <c r="V30" s="137"/>
      <c r="W30" s="137"/>
      <c r="X30" s="137"/>
      <c r="Y30" s="137"/>
      <c r="Z30" s="137"/>
    </row>
    <row r="31" spans="1:27" ht="15">
      <c r="C31" s="141"/>
      <c r="D31" s="142" t="s">
        <v>170</v>
      </c>
      <c r="E31" s="424"/>
      <c r="F31" s="425"/>
      <c r="G31" s="143">
        <f t="shared" ref="G31:P31" si="3">G30*($R$11+$R$15+$R$14)</f>
        <v>0</v>
      </c>
      <c r="H31" s="143">
        <f t="shared" si="3"/>
        <v>0</v>
      </c>
      <c r="I31" s="143">
        <f t="shared" si="3"/>
        <v>0</v>
      </c>
      <c r="J31" s="143">
        <f t="shared" si="3"/>
        <v>0</v>
      </c>
      <c r="K31" s="143">
        <f t="shared" si="3"/>
        <v>0</v>
      </c>
      <c r="L31" s="143">
        <f t="shared" si="3"/>
        <v>0</v>
      </c>
      <c r="M31" s="143">
        <f t="shared" si="3"/>
        <v>0</v>
      </c>
      <c r="N31" s="143">
        <f t="shared" si="3"/>
        <v>0</v>
      </c>
      <c r="O31" s="143">
        <f t="shared" si="3"/>
        <v>0</v>
      </c>
      <c r="P31" s="144">
        <f t="shared" si="3"/>
        <v>0</v>
      </c>
      <c r="T31" s="137"/>
      <c r="U31" s="137"/>
      <c r="V31" s="137"/>
      <c r="W31" s="137"/>
      <c r="X31" s="137"/>
      <c r="Y31" s="137"/>
      <c r="Z31" s="137"/>
    </row>
    <row r="32" spans="1:27">
      <c r="C32" s="141" t="s">
        <v>136</v>
      </c>
      <c r="D32" s="142" t="s">
        <v>132</v>
      </c>
      <c r="E32" s="142" t="s">
        <v>133</v>
      </c>
      <c r="F32" s="142"/>
      <c r="G32" s="143">
        <f>'Volume Database'!H8</f>
        <v>94.809068433751321</v>
      </c>
      <c r="H32" s="143">
        <f>'Volume Database'!I8</f>
        <v>249.07929839577963</v>
      </c>
      <c r="I32" s="143">
        <f>'Volume Database'!J8</f>
        <v>403.34952835780791</v>
      </c>
      <c r="J32" s="143">
        <f>'Volume Database'!K8</f>
        <v>540.3601289381503</v>
      </c>
      <c r="K32" s="143">
        <f>'Volume Database'!L8</f>
        <v>707.58988438000029</v>
      </c>
      <c r="L32" s="143">
        <f>'Volume Database'!M8</f>
        <v>928.9707962891971</v>
      </c>
      <c r="M32" s="143">
        <f>'Volume Database'!N8</f>
        <v>1114.7649555470366</v>
      </c>
      <c r="N32" s="143">
        <f>'Volume Database'!O8</f>
        <v>1269.3674360196665</v>
      </c>
      <c r="O32" s="143">
        <f>'Volume Database'!P8</f>
        <v>1445.899062277248</v>
      </c>
      <c r="P32" s="143">
        <f>'Volume Database'!Q8</f>
        <v>1647.5230835589302</v>
      </c>
      <c r="T32" s="137"/>
      <c r="U32" s="137"/>
      <c r="V32" s="137"/>
      <c r="W32" s="137"/>
      <c r="X32" s="137"/>
      <c r="Y32" s="137"/>
      <c r="Z32" s="137"/>
    </row>
    <row r="33" spans="3:26" ht="15">
      <c r="C33" s="141"/>
      <c r="D33" s="142" t="s">
        <v>169</v>
      </c>
      <c r="E33" s="424"/>
      <c r="F33" s="425"/>
      <c r="G33" s="143">
        <f t="shared" ref="G33:P33" si="4">G32*($K$11+$K$15+$K$14)</f>
        <v>47.935822920915811</v>
      </c>
      <c r="H33" s="143">
        <f t="shared" si="4"/>
        <v>125.9354335868103</v>
      </c>
      <c r="I33" s="143">
        <f t="shared" si="4"/>
        <v>203.93504425270478</v>
      </c>
      <c r="J33" s="143">
        <f t="shared" si="4"/>
        <v>273.20812114509999</v>
      </c>
      <c r="K33" s="143">
        <f t="shared" si="4"/>
        <v>357.76011681806705</v>
      </c>
      <c r="L33" s="143">
        <f t="shared" si="4"/>
        <v>469.69114163100892</v>
      </c>
      <c r="M33" s="143">
        <f t="shared" si="4"/>
        <v>563.62936995721077</v>
      </c>
      <c r="N33" s="143">
        <f t="shared" si="4"/>
        <v>641.79696773556918</v>
      </c>
      <c r="O33" s="143">
        <f t="shared" si="4"/>
        <v>731.05202440915889</v>
      </c>
      <c r="P33" s="144">
        <f t="shared" si="4"/>
        <v>832.9938907351127</v>
      </c>
      <c r="T33" s="137"/>
      <c r="U33" s="137"/>
      <c r="V33" s="137"/>
      <c r="W33" s="137"/>
      <c r="X33" s="137"/>
      <c r="Y33" s="137"/>
      <c r="Z33" s="137"/>
    </row>
    <row r="34" spans="3:26">
      <c r="C34" s="141" t="s">
        <v>136</v>
      </c>
      <c r="D34" s="142" t="s">
        <v>132</v>
      </c>
      <c r="E34" s="142" t="s">
        <v>130</v>
      </c>
      <c r="F34" s="142"/>
      <c r="G34" s="143">
        <f>'Volume Database'!H9</f>
        <v>463.5873011288819</v>
      </c>
      <c r="H34" s="143">
        <f>'Volume Database'!I9</f>
        <v>1417.6192037692997</v>
      </c>
      <c r="I34" s="143">
        <f>'Volume Database'!J9</f>
        <v>2371.6511064097176</v>
      </c>
      <c r="J34" s="143">
        <f>'Volume Database'!K9</f>
        <v>2842.4885376664474</v>
      </c>
      <c r="K34" s="143">
        <f>'Volume Database'!L9</f>
        <v>3397.7623554471193</v>
      </c>
      <c r="L34" s="143">
        <f>'Volume Database'!M9</f>
        <v>4081.4424338906383</v>
      </c>
      <c r="M34" s="143">
        <f>'Volume Database'!N9</f>
        <v>4665.1840175257985</v>
      </c>
      <c r="N34" s="143">
        <f>'Volume Database'!O9</f>
        <v>5267.2919208346229</v>
      </c>
      <c r="O34" s="143">
        <f>'Volume Database'!P9</f>
        <v>5802.1422280700954</v>
      </c>
      <c r="P34" s="143">
        <f>'Volume Database'!Q9</f>
        <v>6396.8006029197113</v>
      </c>
      <c r="T34" s="137"/>
      <c r="U34" s="137"/>
      <c r="V34" s="137"/>
      <c r="W34" s="137"/>
      <c r="X34" s="137"/>
      <c r="Y34" s="137"/>
      <c r="Z34" s="137"/>
    </row>
    <row r="35" spans="3:26" ht="15">
      <c r="C35" s="141"/>
      <c r="D35" s="142" t="s">
        <v>170</v>
      </c>
      <c r="E35" s="424"/>
      <c r="F35" s="425"/>
      <c r="G35" s="143">
        <f t="shared" ref="G35:P35" si="5">G34*($M$11+$M$15+$M$14)</f>
        <v>18.383646241089011</v>
      </c>
      <c r="H35" s="143">
        <f t="shared" si="5"/>
        <v>56.215970289108199</v>
      </c>
      <c r="I35" s="143">
        <f t="shared" si="5"/>
        <v>94.048294337127402</v>
      </c>
      <c r="J35" s="143">
        <f t="shared" si="5"/>
        <v>112.71944592434572</v>
      </c>
      <c r="K35" s="143">
        <f t="shared" si="5"/>
        <v>134.7389391420447</v>
      </c>
      <c r="L35" s="143">
        <f t="shared" si="5"/>
        <v>161.85040805756503</v>
      </c>
      <c r="M35" s="143">
        <f t="shared" si="5"/>
        <v>184.99879616834818</v>
      </c>
      <c r="N35" s="143">
        <f t="shared" si="5"/>
        <v>208.87550432329391</v>
      </c>
      <c r="O35" s="143">
        <f t="shared" si="5"/>
        <v>230.08509918538689</v>
      </c>
      <c r="P35" s="144">
        <f t="shared" si="5"/>
        <v>253.66639481388179</v>
      </c>
      <c r="T35" s="137"/>
      <c r="U35" s="137"/>
      <c r="V35" s="137"/>
      <c r="W35" s="137"/>
      <c r="X35" s="137"/>
      <c r="Y35" s="137"/>
      <c r="Z35" s="137"/>
    </row>
    <row r="36" spans="3:26">
      <c r="C36" s="141" t="s">
        <v>136</v>
      </c>
      <c r="D36" s="142" t="s">
        <v>135</v>
      </c>
      <c r="E36" s="142" t="s">
        <v>133</v>
      </c>
      <c r="F36" s="142"/>
      <c r="G36" s="143">
        <f>'Volume Database'!H10</f>
        <v>72.367782024057234</v>
      </c>
      <c r="H36" s="143">
        <f>'Volume Database'!I10</f>
        <v>136.03656208010386</v>
      </c>
      <c r="I36" s="143">
        <f>'Volume Database'!J10</f>
        <v>199.70534213615048</v>
      </c>
      <c r="J36" s="143">
        <f>'Volume Database'!K10</f>
        <v>260.9536753905586</v>
      </c>
      <c r="K36" s="143">
        <f>'Volume Database'!L10</f>
        <v>340.17548943722022</v>
      </c>
      <c r="L36" s="143">
        <f>'Volume Database'!M10</f>
        <v>443.4913466982033</v>
      </c>
      <c r="M36" s="143">
        <f>'Volume Database'!N10</f>
        <v>576.53875070766435</v>
      </c>
      <c r="N36" s="143">
        <f>'Volume Database'!O10</f>
        <v>663.01956331381405</v>
      </c>
      <c r="O36" s="143">
        <f>'Volume Database'!P10</f>
        <v>762.47249781088601</v>
      </c>
      <c r="P36" s="143">
        <f>'Volume Database'!Q10</f>
        <v>876.84337248251882</v>
      </c>
      <c r="T36" s="137"/>
      <c r="U36" s="137"/>
      <c r="V36" s="137"/>
      <c r="W36" s="137"/>
      <c r="X36" s="137"/>
      <c r="Y36" s="137"/>
      <c r="Z36" s="137"/>
    </row>
    <row r="37" spans="3:26" ht="15">
      <c r="C37" s="141"/>
      <c r="D37" s="142" t="s">
        <v>170</v>
      </c>
      <c r="E37" s="424"/>
      <c r="F37" s="425"/>
      <c r="G37" s="143">
        <f t="shared" ref="G37:P37" si="6">G36*($L$11+$L$15+$L$14)</f>
        <v>38.024303156801942</v>
      </c>
      <c r="H37" s="143">
        <f t="shared" si="6"/>
        <v>71.477877755372091</v>
      </c>
      <c r="I37" s="143">
        <f t="shared" si="6"/>
        <v>104.93145235394223</v>
      </c>
      <c r="J37" s="143">
        <f t="shared" si="6"/>
        <v>137.11324826334626</v>
      </c>
      <c r="K37" s="143">
        <f t="shared" si="6"/>
        <v>178.73887488460508</v>
      </c>
      <c r="L37" s="143">
        <f t="shared" si="6"/>
        <v>233.02426774203082</v>
      </c>
      <c r="M37" s="143">
        <f t="shared" si="6"/>
        <v>302.93154806464008</v>
      </c>
      <c r="N37" s="143">
        <f t="shared" si="6"/>
        <v>348.37128027433613</v>
      </c>
      <c r="O37" s="143">
        <f t="shared" si="6"/>
        <v>400.62697231548646</v>
      </c>
      <c r="P37" s="144">
        <f t="shared" si="6"/>
        <v>460.7210181628094</v>
      </c>
      <c r="T37" s="137"/>
      <c r="U37" s="137"/>
      <c r="V37" s="137"/>
      <c r="W37" s="137"/>
      <c r="X37" s="137"/>
      <c r="Y37" s="137"/>
      <c r="Z37" s="137"/>
    </row>
    <row r="38" spans="3:26">
      <c r="C38" s="141" t="s">
        <v>136</v>
      </c>
      <c r="D38" s="142" t="s">
        <v>135</v>
      </c>
      <c r="E38" s="142" t="s">
        <v>130</v>
      </c>
      <c r="F38" s="142"/>
      <c r="G38" s="143">
        <f>'Volume Database'!H11</f>
        <v>0</v>
      </c>
      <c r="H38" s="143">
        <f>'Volume Database'!I11</f>
        <v>0</v>
      </c>
      <c r="I38" s="143">
        <f>'Volume Database'!J11</f>
        <v>0</v>
      </c>
      <c r="J38" s="143">
        <f>'Volume Database'!K11</f>
        <v>0</v>
      </c>
      <c r="K38" s="143">
        <f>'Volume Database'!L11</f>
        <v>0</v>
      </c>
      <c r="L38" s="143">
        <f>'Volume Database'!M11</f>
        <v>0</v>
      </c>
      <c r="M38" s="143">
        <f>'Volume Database'!N11</f>
        <v>0</v>
      </c>
      <c r="N38" s="143">
        <f>'Volume Database'!O11</f>
        <v>0</v>
      </c>
      <c r="O38" s="143">
        <f>'Volume Database'!P11</f>
        <v>0</v>
      </c>
      <c r="P38" s="143">
        <f>'Volume Database'!Q11</f>
        <v>0</v>
      </c>
      <c r="T38" s="137"/>
      <c r="U38" s="137"/>
      <c r="V38" s="137"/>
      <c r="W38" s="137"/>
      <c r="X38" s="137"/>
      <c r="Y38" s="137"/>
      <c r="Z38" s="137"/>
    </row>
    <row r="39" spans="3:26" ht="16" thickBot="1">
      <c r="C39" s="145"/>
      <c r="D39" s="146" t="s">
        <v>170</v>
      </c>
      <c r="E39" s="430"/>
      <c r="F39" s="431"/>
      <c r="G39" s="147">
        <f t="shared" ref="G39:P39" si="7">G38*($N$11+$N$15+$N$14)</f>
        <v>0</v>
      </c>
      <c r="H39" s="147">
        <f t="shared" si="7"/>
        <v>0</v>
      </c>
      <c r="I39" s="147">
        <f t="shared" si="7"/>
        <v>0</v>
      </c>
      <c r="J39" s="147">
        <f t="shared" si="7"/>
        <v>0</v>
      </c>
      <c r="K39" s="147">
        <f t="shared" si="7"/>
        <v>0</v>
      </c>
      <c r="L39" s="147">
        <f t="shared" si="7"/>
        <v>0</v>
      </c>
      <c r="M39" s="147">
        <f t="shared" si="7"/>
        <v>0</v>
      </c>
      <c r="N39" s="147">
        <f t="shared" si="7"/>
        <v>0</v>
      </c>
      <c r="O39" s="147">
        <f t="shared" si="7"/>
        <v>0</v>
      </c>
      <c r="P39" s="148">
        <f t="shared" si="7"/>
        <v>0</v>
      </c>
    </row>
    <row r="40" spans="3:26" ht="16" thickBot="1">
      <c r="C40" s="149"/>
      <c r="D40" s="149"/>
      <c r="E40" s="150"/>
      <c r="F40" s="151"/>
      <c r="G40" s="152"/>
      <c r="H40" s="152"/>
      <c r="I40" s="152"/>
      <c r="J40" s="152"/>
      <c r="K40" s="152"/>
      <c r="L40" s="152"/>
      <c r="M40" s="152"/>
      <c r="N40" s="152"/>
      <c r="O40" s="152"/>
      <c r="P40" s="152"/>
    </row>
    <row r="41" spans="3:26" ht="15">
      <c r="C41" s="138" t="s">
        <v>210</v>
      </c>
      <c r="D41" s="139" t="s">
        <v>132</v>
      </c>
      <c r="E41" s="153" t="s">
        <v>133</v>
      </c>
      <c r="F41" s="154"/>
      <c r="G41" s="140">
        <f>'Volume Database'!H12</f>
        <v>13.038237635245356</v>
      </c>
      <c r="H41" s="140">
        <f>'Volume Database'!I12</f>
        <v>19.557356452868031</v>
      </c>
      <c r="I41" s="140">
        <f>'Volume Database'!J12</f>
        <v>36.699973654615803</v>
      </c>
      <c r="J41" s="140">
        <f>'Volume Database'!K12</f>
        <v>51.379963116462122</v>
      </c>
      <c r="K41" s="140">
        <f>'Volume Database'!L12</f>
        <v>69.362950207223875</v>
      </c>
      <c r="L41" s="140">
        <f>'Volume Database'!M12</f>
        <v>93.639982779752231</v>
      </c>
      <c r="M41" s="140">
        <f>'Volume Database'!N12</f>
        <v>117.04997847469029</v>
      </c>
      <c r="N41" s="140">
        <f>'Volume Database'!O12</f>
        <v>140.45997416962834</v>
      </c>
      <c r="O41" s="140">
        <f>'Volume Database'!P12</f>
        <v>161.52897029507258</v>
      </c>
      <c r="P41" s="140">
        <f>'Volume Database'!Q12</f>
        <v>174.45128791867839</v>
      </c>
    </row>
    <row r="42" spans="3:26" ht="15">
      <c r="C42" s="141"/>
      <c r="D42" s="142" t="s">
        <v>218</v>
      </c>
      <c r="E42" s="424"/>
      <c r="F42" s="425"/>
      <c r="G42" s="143">
        <f>G41*($S$11+$S$15+$S$14)</f>
        <v>5.397035565459773</v>
      </c>
      <c r="H42" s="143">
        <f t="shared" ref="H42:P42" si="8">H41*($S$11+$S$15+$S$14)</f>
        <v>8.0955533481896591</v>
      </c>
      <c r="I42" s="143">
        <f t="shared" si="8"/>
        <v>15.19155184976584</v>
      </c>
      <c r="J42" s="143">
        <f t="shared" si="8"/>
        <v>21.268172589672176</v>
      </c>
      <c r="K42" s="143">
        <f t="shared" si="8"/>
        <v>28.712032996057442</v>
      </c>
      <c r="L42" s="143">
        <f t="shared" si="8"/>
        <v>38.761244544677545</v>
      </c>
      <c r="M42" s="143">
        <f t="shared" si="8"/>
        <v>48.451555680846937</v>
      </c>
      <c r="N42" s="143">
        <f t="shared" si="8"/>
        <v>58.141866817016314</v>
      </c>
      <c r="O42" s="143">
        <f t="shared" si="8"/>
        <v>66.863146839568756</v>
      </c>
      <c r="P42" s="144">
        <f t="shared" si="8"/>
        <v>72.21219858673426</v>
      </c>
    </row>
    <row r="43" spans="3:26" ht="15">
      <c r="C43" s="141" t="s">
        <v>211</v>
      </c>
      <c r="D43" s="142" t="s">
        <v>135</v>
      </c>
      <c r="E43" s="155" t="s">
        <v>133</v>
      </c>
      <c r="F43" s="156"/>
      <c r="G43" s="143">
        <f>'Volume Database'!H14</f>
        <v>45.708655980401815</v>
      </c>
      <c r="H43" s="143">
        <f>'Volume Database'!I14</f>
        <v>89.432317810360914</v>
      </c>
      <c r="I43" s="143">
        <f>'Volume Database'!J14</f>
        <v>164.7294998867871</v>
      </c>
      <c r="J43" s="143">
        <f>'Volume Database'!K14</f>
        <v>219.03661984803222</v>
      </c>
      <c r="K43" s="143">
        <f>'Volume Database'!L14</f>
        <v>288.1693947990882</v>
      </c>
      <c r="L43" s="143">
        <f>'Volume Database'!M14</f>
        <v>379.23962838428713</v>
      </c>
      <c r="M43" s="143">
        <f>'Volume Database'!N14</f>
        <v>486.77530645318541</v>
      </c>
      <c r="N43" s="143">
        <f>'Volume Database'!O14</f>
        <v>567.58686547914806</v>
      </c>
      <c r="O43" s="143">
        <f>'Volume Database'!P14</f>
        <v>652.72489530102018</v>
      </c>
      <c r="P43" s="143">
        <f>'Volume Database'!Q14</f>
        <v>735.57318136814661</v>
      </c>
    </row>
    <row r="44" spans="3:26" ht="15">
      <c r="C44" s="141"/>
      <c r="D44" s="142" t="s">
        <v>218</v>
      </c>
      <c r="E44" s="424"/>
      <c r="F44" s="425"/>
      <c r="G44" s="143">
        <f>G43*($T$11+$T$15+$T$14)</f>
        <v>19.752283355229522</v>
      </c>
      <c r="H44" s="143">
        <f t="shared" ref="H44:P44" si="9">H43*($T$11+$T$15+$T$14)</f>
        <v>38.646782422624618</v>
      </c>
      <c r="I44" s="143">
        <f t="shared" si="9"/>
        <v>71.185286220714318</v>
      </c>
      <c r="J44" s="143">
        <f t="shared" si="9"/>
        <v>94.653261786237067</v>
      </c>
      <c r="K44" s="143">
        <f t="shared" si="9"/>
        <v>124.5279131116241</v>
      </c>
      <c r="L44" s="143">
        <f t="shared" si="9"/>
        <v>163.88249531095781</v>
      </c>
      <c r="M44" s="143">
        <f t="shared" si="9"/>
        <v>210.35236274535239</v>
      </c>
      <c r="N44" s="143">
        <f t="shared" si="9"/>
        <v>245.2738186057712</v>
      </c>
      <c r="O44" s="143">
        <f t="shared" si="9"/>
        <v>282.06489139663688</v>
      </c>
      <c r="P44" s="144">
        <f t="shared" si="9"/>
        <v>317.86648710740644</v>
      </c>
    </row>
    <row r="45" spans="3:26" ht="15">
      <c r="C45" s="141" t="s">
        <v>211</v>
      </c>
      <c r="D45" s="142" t="s">
        <v>212</v>
      </c>
      <c r="E45" s="155" t="s">
        <v>133</v>
      </c>
      <c r="F45" s="156"/>
      <c r="G45" s="143">
        <f>'Volume Database'!H15</f>
        <v>5.4646186816610074</v>
      </c>
      <c r="H45" s="143">
        <f>'Volume Database'!I15</f>
        <v>9.5210118577929013</v>
      </c>
      <c r="I45" s="143">
        <f>'Volume Database'!J15</f>
        <v>18.486178749301466</v>
      </c>
      <c r="J45" s="143">
        <f>'Volume Database'!K15</f>
        <v>25.880650249022047</v>
      </c>
      <c r="K45" s="143">
        <f>'Volume Database'!L15</f>
        <v>34.93887783617977</v>
      </c>
      <c r="L45" s="143">
        <f>'Volume Database'!M15</f>
        <v>47.167485078842688</v>
      </c>
      <c r="M45" s="143">
        <f>'Volume Database'!N15</f>
        <v>58.959356348553356</v>
      </c>
      <c r="N45" s="143">
        <f>'Volume Database'!O15</f>
        <v>70.751227618264039</v>
      </c>
      <c r="O45" s="143">
        <f>'Volume Database'!P15</f>
        <v>81.363911761003621</v>
      </c>
      <c r="P45" s="143">
        <f>'Volume Database'!Q15</f>
        <v>87.873024701883935</v>
      </c>
    </row>
    <row r="46" spans="3:26" ht="15">
      <c r="C46" s="141"/>
      <c r="D46" s="142" t="s">
        <v>218</v>
      </c>
      <c r="E46" s="424"/>
      <c r="F46" s="425"/>
      <c r="G46" s="143">
        <f>G45*($U$11+$U$15+$U$14)</f>
        <v>1.355675717631299</v>
      </c>
      <c r="H46" s="143">
        <f t="shared" ref="H46:P46" si="10">H45*($T$11+$T$15+$T$14)</f>
        <v>4.1143568982702003</v>
      </c>
      <c r="I46" s="143">
        <f t="shared" si="10"/>
        <v>7.9885140566851369</v>
      </c>
      <c r="J46" s="143">
        <f t="shared" si="10"/>
        <v>11.183919679359189</v>
      </c>
      <c r="K46" s="143">
        <f t="shared" si="10"/>
        <v>15.098291567134909</v>
      </c>
      <c r="L46" s="143">
        <f t="shared" si="10"/>
        <v>20.382693615632128</v>
      </c>
      <c r="M46" s="143">
        <f t="shared" si="10"/>
        <v>25.478367019540155</v>
      </c>
      <c r="N46" s="143">
        <f t="shared" si="10"/>
        <v>30.574040423448192</v>
      </c>
      <c r="O46" s="143">
        <f t="shared" si="10"/>
        <v>35.160146486965409</v>
      </c>
      <c r="P46" s="144">
        <f t="shared" si="10"/>
        <v>37.972958205922652</v>
      </c>
    </row>
    <row r="47" spans="3:26" ht="15">
      <c r="C47" s="141" t="s">
        <v>211</v>
      </c>
      <c r="D47" s="142" t="s">
        <v>213</v>
      </c>
      <c r="E47" s="155" t="s">
        <v>133</v>
      </c>
      <c r="F47" s="156"/>
      <c r="G47" s="143">
        <f>'Volume Database'!H16</f>
        <v>18.038652442499725</v>
      </c>
      <c r="H47" s="143">
        <f>'Volume Database'!I16</f>
        <v>33.430646017742482</v>
      </c>
      <c r="I47" s="143">
        <f>'Volume Database'!J16</f>
        <v>65.176933269453073</v>
      </c>
      <c r="J47" s="143">
        <f>'Volume Database'!K16</f>
        <v>91.247706577234297</v>
      </c>
      <c r="K47" s="143">
        <f>'Volume Database'!L16</f>
        <v>123.18440387926631</v>
      </c>
      <c r="L47" s="143">
        <f>'Volume Database'!M16</f>
        <v>166.29894523700955</v>
      </c>
      <c r="M47" s="143">
        <f>'Volume Database'!N16</f>
        <v>207.87368154626191</v>
      </c>
      <c r="N47" s="143">
        <f>'Volume Database'!O16</f>
        <v>249.44841785551426</v>
      </c>
      <c r="O47" s="143">
        <f>'Volume Database'!P16</f>
        <v>286.86568053384138</v>
      </c>
      <c r="P47" s="143">
        <f>'Volume Database'!Q16</f>
        <v>309.81493497654867</v>
      </c>
    </row>
    <row r="48" spans="3:26" ht="15">
      <c r="C48" s="141"/>
      <c r="D48" s="142" t="s">
        <v>218</v>
      </c>
      <c r="E48" s="424"/>
      <c r="F48" s="425"/>
      <c r="G48" s="143">
        <f>G47*($V$11+$V$15+$V$14)</f>
        <v>2.2079310589619663</v>
      </c>
      <c r="H48" s="143">
        <f t="shared" ref="H48:P48" si="11">H47*($T$11+$T$15+$T$14)</f>
        <v>14.446532691181092</v>
      </c>
      <c r="I48" s="143">
        <f t="shared" si="11"/>
        <v>28.165195990779296</v>
      </c>
      <c r="J48" s="143">
        <f t="shared" si="11"/>
        <v>39.431274387091008</v>
      </c>
      <c r="K48" s="143">
        <f t="shared" si="11"/>
        <v>53.232220422572873</v>
      </c>
      <c r="L48" s="143">
        <f t="shared" si="11"/>
        <v>71.863497570473385</v>
      </c>
      <c r="M48" s="143">
        <f t="shared" si="11"/>
        <v>89.829371963091717</v>
      </c>
      <c r="N48" s="143">
        <f t="shared" si="11"/>
        <v>107.79524635571005</v>
      </c>
      <c r="O48" s="143">
        <f t="shared" si="11"/>
        <v>123.96453330906655</v>
      </c>
      <c r="P48" s="144">
        <f t="shared" si="11"/>
        <v>133.88169597379186</v>
      </c>
    </row>
    <row r="49" spans="3:16" ht="15">
      <c r="C49" s="141" t="s">
        <v>211</v>
      </c>
      <c r="D49" s="142" t="s">
        <v>132</v>
      </c>
      <c r="E49" s="155" t="s">
        <v>214</v>
      </c>
      <c r="F49" s="156"/>
      <c r="G49" s="143">
        <f>'Volume Database'!H13</f>
        <v>65.338925213717971</v>
      </c>
      <c r="H49" s="143">
        <f>'Volume Database'!I13</f>
        <v>118.67785042743594</v>
      </c>
      <c r="I49" s="143">
        <f>'Volume Database'!J13</f>
        <v>213.6201307693847</v>
      </c>
      <c r="J49" s="143">
        <f>'Volume Database'!K13</f>
        <v>372.02315038479247</v>
      </c>
      <c r="K49" s="143">
        <f>'Volume Database'!L13</f>
        <v>445.32262294251126</v>
      </c>
      <c r="L49" s="143">
        <f>'Volume Database'!M13</f>
        <v>533.11621638388795</v>
      </c>
      <c r="M49" s="143">
        <f>'Volume Database'!N13</f>
        <v>638.27788884147105</v>
      </c>
      <c r="N49" s="143">
        <f>'Volume Database'!O13</f>
        <v>760.89104728354459</v>
      </c>
      <c r="O49" s="143">
        <f>'Volume Database'!P13</f>
        <v>835.21530524772174</v>
      </c>
      <c r="P49" s="143">
        <f>'Volume Database'!Q13</f>
        <v>916.88374667010794</v>
      </c>
    </row>
    <row r="50" spans="3:16" ht="15">
      <c r="C50" s="141"/>
      <c r="D50" s="142" t="s">
        <v>218</v>
      </c>
      <c r="E50" s="424"/>
      <c r="F50" s="425"/>
      <c r="G50" s="143">
        <f>G49*($W$11+$W$15+$W$14)</f>
        <v>2.121280937624995</v>
      </c>
      <c r="H50" s="143">
        <f t="shared" ref="H50:P50" si="12">H49*($W$11+$W$15+$W$14)</f>
        <v>3.8529721908736763</v>
      </c>
      <c r="I50" s="143">
        <f t="shared" si="12"/>
        <v>6.9353499435726178</v>
      </c>
      <c r="J50" s="143">
        <f t="shared" si="12"/>
        <v>12.078031811591094</v>
      </c>
      <c r="K50" s="143">
        <f t="shared" si="12"/>
        <v>14.45775834315042</v>
      </c>
      <c r="L50" s="143">
        <f t="shared" si="12"/>
        <v>17.308048206407783</v>
      </c>
      <c r="M50" s="143">
        <f t="shared" si="12"/>
        <v>20.722206771510706</v>
      </c>
      <c r="N50" s="143">
        <f t="shared" si="12"/>
        <v>24.702941912996568</v>
      </c>
      <c r="O50" s="143">
        <f t="shared" si="12"/>
        <v>27.115938929810525</v>
      </c>
      <c r="P50" s="144">
        <f t="shared" si="12"/>
        <v>29.767370789581598</v>
      </c>
    </row>
    <row r="51" spans="3:16" ht="15">
      <c r="C51" s="141" t="s">
        <v>211</v>
      </c>
      <c r="D51" s="142" t="s">
        <v>215</v>
      </c>
      <c r="E51" s="155" t="s">
        <v>214</v>
      </c>
      <c r="F51" s="156"/>
      <c r="G51" s="143">
        <f>'Volume Database'!H17</f>
        <v>0</v>
      </c>
      <c r="H51" s="143">
        <f>'Volume Database'!I17</f>
        <v>0</v>
      </c>
      <c r="I51" s="143">
        <f>'Volume Database'!J17</f>
        <v>0</v>
      </c>
      <c r="J51" s="143">
        <f>'Volume Database'!K17</f>
        <v>0</v>
      </c>
      <c r="K51" s="143">
        <f>'Volume Database'!L17</f>
        <v>0</v>
      </c>
      <c r="L51" s="143">
        <f>'Volume Database'!M17</f>
        <v>0</v>
      </c>
      <c r="M51" s="143">
        <f>'Volume Database'!N17</f>
        <v>0</v>
      </c>
      <c r="N51" s="143">
        <f>'Volume Database'!O17</f>
        <v>0</v>
      </c>
      <c r="O51" s="143">
        <f>'Volume Database'!P17</f>
        <v>0</v>
      </c>
      <c r="P51" s="143">
        <f>'Volume Database'!Q17</f>
        <v>0</v>
      </c>
    </row>
    <row r="52" spans="3:16" ht="15">
      <c r="C52" s="141"/>
      <c r="D52" s="142" t="s">
        <v>218</v>
      </c>
      <c r="E52" s="424"/>
      <c r="F52" s="425"/>
      <c r="G52" s="143">
        <f>G51*($X$11+$X$15+$X$14)</f>
        <v>0</v>
      </c>
      <c r="H52" s="143">
        <f t="shared" ref="H52:P52" si="13">H51*($X$11+$X$15+$X$14)</f>
        <v>0</v>
      </c>
      <c r="I52" s="143">
        <f t="shared" si="13"/>
        <v>0</v>
      </c>
      <c r="J52" s="143">
        <f t="shared" si="13"/>
        <v>0</v>
      </c>
      <c r="K52" s="143">
        <f t="shared" si="13"/>
        <v>0</v>
      </c>
      <c r="L52" s="143">
        <f t="shared" si="13"/>
        <v>0</v>
      </c>
      <c r="M52" s="143">
        <f t="shared" si="13"/>
        <v>0</v>
      </c>
      <c r="N52" s="143">
        <f t="shared" si="13"/>
        <v>0</v>
      </c>
      <c r="O52" s="143">
        <f t="shared" si="13"/>
        <v>0</v>
      </c>
      <c r="P52" s="144">
        <f t="shared" si="13"/>
        <v>0</v>
      </c>
    </row>
    <row r="53" spans="3:16" ht="15">
      <c r="C53" s="141" t="s">
        <v>216</v>
      </c>
      <c r="D53" s="142" t="s">
        <v>132</v>
      </c>
      <c r="E53" s="155" t="s">
        <v>133</v>
      </c>
      <c r="F53" s="156"/>
      <c r="G53" s="143">
        <f>'Volume Database'!H18</f>
        <v>0</v>
      </c>
      <c r="H53" s="143">
        <f>'Volume Database'!I18</f>
        <v>0</v>
      </c>
      <c r="I53" s="143">
        <f>'Volume Database'!J18</f>
        <v>0</v>
      </c>
      <c r="J53" s="143">
        <f>'Volume Database'!K18</f>
        <v>0</v>
      </c>
      <c r="K53" s="143">
        <f>'Volume Database'!L18</f>
        <v>0</v>
      </c>
      <c r="L53" s="143">
        <f>'Volume Database'!M18</f>
        <v>0</v>
      </c>
      <c r="M53" s="143">
        <f>'Volume Database'!N18</f>
        <v>0</v>
      </c>
      <c r="N53" s="143">
        <f>'Volume Database'!O18</f>
        <v>0</v>
      </c>
      <c r="O53" s="143">
        <f>'Volume Database'!P18</f>
        <v>0</v>
      </c>
      <c r="P53" s="143">
        <f>'Volume Database'!Q18</f>
        <v>0</v>
      </c>
    </row>
    <row r="54" spans="3:16" ht="15">
      <c r="C54" s="141"/>
      <c r="D54" s="142" t="s">
        <v>218</v>
      </c>
      <c r="E54" s="424"/>
      <c r="F54" s="425"/>
      <c r="G54" s="143">
        <f t="shared" ref="G54:P54" si="14">G53*($X$11+$X$15+$X$14)</f>
        <v>0</v>
      </c>
      <c r="H54" s="143">
        <f t="shared" si="14"/>
        <v>0</v>
      </c>
      <c r="I54" s="143">
        <f t="shared" si="14"/>
        <v>0</v>
      </c>
      <c r="J54" s="143">
        <f t="shared" si="14"/>
        <v>0</v>
      </c>
      <c r="K54" s="143">
        <f t="shared" si="14"/>
        <v>0</v>
      </c>
      <c r="L54" s="143">
        <f t="shared" si="14"/>
        <v>0</v>
      </c>
      <c r="M54" s="143">
        <f t="shared" si="14"/>
        <v>0</v>
      </c>
      <c r="N54" s="143">
        <f t="shared" si="14"/>
        <v>0</v>
      </c>
      <c r="O54" s="143">
        <f t="shared" si="14"/>
        <v>0</v>
      </c>
      <c r="P54" s="144">
        <f t="shared" si="14"/>
        <v>0</v>
      </c>
    </row>
    <row r="55" spans="3:16" ht="15">
      <c r="C55" s="141" t="s">
        <v>216</v>
      </c>
      <c r="D55" s="142" t="s">
        <v>215</v>
      </c>
      <c r="E55" s="155" t="s">
        <v>133</v>
      </c>
      <c r="F55" s="156"/>
      <c r="G55" s="143">
        <f>'Volume Database'!H20</f>
        <v>0</v>
      </c>
      <c r="H55" s="143">
        <f>'Volume Database'!I20</f>
        <v>0</v>
      </c>
      <c r="I55" s="143">
        <f>'Volume Database'!J20</f>
        <v>0</v>
      </c>
      <c r="J55" s="143">
        <f>'Volume Database'!K20</f>
        <v>0</v>
      </c>
      <c r="K55" s="143">
        <f>'Volume Database'!L20</f>
        <v>0</v>
      </c>
      <c r="L55" s="143">
        <f>'Volume Database'!M20</f>
        <v>0</v>
      </c>
      <c r="M55" s="143">
        <f>'Volume Database'!N20</f>
        <v>0</v>
      </c>
      <c r="N55" s="143">
        <f>'Volume Database'!O20</f>
        <v>0</v>
      </c>
      <c r="O55" s="143">
        <f>'Volume Database'!P20</f>
        <v>0</v>
      </c>
      <c r="P55" s="143">
        <f>'Volume Database'!Q20</f>
        <v>0</v>
      </c>
    </row>
    <row r="56" spans="3:16" ht="15">
      <c r="C56" s="141"/>
      <c r="D56" s="142" t="s">
        <v>218</v>
      </c>
      <c r="E56" s="424"/>
      <c r="F56" s="425"/>
      <c r="G56" s="143">
        <f>G55*($Z$11+$Z$15+$Z$14)</f>
        <v>0</v>
      </c>
      <c r="H56" s="143">
        <f t="shared" ref="H56:P56" si="15">H55*($Z$11+$Z$15+$Z$14)</f>
        <v>0</v>
      </c>
      <c r="I56" s="143">
        <f t="shared" si="15"/>
        <v>0</v>
      </c>
      <c r="J56" s="143">
        <f t="shared" si="15"/>
        <v>0</v>
      </c>
      <c r="K56" s="143">
        <f t="shared" si="15"/>
        <v>0</v>
      </c>
      <c r="L56" s="143">
        <f t="shared" si="15"/>
        <v>0</v>
      </c>
      <c r="M56" s="143">
        <f t="shared" si="15"/>
        <v>0</v>
      </c>
      <c r="N56" s="143">
        <f t="shared" si="15"/>
        <v>0</v>
      </c>
      <c r="O56" s="143">
        <f t="shared" si="15"/>
        <v>0</v>
      </c>
      <c r="P56" s="144">
        <f t="shared" si="15"/>
        <v>0</v>
      </c>
    </row>
    <row r="57" spans="3:16" ht="15">
      <c r="C57" s="141" t="s">
        <v>216</v>
      </c>
      <c r="D57" s="142" t="s">
        <v>217</v>
      </c>
      <c r="E57" s="155" t="s">
        <v>133</v>
      </c>
      <c r="F57" s="156"/>
      <c r="G57" s="143">
        <f>'Volume Database'!H19</f>
        <v>0</v>
      </c>
      <c r="H57" s="143">
        <f>'Volume Database'!I19</f>
        <v>0</v>
      </c>
      <c r="I57" s="143">
        <f>'Volume Database'!J19</f>
        <v>0</v>
      </c>
      <c r="J57" s="143">
        <f>'Volume Database'!K19</f>
        <v>0</v>
      </c>
      <c r="K57" s="143">
        <f>'Volume Database'!L19</f>
        <v>0</v>
      </c>
      <c r="L57" s="143">
        <f>'Volume Database'!M19</f>
        <v>0</v>
      </c>
      <c r="M57" s="143">
        <f>'Volume Database'!N19</f>
        <v>0</v>
      </c>
      <c r="N57" s="143">
        <f>'Volume Database'!O19</f>
        <v>0</v>
      </c>
      <c r="O57" s="143">
        <f>'Volume Database'!P19</f>
        <v>0</v>
      </c>
      <c r="P57" s="143">
        <f>'Volume Database'!Q19</f>
        <v>0</v>
      </c>
    </row>
    <row r="58" spans="3:16" ht="16" thickBot="1">
      <c r="C58" s="145"/>
      <c r="D58" s="146" t="s">
        <v>218</v>
      </c>
      <c r="E58" s="424"/>
      <c r="F58" s="425"/>
      <c r="G58" s="147">
        <f>G57*($AA$11+$AA$15+$AA$14)</f>
        <v>0</v>
      </c>
      <c r="H58" s="147">
        <f t="shared" ref="H58:P58" si="16">H57*($AA$11+$AA$15+$AA$14)</f>
        <v>0</v>
      </c>
      <c r="I58" s="147">
        <f t="shared" si="16"/>
        <v>0</v>
      </c>
      <c r="J58" s="147">
        <f t="shared" si="16"/>
        <v>0</v>
      </c>
      <c r="K58" s="147">
        <f t="shared" si="16"/>
        <v>0</v>
      </c>
      <c r="L58" s="147">
        <f t="shared" si="16"/>
        <v>0</v>
      </c>
      <c r="M58" s="147">
        <f t="shared" si="16"/>
        <v>0</v>
      </c>
      <c r="N58" s="147">
        <f t="shared" si="16"/>
        <v>0</v>
      </c>
      <c r="O58" s="147">
        <f t="shared" si="16"/>
        <v>0</v>
      </c>
      <c r="P58" s="148">
        <f t="shared" si="16"/>
        <v>0</v>
      </c>
    </row>
    <row r="62" spans="3:16" s="157" customFormat="1" ht="15" thickBot="1">
      <c r="D62" s="158" t="s">
        <v>170</v>
      </c>
      <c r="F62" s="159" t="s">
        <v>68</v>
      </c>
      <c r="G62" s="160">
        <f>+SUMIF($D$22:$D$61,$D$62,G$22:G$61)</f>
        <v>499.28040741143491</v>
      </c>
      <c r="H62" s="160">
        <f t="shared" ref="H62:P62" si="17">+SUMIF($D$22:$D$61,$D$62,H$22:H$61)</f>
        <v>915.06425109622944</v>
      </c>
      <c r="I62" s="160">
        <f t="shared" si="17"/>
        <v>1352.8358043751696</v>
      </c>
      <c r="J62" s="160">
        <f t="shared" si="17"/>
        <v>1654.4559741102207</v>
      </c>
      <c r="K62" s="160">
        <f t="shared" si="17"/>
        <v>2015.0124665863625</v>
      </c>
      <c r="L62" s="160">
        <f t="shared" si="17"/>
        <v>2466.2641281497249</v>
      </c>
      <c r="M62" s="160">
        <f t="shared" si="17"/>
        <v>2948.6947717580356</v>
      </c>
      <c r="N62" s="160">
        <f t="shared" si="17"/>
        <v>3391.517064486522</v>
      </c>
      <c r="O62" s="160">
        <f t="shared" si="17"/>
        <v>3878.5580519810455</v>
      </c>
      <c r="P62" s="160">
        <f t="shared" si="17"/>
        <v>4414.4168263005076</v>
      </c>
    </row>
  </sheetData>
  <mergeCells count="46">
    <mergeCell ref="AE6:AF6"/>
    <mergeCell ref="B9:B15"/>
    <mergeCell ref="Q4:Q5"/>
    <mergeCell ref="R4:R5"/>
    <mergeCell ref="S4:S5"/>
    <mergeCell ref="T4:T5"/>
    <mergeCell ref="U4:U5"/>
    <mergeCell ref="W4:W5"/>
    <mergeCell ref="K4:K5"/>
    <mergeCell ref="L4:L5"/>
    <mergeCell ref="M4:M5"/>
    <mergeCell ref="N4:N5"/>
    <mergeCell ref="O4:O5"/>
    <mergeCell ref="P4:P5"/>
    <mergeCell ref="X4:X5"/>
    <mergeCell ref="Y4:Y5"/>
    <mergeCell ref="S2:X2"/>
    <mergeCell ref="Y2:AA2"/>
    <mergeCell ref="K3:L3"/>
    <mergeCell ref="M3:N3"/>
    <mergeCell ref="O3:P3"/>
    <mergeCell ref="Q3:R3"/>
    <mergeCell ref="S3:V3"/>
    <mergeCell ref="Y3:AA3"/>
    <mergeCell ref="K2:N2"/>
    <mergeCell ref="O2:R2"/>
    <mergeCell ref="Z4:Z5"/>
    <mergeCell ref="AA4:AA5"/>
    <mergeCell ref="E42:F42"/>
    <mergeCell ref="E44:F44"/>
    <mergeCell ref="E46:F46"/>
    <mergeCell ref="E25:F25"/>
    <mergeCell ref="E23:F23"/>
    <mergeCell ref="E39:F39"/>
    <mergeCell ref="E27:F27"/>
    <mergeCell ref="E29:F29"/>
    <mergeCell ref="E31:F31"/>
    <mergeCell ref="E33:F33"/>
    <mergeCell ref="E35:F35"/>
    <mergeCell ref="E37:F37"/>
    <mergeCell ref="E56:F56"/>
    <mergeCell ref="E58:F58"/>
    <mergeCell ref="E48:F48"/>
    <mergeCell ref="E50:F50"/>
    <mergeCell ref="E52:F52"/>
    <mergeCell ref="E54:F54"/>
  </mergeCells>
  <phoneticPr fontId="1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104"/>
  <sheetViews>
    <sheetView topLeftCell="A46" zoomScale="80" zoomScaleNormal="80" workbookViewId="0">
      <selection activeCell="G70" sqref="G70"/>
    </sheetView>
  </sheetViews>
  <sheetFormatPr baseColWidth="10" defaultColWidth="9" defaultRowHeight="15"/>
  <cols>
    <col min="1" max="2" width="9" style="46"/>
    <col min="3" max="3" width="25.5" style="46" customWidth="1"/>
    <col min="4" max="4" width="25.1640625" style="46" customWidth="1"/>
    <col min="5" max="5" width="13.5" style="46" customWidth="1"/>
    <col min="6" max="6" width="17.5" style="46" customWidth="1"/>
    <col min="7" max="7" width="9" style="46"/>
    <col min="8" max="8" width="11.5" style="46" bestFit="1" customWidth="1"/>
    <col min="9" max="17" width="12.5" style="46" bestFit="1" customWidth="1"/>
    <col min="18" max="16384" width="9" style="46"/>
  </cols>
  <sheetData>
    <row r="1" spans="1:28">
      <c r="A1" s="45" t="s">
        <v>186</v>
      </c>
      <c r="H1" s="527">
        <f>SUM(H3:H20,H25:H35,H68:H77)</f>
        <v>9854.3761815468206</v>
      </c>
      <c r="I1" s="528"/>
      <c r="J1" s="528"/>
      <c r="K1" s="528"/>
      <c r="L1" s="528"/>
      <c r="M1" s="528"/>
      <c r="N1" s="528"/>
      <c r="O1" s="528"/>
      <c r="P1" s="528"/>
      <c r="Q1" s="527">
        <f>SUM(Q3:Q20,Q25:Q35,Q68:Q77)</f>
        <v>78081.412618994582</v>
      </c>
    </row>
    <row r="2" spans="1:28">
      <c r="B2" s="45" t="s">
        <v>266</v>
      </c>
      <c r="H2" s="528">
        <v>2015</v>
      </c>
      <c r="I2" s="528">
        <f>H2+1</f>
        <v>2016</v>
      </c>
      <c r="J2" s="528">
        <f t="shared" ref="J2:Q2" si="0">I2+1</f>
        <v>2017</v>
      </c>
      <c r="K2" s="528">
        <f t="shared" si="0"/>
        <v>2018</v>
      </c>
      <c r="L2" s="528">
        <f t="shared" si="0"/>
        <v>2019</v>
      </c>
      <c r="M2" s="528">
        <f t="shared" si="0"/>
        <v>2020</v>
      </c>
      <c r="N2" s="528">
        <f t="shared" si="0"/>
        <v>2021</v>
      </c>
      <c r="O2" s="528">
        <f t="shared" si="0"/>
        <v>2022</v>
      </c>
      <c r="P2" s="528">
        <f t="shared" si="0"/>
        <v>2023</v>
      </c>
      <c r="Q2" s="528">
        <f t="shared" si="0"/>
        <v>2024</v>
      </c>
    </row>
    <row r="3" spans="1:28">
      <c r="C3" s="47" t="s">
        <v>192</v>
      </c>
      <c r="D3" s="48"/>
      <c r="E3" s="48" t="s">
        <v>130</v>
      </c>
      <c r="F3" s="49"/>
      <c r="G3" s="49"/>
      <c r="H3" s="529">
        <v>605.20567753258115</v>
      </c>
      <c r="I3" s="529">
        <v>945.63947306456703</v>
      </c>
      <c r="J3" s="529">
        <v>1286.0732685965531</v>
      </c>
      <c r="K3" s="529">
        <v>1478.9842588860361</v>
      </c>
      <c r="L3" s="529">
        <v>1700.8318977189413</v>
      </c>
      <c r="M3" s="529">
        <v>1955.9566823767823</v>
      </c>
      <c r="N3" s="529">
        <v>2249.3501847332996</v>
      </c>
      <c r="O3" s="529">
        <v>2586.7527124432941</v>
      </c>
      <c r="P3" s="529">
        <v>2974.7656193097878</v>
      </c>
      <c r="Q3" s="529">
        <v>3420.9804622062557</v>
      </c>
      <c r="S3" s="214">
        <v>605.20567753258115</v>
      </c>
      <c r="T3" s="214">
        <v>945.63947306456703</v>
      </c>
      <c r="U3" s="214">
        <v>1286.0732685965531</v>
      </c>
      <c r="V3" s="214">
        <v>1478.9842588860361</v>
      </c>
      <c r="W3" s="214">
        <v>1700.8318977189413</v>
      </c>
      <c r="X3" s="214">
        <v>1955.9566823767823</v>
      </c>
      <c r="Y3" s="214">
        <v>2249.3501847332996</v>
      </c>
      <c r="Z3" s="214">
        <v>2586.7527124432941</v>
      </c>
      <c r="AA3" s="214">
        <v>2974.7656193097878</v>
      </c>
      <c r="AB3" s="215">
        <v>3420.9804622062557</v>
      </c>
    </row>
    <row r="4" spans="1:28">
      <c r="C4" s="51" t="s">
        <v>194</v>
      </c>
      <c r="D4" s="52" t="s">
        <v>132</v>
      </c>
      <c r="E4" s="52" t="s">
        <v>133</v>
      </c>
      <c r="F4" s="50"/>
      <c r="G4" s="50"/>
      <c r="H4" s="530">
        <f>S4</f>
        <v>665.67341954340156</v>
      </c>
      <c r="I4" s="530">
        <f t="shared" ref="I4:M10" si="1">T4</f>
        <v>1065.6275691123665</v>
      </c>
      <c r="J4" s="530">
        <f t="shared" si="1"/>
        <v>1465.5817186813313</v>
      </c>
      <c r="K4" s="530">
        <f t="shared" si="1"/>
        <v>1686.023689493607</v>
      </c>
      <c r="L4" s="530">
        <f t="shared" si="1"/>
        <v>1939.6528985297393</v>
      </c>
      <c r="M4" s="530">
        <f t="shared" si="1"/>
        <v>2231.4716200437097</v>
      </c>
      <c r="N4" s="530">
        <f t="shared" ref="N4:N10" si="2">Y4</f>
        <v>2567.2373071316779</v>
      </c>
      <c r="O4" s="530">
        <f t="shared" ref="O4:Q10" si="3">Z4</f>
        <v>2951.0689703037351</v>
      </c>
      <c r="P4" s="530">
        <f t="shared" si="3"/>
        <v>3392.3499896618318</v>
      </c>
      <c r="Q4" s="530">
        <f t="shared" si="3"/>
        <v>3899.6852293048969</v>
      </c>
      <c r="S4" s="214">
        <v>665.67341954340156</v>
      </c>
      <c r="T4" s="214">
        <v>1065.6275691123665</v>
      </c>
      <c r="U4" s="214">
        <v>1465.5817186813313</v>
      </c>
      <c r="V4" s="214">
        <v>1686.023689493607</v>
      </c>
      <c r="W4" s="214">
        <v>1939.6528985297393</v>
      </c>
      <c r="X4" s="214">
        <v>2231.4716200437097</v>
      </c>
      <c r="Y4" s="214">
        <v>2567.2373071316779</v>
      </c>
      <c r="Z4" s="214">
        <v>2951.0689703037351</v>
      </c>
      <c r="AA4" s="214">
        <v>3392.3499896618318</v>
      </c>
      <c r="AB4" s="215">
        <v>3899.6852293048969</v>
      </c>
    </row>
    <row r="5" spans="1:28">
      <c r="C5" s="51" t="s">
        <v>194</v>
      </c>
      <c r="D5" s="52" t="s">
        <v>132</v>
      </c>
      <c r="E5" s="52" t="s">
        <v>130</v>
      </c>
      <c r="F5" s="50"/>
      <c r="G5" s="50"/>
      <c r="H5" s="530">
        <f t="shared" ref="H5:H10" si="4">S5</f>
        <v>119.31804688054908</v>
      </c>
      <c r="I5" s="530">
        <f t="shared" si="1"/>
        <v>302.58945369307753</v>
      </c>
      <c r="J5" s="530">
        <f t="shared" si="1"/>
        <v>485.86086050560607</v>
      </c>
      <c r="K5" s="530">
        <f t="shared" si="1"/>
        <v>559.72376484927111</v>
      </c>
      <c r="L5" s="530">
        <f t="shared" si="1"/>
        <v>644.86285989805071</v>
      </c>
      <c r="M5" s="530">
        <f t="shared" si="1"/>
        <v>743.00892526842506</v>
      </c>
      <c r="N5" s="530">
        <f t="shared" si="2"/>
        <v>834.88993816111645</v>
      </c>
      <c r="O5" s="530">
        <f t="shared" si="3"/>
        <v>934.26074818230643</v>
      </c>
      <c r="P5" s="530">
        <f t="shared" ref="P5:P11" si="5">AA5</f>
        <v>1009.8991888508494</v>
      </c>
      <c r="Q5" s="530">
        <f t="shared" ref="Q5:Q11" si="6">AB5</f>
        <v>1091.6784628542719</v>
      </c>
      <c r="S5" s="214">
        <v>119.31804688054908</v>
      </c>
      <c r="T5" s="214">
        <v>302.58945369307753</v>
      </c>
      <c r="U5" s="214">
        <v>485.86086050560607</v>
      </c>
      <c r="V5" s="214">
        <v>559.72376484927111</v>
      </c>
      <c r="W5" s="214">
        <v>644.86285989805071</v>
      </c>
      <c r="X5" s="214">
        <v>743.00892526842506</v>
      </c>
      <c r="Y5" s="214">
        <v>834.88993816111645</v>
      </c>
      <c r="Z5" s="214">
        <v>934.26074818230643</v>
      </c>
      <c r="AA5" s="214">
        <v>1009.8991888508494</v>
      </c>
      <c r="AB5" s="215">
        <v>1091.6784628542719</v>
      </c>
    </row>
    <row r="6" spans="1:28">
      <c r="C6" s="51" t="s">
        <v>194</v>
      </c>
      <c r="D6" s="52" t="s">
        <v>135</v>
      </c>
      <c r="E6" s="52" t="s">
        <v>133</v>
      </c>
      <c r="F6" s="50"/>
      <c r="G6" s="50"/>
      <c r="H6" s="530">
        <f t="shared" si="4"/>
        <v>42.819748450484902</v>
      </c>
      <c r="I6" s="530">
        <f t="shared" si="1"/>
        <v>78.0273997703639</v>
      </c>
      <c r="J6" s="530">
        <f t="shared" si="1"/>
        <v>113.23505109024288</v>
      </c>
      <c r="K6" s="530">
        <f t="shared" si="1"/>
        <v>147.20556641731577</v>
      </c>
      <c r="L6" s="530">
        <f t="shared" si="1"/>
        <v>191.36723634251049</v>
      </c>
      <c r="M6" s="530">
        <f t="shared" si="1"/>
        <v>248.77740724526362</v>
      </c>
      <c r="N6" s="530">
        <f t="shared" si="2"/>
        <v>323.41062941884275</v>
      </c>
      <c r="O6" s="530">
        <f t="shared" si="3"/>
        <v>371.9222238316691</v>
      </c>
      <c r="P6" s="530">
        <f t="shared" si="5"/>
        <v>427.71055740641941</v>
      </c>
      <c r="Q6" s="530">
        <f t="shared" si="6"/>
        <v>491.86714101738232</v>
      </c>
      <c r="S6" s="214">
        <v>42.819748450484902</v>
      </c>
      <c r="T6" s="214">
        <v>78.0273997703639</v>
      </c>
      <c r="U6" s="214">
        <v>113.23505109024288</v>
      </c>
      <c r="V6" s="214">
        <v>147.20556641731577</v>
      </c>
      <c r="W6" s="214">
        <v>191.36723634251049</v>
      </c>
      <c r="X6" s="214">
        <v>248.77740724526362</v>
      </c>
      <c r="Y6" s="214">
        <v>323.41062941884275</v>
      </c>
      <c r="Z6" s="214">
        <v>371.9222238316691</v>
      </c>
      <c r="AA6" s="214">
        <v>427.71055740641941</v>
      </c>
      <c r="AB6" s="215">
        <v>491.86714101738232</v>
      </c>
    </row>
    <row r="7" spans="1:28">
      <c r="C7" s="51" t="s">
        <v>194</v>
      </c>
      <c r="D7" s="52" t="s">
        <v>135</v>
      </c>
      <c r="E7" s="52" t="s">
        <v>130</v>
      </c>
      <c r="F7" s="50"/>
      <c r="G7" s="50"/>
      <c r="H7" s="530">
        <f t="shared" si="4"/>
        <v>0</v>
      </c>
      <c r="I7" s="530">
        <f t="shared" si="1"/>
        <v>0</v>
      </c>
      <c r="J7" s="530">
        <f t="shared" si="1"/>
        <v>0</v>
      </c>
      <c r="K7" s="530">
        <f t="shared" si="1"/>
        <v>0</v>
      </c>
      <c r="L7" s="530">
        <f t="shared" si="1"/>
        <v>0</v>
      </c>
      <c r="M7" s="530">
        <f t="shared" si="1"/>
        <v>0</v>
      </c>
      <c r="N7" s="530">
        <f t="shared" si="2"/>
        <v>0</v>
      </c>
      <c r="O7" s="530">
        <f t="shared" si="3"/>
        <v>0</v>
      </c>
      <c r="P7" s="530">
        <f t="shared" si="5"/>
        <v>0</v>
      </c>
      <c r="Q7" s="530">
        <f t="shared" si="6"/>
        <v>0</v>
      </c>
      <c r="S7" s="214">
        <v>0</v>
      </c>
      <c r="T7" s="214">
        <v>0</v>
      </c>
      <c r="U7" s="214">
        <v>0</v>
      </c>
      <c r="V7" s="214">
        <v>0</v>
      </c>
      <c r="W7" s="214">
        <v>0</v>
      </c>
      <c r="X7" s="214">
        <v>0</v>
      </c>
      <c r="Y7" s="214">
        <v>0</v>
      </c>
      <c r="Z7" s="214">
        <v>0</v>
      </c>
      <c r="AA7" s="214">
        <v>0</v>
      </c>
      <c r="AB7" s="215">
        <v>0</v>
      </c>
    </row>
    <row r="8" spans="1:28">
      <c r="C8" s="51" t="s">
        <v>196</v>
      </c>
      <c r="D8" s="52" t="s">
        <v>132</v>
      </c>
      <c r="E8" s="52" t="s">
        <v>133</v>
      </c>
      <c r="F8" s="50"/>
      <c r="G8" s="50"/>
      <c r="H8" s="530">
        <f t="shared" si="4"/>
        <v>94.809068433751321</v>
      </c>
      <c r="I8" s="530">
        <f t="shared" si="1"/>
        <v>249.07929839577963</v>
      </c>
      <c r="J8" s="530">
        <f t="shared" si="1"/>
        <v>403.34952835780791</v>
      </c>
      <c r="K8" s="530">
        <f t="shared" si="1"/>
        <v>540.3601289381503</v>
      </c>
      <c r="L8" s="530">
        <f t="shared" si="1"/>
        <v>707.58988438000029</v>
      </c>
      <c r="M8" s="530">
        <f t="shared" si="1"/>
        <v>928.9707962891971</v>
      </c>
      <c r="N8" s="530">
        <f t="shared" si="2"/>
        <v>1114.7649555470366</v>
      </c>
      <c r="O8" s="530">
        <f t="shared" si="3"/>
        <v>1269.3674360196665</v>
      </c>
      <c r="P8" s="530">
        <f t="shared" si="5"/>
        <v>1445.899062277248</v>
      </c>
      <c r="Q8" s="530">
        <f t="shared" si="6"/>
        <v>1647.5230835589302</v>
      </c>
      <c r="S8" s="214">
        <v>94.809068433751321</v>
      </c>
      <c r="T8" s="214">
        <v>249.07929839577963</v>
      </c>
      <c r="U8" s="214">
        <v>403.34952835780791</v>
      </c>
      <c r="V8" s="214">
        <v>540.3601289381503</v>
      </c>
      <c r="W8" s="214">
        <v>707.58988438000029</v>
      </c>
      <c r="X8" s="214">
        <v>928.9707962891971</v>
      </c>
      <c r="Y8" s="214">
        <v>1114.7649555470366</v>
      </c>
      <c r="Z8" s="214">
        <v>1269.3674360196665</v>
      </c>
      <c r="AA8" s="214">
        <v>1445.899062277248</v>
      </c>
      <c r="AB8" s="215">
        <v>1647.5230835589302</v>
      </c>
    </row>
    <row r="9" spans="1:28">
      <c r="C9" s="51" t="s">
        <v>196</v>
      </c>
      <c r="D9" s="52" t="s">
        <v>132</v>
      </c>
      <c r="E9" s="52" t="s">
        <v>130</v>
      </c>
      <c r="F9" s="50"/>
      <c r="G9" s="50"/>
      <c r="H9" s="530">
        <f t="shared" si="4"/>
        <v>463.5873011288819</v>
      </c>
      <c r="I9" s="530">
        <f t="shared" si="1"/>
        <v>1417.6192037692997</v>
      </c>
      <c r="J9" s="530">
        <f t="shared" si="1"/>
        <v>2371.6511064097176</v>
      </c>
      <c r="K9" s="530">
        <f t="shared" si="1"/>
        <v>2842.4885376664474</v>
      </c>
      <c r="L9" s="530">
        <f t="shared" si="1"/>
        <v>3397.7623554471193</v>
      </c>
      <c r="M9" s="530">
        <f t="shared" si="1"/>
        <v>4081.4424338906383</v>
      </c>
      <c r="N9" s="530">
        <f t="shared" si="2"/>
        <v>4665.1840175257985</v>
      </c>
      <c r="O9" s="530">
        <f t="shared" si="3"/>
        <v>5267.2919208346229</v>
      </c>
      <c r="P9" s="530">
        <f t="shared" si="5"/>
        <v>5802.1422280700954</v>
      </c>
      <c r="Q9" s="530">
        <f t="shared" si="6"/>
        <v>6396.8006029197113</v>
      </c>
      <c r="S9" s="214">
        <v>463.5873011288819</v>
      </c>
      <c r="T9" s="214">
        <v>1417.6192037692997</v>
      </c>
      <c r="U9" s="214">
        <v>2371.6511064097176</v>
      </c>
      <c r="V9" s="214">
        <v>2842.4885376664474</v>
      </c>
      <c r="W9" s="214">
        <v>3397.7623554471193</v>
      </c>
      <c r="X9" s="214">
        <v>4081.4424338906383</v>
      </c>
      <c r="Y9" s="214">
        <v>4665.1840175257985</v>
      </c>
      <c r="Z9" s="214">
        <v>5267.2919208346229</v>
      </c>
      <c r="AA9" s="214">
        <v>5802.1422280700954</v>
      </c>
      <c r="AB9" s="215">
        <v>6396.8006029197113</v>
      </c>
    </row>
    <row r="10" spans="1:28">
      <c r="C10" s="51" t="s">
        <v>196</v>
      </c>
      <c r="D10" s="52" t="s">
        <v>135</v>
      </c>
      <c r="E10" s="52" t="s">
        <v>133</v>
      </c>
      <c r="F10" s="50"/>
      <c r="G10" s="50"/>
      <c r="H10" s="530">
        <f t="shared" si="4"/>
        <v>72.367782024057234</v>
      </c>
      <c r="I10" s="530">
        <f t="shared" si="1"/>
        <v>136.03656208010386</v>
      </c>
      <c r="J10" s="530">
        <f t="shared" si="1"/>
        <v>199.70534213615048</v>
      </c>
      <c r="K10" s="530">
        <f t="shared" si="1"/>
        <v>260.9536753905586</v>
      </c>
      <c r="L10" s="530">
        <f t="shared" si="1"/>
        <v>340.17548943722022</v>
      </c>
      <c r="M10" s="530">
        <f t="shared" si="1"/>
        <v>443.4913466982033</v>
      </c>
      <c r="N10" s="530">
        <f t="shared" si="2"/>
        <v>576.53875070766435</v>
      </c>
      <c r="O10" s="530">
        <f t="shared" si="3"/>
        <v>663.01956331381405</v>
      </c>
      <c r="P10" s="530">
        <f t="shared" si="5"/>
        <v>762.47249781088601</v>
      </c>
      <c r="Q10" s="530">
        <f t="shared" si="6"/>
        <v>876.84337248251882</v>
      </c>
      <c r="S10" s="214">
        <v>72.367782024057234</v>
      </c>
      <c r="T10" s="214">
        <v>136.03656208010386</v>
      </c>
      <c r="U10" s="214">
        <v>199.70534213615048</v>
      </c>
      <c r="V10" s="214">
        <v>260.9536753905586</v>
      </c>
      <c r="W10" s="214">
        <v>340.17548943722022</v>
      </c>
      <c r="X10" s="214">
        <v>443.4913466982033</v>
      </c>
      <c r="Y10" s="214">
        <v>576.53875070766435</v>
      </c>
      <c r="Z10" s="214">
        <v>663.01956331381405</v>
      </c>
      <c r="AA10" s="214">
        <v>762.47249781088601</v>
      </c>
      <c r="AB10" s="215">
        <v>876.84337248251882</v>
      </c>
    </row>
    <row r="11" spans="1:28">
      <c r="C11" s="51" t="s">
        <v>196</v>
      </c>
      <c r="D11" s="50" t="s">
        <v>135</v>
      </c>
      <c r="E11" s="50" t="s">
        <v>130</v>
      </c>
      <c r="F11" s="50"/>
      <c r="G11" s="50"/>
      <c r="H11" s="530">
        <v>0</v>
      </c>
      <c r="I11" s="530">
        <v>0</v>
      </c>
      <c r="J11" s="530">
        <v>0</v>
      </c>
      <c r="K11" s="530">
        <v>0</v>
      </c>
      <c r="L11" s="530">
        <v>0</v>
      </c>
      <c r="M11" s="530">
        <v>0</v>
      </c>
      <c r="N11" s="530">
        <v>0</v>
      </c>
      <c r="O11" s="530">
        <v>0</v>
      </c>
      <c r="P11" s="530">
        <f t="shared" si="5"/>
        <v>0</v>
      </c>
      <c r="Q11" s="530">
        <f t="shared" si="6"/>
        <v>0</v>
      </c>
      <c r="S11" s="214">
        <v>0</v>
      </c>
      <c r="T11" s="214">
        <v>0</v>
      </c>
      <c r="U11" s="214">
        <v>0</v>
      </c>
      <c r="V11" s="214">
        <v>0</v>
      </c>
      <c r="W11" s="214">
        <v>0</v>
      </c>
      <c r="X11" s="214">
        <v>0</v>
      </c>
      <c r="Y11" s="214">
        <v>0</v>
      </c>
      <c r="Z11" s="214">
        <v>0</v>
      </c>
      <c r="AA11" s="214">
        <v>0</v>
      </c>
      <c r="AB11" s="215">
        <v>0</v>
      </c>
    </row>
    <row r="12" spans="1:28">
      <c r="C12" s="53" t="s">
        <v>198</v>
      </c>
      <c r="D12" s="50" t="s">
        <v>132</v>
      </c>
      <c r="E12" s="50" t="s">
        <v>133</v>
      </c>
      <c r="F12" s="50"/>
      <c r="G12" s="50"/>
      <c r="H12" s="529">
        <v>13.038237635245356</v>
      </c>
      <c r="I12" s="529">
        <v>19.557356452868031</v>
      </c>
      <c r="J12" s="529">
        <v>36.699973654615803</v>
      </c>
      <c r="K12" s="529">
        <v>51.379963116462122</v>
      </c>
      <c r="L12" s="529">
        <v>69.362950207223875</v>
      </c>
      <c r="M12" s="529">
        <v>93.639982779752231</v>
      </c>
      <c r="N12" s="529">
        <v>117.04997847469029</v>
      </c>
      <c r="O12" s="529">
        <v>140.45997416962834</v>
      </c>
      <c r="P12" s="529">
        <v>161.52897029507258</v>
      </c>
      <c r="Q12" s="531">
        <v>174.45128791867839</v>
      </c>
    </row>
    <row r="13" spans="1:28">
      <c r="C13" s="53" t="s">
        <v>198</v>
      </c>
      <c r="D13" s="50" t="s">
        <v>132</v>
      </c>
      <c r="E13" s="50" t="s">
        <v>130</v>
      </c>
      <c r="F13" s="50"/>
      <c r="G13" s="50"/>
      <c r="H13" s="529">
        <v>65.338925213717971</v>
      </c>
      <c r="I13" s="529">
        <v>118.67785042743594</v>
      </c>
      <c r="J13" s="529">
        <v>213.6201307693847</v>
      </c>
      <c r="K13" s="529">
        <v>372.02315038479247</v>
      </c>
      <c r="L13" s="529">
        <v>445.32262294251126</v>
      </c>
      <c r="M13" s="529">
        <v>533.11621638388795</v>
      </c>
      <c r="N13" s="529">
        <v>638.27788884147105</v>
      </c>
      <c r="O13" s="529">
        <v>760.89104728354459</v>
      </c>
      <c r="P13" s="529">
        <v>835.21530524772174</v>
      </c>
      <c r="Q13" s="531">
        <v>916.88374667010794</v>
      </c>
    </row>
    <row r="14" spans="1:28">
      <c r="C14" s="53" t="s">
        <v>198</v>
      </c>
      <c r="D14" s="50" t="s">
        <v>135</v>
      </c>
      <c r="E14" s="50" t="s">
        <v>133</v>
      </c>
      <c r="F14" s="50" t="s">
        <v>181</v>
      </c>
      <c r="G14" s="50"/>
      <c r="H14" s="529">
        <v>45.708655980401815</v>
      </c>
      <c r="I14" s="529">
        <v>89.432317810360914</v>
      </c>
      <c r="J14" s="529">
        <v>164.7294998867871</v>
      </c>
      <c r="K14" s="529">
        <v>219.03661984803222</v>
      </c>
      <c r="L14" s="529">
        <v>288.1693947990882</v>
      </c>
      <c r="M14" s="529">
        <v>379.23962838428713</v>
      </c>
      <c r="N14" s="529">
        <v>486.77530645318541</v>
      </c>
      <c r="O14" s="529">
        <v>567.58686547914806</v>
      </c>
      <c r="P14" s="529">
        <v>652.72489530102018</v>
      </c>
      <c r="Q14" s="531">
        <v>735.57318136814661</v>
      </c>
    </row>
    <row r="15" spans="1:28">
      <c r="C15" s="53" t="s">
        <v>198</v>
      </c>
      <c r="D15" s="50" t="s">
        <v>135</v>
      </c>
      <c r="E15" s="50" t="s">
        <v>133</v>
      </c>
      <c r="F15" s="50" t="s">
        <v>182</v>
      </c>
      <c r="G15" s="50"/>
      <c r="H15" s="529">
        <v>5.4646186816610074</v>
      </c>
      <c r="I15" s="529">
        <v>9.5210118577929013</v>
      </c>
      <c r="J15" s="529">
        <v>18.486178749301466</v>
      </c>
      <c r="K15" s="529">
        <v>25.880650249022047</v>
      </c>
      <c r="L15" s="529">
        <v>34.93887783617977</v>
      </c>
      <c r="M15" s="529">
        <v>47.167485078842688</v>
      </c>
      <c r="N15" s="529">
        <v>58.959356348553356</v>
      </c>
      <c r="O15" s="529">
        <v>70.751227618264039</v>
      </c>
      <c r="P15" s="529">
        <v>81.363911761003621</v>
      </c>
      <c r="Q15" s="531">
        <v>87.873024701883935</v>
      </c>
    </row>
    <row r="16" spans="1:28">
      <c r="C16" s="53" t="s">
        <v>198</v>
      </c>
      <c r="D16" s="50" t="s">
        <v>135</v>
      </c>
      <c r="E16" s="50" t="s">
        <v>133</v>
      </c>
      <c r="F16" s="50" t="s">
        <v>183</v>
      </c>
      <c r="G16" s="50"/>
      <c r="H16" s="529">
        <v>18.038652442499725</v>
      </c>
      <c r="I16" s="529">
        <v>33.430646017742482</v>
      </c>
      <c r="J16" s="529">
        <v>65.176933269453073</v>
      </c>
      <c r="K16" s="529">
        <v>91.247706577234297</v>
      </c>
      <c r="L16" s="529">
        <v>123.18440387926631</v>
      </c>
      <c r="M16" s="529">
        <v>166.29894523700955</v>
      </c>
      <c r="N16" s="529">
        <v>207.87368154626191</v>
      </c>
      <c r="O16" s="529">
        <v>249.44841785551426</v>
      </c>
      <c r="P16" s="529">
        <v>286.86568053384138</v>
      </c>
      <c r="Q16" s="531">
        <v>309.81493497654867</v>
      </c>
    </row>
    <row r="17" spans="2:33">
      <c r="C17" s="54" t="s">
        <v>197</v>
      </c>
      <c r="D17" s="55" t="s">
        <v>135</v>
      </c>
      <c r="E17" s="55" t="s">
        <v>130</v>
      </c>
      <c r="F17" s="55"/>
      <c r="G17" s="55"/>
      <c r="H17" s="532">
        <v>0</v>
      </c>
      <c r="I17" s="532">
        <v>0</v>
      </c>
      <c r="J17" s="532">
        <v>0</v>
      </c>
      <c r="K17" s="532">
        <v>0</v>
      </c>
      <c r="L17" s="532">
        <v>0</v>
      </c>
      <c r="M17" s="532">
        <v>0</v>
      </c>
      <c r="N17" s="532">
        <v>0</v>
      </c>
      <c r="O17" s="532">
        <v>0</v>
      </c>
      <c r="P17" s="532">
        <v>0</v>
      </c>
      <c r="Q17" s="533">
        <v>0</v>
      </c>
    </row>
    <row r="18" spans="2:33">
      <c r="C18" s="66" t="s">
        <v>208</v>
      </c>
      <c r="D18" s="67" t="s">
        <v>132</v>
      </c>
      <c r="E18" s="67" t="s">
        <v>188</v>
      </c>
      <c r="F18" s="65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</row>
    <row r="19" spans="2:33">
      <c r="C19" s="66" t="s">
        <v>208</v>
      </c>
      <c r="D19" s="67" t="s">
        <v>135</v>
      </c>
      <c r="E19" s="67" t="s">
        <v>188</v>
      </c>
      <c r="F19" s="68" t="s">
        <v>190</v>
      </c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</row>
    <row r="20" spans="2:33">
      <c r="C20" s="66" t="s">
        <v>208</v>
      </c>
      <c r="D20" s="67" t="s">
        <v>135</v>
      </c>
      <c r="E20" s="67" t="s">
        <v>188</v>
      </c>
      <c r="F20" s="68" t="s">
        <v>191</v>
      </c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</row>
    <row r="21" spans="2:33">
      <c r="C21" s="50"/>
      <c r="D21" s="50"/>
      <c r="E21" s="50"/>
      <c r="F21" s="50"/>
      <c r="G21" s="50"/>
      <c r="H21" s="56">
        <f>SUM(H3:H20)</f>
        <v>2211.3701339472332</v>
      </c>
      <c r="I21" s="56">
        <f t="shared" ref="I21:Q21" si="7">SUM(I3:I20)</f>
        <v>4465.2381424517571</v>
      </c>
      <c r="J21" s="56">
        <f t="shared" si="7"/>
        <v>6824.1695921069522</v>
      </c>
      <c r="K21" s="56">
        <f t="shared" si="7"/>
        <v>8275.3077118169294</v>
      </c>
      <c r="L21" s="56">
        <f t="shared" si="7"/>
        <v>9883.2208714178505</v>
      </c>
      <c r="M21" s="56">
        <f t="shared" si="7"/>
        <v>11852.581469675997</v>
      </c>
      <c r="N21" s="56">
        <f t="shared" si="7"/>
        <v>13840.311994889598</v>
      </c>
      <c r="O21" s="56">
        <f t="shared" si="7"/>
        <v>15832.821107335207</v>
      </c>
      <c r="P21" s="56">
        <f t="shared" si="7"/>
        <v>17832.937906525774</v>
      </c>
      <c r="Q21" s="56">
        <f t="shared" si="7"/>
        <v>20049.974529979329</v>
      </c>
    </row>
    <row r="22" spans="2:33">
      <c r="C22" s="50"/>
      <c r="D22" s="50"/>
      <c r="E22" s="50"/>
      <c r="F22" s="50"/>
      <c r="G22" s="50"/>
      <c r="H22" s="56"/>
      <c r="I22" s="56"/>
      <c r="J22" s="56"/>
      <c r="K22" s="56"/>
      <c r="L22" s="56"/>
      <c r="M22" s="56"/>
      <c r="N22" s="56"/>
      <c r="O22" s="56"/>
      <c r="P22" s="56"/>
      <c r="Q22" s="56"/>
    </row>
    <row r="23" spans="2:33">
      <c r="C23" s="50"/>
      <c r="D23" s="50"/>
      <c r="E23" s="50"/>
      <c r="F23" s="50"/>
      <c r="G23" s="50"/>
      <c r="H23" s="56"/>
      <c r="I23" s="56"/>
      <c r="J23" s="56"/>
      <c r="K23" s="56"/>
      <c r="L23" s="56"/>
      <c r="M23" s="56"/>
      <c r="N23" s="56"/>
      <c r="O23" s="56"/>
      <c r="P23" s="56"/>
      <c r="Q23" s="56"/>
    </row>
    <row r="24" spans="2:33" s="57" customFormat="1">
      <c r="B24" s="58" t="s">
        <v>285</v>
      </c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S24" s="57" t="s">
        <v>254</v>
      </c>
    </row>
    <row r="25" spans="2:33" s="57" customFormat="1">
      <c r="C25" s="180" t="s">
        <v>200</v>
      </c>
      <c r="D25" s="181" t="s">
        <v>132</v>
      </c>
      <c r="E25" s="181" t="s">
        <v>130</v>
      </c>
      <c r="F25" s="182"/>
      <c r="G25" s="182"/>
      <c r="H25" s="235">
        <f>H38</f>
        <v>114.41142674948894</v>
      </c>
      <c r="I25" s="235">
        <f>I38</f>
        <v>260.03962575524855</v>
      </c>
      <c r="J25" s="235">
        <f>J38</f>
        <v>445.16782476100821</v>
      </c>
      <c r="K25" s="235">
        <f t="shared" ref="K25:N25" si="8">K38</f>
        <v>515.28888971320976</v>
      </c>
      <c r="L25" s="235">
        <f t="shared" si="8"/>
        <v>596.59729265585167</v>
      </c>
      <c r="M25" s="235">
        <f t="shared" si="8"/>
        <v>690.90496993702186</v>
      </c>
      <c r="N25" s="235">
        <f t="shared" si="8"/>
        <v>783.06428642442643</v>
      </c>
      <c r="O25" s="182">
        <f t="shared" ref="O25:Q27" si="9">N25</f>
        <v>783.06428642442643</v>
      </c>
      <c r="P25" s="182">
        <f t="shared" si="9"/>
        <v>783.06428642442643</v>
      </c>
      <c r="Q25" s="182">
        <f t="shared" si="9"/>
        <v>783.06428642442643</v>
      </c>
      <c r="R25" s="61"/>
      <c r="S25" s="57" t="s">
        <v>200</v>
      </c>
      <c r="T25" s="60" t="s">
        <v>132</v>
      </c>
      <c r="U25" s="60" t="s">
        <v>130</v>
      </c>
      <c r="V25" s="61"/>
      <c r="W25" s="61"/>
      <c r="X25" s="534">
        <v>63.974208294690058</v>
      </c>
      <c r="Y25" s="534">
        <v>161.6504465056145</v>
      </c>
      <c r="Z25" s="534">
        <v>259.32668471653892</v>
      </c>
      <c r="AA25" s="534">
        <v>299.53738778111864</v>
      </c>
      <c r="AB25" s="534">
        <v>346.04203637680507</v>
      </c>
      <c r="AC25" s="534">
        <v>399.83719034754819</v>
      </c>
      <c r="AD25" s="534">
        <v>451.44424233656093</v>
      </c>
      <c r="AE25" s="534">
        <v>504.52957467275627</v>
      </c>
      <c r="AF25" s="534">
        <v>546.08871506518813</v>
      </c>
      <c r="AG25" s="534">
        <v>591.09226413087549</v>
      </c>
    </row>
    <row r="26" spans="2:33" s="57" customFormat="1">
      <c r="C26" s="183" t="s">
        <v>200</v>
      </c>
      <c r="D26" s="60" t="s">
        <v>135</v>
      </c>
      <c r="E26" s="60" t="s">
        <v>130</v>
      </c>
      <c r="F26" s="61"/>
      <c r="G26" s="61"/>
      <c r="H26" s="206">
        <f t="shared" ref="H26:N28" si="10">H39</f>
        <v>926.48105079949323</v>
      </c>
      <c r="I26" s="206">
        <f t="shared" si="10"/>
        <v>1226.8409376257966</v>
      </c>
      <c r="J26" s="206">
        <f t="shared" si="10"/>
        <v>1962.0700823156612</v>
      </c>
      <c r="K26" s="206">
        <f t="shared" si="10"/>
        <v>2208.5853275922987</v>
      </c>
      <c r="L26" s="206">
        <f t="shared" si="10"/>
        <v>2477.1915798540304</v>
      </c>
      <c r="M26" s="206">
        <f t="shared" si="10"/>
        <v>2766.6270662696602</v>
      </c>
      <c r="N26" s="206">
        <f t="shared" si="10"/>
        <v>3037.0645077982931</v>
      </c>
      <c r="O26" s="213">
        <f t="shared" si="9"/>
        <v>3037.0645077982931</v>
      </c>
      <c r="P26" s="213">
        <f t="shared" si="9"/>
        <v>3037.0645077982931</v>
      </c>
      <c r="Q26" s="213">
        <f t="shared" si="9"/>
        <v>3037.0645077982931</v>
      </c>
      <c r="R26" s="61"/>
      <c r="S26" s="57" t="s">
        <v>200</v>
      </c>
      <c r="T26" s="60" t="s">
        <v>135</v>
      </c>
      <c r="U26" s="60" t="s">
        <v>130</v>
      </c>
      <c r="V26" s="61"/>
      <c r="W26" s="61"/>
      <c r="X26" s="534">
        <v>979.30313702297553</v>
      </c>
      <c r="Y26" s="534">
        <v>2618.995034170428</v>
      </c>
      <c r="Z26" s="534">
        <v>4258.6869313178795</v>
      </c>
      <c r="AA26" s="534">
        <v>5126.899257370902</v>
      </c>
      <c r="AB26" s="534">
        <v>6173.6965305713611</v>
      </c>
      <c r="AC26" s="534">
        <v>7436.2784849297977</v>
      </c>
      <c r="AD26" s="534">
        <v>8393.7837000127165</v>
      </c>
      <c r="AE26" s="534">
        <v>9415.1539666740337</v>
      </c>
      <c r="AF26" s="534">
        <v>10383.725456772703</v>
      </c>
      <c r="AG26" s="534">
        <v>11453.212509895931</v>
      </c>
    </row>
    <row r="27" spans="2:33" s="57" customFormat="1">
      <c r="C27" s="183" t="s">
        <v>202</v>
      </c>
      <c r="D27" s="60" t="s">
        <v>132</v>
      </c>
      <c r="E27" s="60" t="s">
        <v>130</v>
      </c>
      <c r="F27" s="61"/>
      <c r="G27" s="61"/>
      <c r="H27" s="206">
        <f t="shared" si="10"/>
        <v>1071.4993977728518</v>
      </c>
      <c r="I27" s="206">
        <f t="shared" si="10"/>
        <v>2741.7230119615547</v>
      </c>
      <c r="J27" s="206">
        <f>J40</f>
        <v>5491.9466261502594</v>
      </c>
      <c r="K27" s="206">
        <f t="shared" ref="K27:L27" si="11">K40</f>
        <v>6699.6252766103607</v>
      </c>
      <c r="L27" s="206">
        <f t="shared" si="11"/>
        <v>8134.5221234239871</v>
      </c>
      <c r="M27" s="206">
        <f t="shared" ref="M27:N27" si="12">M40</f>
        <v>9935.1370666223829</v>
      </c>
      <c r="N27" s="206">
        <f t="shared" si="12"/>
        <v>11440.789291946861</v>
      </c>
      <c r="O27" s="61">
        <f>N27</f>
        <v>11440.789291946861</v>
      </c>
      <c r="P27" s="61">
        <f t="shared" si="9"/>
        <v>11440.789291946861</v>
      </c>
      <c r="Q27" s="61">
        <f t="shared" si="9"/>
        <v>11440.789291946861</v>
      </c>
      <c r="R27" s="61"/>
      <c r="S27" s="57" t="s">
        <v>202</v>
      </c>
      <c r="T27" s="60" t="s">
        <v>132</v>
      </c>
      <c r="U27" s="60" t="s">
        <v>130</v>
      </c>
      <c r="V27" s="61"/>
      <c r="W27" s="61"/>
      <c r="X27" s="534">
        <v>333.43669519569175</v>
      </c>
      <c r="Y27" s="534">
        <v>1024.809627697517</v>
      </c>
      <c r="Z27" s="534">
        <v>1716.1825601993423</v>
      </c>
      <c r="AA27" s="534">
        <v>2048.7126129404442</v>
      </c>
      <c r="AB27" s="534">
        <v>2440.1344938380553</v>
      </c>
      <c r="AC27" s="534">
        <v>2919.7099030050986</v>
      </c>
      <c r="AD27" s="534">
        <v>3331.3949183150312</v>
      </c>
      <c r="AE27" s="534">
        <v>3758.75623064003</v>
      </c>
      <c r="AF27" s="534">
        <v>4133.5004201325373</v>
      </c>
      <c r="AG27" s="534">
        <v>4549.3306984406408</v>
      </c>
    </row>
    <row r="28" spans="2:33" s="57" customFormat="1">
      <c r="C28" s="183" t="s">
        <v>202</v>
      </c>
      <c r="D28" s="60" t="s">
        <v>135</v>
      </c>
      <c r="E28" s="60" t="s">
        <v>130</v>
      </c>
      <c r="F28" s="61"/>
      <c r="G28" s="61"/>
      <c r="H28" s="206">
        <f t="shared" si="10"/>
        <v>3063.3586757997086</v>
      </c>
      <c r="I28" s="206">
        <f t="shared" si="10"/>
        <v>4261.1371854142544</v>
      </c>
      <c r="J28" s="206">
        <f>J41</f>
        <v>7022.152695028798</v>
      </c>
      <c r="K28" s="206">
        <f>K41</f>
        <v>8480.2721730403173</v>
      </c>
      <c r="L28" s="206">
        <f>L41</f>
        <v>10232.69999360443</v>
      </c>
      <c r="M28" s="206">
        <f t="shared" ref="M28:N28" si="13">M41</f>
        <v>12355.344063365979</v>
      </c>
      <c r="N28" s="206">
        <f t="shared" si="13"/>
        <v>14311.386168775771</v>
      </c>
      <c r="O28" s="61">
        <f t="shared" ref="O28:Q35" si="14">N28</f>
        <v>14311.386168775771</v>
      </c>
      <c r="P28" s="61">
        <f t="shared" si="14"/>
        <v>14311.386168775771</v>
      </c>
      <c r="Q28" s="61">
        <f t="shared" si="14"/>
        <v>14311.386168775771</v>
      </c>
      <c r="R28" s="61"/>
      <c r="S28" s="57" t="s">
        <v>202</v>
      </c>
      <c r="T28" s="60" t="s">
        <v>135</v>
      </c>
      <c r="U28" s="60" t="s">
        <v>130</v>
      </c>
      <c r="V28" s="61"/>
      <c r="W28" s="61"/>
      <c r="X28" s="534">
        <v>819.30090057464429</v>
      </c>
      <c r="Y28" s="534">
        <v>1354.0697021856979</v>
      </c>
      <c r="Z28" s="534">
        <v>1888.8385037967516</v>
      </c>
      <c r="AA28" s="534">
        <v>2276.450852058058</v>
      </c>
      <c r="AB28" s="534">
        <v>2742.077902346723</v>
      </c>
      <c r="AC28" s="534">
        <v>3304.4482706500889</v>
      </c>
      <c r="AD28" s="534">
        <v>3826.739822267622</v>
      </c>
      <c r="AE28" s="534">
        <v>4391.4083786748561</v>
      </c>
      <c r="AF28" s="534">
        <v>4839.9373000576816</v>
      </c>
      <c r="AG28" s="534">
        <v>5334.7273261060891</v>
      </c>
    </row>
    <row r="29" spans="2:33" s="57" customFormat="1">
      <c r="C29" s="183" t="s">
        <v>204</v>
      </c>
      <c r="D29" s="60" t="s">
        <v>132</v>
      </c>
      <c r="E29" s="60" t="s">
        <v>130</v>
      </c>
      <c r="F29" s="61"/>
      <c r="G29" s="61"/>
      <c r="H29" s="206">
        <f t="shared" ref="H29:L32" si="15">H48</f>
        <v>483.2370210711087</v>
      </c>
      <c r="I29" s="206">
        <f t="shared" si="15"/>
        <v>944.87354154736022</v>
      </c>
      <c r="J29" s="206">
        <f t="shared" si="15"/>
        <v>1809.4102119741788</v>
      </c>
      <c r="K29" s="206">
        <f t="shared" si="15"/>
        <v>2195.4632304767101</v>
      </c>
      <c r="L29" s="206">
        <f t="shared" si="15"/>
        <v>2653.181180159389</v>
      </c>
      <c r="M29" s="206">
        <f t="shared" ref="M29:N29" si="16">M48</f>
        <v>3224.4962850833799</v>
      </c>
      <c r="N29" s="206">
        <f t="shared" si="16"/>
        <v>3825.1738291784427</v>
      </c>
      <c r="O29" s="61">
        <f t="shared" si="14"/>
        <v>3825.1738291784427</v>
      </c>
      <c r="P29" s="61">
        <f t="shared" si="14"/>
        <v>3825.1738291784427</v>
      </c>
      <c r="Q29" s="61">
        <f t="shared" si="14"/>
        <v>3825.1738291784427</v>
      </c>
      <c r="R29" s="61"/>
    </row>
    <row r="30" spans="2:33" s="57" customFormat="1">
      <c r="C30" s="183" t="s">
        <v>204</v>
      </c>
      <c r="D30" s="60" t="s">
        <v>135</v>
      </c>
      <c r="E30" s="60" t="s">
        <v>130</v>
      </c>
      <c r="F30" s="62" t="s">
        <v>184</v>
      </c>
      <c r="G30" s="61"/>
      <c r="H30" s="206">
        <f t="shared" si="15"/>
        <v>40.737718986706376</v>
      </c>
      <c r="I30" s="206">
        <f t="shared" si="15"/>
        <v>73.327894176071496</v>
      </c>
      <c r="J30" s="206">
        <f t="shared" si="15"/>
        <v>165.91797554166732</v>
      </c>
      <c r="K30" s="206">
        <f t="shared" si="15"/>
        <v>232.28516575833424</v>
      </c>
      <c r="L30" s="206">
        <f t="shared" si="15"/>
        <v>313.58497377375124</v>
      </c>
      <c r="M30" s="206">
        <f t="shared" ref="M30:N30" si="17">M49</f>
        <v>423.33971459456421</v>
      </c>
      <c r="N30" s="206">
        <f t="shared" si="17"/>
        <v>529.1746432432052</v>
      </c>
      <c r="O30" s="61">
        <f t="shared" si="14"/>
        <v>529.1746432432052</v>
      </c>
      <c r="P30" s="61">
        <f t="shared" si="14"/>
        <v>529.1746432432052</v>
      </c>
      <c r="Q30" s="61">
        <f t="shared" si="14"/>
        <v>529.1746432432052</v>
      </c>
      <c r="R30" s="61"/>
    </row>
    <row r="31" spans="2:33" s="57" customFormat="1">
      <c r="C31" s="183" t="s">
        <v>204</v>
      </c>
      <c r="D31" s="60" t="s">
        <v>135</v>
      </c>
      <c r="E31" s="60" t="s">
        <v>130</v>
      </c>
      <c r="F31" s="62" t="s">
        <v>183</v>
      </c>
      <c r="G31" s="61"/>
      <c r="H31" s="206">
        <f t="shared" si="15"/>
        <v>140.73975272549825</v>
      </c>
      <c r="I31" s="206">
        <f t="shared" si="15"/>
        <v>253.33155490589689</v>
      </c>
      <c r="J31" s="206">
        <f t="shared" si="15"/>
        <v>560.74990772273998</v>
      </c>
      <c r="K31" s="206">
        <f t="shared" si="15"/>
        <v>785.04987081183594</v>
      </c>
      <c r="L31" s="206">
        <f t="shared" si="15"/>
        <v>1059.8173255959787</v>
      </c>
      <c r="M31" s="206">
        <f t="shared" ref="M31:N31" si="18">M50</f>
        <v>1430.7533895545707</v>
      </c>
      <c r="N31" s="206">
        <f t="shared" si="18"/>
        <v>1788.4417369432135</v>
      </c>
      <c r="O31" s="61">
        <f t="shared" si="14"/>
        <v>1788.4417369432135</v>
      </c>
      <c r="P31" s="61">
        <f t="shared" si="14"/>
        <v>1788.4417369432135</v>
      </c>
      <c r="Q31" s="61">
        <f t="shared" si="14"/>
        <v>1788.4417369432135</v>
      </c>
      <c r="R31" s="61"/>
    </row>
    <row r="32" spans="2:33" s="57" customFormat="1">
      <c r="C32" s="183" t="s">
        <v>204</v>
      </c>
      <c r="D32" s="60" t="s">
        <v>135</v>
      </c>
      <c r="E32" s="60" t="s">
        <v>130</v>
      </c>
      <c r="F32" s="62" t="s">
        <v>185</v>
      </c>
      <c r="G32" s="61"/>
      <c r="H32" s="206">
        <f t="shared" si="15"/>
        <v>437.84543341517525</v>
      </c>
      <c r="I32" s="206">
        <f t="shared" si="15"/>
        <v>854.57990392152578</v>
      </c>
      <c r="J32" s="206">
        <f t="shared" si="15"/>
        <v>1616.8086587278408</v>
      </c>
      <c r="K32" s="206">
        <f t="shared" si="15"/>
        <v>2143.9074994253988</v>
      </c>
      <c r="L32" s="206">
        <f t="shared" si="15"/>
        <v>2816.5191194084618</v>
      </c>
      <c r="M32" s="206">
        <f>M51</f>
        <v>3701.2180049408494</v>
      </c>
      <c r="N32" s="206">
        <f>N51</f>
        <v>4757.9301543148085</v>
      </c>
      <c r="O32" s="61">
        <f t="shared" si="14"/>
        <v>4757.9301543148085</v>
      </c>
      <c r="P32" s="61">
        <f t="shared" si="14"/>
        <v>4757.9301543148085</v>
      </c>
      <c r="Q32" s="61">
        <f t="shared" si="14"/>
        <v>4757.9301543148085</v>
      </c>
      <c r="R32" s="61"/>
    </row>
    <row r="33" spans="1:18" s="57" customFormat="1">
      <c r="C33" s="183" t="s">
        <v>206</v>
      </c>
      <c r="D33" s="60" t="s">
        <v>132</v>
      </c>
      <c r="E33" s="60" t="s">
        <v>130</v>
      </c>
      <c r="F33" s="61"/>
      <c r="G33" s="61"/>
      <c r="H33" s="206">
        <f t="shared" ref="H33:N33" si="19">H58</f>
        <v>33.549872284458715</v>
      </c>
      <c r="I33" s="206">
        <f t="shared" si="19"/>
        <v>67.09974456891743</v>
      </c>
      <c r="J33" s="206">
        <f t="shared" si="19"/>
        <v>140.61570083175314</v>
      </c>
      <c r="K33" s="206">
        <f t="shared" si="19"/>
        <v>196.86198116445439</v>
      </c>
      <c r="L33" s="206">
        <f t="shared" si="19"/>
        <v>265.76367457201343</v>
      </c>
      <c r="M33" s="206">
        <f t="shared" si="19"/>
        <v>358.78096067221816</v>
      </c>
      <c r="N33" s="206">
        <f t="shared" si="19"/>
        <v>448.47620084027267</v>
      </c>
      <c r="O33" s="61">
        <f t="shared" si="14"/>
        <v>448.47620084027267</v>
      </c>
      <c r="P33" s="61">
        <f t="shared" si="14"/>
        <v>448.47620084027267</v>
      </c>
      <c r="Q33" s="61">
        <f t="shared" si="14"/>
        <v>448.47620084027267</v>
      </c>
      <c r="R33" s="61"/>
    </row>
    <row r="34" spans="1:18" s="57" customFormat="1">
      <c r="C34" s="183" t="s">
        <v>206</v>
      </c>
      <c r="D34" s="60" t="s">
        <v>135</v>
      </c>
      <c r="E34" s="60" t="s">
        <v>130</v>
      </c>
      <c r="F34" s="68" t="s">
        <v>190</v>
      </c>
      <c r="G34" s="61"/>
      <c r="H34" s="206">
        <f t="shared" ref="H34:J35" si="20">H59</f>
        <v>112.33512437665176</v>
      </c>
      <c r="I34" s="206">
        <f t="shared" si="20"/>
        <v>224.67024875330353</v>
      </c>
      <c r="J34" s="206">
        <f t="shared" si="20"/>
        <v>469.10793612926608</v>
      </c>
      <c r="K34" s="206">
        <f t="shared" ref="K34:N35" si="21">K59</f>
        <v>656.75111058097252</v>
      </c>
      <c r="L34" s="206">
        <f t="shared" si="21"/>
        <v>886.61399928431297</v>
      </c>
      <c r="M34" s="206">
        <f t="shared" si="21"/>
        <v>1196.9288990338225</v>
      </c>
      <c r="N34" s="206">
        <f t="shared" si="21"/>
        <v>1496.1611237922782</v>
      </c>
      <c r="O34" s="61">
        <f t="shared" si="14"/>
        <v>1496.1611237922782</v>
      </c>
      <c r="P34" s="61">
        <f t="shared" si="14"/>
        <v>1496.1611237922782</v>
      </c>
      <c r="Q34" s="61">
        <f t="shared" si="14"/>
        <v>1496.1611237922782</v>
      </c>
      <c r="R34" s="61"/>
    </row>
    <row r="35" spans="1:18" s="57" customFormat="1">
      <c r="C35" s="184" t="s">
        <v>206</v>
      </c>
      <c r="D35" s="185" t="s">
        <v>135</v>
      </c>
      <c r="E35" s="185" t="s">
        <v>130</v>
      </c>
      <c r="F35" s="186" t="s">
        <v>191</v>
      </c>
      <c r="G35" s="187"/>
      <c r="H35" s="236">
        <f t="shared" si="20"/>
        <v>48.143624732850768</v>
      </c>
      <c r="I35" s="236">
        <f t="shared" si="20"/>
        <v>96.287249465701535</v>
      </c>
      <c r="J35" s="236">
        <f t="shared" si="20"/>
        <v>201.04625834111408</v>
      </c>
      <c r="K35" s="236">
        <f t="shared" si="21"/>
        <v>281.46476167755964</v>
      </c>
      <c r="L35" s="236">
        <f t="shared" si="21"/>
        <v>379.97742826470562</v>
      </c>
      <c r="M35" s="236">
        <f t="shared" si="21"/>
        <v>512.96952815735267</v>
      </c>
      <c r="N35" s="236">
        <f t="shared" si="21"/>
        <v>641.21191019669072</v>
      </c>
      <c r="O35" s="61">
        <f t="shared" si="14"/>
        <v>641.21191019669072</v>
      </c>
      <c r="P35" s="61">
        <f t="shared" si="14"/>
        <v>641.21191019669072</v>
      </c>
      <c r="Q35" s="61">
        <f t="shared" si="14"/>
        <v>641.21191019669072</v>
      </c>
      <c r="R35" s="61"/>
    </row>
    <row r="36" spans="1:18" s="216" customFormat="1">
      <c r="A36" s="57"/>
      <c r="B36" s="57"/>
      <c r="C36" s="57"/>
      <c r="D36" s="60"/>
      <c r="E36" s="60"/>
      <c r="F36" s="68" t="s">
        <v>268</v>
      </c>
      <c r="G36" s="61"/>
      <c r="H36" s="233">
        <f t="shared" ref="H36:Q36" si="22">SUM(H25:H35)</f>
        <v>6472.3390987139928</v>
      </c>
      <c r="I36" s="233">
        <f t="shared" si="22"/>
        <v>11003.910898095632</v>
      </c>
      <c r="J36" s="233">
        <f t="shared" si="22"/>
        <v>19884.993877524284</v>
      </c>
      <c r="K36" s="233">
        <f t="shared" si="22"/>
        <v>24395.55528685145</v>
      </c>
      <c r="L36" s="233">
        <f t="shared" si="22"/>
        <v>29816.46869059691</v>
      </c>
      <c r="M36" s="233">
        <f t="shared" si="22"/>
        <v>36596.499948231802</v>
      </c>
      <c r="N36" s="233">
        <f t="shared" si="22"/>
        <v>43058.873853454264</v>
      </c>
      <c r="O36" s="233">
        <f t="shared" si="22"/>
        <v>43058.873853454264</v>
      </c>
      <c r="P36" s="233">
        <f t="shared" si="22"/>
        <v>43058.873853454264</v>
      </c>
      <c r="Q36" s="233">
        <f t="shared" si="22"/>
        <v>43058.873853454264</v>
      </c>
      <c r="R36" s="233"/>
    </row>
    <row r="37" spans="1:18" s="57" customFormat="1">
      <c r="C37" s="58" t="s">
        <v>258</v>
      </c>
      <c r="D37" s="60"/>
      <c r="E37" s="60"/>
      <c r="F37" s="68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</row>
    <row r="38" spans="1:18" s="57" customFormat="1">
      <c r="C38" s="180" t="s">
        <v>259</v>
      </c>
      <c r="D38" s="181" t="s">
        <v>132</v>
      </c>
      <c r="E38" s="181" t="s">
        <v>130</v>
      </c>
      <c r="F38" s="212"/>
      <c r="G38" s="182"/>
      <c r="H38" s="537">
        <v>114.41142674948894</v>
      </c>
      <c r="I38" s="537">
        <v>260.03962575524855</v>
      </c>
      <c r="J38" s="537">
        <v>445.16782476100821</v>
      </c>
      <c r="K38" s="537">
        <v>515.28888971320976</v>
      </c>
      <c r="L38" s="537">
        <v>596.59729265585167</v>
      </c>
      <c r="M38" s="537">
        <v>690.90496993702186</v>
      </c>
      <c r="N38" s="537">
        <v>783.06428642442643</v>
      </c>
      <c r="O38" s="537">
        <v>874.25678476686915</v>
      </c>
      <c r="P38" s="537">
        <v>947.25006517955592</v>
      </c>
      <c r="Q38" s="538">
        <v>1026.3880817883917</v>
      </c>
    </row>
    <row r="39" spans="1:18" s="57" customFormat="1">
      <c r="C39" s="183" t="s">
        <v>259</v>
      </c>
      <c r="D39" s="60" t="s">
        <v>135</v>
      </c>
      <c r="E39" s="60" t="s">
        <v>130</v>
      </c>
      <c r="F39" s="68"/>
      <c r="G39" s="61"/>
      <c r="H39" s="534">
        <v>926.48105079949323</v>
      </c>
      <c r="I39" s="534">
        <v>1226.8409376257966</v>
      </c>
      <c r="J39" s="534">
        <v>1962.0700823156612</v>
      </c>
      <c r="K39" s="534">
        <v>2208.5853275922987</v>
      </c>
      <c r="L39" s="534">
        <v>2477.1915798540304</v>
      </c>
      <c r="M39" s="534">
        <v>2766.6270662696602</v>
      </c>
      <c r="N39" s="534">
        <v>3037.0645077982931</v>
      </c>
      <c r="O39" s="534">
        <v>3439.8475735459629</v>
      </c>
      <c r="P39" s="534">
        <v>3835.0889133585761</v>
      </c>
      <c r="Q39" s="539">
        <v>4279.707734230753</v>
      </c>
    </row>
    <row r="40" spans="1:18" s="57" customFormat="1">
      <c r="C40" s="183" t="s">
        <v>260</v>
      </c>
      <c r="D40" s="60" t="s">
        <v>132</v>
      </c>
      <c r="E40" s="60" t="s">
        <v>130</v>
      </c>
      <c r="F40" s="68"/>
      <c r="G40" s="61"/>
      <c r="H40" s="534">
        <v>1071.4993977728518</v>
      </c>
      <c r="I40" s="534">
        <v>2741.7230119615547</v>
      </c>
      <c r="J40" s="534">
        <v>5491.9466261502594</v>
      </c>
      <c r="K40" s="534">
        <v>6699.6252766103607</v>
      </c>
      <c r="L40" s="534">
        <v>8134.5221234239871</v>
      </c>
      <c r="M40" s="534">
        <v>9935.1370666223829</v>
      </c>
      <c r="N40" s="534">
        <v>11440.789291946861</v>
      </c>
      <c r="O40" s="534">
        <v>12954.73010677889</v>
      </c>
      <c r="P40" s="534">
        <v>14369.582216446925</v>
      </c>
      <c r="Q40" s="539">
        <v>15954.393550057259</v>
      </c>
    </row>
    <row r="41" spans="1:18" s="57" customFormat="1">
      <c r="C41" s="184" t="s">
        <v>260</v>
      </c>
      <c r="D41" s="185" t="s">
        <v>135</v>
      </c>
      <c r="E41" s="185" t="s">
        <v>130</v>
      </c>
      <c r="F41" s="186"/>
      <c r="G41" s="187"/>
      <c r="H41" s="535">
        <v>3063.3586757997086</v>
      </c>
      <c r="I41" s="535">
        <v>4261.1371854142544</v>
      </c>
      <c r="J41" s="535">
        <v>7022.152695028798</v>
      </c>
      <c r="K41" s="535">
        <v>8480.2721730403173</v>
      </c>
      <c r="L41" s="535">
        <v>10232.69999360443</v>
      </c>
      <c r="M41" s="535">
        <v>12355.344063365979</v>
      </c>
      <c r="N41" s="535">
        <v>14311.386168775771</v>
      </c>
      <c r="O41" s="535">
        <v>16458.094094092135</v>
      </c>
      <c r="P41" s="535">
        <v>18155.102517293959</v>
      </c>
      <c r="Q41" s="536">
        <v>20179.959847642014</v>
      </c>
    </row>
    <row r="42" spans="1:18" s="57" customFormat="1">
      <c r="C42" s="58" t="s">
        <v>261</v>
      </c>
      <c r="D42" s="60"/>
      <c r="E42" s="60"/>
      <c r="F42" s="68"/>
      <c r="G42" s="61"/>
      <c r="H42" s="534"/>
      <c r="I42" s="534"/>
      <c r="J42" s="534"/>
      <c r="K42" s="534"/>
      <c r="L42" s="534"/>
      <c r="M42" s="534"/>
      <c r="N42" s="534"/>
      <c r="O42" s="534"/>
      <c r="P42" s="534"/>
      <c r="Q42" s="534"/>
    </row>
    <row r="43" spans="1:18" s="57" customFormat="1">
      <c r="C43" s="180" t="s">
        <v>259</v>
      </c>
      <c r="D43" s="181" t="s">
        <v>132</v>
      </c>
      <c r="E43" s="181" t="s">
        <v>130</v>
      </c>
      <c r="F43" s="212"/>
      <c r="G43" s="182"/>
      <c r="H43" s="537">
        <v>31.987104147345029</v>
      </c>
      <c r="I43" s="537">
        <v>80.825223252807248</v>
      </c>
      <c r="J43" s="537">
        <v>129.66334235826946</v>
      </c>
      <c r="K43" s="537">
        <v>149.76869389055932</v>
      </c>
      <c r="L43" s="537">
        <v>173.02101818840254</v>
      </c>
      <c r="M43" s="537">
        <v>199.91859517377409</v>
      </c>
      <c r="N43" s="537">
        <v>225.72212116828047</v>
      </c>
      <c r="O43" s="537">
        <v>252.26478733637813</v>
      </c>
      <c r="P43" s="537">
        <v>273.04435753259406</v>
      </c>
      <c r="Q43" s="538">
        <v>295.54613206543775</v>
      </c>
    </row>
    <row r="44" spans="1:18" s="57" customFormat="1">
      <c r="C44" s="183" t="s">
        <v>259</v>
      </c>
      <c r="D44" s="60" t="s">
        <v>135</v>
      </c>
      <c r="E44" s="60" t="s">
        <v>130</v>
      </c>
      <c r="F44" s="68"/>
      <c r="G44" s="61"/>
      <c r="H44" s="540">
        <v>569.15292167576661</v>
      </c>
      <c r="I44" s="540">
        <v>1552.0961533629177</v>
      </c>
      <c r="J44" s="540">
        <v>2535.0393850500686</v>
      </c>
      <c r="K44" s="540">
        <v>3042.9073077367075</v>
      </c>
      <c r="L44" s="540">
        <v>3652.6068286636601</v>
      </c>
      <c r="M44" s="540">
        <v>4384.5816715898882</v>
      </c>
      <c r="N44" s="540">
        <v>4914.1326088134547</v>
      </c>
      <c r="O44" s="540">
        <v>5504.5654348081716</v>
      </c>
      <c r="P44" s="540">
        <v>6056.4343947517691</v>
      </c>
      <c r="Q44" s="541">
        <v>6663.7021131591437</v>
      </c>
    </row>
    <row r="45" spans="1:18" s="57" customFormat="1">
      <c r="C45" s="183" t="s">
        <v>260</v>
      </c>
      <c r="D45" s="60" t="s">
        <v>132</v>
      </c>
      <c r="E45" s="60" t="s">
        <v>130</v>
      </c>
      <c r="F45" s="68"/>
      <c r="G45" s="61"/>
      <c r="H45" s="534">
        <v>300.09302567612258</v>
      </c>
      <c r="I45" s="534">
        <v>922.32866492776532</v>
      </c>
      <c r="J45" s="534">
        <v>1544.5643041794083</v>
      </c>
      <c r="K45" s="534">
        <v>1843.8413516463997</v>
      </c>
      <c r="L45" s="534">
        <v>2196.1210444542498</v>
      </c>
      <c r="M45" s="534">
        <v>2627.7389127045885</v>
      </c>
      <c r="N45" s="534">
        <v>2998.255426483528</v>
      </c>
      <c r="O45" s="534">
        <v>3382.8806075760267</v>
      </c>
      <c r="P45" s="534">
        <v>3720.1503781192841</v>
      </c>
      <c r="Q45" s="539">
        <v>4094.3976285965764</v>
      </c>
    </row>
    <row r="46" spans="1:18" s="57" customFormat="1">
      <c r="C46" s="184" t="s">
        <v>260</v>
      </c>
      <c r="D46" s="185" t="s">
        <v>135</v>
      </c>
      <c r="E46" s="185" t="s">
        <v>130</v>
      </c>
      <c r="F46" s="186"/>
      <c r="G46" s="187"/>
      <c r="H46" s="535">
        <v>1027.9161311019891</v>
      </c>
      <c r="I46" s="535">
        <v>1673.288123310233</v>
      </c>
      <c r="J46" s="535">
        <v>2318.6601155184771</v>
      </c>
      <c r="K46" s="535">
        <v>2791.2523213739328</v>
      </c>
      <c r="L46" s="535">
        <v>3358.8059775380671</v>
      </c>
      <c r="M46" s="535">
        <v>4043.1264820963002</v>
      </c>
      <c r="N46" s="535">
        <v>4666.5505216290821</v>
      </c>
      <c r="O46" s="535">
        <v>5366.5330998734435</v>
      </c>
      <c r="P46" s="535">
        <v>5911.635685024592</v>
      </c>
      <c r="Q46" s="536">
        <v>6512.5159199654272</v>
      </c>
    </row>
    <row r="47" spans="1:18" s="57" customFormat="1">
      <c r="C47" s="58" t="s">
        <v>255</v>
      </c>
      <c r="D47" s="60"/>
      <c r="E47" s="60"/>
      <c r="F47" s="68"/>
      <c r="G47" s="61"/>
      <c r="H47" s="534"/>
      <c r="I47" s="534"/>
      <c r="J47" s="534"/>
      <c r="K47" s="534"/>
      <c r="L47" s="534"/>
      <c r="M47" s="534"/>
      <c r="N47" s="534"/>
      <c r="O47" s="534"/>
      <c r="P47" s="534"/>
      <c r="Q47" s="534"/>
    </row>
    <row r="48" spans="1:18" s="57" customFormat="1">
      <c r="C48" s="180" t="s">
        <v>256</v>
      </c>
      <c r="D48" s="181" t="s">
        <v>132</v>
      </c>
      <c r="E48" s="181" t="s">
        <v>130</v>
      </c>
      <c r="F48" s="182"/>
      <c r="G48" s="182"/>
      <c r="H48" s="542">
        <v>483.2370210711087</v>
      </c>
      <c r="I48" s="542">
        <v>944.87354154736022</v>
      </c>
      <c r="J48" s="542">
        <v>1809.4102119741788</v>
      </c>
      <c r="K48" s="542">
        <v>2195.4632304767101</v>
      </c>
      <c r="L48" s="542">
        <v>2653.181180159389</v>
      </c>
      <c r="M48" s="542">
        <v>3224.4962850833799</v>
      </c>
      <c r="N48" s="542">
        <v>3825.1738291784427</v>
      </c>
      <c r="O48" s="542">
        <v>4235.8133356359076</v>
      </c>
      <c r="P48" s="542">
        <v>4623.1086544165373</v>
      </c>
      <c r="Q48" s="543">
        <v>4914.8131920769611</v>
      </c>
    </row>
    <row r="49" spans="3:18" s="57" customFormat="1">
      <c r="C49" s="183" t="s">
        <v>256</v>
      </c>
      <c r="D49" s="60" t="s">
        <v>135</v>
      </c>
      <c r="E49" s="60" t="s">
        <v>130</v>
      </c>
      <c r="F49" s="62" t="s">
        <v>184</v>
      </c>
      <c r="G49" s="61"/>
      <c r="H49" s="534">
        <v>40.737718986706376</v>
      </c>
      <c r="I49" s="534">
        <v>73.327894176071496</v>
      </c>
      <c r="J49" s="534">
        <v>165.91797554166732</v>
      </c>
      <c r="K49" s="534">
        <v>232.28516575833424</v>
      </c>
      <c r="L49" s="534">
        <v>313.58497377375124</v>
      </c>
      <c r="M49" s="534">
        <v>423.33971459456421</v>
      </c>
      <c r="N49" s="534">
        <v>529.1746432432052</v>
      </c>
      <c r="O49" s="534">
        <v>635.00957189184624</v>
      </c>
      <c r="P49" s="534">
        <v>730.26100767562309</v>
      </c>
      <c r="Q49" s="539">
        <v>822.84640944387934</v>
      </c>
    </row>
    <row r="50" spans="3:18" s="57" customFormat="1">
      <c r="C50" s="183" t="s">
        <v>256</v>
      </c>
      <c r="D50" s="60" t="s">
        <v>135</v>
      </c>
      <c r="E50" s="60" t="s">
        <v>130</v>
      </c>
      <c r="F50" s="62" t="s">
        <v>183</v>
      </c>
      <c r="G50" s="61"/>
      <c r="H50" s="534">
        <v>140.73975272549825</v>
      </c>
      <c r="I50" s="534">
        <v>253.33155490589689</v>
      </c>
      <c r="J50" s="534">
        <v>560.74990772273998</v>
      </c>
      <c r="K50" s="534">
        <v>785.04987081183594</v>
      </c>
      <c r="L50" s="534">
        <v>1059.8173255959787</v>
      </c>
      <c r="M50" s="534">
        <v>1430.7533895545707</v>
      </c>
      <c r="N50" s="534">
        <v>1788.4417369432135</v>
      </c>
      <c r="O50" s="534">
        <v>2146.1300843318563</v>
      </c>
      <c r="P50" s="534">
        <v>2468.0495969816347</v>
      </c>
      <c r="Q50" s="539">
        <v>2843.9082863232434</v>
      </c>
    </row>
    <row r="51" spans="3:18" s="57" customFormat="1">
      <c r="C51" s="184" t="s">
        <v>256</v>
      </c>
      <c r="D51" s="185" t="s">
        <v>135</v>
      </c>
      <c r="E51" s="185" t="s">
        <v>130</v>
      </c>
      <c r="F51" s="207" t="s">
        <v>185</v>
      </c>
      <c r="G51" s="187"/>
      <c r="H51" s="535">
        <v>437.84543341517525</v>
      </c>
      <c r="I51" s="535">
        <v>854.57990392152578</v>
      </c>
      <c r="J51" s="535">
        <v>1616.8086587278408</v>
      </c>
      <c r="K51" s="535">
        <v>2143.9074994253988</v>
      </c>
      <c r="L51" s="535">
        <v>2816.5191194084618</v>
      </c>
      <c r="M51" s="535">
        <v>3701.2180049408494</v>
      </c>
      <c r="N51" s="535">
        <v>4757.9301543148085</v>
      </c>
      <c r="O51" s="535">
        <v>5538.6862425974014</v>
      </c>
      <c r="P51" s="535">
        <v>6369.4891789870089</v>
      </c>
      <c r="Q51" s="536">
        <v>6206.750716878083</v>
      </c>
    </row>
    <row r="52" spans="3:18" s="57" customFormat="1">
      <c r="C52" s="58" t="s">
        <v>257</v>
      </c>
      <c r="D52" s="60"/>
      <c r="E52" s="60"/>
      <c r="F52" s="68"/>
      <c r="G52" s="61"/>
      <c r="H52" s="534"/>
      <c r="I52" s="534"/>
      <c r="J52" s="534"/>
      <c r="K52" s="534"/>
      <c r="L52" s="534"/>
      <c r="M52" s="534"/>
      <c r="N52" s="534"/>
      <c r="O52" s="534"/>
      <c r="P52" s="534"/>
      <c r="Q52" s="534"/>
    </row>
    <row r="53" spans="3:18" s="57" customFormat="1">
      <c r="C53" s="180" t="s">
        <v>256</v>
      </c>
      <c r="D53" s="181" t="s">
        <v>132</v>
      </c>
      <c r="E53" s="181" t="s">
        <v>130</v>
      </c>
      <c r="F53" s="182"/>
      <c r="G53" s="182"/>
      <c r="H53" s="537">
        <v>108.28503055269528</v>
      </c>
      <c r="I53" s="537">
        <v>213.38958410834357</v>
      </c>
      <c r="J53" s="537">
        <v>393.27162536671256</v>
      </c>
      <c r="K53" s="537">
        <v>467.43589450268314</v>
      </c>
      <c r="L53" s="537">
        <v>554.54562704876503</v>
      </c>
      <c r="M53" s="537">
        <v>660.66984140649697</v>
      </c>
      <c r="N53" s="537">
        <v>775.25641757025323</v>
      </c>
      <c r="O53" s="537">
        <v>843.05567586023142</v>
      </c>
      <c r="P53" s="537">
        <v>908.43760958241546</v>
      </c>
      <c r="Q53" s="538">
        <v>961.87354678710096</v>
      </c>
    </row>
    <row r="54" spans="3:18" s="57" customFormat="1">
      <c r="C54" s="183" t="s">
        <v>256</v>
      </c>
      <c r="D54" s="60" t="s">
        <v>135</v>
      </c>
      <c r="E54" s="60" t="s">
        <v>130</v>
      </c>
      <c r="F54" s="62" t="s">
        <v>184</v>
      </c>
      <c r="G54" s="61"/>
      <c r="H54" s="534">
        <v>6.9690207748095112</v>
      </c>
      <c r="I54" s="534">
        <v>12.544237394657118</v>
      </c>
      <c r="J54" s="534">
        <v>27.668060233263649</v>
      </c>
      <c r="K54" s="534">
        <v>38.735284326569108</v>
      </c>
      <c r="L54" s="534">
        <v>52.292633840868298</v>
      </c>
      <c r="M54" s="534">
        <v>70.595055685172213</v>
      </c>
      <c r="N54" s="534">
        <v>88.243819606465266</v>
      </c>
      <c r="O54" s="534">
        <v>105.8925835277583</v>
      </c>
      <c r="P54" s="534">
        <v>121.77647105692203</v>
      </c>
      <c r="Q54" s="539">
        <v>137.79900583230227</v>
      </c>
    </row>
    <row r="55" spans="3:18" s="57" customFormat="1">
      <c r="C55" s="183" t="s">
        <v>256</v>
      </c>
      <c r="D55" s="60" t="s">
        <v>135</v>
      </c>
      <c r="E55" s="60" t="s">
        <v>130</v>
      </c>
      <c r="F55" s="62" t="s">
        <v>183</v>
      </c>
      <c r="G55" s="61"/>
      <c r="H55" s="534">
        <v>25.79218516718193</v>
      </c>
      <c r="I55" s="534">
        <v>46.425933300927468</v>
      </c>
      <c r="J55" s="534">
        <v>104.02602478002882</v>
      </c>
      <c r="K55" s="534">
        <v>145.63643469204032</v>
      </c>
      <c r="L55" s="534">
        <v>196.60918683425444</v>
      </c>
      <c r="M55" s="534">
        <v>265.42240222624361</v>
      </c>
      <c r="N55" s="534">
        <v>331.77800278280449</v>
      </c>
      <c r="O55" s="534">
        <v>398.13360333936532</v>
      </c>
      <c r="P55" s="534">
        <v>457.85364384027008</v>
      </c>
      <c r="Q55" s="539">
        <v>527.27966904402979</v>
      </c>
    </row>
    <row r="56" spans="3:18" s="57" customFormat="1">
      <c r="C56" s="184" t="s">
        <v>256</v>
      </c>
      <c r="D56" s="185" t="s">
        <v>135</v>
      </c>
      <c r="E56" s="185" t="s">
        <v>130</v>
      </c>
      <c r="F56" s="207" t="s">
        <v>185</v>
      </c>
      <c r="G56" s="187"/>
      <c r="H56" s="535">
        <v>169.32398935238632</v>
      </c>
      <c r="I56" s="535">
        <v>334.77915092969533</v>
      </c>
      <c r="J56" s="535">
        <v>617.94698030222116</v>
      </c>
      <c r="K56" s="535">
        <v>811.13302625138965</v>
      </c>
      <c r="L56" s="535">
        <v>1059.934300427758</v>
      </c>
      <c r="M56" s="535">
        <v>1385.2874350623704</v>
      </c>
      <c r="N56" s="535">
        <v>1790.9203254975973</v>
      </c>
      <c r="O56" s="535">
        <v>2072.0000494265914</v>
      </c>
      <c r="P56" s="535">
        <v>2382.8000568405805</v>
      </c>
      <c r="Q56" s="536">
        <v>2740.7810493374568</v>
      </c>
    </row>
    <row r="57" spans="3:18" s="57" customFormat="1">
      <c r="C57" s="58" t="s">
        <v>250</v>
      </c>
      <c r="D57" s="60"/>
      <c r="E57" s="60"/>
      <c r="F57" s="68"/>
      <c r="G57" s="61"/>
      <c r="H57" s="534"/>
      <c r="I57" s="534"/>
      <c r="J57" s="534"/>
      <c r="K57" s="534"/>
      <c r="L57" s="534"/>
      <c r="M57" s="534"/>
      <c r="N57" s="534"/>
      <c r="O57" s="534"/>
      <c r="P57" s="534"/>
      <c r="Q57" s="534"/>
      <c r="R57" s="61"/>
    </row>
    <row r="58" spans="3:18" s="57" customFormat="1">
      <c r="C58" s="180" t="s">
        <v>206</v>
      </c>
      <c r="D58" s="181" t="s">
        <v>132</v>
      </c>
      <c r="E58" s="181" t="s">
        <v>130</v>
      </c>
      <c r="F58" s="182"/>
      <c r="G58" s="182"/>
      <c r="H58" s="537">
        <v>33.549872284458715</v>
      </c>
      <c r="I58" s="537">
        <v>67.09974456891743</v>
      </c>
      <c r="J58" s="537">
        <v>140.61570083175314</v>
      </c>
      <c r="K58" s="537">
        <v>196.86198116445439</v>
      </c>
      <c r="L58" s="537">
        <v>265.76367457201343</v>
      </c>
      <c r="M58" s="537">
        <v>358.78096067221816</v>
      </c>
      <c r="N58" s="537">
        <v>448.47620084027267</v>
      </c>
      <c r="O58" s="537">
        <v>538.17144100832718</v>
      </c>
      <c r="P58" s="537">
        <v>618.89715715957618</v>
      </c>
      <c r="Q58" s="538">
        <v>742.6765885914914</v>
      </c>
      <c r="R58" s="61"/>
    </row>
    <row r="59" spans="3:18" s="57" customFormat="1">
      <c r="C59" s="183" t="s">
        <v>206</v>
      </c>
      <c r="D59" s="60" t="s">
        <v>135</v>
      </c>
      <c r="E59" s="60" t="s">
        <v>130</v>
      </c>
      <c r="F59" s="68" t="s">
        <v>190</v>
      </c>
      <c r="G59" s="61"/>
      <c r="H59" s="534">
        <v>112.33512437665176</v>
      </c>
      <c r="I59" s="534">
        <v>224.67024875330353</v>
      </c>
      <c r="J59" s="534">
        <v>469.10793612926608</v>
      </c>
      <c r="K59" s="534">
        <v>656.75111058097252</v>
      </c>
      <c r="L59" s="534">
        <v>886.61399928431297</v>
      </c>
      <c r="M59" s="534">
        <v>1196.9288990338225</v>
      </c>
      <c r="N59" s="534">
        <v>1496.1611237922782</v>
      </c>
      <c r="O59" s="534">
        <v>1795.3933485507337</v>
      </c>
      <c r="P59" s="534">
        <v>2064.7023508333432</v>
      </c>
      <c r="Q59" s="539">
        <v>2684.1130560833467</v>
      </c>
      <c r="R59" s="61"/>
    </row>
    <row r="60" spans="3:18" s="57" customFormat="1">
      <c r="C60" s="184" t="s">
        <v>206</v>
      </c>
      <c r="D60" s="185" t="s">
        <v>135</v>
      </c>
      <c r="E60" s="185" t="s">
        <v>130</v>
      </c>
      <c r="F60" s="186" t="s">
        <v>191</v>
      </c>
      <c r="G60" s="187"/>
      <c r="H60" s="535">
        <v>48.143624732850768</v>
      </c>
      <c r="I60" s="535">
        <v>96.287249465701535</v>
      </c>
      <c r="J60" s="535">
        <v>201.04625834111408</v>
      </c>
      <c r="K60" s="535">
        <v>281.46476167755964</v>
      </c>
      <c r="L60" s="535">
        <v>379.97742826470562</v>
      </c>
      <c r="M60" s="535">
        <v>512.96952815735267</v>
      </c>
      <c r="N60" s="535">
        <v>641.21191019669072</v>
      </c>
      <c r="O60" s="535">
        <v>769.45429223602878</v>
      </c>
      <c r="P60" s="535">
        <v>884.87243607143319</v>
      </c>
      <c r="Q60" s="536">
        <v>1150.3341668928629</v>
      </c>
      <c r="R60" s="61"/>
    </row>
    <row r="61" spans="3:18" s="57" customFormat="1">
      <c r="C61" s="58" t="s">
        <v>251</v>
      </c>
      <c r="D61" s="60"/>
      <c r="E61" s="60"/>
      <c r="F61" s="68"/>
      <c r="G61" s="61"/>
      <c r="H61" s="534"/>
      <c r="I61" s="534"/>
      <c r="J61" s="534"/>
      <c r="K61" s="534"/>
      <c r="L61" s="534"/>
      <c r="M61" s="534"/>
      <c r="N61" s="534"/>
      <c r="O61" s="534"/>
      <c r="P61" s="534"/>
      <c r="Q61" s="534"/>
      <c r="R61" s="61"/>
    </row>
    <row r="62" spans="3:18" s="57" customFormat="1">
      <c r="C62" s="208" t="s">
        <v>205</v>
      </c>
      <c r="D62" s="181" t="s">
        <v>132</v>
      </c>
      <c r="E62" s="181" t="s">
        <v>130</v>
      </c>
      <c r="F62" s="209"/>
      <c r="G62" s="182"/>
      <c r="H62" s="537">
        <v>8.0382541130981924</v>
      </c>
      <c r="I62" s="537">
        <v>12.310446059518375</v>
      </c>
      <c r="J62" s="537">
        <v>25.872990509479401</v>
      </c>
      <c r="K62" s="537">
        <v>36.222186713271157</v>
      </c>
      <c r="L62" s="537">
        <v>48.899952062916064</v>
      </c>
      <c r="M62" s="537">
        <v>66.014935284936698</v>
      </c>
      <c r="N62" s="537">
        <v>82.518669106170876</v>
      </c>
      <c r="O62" s="537">
        <v>99.022402927405054</v>
      </c>
      <c r="P62" s="537">
        <v>113.8757633665158</v>
      </c>
      <c r="Q62" s="538">
        <v>136.65091603981895</v>
      </c>
      <c r="R62" s="61"/>
    </row>
    <row r="63" spans="3:18" s="57" customFormat="1">
      <c r="C63" s="210" t="s">
        <v>205</v>
      </c>
      <c r="D63" s="60" t="s">
        <v>135</v>
      </c>
      <c r="E63" s="60" t="s">
        <v>130</v>
      </c>
      <c r="F63" s="178" t="s">
        <v>252</v>
      </c>
      <c r="G63" s="61"/>
      <c r="H63" s="534">
        <v>8.9610053845129229</v>
      </c>
      <c r="I63" s="534">
        <v>17.922010769025846</v>
      </c>
      <c r="J63" s="534">
        <v>37.562557886544937</v>
      </c>
      <c r="K63" s="534">
        <v>52.587581041162913</v>
      </c>
      <c r="L63" s="534">
        <v>70.993234405569936</v>
      </c>
      <c r="M63" s="534">
        <v>95.840866447519417</v>
      </c>
      <c r="N63" s="534">
        <v>119.80108305939928</v>
      </c>
      <c r="O63" s="534">
        <v>143.76129967127912</v>
      </c>
      <c r="P63" s="534">
        <v>165.32549462197096</v>
      </c>
      <c r="Q63" s="539">
        <v>214.92314300856225</v>
      </c>
      <c r="R63" s="61"/>
    </row>
    <row r="64" spans="3:18" s="57" customFormat="1">
      <c r="C64" s="211" t="s">
        <v>205</v>
      </c>
      <c r="D64" s="185" t="s">
        <v>135</v>
      </c>
      <c r="E64" s="185" t="s">
        <v>130</v>
      </c>
      <c r="F64" s="187" t="s">
        <v>253</v>
      </c>
      <c r="G64" s="187"/>
      <c r="H64" s="535">
        <v>20.909012563863485</v>
      </c>
      <c r="I64" s="535">
        <v>41.818025127726969</v>
      </c>
      <c r="J64" s="535">
        <v>87.645968401938177</v>
      </c>
      <c r="K64" s="535">
        <v>122.70435576271343</v>
      </c>
      <c r="L64" s="535">
        <v>165.65088027966314</v>
      </c>
      <c r="M64" s="535">
        <v>223.62868837754527</v>
      </c>
      <c r="N64" s="535">
        <v>279.53586047193158</v>
      </c>
      <c r="O64" s="535">
        <v>335.44303256631787</v>
      </c>
      <c r="P64" s="535">
        <v>385.7594874512655</v>
      </c>
      <c r="Q64" s="536">
        <v>501.48733368664517</v>
      </c>
      <c r="R64" s="179"/>
    </row>
    <row r="65" spans="1:18" s="57" customFormat="1">
      <c r="A65" s="45" t="s">
        <v>265</v>
      </c>
      <c r="C65" s="234"/>
      <c r="D65" s="60"/>
      <c r="E65" s="60"/>
      <c r="F65" s="61"/>
      <c r="G65" s="61"/>
      <c r="H65" s="179"/>
      <c r="I65" s="179"/>
      <c r="J65" s="179"/>
      <c r="K65" s="179"/>
      <c r="L65" s="179"/>
      <c r="M65" s="179"/>
      <c r="N65" s="179"/>
      <c r="O65" s="179"/>
      <c r="P65" s="179"/>
      <c r="Q65" s="179"/>
      <c r="R65" s="179"/>
    </row>
    <row r="66" spans="1:18" s="57" customFormat="1">
      <c r="B66" s="45" t="s">
        <v>267</v>
      </c>
      <c r="C66" s="60"/>
      <c r="D66" s="60"/>
      <c r="E66" s="60"/>
      <c r="F66" s="61"/>
      <c r="G66" s="61"/>
      <c r="H66" s="63"/>
      <c r="I66" s="63"/>
      <c r="J66" s="63"/>
      <c r="K66" s="63"/>
      <c r="L66" s="63"/>
      <c r="M66" s="63"/>
      <c r="N66" s="63"/>
      <c r="O66" s="63"/>
      <c r="P66" s="63"/>
      <c r="Q66" s="63"/>
    </row>
    <row r="67" spans="1:18">
      <c r="A67" s="45"/>
      <c r="C67" s="64" t="s">
        <v>270</v>
      </c>
      <c r="D67" s="65"/>
      <c r="E67" s="65"/>
      <c r="F67" s="65"/>
      <c r="G67" s="65">
        <v>2014</v>
      </c>
      <c r="H67" s="50">
        <f>G67+1</f>
        <v>2015</v>
      </c>
      <c r="I67" s="50">
        <f t="shared" ref="I67:Q67" si="23">H67+1</f>
        <v>2016</v>
      </c>
      <c r="J67" s="50">
        <f t="shared" si="23"/>
        <v>2017</v>
      </c>
      <c r="K67" s="50">
        <f t="shared" si="23"/>
        <v>2018</v>
      </c>
      <c r="L67" s="50">
        <f t="shared" si="23"/>
        <v>2019</v>
      </c>
      <c r="M67" s="50">
        <f t="shared" si="23"/>
        <v>2020</v>
      </c>
      <c r="N67" s="50">
        <f t="shared" si="23"/>
        <v>2021</v>
      </c>
      <c r="O67" s="50">
        <f t="shared" si="23"/>
        <v>2022</v>
      </c>
      <c r="P67" s="50">
        <f t="shared" si="23"/>
        <v>2023</v>
      </c>
      <c r="Q67" s="50">
        <f t="shared" si="23"/>
        <v>2024</v>
      </c>
    </row>
    <row r="68" spans="1:18">
      <c r="C68" s="66" t="s">
        <v>197</v>
      </c>
      <c r="D68" s="67" t="s">
        <v>132</v>
      </c>
      <c r="E68" s="67" t="s">
        <v>187</v>
      </c>
      <c r="F68" s="65"/>
      <c r="G68" s="529">
        <f>'[6]Step 2 Volume (Without IE)'!F72</f>
        <v>98.286568205944747</v>
      </c>
      <c r="H68" s="563">
        <f>'[6]Step 2 Volume (Without IE)'!G72</f>
        <v>176.14387625263927</v>
      </c>
      <c r="I68" s="529">
        <f>'[6]Step 2 Volume (Without IE)'!H72</f>
        <v>236.48337698328788</v>
      </c>
      <c r="J68" s="529">
        <f>'[6]Step 2 Volume (Without IE)'!I72</f>
        <v>493.16541573990014</v>
      </c>
      <c r="K68" s="529">
        <f>'[6]Step 2 Volume (Without IE)'!J72</f>
        <v>690.43158203586006</v>
      </c>
      <c r="L68" s="529">
        <f>'[6]Step 2 Volume (Without IE)'!K72</f>
        <v>932.08263574841123</v>
      </c>
      <c r="M68" s="529">
        <f>'[6]Step 2 Volume (Without IE)'!L72</f>
        <v>1258.3115582603552</v>
      </c>
      <c r="N68" s="529">
        <f>'[6]Step 2 Volume (Without IE)'!M72</f>
        <v>1572.889447825444</v>
      </c>
      <c r="O68" s="529">
        <f>'[6]Step 2 Volume (Without IE)'!N72</f>
        <v>1887.467337390533</v>
      </c>
      <c r="P68" s="529">
        <f>'[6]Step 2 Volume (Without IE)'!O72</f>
        <v>2170.5874379991128</v>
      </c>
      <c r="Q68" s="531">
        <f>'[6]Step 2 Volume (Without IE)'!P72</f>
        <v>2344.2344330390415</v>
      </c>
    </row>
    <row r="69" spans="1:18">
      <c r="C69" s="66" t="s">
        <v>197</v>
      </c>
      <c r="D69" s="67" t="s">
        <v>132</v>
      </c>
      <c r="E69" s="67" t="s">
        <v>130</v>
      </c>
      <c r="F69" s="50"/>
      <c r="G69" s="529">
        <f>'[6]Step 2 Volume (Without IE)'!F13+'[6]Step 2 Volume (Without IE)'!F73</f>
        <v>168.5751603996429</v>
      </c>
      <c r="H69" s="529">
        <f>'[6]Step 2 Volume (Without IE)'!G13+'[6]Step 2 Volume (Without IE)'!G73</f>
        <v>289.23193584182923</v>
      </c>
      <c r="I69" s="529">
        <f>'[6]Step 2 Volume (Without IE)'!H13+'[6]Step 2 Volume (Without IE)'!H73</f>
        <v>535.26387168365852</v>
      </c>
      <c r="J69" s="529">
        <f>'[6]Step 2 Volume (Without IE)'!I13+'[6]Step 2 Volume (Without IE)'!I73</f>
        <v>963.47496903058538</v>
      </c>
      <c r="K69" s="529">
        <f>'[6]Step 2 Volume (Without IE)'!J13+'[6]Step 2 Volume (Without IE)'!J73</f>
        <v>1142.9882143851733</v>
      </c>
      <c r="L69" s="529">
        <f>'[6]Step 2 Volume (Without IE)'!K13+'[6]Step 2 Volume (Without IE)'!K73</f>
        <v>1356.4268465429491</v>
      </c>
      <c r="M69" s="529">
        <f>'[6]Step 2 Volume (Without IE)'!L13+'[6]Step 2 Volume (Without IE)'!L73</f>
        <v>1610.2793535243914</v>
      </c>
      <c r="N69" s="529">
        <f>'[6]Step 2 Volume (Without IE)'!M13+'[6]Step 2 Volume (Without IE)'!M73</f>
        <v>1912.2874325530499</v>
      </c>
      <c r="O69" s="529">
        <f>'[6]Step 2 Volume (Without IE)'!N13+'[6]Step 2 Volume (Without IE)'!N73</f>
        <v>2080.4612153807025</v>
      </c>
      <c r="P69" s="529">
        <f>'[6]Step 2 Volume (Without IE)'!O13+'[6]Step 2 Volume (Without IE)'!O73</f>
        <v>2264.2996284697379</v>
      </c>
      <c r="Q69" s="531">
        <f>'[6]Step 2 Volume (Without IE)'!P13+'[6]Step 2 Volume (Without IE)'!P73</f>
        <v>2465.3114974452246</v>
      </c>
    </row>
    <row r="70" spans="1:18">
      <c r="C70" s="66" t="s">
        <v>197</v>
      </c>
      <c r="D70" s="67" t="s">
        <v>135</v>
      </c>
      <c r="E70" s="67" t="s">
        <v>188</v>
      </c>
      <c r="F70" s="68" t="s">
        <v>189</v>
      </c>
      <c r="G70" s="529">
        <f>'[6]Step 2 Volume (Without IE)'!F76</f>
        <v>39.797831240900649</v>
      </c>
      <c r="H70" s="529">
        <f>'[6]Step 2 Volume (Without IE)'!G76</f>
        <v>70.425108183285033</v>
      </c>
      <c r="I70" s="529">
        <f>'[6]Step 2 Volume (Without IE)'!H76</f>
        <v>102.60728104241232</v>
      </c>
      <c r="J70" s="529">
        <f>'[6]Step 2 Volume (Without IE)'!I76</f>
        <v>217.35432712471646</v>
      </c>
      <c r="K70" s="529">
        <f>'[6]Step 2 Volume (Without IE)'!J76</f>
        <v>304.29605797460295</v>
      </c>
      <c r="L70" s="529">
        <f>'[6]Step 2 Volume (Without IE)'!K76</f>
        <v>410.79967826571402</v>
      </c>
      <c r="M70" s="529">
        <f>'[6]Step 2 Volume (Without IE)'!L76</f>
        <v>554.57956565871393</v>
      </c>
      <c r="N70" s="529">
        <f>'[6]Step 2 Volume (Without IE)'!M76</f>
        <v>693.22445707339239</v>
      </c>
      <c r="O70" s="529">
        <f>'[6]Step 2 Volume (Without IE)'!N76</f>
        <v>831.86934848807095</v>
      </c>
      <c r="P70" s="529">
        <f>'[6]Step 2 Volume (Without IE)'!O76</f>
        <v>956.64975076128155</v>
      </c>
      <c r="Q70" s="531">
        <f>'[6]Step 2 Volume (Without IE)'!P76</f>
        <v>1061.0585723687263</v>
      </c>
    </row>
    <row r="71" spans="1:18">
      <c r="C71" s="66" t="s">
        <v>197</v>
      </c>
      <c r="D71" s="67" t="s">
        <v>135</v>
      </c>
      <c r="E71" s="67" t="s">
        <v>188</v>
      </c>
      <c r="F71" s="68" t="s">
        <v>183</v>
      </c>
      <c r="G71" s="529">
        <f>'[6]Step 2 Volume (Without IE)'!F78</f>
        <v>74.04519470269301</v>
      </c>
      <c r="H71" s="529">
        <f>'[6]Step 2 Volume (Without IE)'!G78</f>
        <v>129.16732739539111</v>
      </c>
      <c r="I71" s="529">
        <f>'[6]Step 2 Volume (Without IE)'!H78</f>
        <v>202.65576970277158</v>
      </c>
      <c r="J71" s="529">
        <f>'[6]Step 2 Volume (Without IE)'!I78</f>
        <v>290.03672812558034</v>
      </c>
      <c r="K71" s="529">
        <f>'[6]Step 2 Volume (Without IE)'!J78</f>
        <v>391.5495829695335</v>
      </c>
      <c r="L71" s="529">
        <f>'[6]Step 2 Volume (Without IE)'!K78</f>
        <v>528.59193700887022</v>
      </c>
      <c r="M71" s="529">
        <f>'[6]Step 2 Volume (Without IE)'!L78</f>
        <v>660.73992126108783</v>
      </c>
      <c r="N71" s="529">
        <f>'[6]Step 2 Volume (Without IE)'!M78</f>
        <v>792.88790551330533</v>
      </c>
      <c r="O71" s="529">
        <f>'[6]Step 2 Volume (Without IE)'!N78</f>
        <v>911.82109134030111</v>
      </c>
      <c r="P71" s="529">
        <f>'[6]Step 2 Volume (Without IE)'!O78</f>
        <v>984.76677864752514</v>
      </c>
      <c r="Q71" s="531">
        <f>'[6]Step 2 Volume (Without IE)'!P78</f>
        <v>997.205209436264</v>
      </c>
    </row>
    <row r="72" spans="1:18">
      <c r="C72" s="66" t="s">
        <v>197</v>
      </c>
      <c r="D72" s="67" t="s">
        <v>135</v>
      </c>
      <c r="E72" s="67" t="s">
        <v>188</v>
      </c>
      <c r="F72" s="68" t="s">
        <v>185</v>
      </c>
      <c r="G72" s="529">
        <f>'[6]Step 2 Volume (Without IE)'!F81+'[6]Step 2 Volume (Without IE)'!F14</f>
        <v>144.02862080581573</v>
      </c>
      <c r="H72" s="529">
        <f>'[6]Step 2 Volume (Without IE)'!G81+'[6]Step 2 Volume (Without IE)'!G14</f>
        <v>237.82371845778502</v>
      </c>
      <c r="I72" s="529">
        <f>'[6]Step 2 Volume (Without IE)'!H81+'[6]Step 2 Volume (Without IE)'!H14</f>
        <v>433.88827309956207</v>
      </c>
      <c r="J72" s="529">
        <f>'[6]Step 2 Volume (Without IE)'!I81+'[6]Step 2 Volume (Without IE)'!I14</f>
        <v>892.83453456890925</v>
      </c>
      <c r="K72" s="529">
        <f>'[6]Step 2 Volume (Without IE)'!J81+'[6]Step 2 Volume (Without IE)'!J14</f>
        <v>1210.1033654531352</v>
      </c>
      <c r="L72" s="529">
        <f>'[6]Step 2 Volume (Without IE)'!K81+'[6]Step 2 Volume (Without IE)'!K14</f>
        <v>1600.6576592005017</v>
      </c>
      <c r="M72" s="529">
        <f>'[6]Step 2 Volume (Without IE)'!L81+'[6]Step 2 Volume (Without IE)'!L14</f>
        <v>2157.6557857867433</v>
      </c>
      <c r="N72" s="529">
        <f>'[6]Step 2 Volume (Without IE)'!M81+'[6]Step 2 Volume (Without IE)'!M14</f>
        <v>2777.5868635131992</v>
      </c>
      <c r="O72" s="529">
        <f>'[6]Step 2 Volume (Without IE)'!N81+'[6]Step 2 Volume (Without IE)'!N14</f>
        <v>3290.376333170364</v>
      </c>
      <c r="P72" s="529">
        <f>'[6]Step 2 Volume (Without IE)'!O81+'[6]Step 2 Volume (Without IE)'!O14</f>
        <v>3831.8033904412841</v>
      </c>
      <c r="Q72" s="531">
        <f>'[6]Step 2 Volume (Without IE)'!P81+'[6]Step 2 Volume (Without IE)'!P14</f>
        <v>4351.0543339035785</v>
      </c>
    </row>
    <row r="73" spans="1:18">
      <c r="C73" s="66" t="s">
        <v>197</v>
      </c>
      <c r="D73" s="67" t="s">
        <v>135</v>
      </c>
      <c r="E73" s="67" t="str">
        <f>E69</f>
        <v>Low Transfat</v>
      </c>
      <c r="F73" s="65"/>
      <c r="G73" s="529">
        <f>'[6]Step 2 Volume (Without IE)'!F15+'[6]Step 2 Volume (Without IE)'!F82</f>
        <v>27.422720546832043</v>
      </c>
      <c r="H73" s="529">
        <f>'[6]Step 2 Volume (Without IE)'!G15+'[6]Step 2 Volume (Without IE)'!G82</f>
        <v>30.090872088618209</v>
      </c>
      <c r="I73" s="529">
        <f>'[6]Step 2 Volume (Without IE)'!H15+'[6]Step 2 Volume (Without IE)'!H82</f>
        <v>60.181744177236418</v>
      </c>
      <c r="J73" s="529">
        <f>'[6]Step 2 Volume (Without IE)'!I15+'[6]Step 2 Volume (Without IE)'!I82</f>
        <v>108.32713951902559</v>
      </c>
      <c r="K73" s="529">
        <f>'[6]Step 2 Volume (Without IE)'!J15+'[6]Step 2 Volume (Without IE)'!J82</f>
        <v>140.82528137473329</v>
      </c>
      <c r="L73" s="529">
        <f>'[6]Step 2 Volume (Without IE)'!K15+'[6]Step 2 Volume (Without IE)'!K82</f>
        <v>183.07286578715329</v>
      </c>
      <c r="M73" s="529">
        <f>'[6]Step 2 Volume (Without IE)'!L15+'[6]Step 2 Volume (Without IE)'!L82</f>
        <v>237.99472552329928</v>
      </c>
      <c r="N73" s="529">
        <f>'[6]Step 2 Volume (Without IE)'!M15+'[6]Step 2 Volume (Without IE)'!M82</f>
        <v>309.39314318028903</v>
      </c>
      <c r="O73" s="529">
        <f>'[6]Step 2 Volume (Without IE)'!N15+'[6]Step 2 Volume (Without IE)'!N82</f>
        <v>355.80211465733248</v>
      </c>
      <c r="P73" s="529">
        <f>'[6]Step 2 Volume (Without IE)'!O15+'[6]Step 2 Volume (Without IE)'!O82</f>
        <v>409.17243185593225</v>
      </c>
      <c r="Q73" s="531">
        <f>'[6]Step 2 Volume (Without IE)'!P15+'[6]Step 2 Volume (Without IE)'!P82</f>
        <v>470.54829663432201</v>
      </c>
    </row>
    <row r="74" spans="1:18">
      <c r="C74" s="64"/>
      <c r="D74" s="67"/>
      <c r="E74" s="67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9"/>
    </row>
    <row r="75" spans="1:18">
      <c r="C75" s="66" t="s">
        <v>208</v>
      </c>
      <c r="D75" s="67" t="s">
        <v>132</v>
      </c>
      <c r="E75" s="67" t="s">
        <v>188</v>
      </c>
      <c r="F75" s="65"/>
      <c r="G75" s="529">
        <v>60.586087141122505</v>
      </c>
      <c r="H75" s="544">
        <v>121.19827088693614</v>
      </c>
      <c r="I75" s="544">
        <v>200.85243396616681</v>
      </c>
      <c r="J75" s="544">
        <v>378.35479871854585</v>
      </c>
      <c r="K75" s="544">
        <v>529.6967182059642</v>
      </c>
      <c r="L75" s="544">
        <v>715.09056957805183</v>
      </c>
      <c r="M75" s="544">
        <v>965.37226893036996</v>
      </c>
      <c r="N75" s="544">
        <v>1206.7153361629623</v>
      </c>
      <c r="O75" s="544">
        <v>1448.0584033955547</v>
      </c>
      <c r="P75" s="544">
        <v>1393.8441114369393</v>
      </c>
      <c r="Q75" s="544">
        <v>1505.3516403518947</v>
      </c>
    </row>
    <row r="76" spans="1:18">
      <c r="C76" s="66" t="s">
        <v>208</v>
      </c>
      <c r="D76" s="67" t="s">
        <v>135</v>
      </c>
      <c r="E76" s="67" t="s">
        <v>188</v>
      </c>
      <c r="F76" s="68" t="s">
        <v>190</v>
      </c>
      <c r="G76" s="529">
        <v>40.609023127806111</v>
      </c>
      <c r="H76" s="544">
        <v>81.61008784537745</v>
      </c>
      <c r="I76" s="544">
        <v>135.5181457241942</v>
      </c>
      <c r="J76" s="544">
        <v>261.80176852119735</v>
      </c>
      <c r="K76" s="544">
        <v>366.52247592967632</v>
      </c>
      <c r="L76" s="544">
        <v>494.80534250506309</v>
      </c>
      <c r="M76" s="544">
        <v>667.98721238183509</v>
      </c>
      <c r="N76" s="544">
        <v>834.98401547729384</v>
      </c>
      <c r="O76" s="544">
        <v>1001.9808185727525</v>
      </c>
      <c r="P76" s="544">
        <v>1152.2779413586654</v>
      </c>
      <c r="Q76" s="544">
        <v>1244.4601766673586</v>
      </c>
    </row>
    <row r="77" spans="1:18">
      <c r="C77" s="66" t="s">
        <v>208</v>
      </c>
      <c r="D77" s="67" t="s">
        <v>135</v>
      </c>
      <c r="E77" s="67" t="s">
        <v>188</v>
      </c>
      <c r="F77" s="68" t="s">
        <v>191</v>
      </c>
      <c r="G77" s="529">
        <v>17.40386705477405</v>
      </c>
      <c r="H77" s="544">
        <v>34.9757519337332</v>
      </c>
      <c r="I77" s="544">
        <v>58.079205310368955</v>
      </c>
      <c r="J77" s="544">
        <v>112.20075793765602</v>
      </c>
      <c r="K77" s="544">
        <v>157.08106111271846</v>
      </c>
      <c r="L77" s="544">
        <v>212.05943250216995</v>
      </c>
      <c r="M77" s="544">
        <v>286.28023387792945</v>
      </c>
      <c r="N77" s="544">
        <v>357.85029234741171</v>
      </c>
      <c r="O77" s="544">
        <v>429.42035081689403</v>
      </c>
      <c r="P77" s="544">
        <v>493.83340343942814</v>
      </c>
      <c r="Q77" s="544">
        <v>533.34007571458244</v>
      </c>
    </row>
    <row r="78" spans="1:18">
      <c r="C78" s="70"/>
      <c r="D78" s="71"/>
      <c r="E78" s="71" t="s">
        <v>67</v>
      </c>
      <c r="F78" s="72"/>
      <c r="G78" s="73">
        <f t="shared" ref="G78:Q78" si="24">SUM(G68:G69,G70:G73,G75,G76:G77)</f>
        <v>670.75507322553187</v>
      </c>
      <c r="H78" s="73">
        <f t="shared" si="24"/>
        <v>1170.6669488855946</v>
      </c>
      <c r="I78" s="73">
        <f t="shared" si="24"/>
        <v>1965.5301016896585</v>
      </c>
      <c r="J78" s="73">
        <f t="shared" si="24"/>
        <v>3717.5504392861158</v>
      </c>
      <c r="K78" s="73">
        <f t="shared" si="24"/>
        <v>4933.4943394413967</v>
      </c>
      <c r="L78" s="73">
        <f t="shared" si="24"/>
        <v>6433.5869671388846</v>
      </c>
      <c r="M78" s="73">
        <f t="shared" si="24"/>
        <v>8399.2006252047249</v>
      </c>
      <c r="N78" s="73">
        <f t="shared" si="24"/>
        <v>10457.818893646348</v>
      </c>
      <c r="O78" s="73">
        <f t="shared" si="24"/>
        <v>12237.257013212504</v>
      </c>
      <c r="P78" s="73">
        <f t="shared" si="24"/>
        <v>13657.234874409905</v>
      </c>
      <c r="Q78" s="73">
        <f t="shared" si="24"/>
        <v>14972.564235560994</v>
      </c>
    </row>
    <row r="79" spans="1:18">
      <c r="B79" s="45"/>
      <c r="C79" s="45" t="s">
        <v>271</v>
      </c>
      <c r="D79" s="67"/>
      <c r="E79" s="67"/>
      <c r="F79" s="65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</row>
    <row r="80" spans="1:18">
      <c r="C80" s="47" t="s">
        <v>192</v>
      </c>
      <c r="D80" s="48"/>
      <c r="E80" s="48" t="s">
        <v>130</v>
      </c>
      <c r="F80" s="65"/>
      <c r="G80" s="56"/>
      <c r="H80" s="529">
        <v>1266.4643444054188</v>
      </c>
      <c r="I80" s="529">
        <v>1975.8913078959329</v>
      </c>
      <c r="J80" s="529">
        <v>2676.3182713864467</v>
      </c>
      <c r="K80" s="529">
        <v>3077.7660120944133</v>
      </c>
      <c r="L80" s="529">
        <v>3539.4309139085753</v>
      </c>
      <c r="M80" s="529">
        <v>4070.3455509948617</v>
      </c>
      <c r="N80" s="529">
        <v>4680.89738364409</v>
      </c>
      <c r="O80" s="529">
        <v>5383.0319911907027</v>
      </c>
      <c r="P80" s="529">
        <v>6190.4867898693083</v>
      </c>
      <c r="Q80" s="529">
        <v>7119.0598083497025</v>
      </c>
    </row>
    <row r="81" spans="1:18">
      <c r="C81" s="51" t="s">
        <v>194</v>
      </c>
      <c r="D81" s="52" t="s">
        <v>132</v>
      </c>
      <c r="E81" s="52" t="s">
        <v>133</v>
      </c>
      <c r="F81" s="65"/>
      <c r="G81" s="56"/>
      <c r="H81" s="529">
        <v>784.19902672994374</v>
      </c>
      <c r="I81" s="529">
        <v>1088.4579662837518</v>
      </c>
      <c r="J81" s="529">
        <v>1882.71690583756</v>
      </c>
      <c r="K81" s="529">
        <v>2168.934659929062</v>
      </c>
      <c r="L81" s="529">
        <v>2498.8471207774633</v>
      </c>
      <c r="M81" s="529">
        <v>2879.1609031249332</v>
      </c>
      <c r="N81" s="529">
        <v>3317.6190956706932</v>
      </c>
      <c r="O81" s="529">
        <v>3807.3610915288718</v>
      </c>
      <c r="P81" s="529">
        <v>4369.7742999165357</v>
      </c>
      <c r="Q81" s="529">
        <v>13931.046017361261</v>
      </c>
    </row>
    <row r="82" spans="1:18">
      <c r="C82" s="51" t="s">
        <v>194</v>
      </c>
      <c r="D82" s="52" t="s">
        <v>132</v>
      </c>
      <c r="E82" s="52" t="s">
        <v>130</v>
      </c>
      <c r="F82" s="65"/>
      <c r="G82" s="56"/>
      <c r="H82" s="529">
        <v>789.05652825865866</v>
      </c>
      <c r="I82" s="529">
        <v>631.68873493979515</v>
      </c>
      <c r="J82" s="529">
        <v>1127.5158766359059</v>
      </c>
      <c r="K82" s="529">
        <v>1300.6783197205432</v>
      </c>
      <c r="L82" s="529">
        <v>1500.6221415857262</v>
      </c>
      <c r="M82" s="529">
        <v>1731.525951512107</v>
      </c>
      <c r="N82" s="529">
        <v>1950.4652039755224</v>
      </c>
      <c r="O82" s="529">
        <v>2181.1741869679968</v>
      </c>
      <c r="P82" s="529">
        <v>2359.3496475584843</v>
      </c>
      <c r="Q82" s="529">
        <v>6195.9730579733023</v>
      </c>
    </row>
    <row r="83" spans="1:18">
      <c r="C83" s="51" t="s">
        <v>194</v>
      </c>
      <c r="D83" s="52" t="s">
        <v>135</v>
      </c>
      <c r="E83" s="52" t="s">
        <v>133</v>
      </c>
      <c r="F83" s="65"/>
      <c r="G83" s="56"/>
      <c r="H83" s="529">
        <v>90.409964248040097</v>
      </c>
      <c r="I83" s="529">
        <v>130.16166965422761</v>
      </c>
      <c r="J83" s="529">
        <v>241.91337506041512</v>
      </c>
      <c r="K83" s="529">
        <v>314.48738757853971</v>
      </c>
      <c r="L83" s="529">
        <v>408.83360385210153</v>
      </c>
      <c r="M83" s="529">
        <v>531.48368500773199</v>
      </c>
      <c r="N83" s="529">
        <v>690.9287905100515</v>
      </c>
      <c r="O83" s="529">
        <v>794.56810908655939</v>
      </c>
      <c r="P83" s="529">
        <v>913.75332544954324</v>
      </c>
      <c r="Q83" s="529">
        <v>2593.4997895513316</v>
      </c>
    </row>
    <row r="84" spans="1:18">
      <c r="C84" s="51" t="s">
        <v>194</v>
      </c>
      <c r="D84" s="52" t="s">
        <v>135</v>
      </c>
      <c r="E84" s="52" t="s">
        <v>130</v>
      </c>
      <c r="F84" s="65"/>
      <c r="G84" s="56"/>
      <c r="H84" s="529">
        <v>0</v>
      </c>
      <c r="I84" s="529">
        <v>0</v>
      </c>
      <c r="J84" s="529">
        <v>0</v>
      </c>
      <c r="K84" s="529">
        <v>0</v>
      </c>
      <c r="L84" s="529">
        <v>0</v>
      </c>
      <c r="M84" s="529">
        <v>0</v>
      </c>
      <c r="N84" s="529">
        <v>0</v>
      </c>
      <c r="O84" s="529">
        <v>0</v>
      </c>
      <c r="P84" s="529">
        <v>0</v>
      </c>
      <c r="Q84" s="529">
        <v>0</v>
      </c>
    </row>
    <row r="85" spans="1:18">
      <c r="C85" s="51" t="s">
        <v>196</v>
      </c>
      <c r="D85" s="52" t="s">
        <v>132</v>
      </c>
      <c r="E85" s="52" t="s">
        <v>133</v>
      </c>
      <c r="F85" s="65"/>
      <c r="G85" s="56"/>
      <c r="H85" s="529">
        <v>411.61657700485279</v>
      </c>
      <c r="I85" s="529">
        <v>1000.2491891852045</v>
      </c>
      <c r="J85" s="529">
        <v>1551.9818013655561</v>
      </c>
      <c r="K85" s="529">
        <v>2100.6237326745595</v>
      </c>
      <c r="L85" s="529">
        <v>2770.906328797158</v>
      </c>
      <c r="M85" s="529">
        <v>3662.8006914999664</v>
      </c>
      <c r="N85" s="529">
        <v>4395.360829799959</v>
      </c>
      <c r="O85" s="529">
        <v>5017.2619851293784</v>
      </c>
      <c r="P85" s="529">
        <v>5728.7080168441535</v>
      </c>
      <c r="Q85" s="529">
        <v>7452.7877056295274</v>
      </c>
    </row>
    <row r="86" spans="1:18">
      <c r="C86" s="51" t="s">
        <v>196</v>
      </c>
      <c r="D86" s="52" t="s">
        <v>132</v>
      </c>
      <c r="E86" s="52" t="s">
        <v>130</v>
      </c>
      <c r="F86" s="65"/>
      <c r="G86" s="56"/>
      <c r="H86" s="529">
        <v>1214.1819437275951</v>
      </c>
      <c r="I86" s="529">
        <v>2885.8551138949692</v>
      </c>
      <c r="J86" s="529">
        <v>6177.528284062344</v>
      </c>
      <c r="K86" s="529">
        <v>7642.7126089944377</v>
      </c>
      <c r="L86" s="529">
        <v>9392.3011925450755</v>
      </c>
      <c r="M86" s="529">
        <v>11615.441655898823</v>
      </c>
      <c r="N86" s="529">
        <v>13449.014108221556</v>
      </c>
      <c r="O86" s="529">
        <v>15260.769555334839</v>
      </c>
      <c r="P86" s="529">
        <v>17012.592360001585</v>
      </c>
      <c r="Q86" s="529">
        <v>21804.316928188484</v>
      </c>
    </row>
    <row r="87" spans="1:18">
      <c r="C87" s="51" t="s">
        <v>196</v>
      </c>
      <c r="D87" s="52" t="s">
        <v>135</v>
      </c>
      <c r="E87" s="52" t="s">
        <v>133</v>
      </c>
      <c r="F87" s="65"/>
      <c r="G87" s="56"/>
      <c r="H87" s="529">
        <v>159.44432022707804</v>
      </c>
      <c r="I87" s="529">
        <v>333.25132079667651</v>
      </c>
      <c r="J87" s="529">
        <v>453.05832136627498</v>
      </c>
      <c r="K87" s="529">
        <v>594.95545351283715</v>
      </c>
      <c r="L87" s="529">
        <v>777.62783458236413</v>
      </c>
      <c r="M87" s="529">
        <v>1016.5669407282356</v>
      </c>
      <c r="N87" s="529">
        <v>1321.5370229467062</v>
      </c>
      <c r="O87" s="529">
        <v>1519.7675763887116</v>
      </c>
      <c r="P87" s="529">
        <v>1747.7327128470183</v>
      </c>
      <c r="Q87" s="529">
        <v>2330.6410633581363</v>
      </c>
    </row>
    <row r="88" spans="1:18">
      <c r="C88" s="51" t="s">
        <v>196</v>
      </c>
      <c r="D88" s="50" t="s">
        <v>135</v>
      </c>
      <c r="E88" s="50" t="s">
        <v>130</v>
      </c>
      <c r="F88" s="65"/>
      <c r="G88" s="56"/>
      <c r="H88" s="529">
        <v>0</v>
      </c>
      <c r="I88" s="529">
        <v>0</v>
      </c>
      <c r="J88" s="529">
        <v>0</v>
      </c>
      <c r="K88" s="529">
        <v>0</v>
      </c>
      <c r="L88" s="529">
        <v>0</v>
      </c>
      <c r="M88" s="529">
        <v>0</v>
      </c>
      <c r="N88" s="529">
        <v>0</v>
      </c>
      <c r="O88" s="529">
        <v>0</v>
      </c>
      <c r="P88" s="529">
        <v>0</v>
      </c>
      <c r="Q88" s="529">
        <v>0</v>
      </c>
    </row>
    <row r="89" spans="1:18">
      <c r="C89" s="51"/>
      <c r="D89" s="50"/>
      <c r="E89" s="50"/>
      <c r="F89" s="65"/>
      <c r="G89" s="56"/>
      <c r="H89" s="56">
        <f>SUM(H80:H88)</f>
        <v>4715.3727046015865</v>
      </c>
      <c r="I89" s="56">
        <f t="shared" ref="I89:Q89" si="25">SUM(I80:I88)</f>
        <v>8045.5553026505586</v>
      </c>
      <c r="J89" s="56">
        <f t="shared" si="25"/>
        <v>14111.032835714503</v>
      </c>
      <c r="K89" s="56">
        <f t="shared" si="25"/>
        <v>17200.158174504391</v>
      </c>
      <c r="L89" s="56">
        <f t="shared" si="25"/>
        <v>20888.569136048463</v>
      </c>
      <c r="M89" s="56">
        <f t="shared" si="25"/>
        <v>25507.325378766658</v>
      </c>
      <c r="N89" s="56">
        <f t="shared" si="25"/>
        <v>29805.822434768575</v>
      </c>
      <c r="O89" s="56">
        <f t="shared" si="25"/>
        <v>33963.934495627058</v>
      </c>
      <c r="P89" s="56">
        <f t="shared" si="25"/>
        <v>38322.397152486628</v>
      </c>
      <c r="Q89" s="56">
        <f t="shared" si="25"/>
        <v>61427.324370411734</v>
      </c>
    </row>
    <row r="90" spans="1:18">
      <c r="C90" s="51"/>
      <c r="D90" s="50"/>
      <c r="E90" s="50"/>
      <c r="F90" s="65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</row>
    <row r="91" spans="1:18">
      <c r="C91" s="250" t="s">
        <v>279</v>
      </c>
      <c r="D91" s="50"/>
      <c r="E91" s="50"/>
      <c r="F91" s="65"/>
      <c r="G91" s="56"/>
      <c r="H91" s="56">
        <f>H78+H89</f>
        <v>5886.0396534871816</v>
      </c>
      <c r="I91" s="56">
        <f t="shared" ref="I91:Q91" si="26">I78+I89</f>
        <v>10011.085404340218</v>
      </c>
      <c r="J91" s="56">
        <f t="shared" si="26"/>
        <v>17828.583275000619</v>
      </c>
      <c r="K91" s="56">
        <f t="shared" si="26"/>
        <v>22133.652513945788</v>
      </c>
      <c r="L91" s="56">
        <f t="shared" si="26"/>
        <v>27322.15610318735</v>
      </c>
      <c r="M91" s="56">
        <f t="shared" si="26"/>
        <v>33906.526003971383</v>
      </c>
      <c r="N91" s="56">
        <f t="shared" si="26"/>
        <v>40263.641328414924</v>
      </c>
      <c r="O91" s="56">
        <f t="shared" si="26"/>
        <v>46201.191508839562</v>
      </c>
      <c r="P91" s="56">
        <f t="shared" si="26"/>
        <v>51979.632026896536</v>
      </c>
      <c r="Q91" s="56">
        <f t="shared" si="26"/>
        <v>76399.888605972723</v>
      </c>
    </row>
    <row r="92" spans="1:18">
      <c r="C92" s="51"/>
      <c r="D92" s="50"/>
      <c r="E92" s="50"/>
      <c r="F92" s="65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</row>
    <row r="93" spans="1:18" s="45" customFormat="1">
      <c r="B93" s="45" t="s">
        <v>219</v>
      </c>
      <c r="C93" s="51"/>
      <c r="D93" s="50"/>
      <c r="E93" s="50"/>
      <c r="H93" s="74">
        <f t="shared" ref="H93:Q93" si="27">H21+H36+H78+H89</f>
        <v>14569.748886148407</v>
      </c>
      <c r="I93" s="74">
        <f t="shared" si="27"/>
        <v>25480.234444887607</v>
      </c>
      <c r="J93" s="74">
        <f t="shared" si="27"/>
        <v>44537.746744631855</v>
      </c>
      <c r="K93" s="74">
        <f t="shared" si="27"/>
        <v>54804.515512614176</v>
      </c>
      <c r="L93" s="74">
        <f t="shared" si="27"/>
        <v>67021.845665202112</v>
      </c>
      <c r="M93" s="74">
        <f t="shared" si="27"/>
        <v>82355.607421879191</v>
      </c>
      <c r="N93" s="74">
        <f t="shared" si="27"/>
        <v>97162.827176758787</v>
      </c>
      <c r="O93" s="74">
        <f t="shared" si="27"/>
        <v>105092.88646962904</v>
      </c>
      <c r="P93" s="74">
        <f t="shared" si="27"/>
        <v>112871.44378687657</v>
      </c>
      <c r="Q93" s="74">
        <f t="shared" si="27"/>
        <v>139508.73698940632</v>
      </c>
    </row>
    <row r="94" spans="1:18" ht="63" customHeight="1" thickBot="1"/>
    <row r="95" spans="1:18" s="29" customFormat="1" ht="17">
      <c r="A95" s="98" t="s">
        <v>221</v>
      </c>
      <c r="B95" s="99"/>
      <c r="C95" s="99"/>
      <c r="D95" s="100" t="s">
        <v>192</v>
      </c>
      <c r="E95" s="101"/>
      <c r="F95" s="102"/>
      <c r="G95" s="102"/>
      <c r="H95" s="101">
        <f t="shared" ref="H95:Q95" si="28">H3</f>
        <v>605.20567753258115</v>
      </c>
      <c r="I95" s="101">
        <f t="shared" si="28"/>
        <v>945.63947306456703</v>
      </c>
      <c r="J95" s="101">
        <f t="shared" si="28"/>
        <v>1286.0732685965531</v>
      </c>
      <c r="K95" s="101">
        <f t="shared" si="28"/>
        <v>1478.9842588860361</v>
      </c>
      <c r="L95" s="101">
        <f t="shared" si="28"/>
        <v>1700.8318977189413</v>
      </c>
      <c r="M95" s="101">
        <f t="shared" si="28"/>
        <v>1955.9566823767823</v>
      </c>
      <c r="N95" s="101">
        <f t="shared" si="28"/>
        <v>2249.3501847332996</v>
      </c>
      <c r="O95" s="101">
        <f t="shared" si="28"/>
        <v>2586.7527124432941</v>
      </c>
      <c r="P95" s="101">
        <f t="shared" si="28"/>
        <v>2974.7656193097878</v>
      </c>
      <c r="Q95" s="101">
        <f t="shared" si="28"/>
        <v>3420.9804622062557</v>
      </c>
      <c r="R95" s="173"/>
    </row>
    <row r="96" spans="1:18">
      <c r="A96" s="103"/>
      <c r="B96" s="103"/>
      <c r="C96" s="103"/>
      <c r="D96" s="104" t="s">
        <v>193</v>
      </c>
      <c r="E96" s="105"/>
      <c r="F96" s="105"/>
      <c r="G96" s="105"/>
      <c r="H96" s="106">
        <f t="shared" ref="H96:Q96" si="29">SUM(H4:H7)</f>
        <v>827.81121487443556</v>
      </c>
      <c r="I96" s="106">
        <f t="shared" si="29"/>
        <v>1446.2444225758079</v>
      </c>
      <c r="J96" s="106">
        <f t="shared" si="29"/>
        <v>2064.67763027718</v>
      </c>
      <c r="K96" s="106">
        <f t="shared" si="29"/>
        <v>2392.9530207601938</v>
      </c>
      <c r="L96" s="106">
        <f t="shared" si="29"/>
        <v>2775.8829947703002</v>
      </c>
      <c r="M96" s="106">
        <f t="shared" si="29"/>
        <v>3223.2579525573983</v>
      </c>
      <c r="N96" s="106">
        <f t="shared" si="29"/>
        <v>3725.537874711637</v>
      </c>
      <c r="O96" s="106">
        <f t="shared" si="29"/>
        <v>4257.2519423177109</v>
      </c>
      <c r="P96" s="106">
        <f t="shared" si="29"/>
        <v>4829.9597359191011</v>
      </c>
      <c r="Q96" s="106">
        <f t="shared" si="29"/>
        <v>5483.2308331765507</v>
      </c>
      <c r="R96" s="174"/>
    </row>
    <row r="97" spans="1:18">
      <c r="A97" s="103"/>
      <c r="B97" s="103"/>
      <c r="C97" s="103"/>
      <c r="D97" s="104" t="s">
        <v>195</v>
      </c>
      <c r="E97" s="105"/>
      <c r="F97" s="105"/>
      <c r="G97" s="105"/>
      <c r="H97" s="106">
        <f t="shared" ref="H97:Q97" si="30">SUM(H8:H11)</f>
        <v>630.76415158669045</v>
      </c>
      <c r="I97" s="106">
        <f t="shared" si="30"/>
        <v>1802.7350642451834</v>
      </c>
      <c r="J97" s="106">
        <f t="shared" si="30"/>
        <v>2974.7059769036759</v>
      </c>
      <c r="K97" s="106">
        <f t="shared" si="30"/>
        <v>3643.8023419951564</v>
      </c>
      <c r="L97" s="106">
        <f t="shared" si="30"/>
        <v>4445.5277292643405</v>
      </c>
      <c r="M97" s="106">
        <f t="shared" si="30"/>
        <v>5453.9045768780388</v>
      </c>
      <c r="N97" s="106">
        <f t="shared" si="30"/>
        <v>6356.4877237804994</v>
      </c>
      <c r="O97" s="106">
        <f t="shared" si="30"/>
        <v>7199.6789201681031</v>
      </c>
      <c r="P97" s="106">
        <f t="shared" si="30"/>
        <v>8010.5137881582295</v>
      </c>
      <c r="Q97" s="106">
        <f t="shared" si="30"/>
        <v>8921.1670589611604</v>
      </c>
      <c r="R97" s="174"/>
    </row>
    <row r="98" spans="1:18">
      <c r="A98" s="103"/>
      <c r="B98" s="103"/>
      <c r="C98" s="103"/>
      <c r="D98" s="104" t="s">
        <v>197</v>
      </c>
      <c r="E98" s="105"/>
      <c r="F98" s="105"/>
      <c r="G98" s="105"/>
      <c r="H98" s="106">
        <f t="shared" ref="H98:Q98" si="31">SUM(H12:H17)</f>
        <v>147.58908995352584</v>
      </c>
      <c r="I98" s="106">
        <f t="shared" si="31"/>
        <v>270.61918256620027</v>
      </c>
      <c r="J98" s="106">
        <f t="shared" si="31"/>
        <v>498.7127163295421</v>
      </c>
      <c r="K98" s="106">
        <f t="shared" si="31"/>
        <v>759.56809017554326</v>
      </c>
      <c r="L98" s="106">
        <f t="shared" si="31"/>
        <v>960.97824966426947</v>
      </c>
      <c r="M98" s="106">
        <f t="shared" si="31"/>
        <v>1219.4622578637795</v>
      </c>
      <c r="N98" s="106">
        <f t="shared" si="31"/>
        <v>1508.9362116641621</v>
      </c>
      <c r="O98" s="106">
        <f t="shared" si="31"/>
        <v>1789.1375324060991</v>
      </c>
      <c r="P98" s="106">
        <f t="shared" si="31"/>
        <v>2017.6987631386596</v>
      </c>
      <c r="Q98" s="106">
        <f t="shared" si="31"/>
        <v>2224.5961756353654</v>
      </c>
      <c r="R98" s="174"/>
    </row>
    <row r="99" spans="1:18">
      <c r="A99" s="103"/>
      <c r="B99" s="103"/>
      <c r="C99" s="103"/>
      <c r="D99" s="104" t="s">
        <v>207</v>
      </c>
      <c r="E99" s="105"/>
      <c r="F99" s="105"/>
      <c r="G99" s="105"/>
      <c r="H99" s="106">
        <f t="shared" ref="H99:Q99" si="32">SUM(H18:H20)</f>
        <v>0</v>
      </c>
      <c r="I99" s="106">
        <f t="shared" si="32"/>
        <v>0</v>
      </c>
      <c r="J99" s="106">
        <f t="shared" si="32"/>
        <v>0</v>
      </c>
      <c r="K99" s="106">
        <f t="shared" si="32"/>
        <v>0</v>
      </c>
      <c r="L99" s="106">
        <f t="shared" si="32"/>
        <v>0</v>
      </c>
      <c r="M99" s="106">
        <f t="shared" si="32"/>
        <v>0</v>
      </c>
      <c r="N99" s="106">
        <f t="shared" si="32"/>
        <v>0</v>
      </c>
      <c r="O99" s="106">
        <f t="shared" si="32"/>
        <v>0</v>
      </c>
      <c r="P99" s="106">
        <f t="shared" si="32"/>
        <v>0</v>
      </c>
      <c r="Q99" s="106">
        <f t="shared" si="32"/>
        <v>0</v>
      </c>
      <c r="R99" s="174"/>
    </row>
    <row r="100" spans="1:18">
      <c r="A100" s="103"/>
      <c r="B100" s="103"/>
      <c r="C100" s="103"/>
      <c r="D100" s="104" t="s">
        <v>199</v>
      </c>
      <c r="E100" s="105"/>
      <c r="F100" s="105"/>
      <c r="G100" s="105"/>
      <c r="H100" s="106">
        <f t="shared" ref="H100:Q100" si="33">SUM(H25:H26)</f>
        <v>1040.8924775489822</v>
      </c>
      <c r="I100" s="106">
        <f t="shared" si="33"/>
        <v>1486.8805633810452</v>
      </c>
      <c r="J100" s="106">
        <f t="shared" si="33"/>
        <v>2407.2379070766692</v>
      </c>
      <c r="K100" s="106">
        <f t="shared" si="33"/>
        <v>2723.8742173055084</v>
      </c>
      <c r="L100" s="106">
        <f t="shared" si="33"/>
        <v>3073.7888725098819</v>
      </c>
      <c r="M100" s="106">
        <f t="shared" si="33"/>
        <v>3457.5320362066823</v>
      </c>
      <c r="N100" s="106">
        <f t="shared" si="33"/>
        <v>3820.1287942227195</v>
      </c>
      <c r="O100" s="106">
        <f t="shared" si="33"/>
        <v>3820.1287942227195</v>
      </c>
      <c r="P100" s="106">
        <f t="shared" si="33"/>
        <v>3820.1287942227195</v>
      </c>
      <c r="Q100" s="106">
        <f t="shared" si="33"/>
        <v>3820.1287942227195</v>
      </c>
      <c r="R100" s="174"/>
    </row>
    <row r="101" spans="1:18">
      <c r="A101" s="103"/>
      <c r="B101" s="103"/>
      <c r="C101" s="103"/>
      <c r="D101" s="104" t="s">
        <v>201</v>
      </c>
      <c r="E101" s="105"/>
      <c r="F101" s="105"/>
      <c r="G101" s="105"/>
      <c r="H101" s="106">
        <f t="shared" ref="H101:Q101" si="34">SUM(H27:H28)</f>
        <v>4134.8580735725609</v>
      </c>
      <c r="I101" s="106">
        <f t="shared" si="34"/>
        <v>7002.8601973758086</v>
      </c>
      <c r="J101" s="106">
        <f t="shared" si="34"/>
        <v>12514.099321179057</v>
      </c>
      <c r="K101" s="106">
        <f t="shared" si="34"/>
        <v>15179.897449650678</v>
      </c>
      <c r="L101" s="106">
        <f t="shared" si="34"/>
        <v>18367.222117028417</v>
      </c>
      <c r="M101" s="106">
        <f t="shared" si="34"/>
        <v>22290.481129988362</v>
      </c>
      <c r="N101" s="106">
        <f t="shared" si="34"/>
        <v>25752.175460722632</v>
      </c>
      <c r="O101" s="106">
        <f t="shared" si="34"/>
        <v>25752.175460722632</v>
      </c>
      <c r="P101" s="106">
        <f t="shared" si="34"/>
        <v>25752.175460722632</v>
      </c>
      <c r="Q101" s="106">
        <f t="shared" si="34"/>
        <v>25752.175460722632</v>
      </c>
      <c r="R101" s="174"/>
    </row>
    <row r="102" spans="1:18">
      <c r="A102" s="103"/>
      <c r="B102" s="103"/>
      <c r="C102" s="103"/>
      <c r="D102" s="104" t="s">
        <v>203</v>
      </c>
      <c r="E102" s="105"/>
      <c r="F102" s="105"/>
      <c r="G102" s="105"/>
      <c r="H102" s="106">
        <f t="shared" ref="H102:Q102" si="35">SUM(H29:H32)</f>
        <v>1102.5599261984885</v>
      </c>
      <c r="I102" s="106">
        <f t="shared" si="35"/>
        <v>2126.1128945508544</v>
      </c>
      <c r="J102" s="106">
        <f t="shared" si="35"/>
        <v>4152.886753966427</v>
      </c>
      <c r="K102" s="106">
        <f t="shared" si="35"/>
        <v>5356.7057664722788</v>
      </c>
      <c r="L102" s="106">
        <f t="shared" si="35"/>
        <v>6843.1025989375812</v>
      </c>
      <c r="M102" s="106">
        <f t="shared" si="35"/>
        <v>8779.8073941733637</v>
      </c>
      <c r="N102" s="106">
        <f t="shared" si="35"/>
        <v>10900.720363679669</v>
      </c>
      <c r="O102" s="106">
        <f t="shared" si="35"/>
        <v>10900.720363679669</v>
      </c>
      <c r="P102" s="106">
        <f t="shared" si="35"/>
        <v>10900.720363679669</v>
      </c>
      <c r="Q102" s="106">
        <f t="shared" si="35"/>
        <v>10900.720363679669</v>
      </c>
      <c r="R102" s="174"/>
    </row>
    <row r="103" spans="1:18" ht="16" thickBot="1">
      <c r="A103" s="103"/>
      <c r="B103" s="103"/>
      <c r="C103" s="103"/>
      <c r="D103" s="107" t="s">
        <v>205</v>
      </c>
      <c r="E103" s="108"/>
      <c r="F103" s="108"/>
      <c r="G103" s="108"/>
      <c r="H103" s="106">
        <f t="shared" ref="H103:Q103" si="36">SUM(H33:H35)</f>
        <v>194.02862139396126</v>
      </c>
      <c r="I103" s="106">
        <f t="shared" si="36"/>
        <v>388.05724278792252</v>
      </c>
      <c r="J103" s="106">
        <f t="shared" si="36"/>
        <v>810.76989530213336</v>
      </c>
      <c r="K103" s="106">
        <f t="shared" si="36"/>
        <v>1135.0778534229867</v>
      </c>
      <c r="L103" s="106">
        <f t="shared" si="36"/>
        <v>1532.3551021210321</v>
      </c>
      <c r="M103" s="106">
        <f t="shared" si="36"/>
        <v>2068.6793878633935</v>
      </c>
      <c r="N103" s="106">
        <f t="shared" si="36"/>
        <v>2585.8492348292416</v>
      </c>
      <c r="O103" s="106">
        <f t="shared" si="36"/>
        <v>2585.8492348292416</v>
      </c>
      <c r="P103" s="106">
        <f t="shared" si="36"/>
        <v>2585.8492348292416</v>
      </c>
      <c r="Q103" s="106">
        <f t="shared" si="36"/>
        <v>2585.8492348292416</v>
      </c>
      <c r="R103" s="174"/>
    </row>
    <row r="104" spans="1:18" s="75" customFormat="1">
      <c r="F104" s="75" t="s">
        <v>220</v>
      </c>
      <c r="H104" s="76">
        <f>SUM(H95:H103)</f>
        <v>8683.7092326612255</v>
      </c>
      <c r="I104" s="76">
        <f t="shared" ref="I104:Q104" si="37">SUM(I95:I103)</f>
        <v>15469.149040547389</v>
      </c>
      <c r="J104" s="76">
        <f t="shared" si="37"/>
        <v>26709.163469631239</v>
      </c>
      <c r="K104" s="76">
        <f t="shared" si="37"/>
        <v>32670.862998668381</v>
      </c>
      <c r="L104" s="76">
        <f t="shared" si="37"/>
        <v>39699.689562014762</v>
      </c>
      <c r="M104" s="76">
        <f t="shared" si="37"/>
        <v>48449.081417907801</v>
      </c>
      <c r="N104" s="76">
        <f t="shared" si="37"/>
        <v>56899.185848343863</v>
      </c>
      <c r="O104" s="76">
        <f t="shared" si="37"/>
        <v>58891.694960789471</v>
      </c>
      <c r="P104" s="76">
        <f t="shared" si="37"/>
        <v>60891.811759980046</v>
      </c>
      <c r="Q104" s="76">
        <f t="shared" si="37"/>
        <v>63108.848383433593</v>
      </c>
      <c r="R104" s="175"/>
    </row>
  </sheetData>
  <autoFilter ref="C1:C123" xr:uid="{00000000-0009-0000-0000-000004000000}"/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73"/>
  <sheetViews>
    <sheetView showGridLines="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12" sqref="D12"/>
    </sheetView>
  </sheetViews>
  <sheetFormatPr baseColWidth="10" defaultColWidth="9" defaultRowHeight="15"/>
  <cols>
    <col min="1" max="1" width="2.5" style="217" customWidth="1"/>
    <col min="2" max="2" width="22.5" style="217" bestFit="1" customWidth="1"/>
    <col min="3" max="3" width="9.5" style="217" bestFit="1" customWidth="1"/>
    <col min="4" max="13" width="9.83203125" style="217" bestFit="1" customWidth="1"/>
    <col min="14" max="16384" width="9" style="217"/>
  </cols>
  <sheetData>
    <row r="1" spans="1:13">
      <c r="A1" s="237" t="s">
        <v>269</v>
      </c>
      <c r="B1" s="237"/>
    </row>
    <row r="2" spans="1:13">
      <c r="D2" s="217">
        <v>2015</v>
      </c>
      <c r="E2" s="217">
        <f>D2+1</f>
        <v>2016</v>
      </c>
      <c r="F2" s="217">
        <f t="shared" ref="F2:M2" si="0">E2+1</f>
        <v>2017</v>
      </c>
      <c r="G2" s="217">
        <f t="shared" si="0"/>
        <v>2018</v>
      </c>
      <c r="H2" s="217">
        <f t="shared" si="0"/>
        <v>2019</v>
      </c>
      <c r="I2" s="217">
        <f t="shared" si="0"/>
        <v>2020</v>
      </c>
      <c r="J2" s="217">
        <f t="shared" si="0"/>
        <v>2021</v>
      </c>
      <c r="K2" s="217">
        <f t="shared" si="0"/>
        <v>2022</v>
      </c>
      <c r="L2" s="217">
        <f t="shared" si="0"/>
        <v>2023</v>
      </c>
      <c r="M2" s="217">
        <f t="shared" si="0"/>
        <v>2024</v>
      </c>
    </row>
    <row r="3" spans="1:13">
      <c r="B3" s="219" t="s">
        <v>192</v>
      </c>
      <c r="C3" s="220"/>
      <c r="D3" s="220">
        <f>'Volume Database'!H3+'Volume Database'!H80</f>
        <v>1871.670021938</v>
      </c>
      <c r="E3" s="220">
        <f>'Volume Database'!I3+'Volume Database'!I80</f>
        <v>2921.5307809605001</v>
      </c>
      <c r="F3" s="220">
        <f>'Volume Database'!J3+'Volume Database'!J80</f>
        <v>3962.3915399829998</v>
      </c>
      <c r="G3" s="220">
        <f>'Volume Database'!K3+'Volume Database'!K80</f>
        <v>4556.7502709804494</v>
      </c>
      <c r="H3" s="220">
        <f>'Volume Database'!L3+'Volume Database'!L80</f>
        <v>5240.2628116275164</v>
      </c>
      <c r="I3" s="220">
        <f>'Volume Database'!M3+'Volume Database'!M80</f>
        <v>6026.3022333716435</v>
      </c>
      <c r="J3" s="220">
        <f>'Volume Database'!N3+'Volume Database'!N80</f>
        <v>6930.2475683773901</v>
      </c>
      <c r="K3" s="220">
        <f>'Volume Database'!O3+'Volume Database'!O80</f>
        <v>7969.7847036339972</v>
      </c>
      <c r="L3" s="220">
        <f>'Volume Database'!P3+'Volume Database'!P80</f>
        <v>9165.2524091790965</v>
      </c>
      <c r="M3" s="220">
        <f>'Volume Database'!Q3+'Volume Database'!Q80</f>
        <v>10540.040270555957</v>
      </c>
    </row>
    <row r="4" spans="1:13">
      <c r="B4" s="222" t="s">
        <v>193</v>
      </c>
      <c r="C4" s="217" t="s">
        <v>262</v>
      </c>
      <c r="D4" s="218">
        <f>'Volume Database'!H4+'Volume Database'!H5+'Volume Database'!H81+'Volume Database'!H82</f>
        <v>2358.2470214125528</v>
      </c>
      <c r="E4" s="218">
        <f>'Volume Database'!I4+'Volume Database'!I5+'Volume Database'!I81+'Volume Database'!I82</f>
        <v>3088.3637240289913</v>
      </c>
      <c r="F4" s="218">
        <f>'Volume Database'!J4+'Volume Database'!J5+'Volume Database'!J81+'Volume Database'!J82</f>
        <v>4961.6753616604037</v>
      </c>
      <c r="G4" s="218">
        <f>'Volume Database'!K4+'Volume Database'!K5+'Volume Database'!K81+'Volume Database'!K82</f>
        <v>5715.3604339924832</v>
      </c>
      <c r="H4" s="218">
        <f>'Volume Database'!L4+'Volume Database'!L5+'Volume Database'!L81+'Volume Database'!L82</f>
        <v>6583.9850207909794</v>
      </c>
      <c r="I4" s="218">
        <f>'Volume Database'!M4+'Volume Database'!M5+'Volume Database'!M81+'Volume Database'!M82</f>
        <v>7585.167399949175</v>
      </c>
      <c r="J4" s="218">
        <f>'Volume Database'!N4+'Volume Database'!N5+'Volume Database'!N81+'Volume Database'!N82</f>
        <v>8670.2115449390094</v>
      </c>
      <c r="K4" s="218">
        <f>'Volume Database'!O4+'Volume Database'!O5+'Volume Database'!O81+'Volume Database'!O82</f>
        <v>9873.8649969829112</v>
      </c>
      <c r="L4" s="218">
        <f>'Volume Database'!P4+'Volume Database'!P5+'Volume Database'!P81+'Volume Database'!P82</f>
        <v>11131.373125987702</v>
      </c>
      <c r="M4" s="218">
        <f>'Volume Database'!Q4+'Volume Database'!Q5+'Volume Database'!Q81+'Volume Database'!Q82</f>
        <v>25118.382767493735</v>
      </c>
    </row>
    <row r="5" spans="1:13">
      <c r="B5" s="222"/>
      <c r="C5" s="217" t="s">
        <v>263</v>
      </c>
      <c r="D5" s="218">
        <f>'Volume Database'!H7+'Volume Database'!H6+'Volume Database'!H83+'Volume Database'!H84</f>
        <v>133.22971269852499</v>
      </c>
      <c r="E5" s="218">
        <f>'Volume Database'!I7+'Volume Database'!I6+'Volume Database'!I83+'Volume Database'!I84</f>
        <v>208.18906942459151</v>
      </c>
      <c r="F5" s="218">
        <f>'Volume Database'!J7+'Volume Database'!J6+'Volume Database'!J83+'Volume Database'!J84</f>
        <v>355.148426150658</v>
      </c>
      <c r="G5" s="218">
        <f>'Volume Database'!K7+'Volume Database'!K6+'Volume Database'!K83+'Volume Database'!K84</f>
        <v>461.69295399585548</v>
      </c>
      <c r="H5" s="218">
        <f>'Volume Database'!L7+'Volume Database'!L6+'Volume Database'!L83+'Volume Database'!L84</f>
        <v>600.20084019461206</v>
      </c>
      <c r="I5" s="218">
        <f>'Volume Database'!M7+'Volume Database'!M6+'Volume Database'!M83+'Volume Database'!M84</f>
        <v>780.26109225299558</v>
      </c>
      <c r="J5" s="218">
        <f>'Volume Database'!N7+'Volume Database'!N6+'Volume Database'!N83+'Volume Database'!N84</f>
        <v>1014.3394199288942</v>
      </c>
      <c r="K5" s="218">
        <f>'Volume Database'!O7+'Volume Database'!O6+'Volume Database'!O83+'Volume Database'!O84</f>
        <v>1166.4903329182284</v>
      </c>
      <c r="L5" s="218">
        <f>'Volume Database'!P7+'Volume Database'!P6+'Volume Database'!P83+'Volume Database'!P84</f>
        <v>1341.4638828559628</v>
      </c>
      <c r="M5" s="218">
        <f>'Volume Database'!Q7+'Volume Database'!Q6+'Volume Database'!Q83+'Volume Database'!Q84</f>
        <v>3085.366930568714</v>
      </c>
    </row>
    <row r="6" spans="1:13">
      <c r="B6" s="222" t="s">
        <v>195</v>
      </c>
      <c r="C6" s="217" t="s">
        <v>262</v>
      </c>
      <c r="D6" s="218">
        <f>'Volume Database'!H8+'Volume Database'!H9+'Volume Database'!H85+'Volume Database'!H86</f>
        <v>2184.1948902950812</v>
      </c>
      <c r="E6" s="218">
        <f>'Volume Database'!I8+'Volume Database'!I9+'Volume Database'!I85+'Volume Database'!I86</f>
        <v>5552.8028052452537</v>
      </c>
      <c r="F6" s="218">
        <f>'Volume Database'!J8+'Volume Database'!J9+'Volume Database'!J85+'Volume Database'!J86</f>
        <v>10504.510720195425</v>
      </c>
      <c r="G6" s="218">
        <f>'Volume Database'!K8+'Volume Database'!K9+'Volume Database'!K85+'Volume Database'!K86</f>
        <v>13126.185008273595</v>
      </c>
      <c r="H6" s="218">
        <f>'Volume Database'!L8+'Volume Database'!L9+'Volume Database'!L85+'Volume Database'!L86</f>
        <v>16268.559761169354</v>
      </c>
      <c r="I6" s="218">
        <f>'Volume Database'!M8+'Volume Database'!M9+'Volume Database'!M85+'Volume Database'!M86</f>
        <v>20288.655577578626</v>
      </c>
      <c r="J6" s="218">
        <f>'Volume Database'!N8+'Volume Database'!N9+'Volume Database'!N85+'Volume Database'!N86</f>
        <v>23624.32391109435</v>
      </c>
      <c r="K6" s="218">
        <f>'Volume Database'!O8+'Volume Database'!O9+'Volume Database'!O85+'Volume Database'!O86</f>
        <v>26814.690897318505</v>
      </c>
      <c r="L6" s="218">
        <f>'Volume Database'!P8+'Volume Database'!P9+'Volume Database'!P85+'Volume Database'!P86</f>
        <v>29989.341667193083</v>
      </c>
      <c r="M6" s="218">
        <f>'Volume Database'!Q8+'Volume Database'!Q9+'Volume Database'!Q85+'Volume Database'!Q86</f>
        <v>37301.428320296654</v>
      </c>
    </row>
    <row r="7" spans="1:13">
      <c r="B7" s="222"/>
      <c r="C7" s="217" t="s">
        <v>263</v>
      </c>
      <c r="D7" s="218">
        <f>'Volume Database'!H10+'Volume Database'!H11+'Volume Database'!H87+'Volume Database'!H88</f>
        <v>231.81210225113529</v>
      </c>
      <c r="E7" s="218">
        <f>'Volume Database'!I10+'Volume Database'!I11+'Volume Database'!I87+'Volume Database'!I88</f>
        <v>469.28788287678037</v>
      </c>
      <c r="F7" s="218">
        <f>'Volume Database'!J10+'Volume Database'!J11+'Volume Database'!J87+'Volume Database'!J88</f>
        <v>652.76366350242552</v>
      </c>
      <c r="G7" s="218">
        <f>'Volume Database'!K10+'Volume Database'!K11+'Volume Database'!K87+'Volume Database'!K88</f>
        <v>855.90912890339575</v>
      </c>
      <c r="H7" s="218">
        <f>'Volume Database'!L10+'Volume Database'!L11+'Volume Database'!L87+'Volume Database'!L88</f>
        <v>1117.8033240195844</v>
      </c>
      <c r="I7" s="218">
        <f>'Volume Database'!M10+'Volume Database'!M11+'Volume Database'!M87+'Volume Database'!M88</f>
        <v>1460.0582874264389</v>
      </c>
      <c r="J7" s="218">
        <f>'Volume Database'!N10+'Volume Database'!N11+'Volume Database'!N87+'Volume Database'!N88</f>
        <v>1898.0757736543706</v>
      </c>
      <c r="K7" s="218">
        <f>'Volume Database'!O10+'Volume Database'!O11+'Volume Database'!O87+'Volume Database'!O88</f>
        <v>2182.7871397025256</v>
      </c>
      <c r="L7" s="218">
        <f>'Volume Database'!P10+'Volume Database'!P11+'Volume Database'!P87+'Volume Database'!P88</f>
        <v>2510.2052106579044</v>
      </c>
      <c r="M7" s="218">
        <f>'Volume Database'!Q10+'Volume Database'!Q11+'Volume Database'!Q87+'Volume Database'!Q88</f>
        <v>3207.4844358406554</v>
      </c>
    </row>
    <row r="8" spans="1:13">
      <c r="B8" s="222" t="s">
        <v>197</v>
      </c>
      <c r="C8" s="217" t="s">
        <v>262</v>
      </c>
      <c r="D8" s="218">
        <f>'Volume Database'!H12+'Volume Database'!H13+'Volume Database'!H68+'Volume Database'!H69</f>
        <v>543.75297494343181</v>
      </c>
      <c r="E8" s="218">
        <f>'Volume Database'!I12+'Volume Database'!I13+'Volume Database'!I68+'Volume Database'!I69</f>
        <v>909.98245554725031</v>
      </c>
      <c r="F8" s="218">
        <f>'Volume Database'!J12+'Volume Database'!J13+'Volume Database'!J68+'Volume Database'!J69</f>
        <v>1706.9604891944859</v>
      </c>
      <c r="G8" s="218">
        <f>'Volume Database'!K12+'Volume Database'!K13+'Volume Database'!K68+'Volume Database'!K69</f>
        <v>2256.8229099222881</v>
      </c>
      <c r="H8" s="218">
        <f>'Volume Database'!L12+'Volume Database'!L13+'Volume Database'!L68+'Volume Database'!L69</f>
        <v>2803.1950554410955</v>
      </c>
      <c r="I8" s="218">
        <f>'Volume Database'!M12+'Volume Database'!M13+'Volume Database'!M68+'Volume Database'!M69</f>
        <v>3495.3471109483867</v>
      </c>
      <c r="J8" s="218">
        <f>'Volume Database'!N12+'Volume Database'!N13+'Volume Database'!N68+'Volume Database'!N69</f>
        <v>4240.5047476946556</v>
      </c>
      <c r="K8" s="218">
        <f>'Volume Database'!O12+'Volume Database'!O13+'Volume Database'!O68+'Volume Database'!O69</f>
        <v>4869.2795742244089</v>
      </c>
      <c r="L8" s="218">
        <f>'Volume Database'!P12+'Volume Database'!P13+'Volume Database'!P68+'Volume Database'!P69</f>
        <v>5431.6313420116448</v>
      </c>
      <c r="M8" s="218">
        <f>'Volume Database'!Q12+'Volume Database'!Q13+'Volume Database'!Q68+'Volume Database'!Q69</f>
        <v>5900.8809650730527</v>
      </c>
    </row>
    <row r="9" spans="1:13">
      <c r="B9" s="222"/>
      <c r="C9" s="217" t="s">
        <v>263</v>
      </c>
      <c r="D9" s="218">
        <f>SUM('Volume Database'!H14:H17,'Volume Database'!H70:H73)</f>
        <v>536.7189532296419</v>
      </c>
      <c r="E9" s="218">
        <f>SUM('Volume Database'!I14:I17,'Volume Database'!I70:I73)</f>
        <v>931.7170437078787</v>
      </c>
      <c r="F9" s="218">
        <f>SUM('Volume Database'!J14:J17,'Volume Database'!J70:J73)</f>
        <v>1756.9453412437733</v>
      </c>
      <c r="G9" s="218">
        <f>SUM('Volume Database'!K14:K17,'Volume Database'!K70:K73)</f>
        <v>2382.9392644462932</v>
      </c>
      <c r="H9" s="218">
        <f>SUM('Volume Database'!L14:L17,'Volume Database'!L70:L73)</f>
        <v>3169.4148167767735</v>
      </c>
      <c r="I9" s="218">
        <f>SUM('Volume Database'!M14:M17,'Volume Database'!M70:M73)</f>
        <v>4203.676056929984</v>
      </c>
      <c r="J9" s="218">
        <f>SUM('Volume Database'!N14:N17,'Volume Database'!N70:N73)</f>
        <v>5326.7007136281873</v>
      </c>
      <c r="K9" s="218">
        <f>SUM('Volume Database'!O14:O17,'Volume Database'!O70:O73)</f>
        <v>6277.6553986089957</v>
      </c>
      <c r="L9" s="218">
        <f>SUM('Volume Database'!P14:P17,'Volume Database'!P70:P73)</f>
        <v>7203.3468393018884</v>
      </c>
      <c r="M9" s="218">
        <f>SUM('Volume Database'!Q14:Q17,'Volume Database'!Q70:Q73)</f>
        <v>8013.1275533894695</v>
      </c>
    </row>
    <row r="10" spans="1:13">
      <c r="B10" s="222" t="s">
        <v>207</v>
      </c>
      <c r="C10" s="217" t="s">
        <v>262</v>
      </c>
      <c r="D10" s="218">
        <f>'Volume Database'!H18+'Volume Database'!H75</f>
        <v>121.19827088693614</v>
      </c>
      <c r="E10" s="218">
        <f>'Volume Database'!I18+'Volume Database'!I75</f>
        <v>200.85243396616681</v>
      </c>
      <c r="F10" s="218">
        <f>'Volume Database'!J18+'Volume Database'!J75</f>
        <v>378.35479871854585</v>
      </c>
      <c r="G10" s="218">
        <f>'Volume Database'!K18+'Volume Database'!K75</f>
        <v>529.6967182059642</v>
      </c>
      <c r="H10" s="218">
        <f>'Volume Database'!L18+'Volume Database'!L75</f>
        <v>715.09056957805183</v>
      </c>
      <c r="I10" s="218">
        <f>'Volume Database'!M18+'Volume Database'!M75</f>
        <v>965.37226893036996</v>
      </c>
      <c r="J10" s="218">
        <f>'Volume Database'!N18+'Volume Database'!N75</f>
        <v>1206.7153361629623</v>
      </c>
      <c r="K10" s="218">
        <f>'Volume Database'!O18+'Volume Database'!O75</f>
        <v>1448.0584033955547</v>
      </c>
      <c r="L10" s="218">
        <f>'Volume Database'!P18+'Volume Database'!P75</f>
        <v>1393.8441114369393</v>
      </c>
      <c r="M10" s="223">
        <f>'Volume Database'!Q18+'Volume Database'!Q75</f>
        <v>1505.3516403518947</v>
      </c>
    </row>
    <row r="11" spans="1:13">
      <c r="B11" s="222"/>
      <c r="C11" s="217" t="s">
        <v>263</v>
      </c>
      <c r="D11" s="218">
        <f>'Volume Database'!H19+'Volume Database'!H20+'Volume Database'!H76+'Volume Database'!H77</f>
        <v>116.58583977911064</v>
      </c>
      <c r="E11" s="218">
        <f>'Volume Database'!I19+'Volume Database'!I20+'Volume Database'!I76+'Volume Database'!I77</f>
        <v>193.59735103456316</v>
      </c>
      <c r="F11" s="218">
        <f>'Volume Database'!J19+'Volume Database'!J20+'Volume Database'!J76+'Volume Database'!J77</f>
        <v>374.00252645885337</v>
      </c>
      <c r="G11" s="218">
        <f>'Volume Database'!K19+'Volume Database'!K20+'Volume Database'!K76+'Volume Database'!K77</f>
        <v>523.60353704239481</v>
      </c>
      <c r="H11" s="218">
        <f>'Volume Database'!L19+'Volume Database'!L20+'Volume Database'!L76+'Volume Database'!L77</f>
        <v>706.86477500723299</v>
      </c>
      <c r="I11" s="218">
        <f>'Volume Database'!M19+'Volume Database'!M20+'Volume Database'!M76+'Volume Database'!M77</f>
        <v>954.26744625976448</v>
      </c>
      <c r="J11" s="218">
        <f>'Volume Database'!N19+'Volume Database'!N20+'Volume Database'!N76+'Volume Database'!N77</f>
        <v>1192.8343078247055</v>
      </c>
      <c r="K11" s="218">
        <f>'Volume Database'!O19+'Volume Database'!O20+'Volume Database'!O76+'Volume Database'!O77</f>
        <v>1431.4011693896464</v>
      </c>
      <c r="L11" s="218">
        <f>'Volume Database'!P19+'Volume Database'!P20+'Volume Database'!P76+'Volume Database'!P77</f>
        <v>1646.1113447980936</v>
      </c>
      <c r="M11" s="223">
        <f>'Volume Database'!Q19+'Volume Database'!Q20+'Volume Database'!Q76+'Volume Database'!Q77</f>
        <v>1777.8002523819409</v>
      </c>
    </row>
    <row r="12" spans="1:13">
      <c r="B12" s="222" t="s">
        <v>199</v>
      </c>
      <c r="C12" s="217" t="s">
        <v>262</v>
      </c>
      <c r="D12" s="218">
        <f>'Volume Database'!H38</f>
        <v>114.41142674948894</v>
      </c>
      <c r="E12" s="218">
        <f>'Volume Database'!I38</f>
        <v>260.03962575524855</v>
      </c>
      <c r="F12" s="218">
        <f>'Volume Database'!J38</f>
        <v>445.16782476100821</v>
      </c>
      <c r="G12" s="218">
        <f>'Volume Database'!K38</f>
        <v>515.28888971320976</v>
      </c>
      <c r="H12" s="218">
        <f>'Volume Database'!L38</f>
        <v>596.59729265585167</v>
      </c>
      <c r="I12" s="218">
        <f>'Volume Database'!M38</f>
        <v>690.90496993702186</v>
      </c>
      <c r="J12" s="218">
        <f>'Volume Database'!N38</f>
        <v>783.06428642442643</v>
      </c>
      <c r="K12" s="218">
        <f>'Volume Database'!O38</f>
        <v>874.25678476686915</v>
      </c>
      <c r="L12" s="218">
        <f>'Volume Database'!P38</f>
        <v>947.25006517955592</v>
      </c>
      <c r="M12" s="223">
        <f>'Volume Database'!Q38</f>
        <v>1026.3880817883917</v>
      </c>
    </row>
    <row r="13" spans="1:13">
      <c r="B13" s="222"/>
      <c r="C13" s="217" t="s">
        <v>263</v>
      </c>
      <c r="D13" s="218">
        <f>'Volume Database'!H39</f>
        <v>926.48105079949323</v>
      </c>
      <c r="E13" s="218">
        <f>'Volume Database'!I39</f>
        <v>1226.8409376257966</v>
      </c>
      <c r="F13" s="218">
        <f>'Volume Database'!J39</f>
        <v>1962.0700823156612</v>
      </c>
      <c r="G13" s="218">
        <f>'Volume Database'!K39</f>
        <v>2208.5853275922987</v>
      </c>
      <c r="H13" s="218">
        <f>'Volume Database'!L39</f>
        <v>2477.1915798540304</v>
      </c>
      <c r="I13" s="218">
        <f>'Volume Database'!M39</f>
        <v>2766.6270662696602</v>
      </c>
      <c r="J13" s="218">
        <f>'Volume Database'!N39</f>
        <v>3037.0645077982931</v>
      </c>
      <c r="K13" s="218">
        <f>'Volume Database'!O39</f>
        <v>3439.8475735459629</v>
      </c>
      <c r="L13" s="218">
        <f>'Volume Database'!P39</f>
        <v>3835.0889133585761</v>
      </c>
      <c r="M13" s="223">
        <f>'Volume Database'!Q39</f>
        <v>4279.707734230753</v>
      </c>
    </row>
    <row r="14" spans="1:13">
      <c r="B14" s="222" t="s">
        <v>201</v>
      </c>
      <c r="C14" s="217" t="s">
        <v>262</v>
      </c>
      <c r="D14" s="218">
        <f>'Volume Database'!H40</f>
        <v>1071.4993977728518</v>
      </c>
      <c r="E14" s="218">
        <f>'Volume Database'!I40</f>
        <v>2741.7230119615547</v>
      </c>
      <c r="F14" s="218">
        <f>'Volume Database'!J40</f>
        <v>5491.9466261502594</v>
      </c>
      <c r="G14" s="218">
        <f>'Volume Database'!K40</f>
        <v>6699.6252766103607</v>
      </c>
      <c r="H14" s="218">
        <f>'Volume Database'!L40</f>
        <v>8134.5221234239871</v>
      </c>
      <c r="I14" s="218">
        <f>'Volume Database'!M40</f>
        <v>9935.1370666223829</v>
      </c>
      <c r="J14" s="218">
        <f>'Volume Database'!N40</f>
        <v>11440.789291946861</v>
      </c>
      <c r="K14" s="218">
        <f>'Volume Database'!O40</f>
        <v>12954.73010677889</v>
      </c>
      <c r="L14" s="218">
        <f>'Volume Database'!P40</f>
        <v>14369.582216446925</v>
      </c>
      <c r="M14" s="223">
        <f>'Volume Database'!Q40</f>
        <v>15954.393550057259</v>
      </c>
    </row>
    <row r="15" spans="1:13">
      <c r="B15" s="222"/>
      <c r="C15" s="217" t="s">
        <v>263</v>
      </c>
      <c r="D15" s="218">
        <f>'Volume Database'!H41</f>
        <v>3063.3586757997086</v>
      </c>
      <c r="E15" s="218">
        <f>'Volume Database'!I41</f>
        <v>4261.1371854142544</v>
      </c>
      <c r="F15" s="218">
        <f>'Volume Database'!J41</f>
        <v>7022.152695028798</v>
      </c>
      <c r="G15" s="218">
        <f>'Volume Database'!K41</f>
        <v>8480.2721730403173</v>
      </c>
      <c r="H15" s="218">
        <f>'Volume Database'!L41</f>
        <v>10232.69999360443</v>
      </c>
      <c r="I15" s="218">
        <f>'Volume Database'!M41</f>
        <v>12355.344063365979</v>
      </c>
      <c r="J15" s="218">
        <f>'Volume Database'!N41</f>
        <v>14311.386168775771</v>
      </c>
      <c r="K15" s="218">
        <f>'Volume Database'!O41</f>
        <v>16458.094094092135</v>
      </c>
      <c r="L15" s="218">
        <f>'Volume Database'!P41</f>
        <v>18155.102517293959</v>
      </c>
      <c r="M15" s="223">
        <f>'Volume Database'!Q41</f>
        <v>20179.959847642014</v>
      </c>
    </row>
    <row r="16" spans="1:13">
      <c r="B16" s="222" t="s">
        <v>203</v>
      </c>
      <c r="C16" s="217" t="s">
        <v>262</v>
      </c>
      <c r="D16" s="218">
        <f>'Volume Database'!H48</f>
        <v>483.2370210711087</v>
      </c>
      <c r="E16" s="218">
        <f>'Volume Database'!I48</f>
        <v>944.87354154736022</v>
      </c>
      <c r="F16" s="218">
        <f>'Volume Database'!J48</f>
        <v>1809.4102119741788</v>
      </c>
      <c r="G16" s="218">
        <f>'Volume Database'!K48</f>
        <v>2195.4632304767101</v>
      </c>
      <c r="H16" s="218">
        <f>'Volume Database'!L48</f>
        <v>2653.181180159389</v>
      </c>
      <c r="I16" s="218">
        <f>'Volume Database'!M48</f>
        <v>3224.4962850833799</v>
      </c>
      <c r="J16" s="218">
        <f>'Volume Database'!N48</f>
        <v>3825.1738291784427</v>
      </c>
      <c r="K16" s="218">
        <f>'Volume Database'!O48</f>
        <v>4235.8133356359076</v>
      </c>
      <c r="L16" s="218">
        <f>'Volume Database'!P48</f>
        <v>4623.1086544165373</v>
      </c>
      <c r="M16" s="223">
        <f>'Volume Database'!Q48</f>
        <v>4914.8131920769611</v>
      </c>
    </row>
    <row r="17" spans="1:13">
      <c r="B17" s="222"/>
      <c r="C17" s="217" t="s">
        <v>263</v>
      </c>
      <c r="D17" s="218">
        <f>SUM('Volume Database'!H49:H51)</f>
        <v>619.32290512737984</v>
      </c>
      <c r="E17" s="218">
        <f>SUM('Volume Database'!I49:I51)</f>
        <v>1181.2393530034942</v>
      </c>
      <c r="F17" s="218">
        <f>SUM('Volume Database'!J49:J51)</f>
        <v>2343.4765419922478</v>
      </c>
      <c r="G17" s="218">
        <f>SUM('Volume Database'!K49:K51)</f>
        <v>3161.2425359955687</v>
      </c>
      <c r="H17" s="218">
        <f>SUM('Volume Database'!L49:L51)</f>
        <v>4189.9214187781918</v>
      </c>
      <c r="I17" s="218">
        <f>SUM('Volume Database'!M49:M51)</f>
        <v>5555.3111090899838</v>
      </c>
      <c r="J17" s="218">
        <f>SUM('Volume Database'!N49:N51)</f>
        <v>7075.5465345012271</v>
      </c>
      <c r="K17" s="218">
        <f>SUM('Volume Database'!O49:O51)</f>
        <v>8319.8258988211037</v>
      </c>
      <c r="L17" s="218">
        <f>SUM('Volume Database'!P49:P51)</f>
        <v>9567.7997836442664</v>
      </c>
      <c r="M17" s="223">
        <f>SUM('Volume Database'!Q49:Q51)</f>
        <v>9873.5054126452051</v>
      </c>
    </row>
    <row r="18" spans="1:13">
      <c r="B18" s="222" t="s">
        <v>205</v>
      </c>
      <c r="C18" s="217" t="s">
        <v>262</v>
      </c>
      <c r="D18" s="218">
        <f>'Volume Database'!H58</f>
        <v>33.549872284458715</v>
      </c>
      <c r="E18" s="218">
        <f>'Volume Database'!I58</f>
        <v>67.09974456891743</v>
      </c>
      <c r="F18" s="218">
        <f>'Volume Database'!J58</f>
        <v>140.61570083175314</v>
      </c>
      <c r="G18" s="218">
        <f>'Volume Database'!K58</f>
        <v>196.86198116445439</v>
      </c>
      <c r="H18" s="218">
        <f>'Volume Database'!L58</f>
        <v>265.76367457201343</v>
      </c>
      <c r="I18" s="218">
        <f>'Volume Database'!M58</f>
        <v>358.78096067221816</v>
      </c>
      <c r="J18" s="218">
        <f>'Volume Database'!N58</f>
        <v>448.47620084027267</v>
      </c>
      <c r="K18" s="218">
        <f>'Volume Database'!O58</f>
        <v>538.17144100832718</v>
      </c>
      <c r="L18" s="218">
        <f>'Volume Database'!P58</f>
        <v>618.89715715957618</v>
      </c>
      <c r="M18" s="223">
        <f>'Volume Database'!Q58</f>
        <v>742.6765885914914</v>
      </c>
    </row>
    <row r="19" spans="1:13">
      <c r="B19" s="224"/>
      <c r="C19" s="225" t="s">
        <v>263</v>
      </c>
      <c r="D19" s="226">
        <f>'Volume Database'!H59+'Volume Database'!H60</f>
        <v>160.47874910950253</v>
      </c>
      <c r="E19" s="226">
        <f>'Volume Database'!I59+'Volume Database'!I60</f>
        <v>320.95749821900506</v>
      </c>
      <c r="F19" s="226">
        <f>'Volume Database'!J59+'Volume Database'!J60</f>
        <v>670.15419447038016</v>
      </c>
      <c r="G19" s="226">
        <f>'Volume Database'!K59+'Volume Database'!K60</f>
        <v>938.21587225853216</v>
      </c>
      <c r="H19" s="226">
        <f>'Volume Database'!L59+'Volume Database'!L60</f>
        <v>1266.5914275490186</v>
      </c>
      <c r="I19" s="226">
        <f>'Volume Database'!M59+'Volume Database'!M60</f>
        <v>1709.8984271911752</v>
      </c>
      <c r="J19" s="226">
        <f>'Volume Database'!N59+'Volume Database'!N60</f>
        <v>2137.3730339889689</v>
      </c>
      <c r="K19" s="226">
        <f>'Volume Database'!O59+'Volume Database'!O60</f>
        <v>2564.8476407867624</v>
      </c>
      <c r="L19" s="226">
        <f>'Volume Database'!P59+'Volume Database'!P60</f>
        <v>2949.5747869047764</v>
      </c>
      <c r="M19" s="227">
        <f>'Volume Database'!Q59+'Volume Database'!Q60</f>
        <v>3834.4472229762096</v>
      </c>
    </row>
    <row r="20" spans="1:13">
      <c r="C20" s="217" t="s">
        <v>264</v>
      </c>
      <c r="D20" s="218">
        <f>SUM(D3:D19)</f>
        <v>14569.748886148407</v>
      </c>
      <c r="E20" s="218">
        <f t="shared" ref="E20:M20" si="1">SUM(E3:E19)</f>
        <v>25480.23444488761</v>
      </c>
      <c r="F20" s="218">
        <f t="shared" si="1"/>
        <v>44537.746744631855</v>
      </c>
      <c r="G20" s="218">
        <f t="shared" si="1"/>
        <v>54804.515512614162</v>
      </c>
      <c r="H20" s="218">
        <f t="shared" si="1"/>
        <v>67021.845665202112</v>
      </c>
      <c r="I20" s="218">
        <f t="shared" si="1"/>
        <v>82355.607421879176</v>
      </c>
      <c r="J20" s="218">
        <f t="shared" si="1"/>
        <v>97162.827176758816</v>
      </c>
      <c r="K20" s="218">
        <f t="shared" si="1"/>
        <v>111419.59949161072</v>
      </c>
      <c r="L20" s="218">
        <f t="shared" si="1"/>
        <v>124878.97402782647</v>
      </c>
      <c r="M20" s="218">
        <f t="shared" si="1"/>
        <v>157255.75476596033</v>
      </c>
    </row>
    <row r="21" spans="1:13" ht="6.75" customHeight="1"/>
    <row r="22" spans="1:13">
      <c r="B22" s="229" t="s">
        <v>192</v>
      </c>
      <c r="C22" s="230"/>
      <c r="D22" s="220">
        <f>D3</f>
        <v>1871.670021938</v>
      </c>
      <c r="E22" s="220">
        <f t="shared" ref="E22:M22" si="2">E3</f>
        <v>2921.5307809605001</v>
      </c>
      <c r="F22" s="220">
        <f t="shared" si="2"/>
        <v>3962.3915399829998</v>
      </c>
      <c r="G22" s="220">
        <f t="shared" si="2"/>
        <v>4556.7502709804494</v>
      </c>
      <c r="H22" s="220">
        <f t="shared" si="2"/>
        <v>5240.2628116275164</v>
      </c>
      <c r="I22" s="220">
        <f t="shared" si="2"/>
        <v>6026.3022333716435</v>
      </c>
      <c r="J22" s="220">
        <f t="shared" si="2"/>
        <v>6930.2475683773901</v>
      </c>
      <c r="K22" s="220">
        <f t="shared" si="2"/>
        <v>7969.7847036339972</v>
      </c>
      <c r="L22" s="220">
        <f t="shared" si="2"/>
        <v>9165.2524091790965</v>
      </c>
      <c r="M22" s="221">
        <f t="shared" si="2"/>
        <v>10540.040270555957</v>
      </c>
    </row>
    <row r="23" spans="1:13">
      <c r="B23" s="231" t="s">
        <v>193</v>
      </c>
      <c r="D23" s="218">
        <f>D4+D5</f>
        <v>2491.4767341110778</v>
      </c>
      <c r="E23" s="218">
        <f t="shared" ref="E23:M23" si="3">E4+E5</f>
        <v>3296.552793453583</v>
      </c>
      <c r="F23" s="218">
        <f t="shared" si="3"/>
        <v>5316.8237878110613</v>
      </c>
      <c r="G23" s="218">
        <f t="shared" si="3"/>
        <v>6177.0533879883387</v>
      </c>
      <c r="H23" s="218">
        <f t="shared" si="3"/>
        <v>7184.1858609855917</v>
      </c>
      <c r="I23" s="218">
        <f t="shared" si="3"/>
        <v>8365.4284922021707</v>
      </c>
      <c r="J23" s="218">
        <f t="shared" si="3"/>
        <v>9684.5509648679035</v>
      </c>
      <c r="K23" s="218">
        <f t="shared" si="3"/>
        <v>11040.35532990114</v>
      </c>
      <c r="L23" s="218">
        <f t="shared" si="3"/>
        <v>12472.837008843664</v>
      </c>
      <c r="M23" s="223">
        <f t="shared" si="3"/>
        <v>28203.749698062449</v>
      </c>
    </row>
    <row r="24" spans="1:13">
      <c r="B24" s="231" t="s">
        <v>195</v>
      </c>
      <c r="D24" s="218">
        <f>D6+D7</f>
        <v>2416.0069925462167</v>
      </c>
      <c r="E24" s="218">
        <f t="shared" ref="E24:M24" si="4">E6+E7</f>
        <v>6022.0906881220344</v>
      </c>
      <c r="F24" s="218">
        <f t="shared" si="4"/>
        <v>11157.274383697852</v>
      </c>
      <c r="G24" s="218">
        <f t="shared" si="4"/>
        <v>13982.09413717699</v>
      </c>
      <c r="H24" s="218">
        <f t="shared" si="4"/>
        <v>17386.363085188939</v>
      </c>
      <c r="I24" s="218">
        <f t="shared" si="4"/>
        <v>21748.713865005066</v>
      </c>
      <c r="J24" s="218">
        <f t="shared" si="4"/>
        <v>25522.399684748721</v>
      </c>
      <c r="K24" s="218">
        <f t="shared" si="4"/>
        <v>28997.478037021032</v>
      </c>
      <c r="L24" s="218">
        <f t="shared" si="4"/>
        <v>32499.546877850986</v>
      </c>
      <c r="M24" s="223">
        <f t="shared" si="4"/>
        <v>40508.91275613731</v>
      </c>
    </row>
    <row r="25" spans="1:13">
      <c r="B25" s="231" t="s">
        <v>197</v>
      </c>
      <c r="D25" s="218">
        <f>D8+D9</f>
        <v>1080.4719281730736</v>
      </c>
      <c r="E25" s="218">
        <f t="shared" ref="E25:M25" si="5">E8+E9</f>
        <v>1841.699499255129</v>
      </c>
      <c r="F25" s="218">
        <f t="shared" si="5"/>
        <v>3463.9058304382593</v>
      </c>
      <c r="G25" s="218">
        <f t="shared" si="5"/>
        <v>4639.7621743685813</v>
      </c>
      <c r="H25" s="218">
        <f t="shared" si="5"/>
        <v>5972.6098722178685</v>
      </c>
      <c r="I25" s="218">
        <f t="shared" si="5"/>
        <v>7699.0231678783712</v>
      </c>
      <c r="J25" s="218">
        <f t="shared" si="5"/>
        <v>9567.2054613228429</v>
      </c>
      <c r="K25" s="218">
        <f t="shared" si="5"/>
        <v>11146.934972833405</v>
      </c>
      <c r="L25" s="218">
        <f t="shared" si="5"/>
        <v>12634.978181313534</v>
      </c>
      <c r="M25" s="223">
        <f t="shared" si="5"/>
        <v>13914.008518462522</v>
      </c>
    </row>
    <row r="26" spans="1:13">
      <c r="B26" s="231" t="s">
        <v>207</v>
      </c>
      <c r="D26" s="218">
        <f>D10+D11</f>
        <v>237.78411066604679</v>
      </c>
      <c r="E26" s="218">
        <f t="shared" ref="E26:M26" si="6">E10+E11</f>
        <v>394.44978500073</v>
      </c>
      <c r="F26" s="218">
        <f t="shared" si="6"/>
        <v>752.35732517739916</v>
      </c>
      <c r="G26" s="218">
        <f t="shared" si="6"/>
        <v>1053.300255248359</v>
      </c>
      <c r="H26" s="218">
        <f t="shared" si="6"/>
        <v>1421.9553445852848</v>
      </c>
      <c r="I26" s="218">
        <f t="shared" si="6"/>
        <v>1919.6397151901344</v>
      </c>
      <c r="J26" s="218">
        <f t="shared" si="6"/>
        <v>2399.5496439876679</v>
      </c>
      <c r="K26" s="218">
        <f t="shared" si="6"/>
        <v>2879.4595727852011</v>
      </c>
      <c r="L26" s="218">
        <f t="shared" si="6"/>
        <v>3039.9554562350331</v>
      </c>
      <c r="M26" s="223">
        <f t="shared" si="6"/>
        <v>3283.1518927338357</v>
      </c>
    </row>
    <row r="27" spans="1:13">
      <c r="B27" s="231" t="s">
        <v>199</v>
      </c>
      <c r="D27" s="218">
        <f>D12+D13</f>
        <v>1040.8924775489822</v>
      </c>
      <c r="E27" s="218">
        <f t="shared" ref="E27:M27" si="7">E12+E13</f>
        <v>1486.8805633810452</v>
      </c>
      <c r="F27" s="218">
        <f t="shared" si="7"/>
        <v>2407.2379070766692</v>
      </c>
      <c r="G27" s="218">
        <f t="shared" si="7"/>
        <v>2723.8742173055084</v>
      </c>
      <c r="H27" s="218">
        <f t="shared" si="7"/>
        <v>3073.7888725098819</v>
      </c>
      <c r="I27" s="218">
        <f t="shared" si="7"/>
        <v>3457.5320362066823</v>
      </c>
      <c r="J27" s="218">
        <f t="shared" si="7"/>
        <v>3820.1287942227195</v>
      </c>
      <c r="K27" s="218">
        <f t="shared" si="7"/>
        <v>4314.1043583128321</v>
      </c>
      <c r="L27" s="218">
        <f t="shared" si="7"/>
        <v>4782.3389785381323</v>
      </c>
      <c r="M27" s="223">
        <f t="shared" si="7"/>
        <v>5306.0958160191449</v>
      </c>
    </row>
    <row r="28" spans="1:13">
      <c r="B28" s="231" t="s">
        <v>201</v>
      </c>
      <c r="D28" s="218">
        <f>D14+D15</f>
        <v>4134.8580735725609</v>
      </c>
      <c r="E28" s="218">
        <f t="shared" ref="E28:M28" si="8">E14+E15</f>
        <v>7002.8601973758086</v>
      </c>
      <c r="F28" s="218">
        <f t="shared" si="8"/>
        <v>12514.099321179057</v>
      </c>
      <c r="G28" s="218">
        <f t="shared" si="8"/>
        <v>15179.897449650678</v>
      </c>
      <c r="H28" s="218">
        <f t="shared" si="8"/>
        <v>18367.222117028417</v>
      </c>
      <c r="I28" s="218">
        <f t="shared" si="8"/>
        <v>22290.481129988362</v>
      </c>
      <c r="J28" s="218">
        <f t="shared" si="8"/>
        <v>25752.175460722632</v>
      </c>
      <c r="K28" s="218">
        <f t="shared" si="8"/>
        <v>29412.824200871026</v>
      </c>
      <c r="L28" s="218">
        <f t="shared" si="8"/>
        <v>32524.684733740884</v>
      </c>
      <c r="M28" s="223">
        <f t="shared" si="8"/>
        <v>36134.353397699277</v>
      </c>
    </row>
    <row r="29" spans="1:13">
      <c r="B29" s="231" t="s">
        <v>203</v>
      </c>
      <c r="D29" s="218">
        <f>D16+D17</f>
        <v>1102.5599261984885</v>
      </c>
      <c r="E29" s="218">
        <f t="shared" ref="E29:M29" si="9">E16+E17</f>
        <v>2126.1128945508544</v>
      </c>
      <c r="F29" s="218">
        <f t="shared" si="9"/>
        <v>4152.8867539664261</v>
      </c>
      <c r="G29" s="218">
        <f t="shared" si="9"/>
        <v>5356.7057664722788</v>
      </c>
      <c r="H29" s="218">
        <f t="shared" si="9"/>
        <v>6843.1025989375812</v>
      </c>
      <c r="I29" s="218">
        <f t="shared" si="9"/>
        <v>8779.8073941733637</v>
      </c>
      <c r="J29" s="218">
        <f t="shared" si="9"/>
        <v>10900.720363679669</v>
      </c>
      <c r="K29" s="218">
        <f t="shared" si="9"/>
        <v>12555.639234457012</v>
      </c>
      <c r="L29" s="218">
        <f t="shared" si="9"/>
        <v>14190.908438060804</v>
      </c>
      <c r="M29" s="223">
        <f t="shared" si="9"/>
        <v>14788.318604722166</v>
      </c>
    </row>
    <row r="30" spans="1:13">
      <c r="B30" s="232" t="s">
        <v>205</v>
      </c>
      <c r="C30" s="225"/>
      <c r="D30" s="226">
        <f>D18+D19</f>
        <v>194.02862139396126</v>
      </c>
      <c r="E30" s="226">
        <f t="shared" ref="E30:M30" si="10">E18+E19</f>
        <v>388.05724278792252</v>
      </c>
      <c r="F30" s="226">
        <f t="shared" si="10"/>
        <v>810.76989530213336</v>
      </c>
      <c r="G30" s="226">
        <f t="shared" si="10"/>
        <v>1135.0778534229867</v>
      </c>
      <c r="H30" s="226">
        <f t="shared" si="10"/>
        <v>1532.3551021210319</v>
      </c>
      <c r="I30" s="226">
        <f t="shared" si="10"/>
        <v>2068.6793878633935</v>
      </c>
      <c r="J30" s="226">
        <f t="shared" si="10"/>
        <v>2585.8492348292416</v>
      </c>
      <c r="K30" s="226">
        <f t="shared" si="10"/>
        <v>3103.0190817950897</v>
      </c>
      <c r="L30" s="226">
        <f t="shared" si="10"/>
        <v>3568.4719440643526</v>
      </c>
      <c r="M30" s="227">
        <f t="shared" si="10"/>
        <v>4577.1238115677006</v>
      </c>
    </row>
    <row r="31" spans="1:13">
      <c r="B31" s="75"/>
      <c r="D31" s="228">
        <f>SUM(D22:D30)</f>
        <v>14569.748886148409</v>
      </c>
      <c r="E31" s="228">
        <f t="shared" ref="E31:M31" si="11">SUM(E22:E30)</f>
        <v>25480.23444488761</v>
      </c>
      <c r="F31" s="228">
        <f t="shared" si="11"/>
        <v>44537.746744631862</v>
      </c>
      <c r="G31" s="228">
        <f t="shared" si="11"/>
        <v>54804.515512614176</v>
      </c>
      <c r="H31" s="228">
        <f t="shared" si="11"/>
        <v>67021.845665202112</v>
      </c>
      <c r="I31" s="228">
        <f t="shared" si="11"/>
        <v>82355.607421879176</v>
      </c>
      <c r="J31" s="228">
        <f t="shared" si="11"/>
        <v>97162.827176758772</v>
      </c>
      <c r="K31" s="228">
        <f t="shared" si="11"/>
        <v>111419.59949161074</v>
      </c>
      <c r="L31" s="228">
        <f t="shared" si="11"/>
        <v>124878.97402782649</v>
      </c>
      <c r="M31" s="228">
        <f t="shared" si="11"/>
        <v>157255.75476596036</v>
      </c>
    </row>
    <row r="32" spans="1:13">
      <c r="A32" s="237" t="s">
        <v>272</v>
      </c>
    </row>
    <row r="33" spans="2:13" hidden="1">
      <c r="B33" s="217" t="s">
        <v>275</v>
      </c>
      <c r="D33" s="246">
        <v>1862.6641106</v>
      </c>
      <c r="E33" s="246">
        <v>2905.8001813999999</v>
      </c>
      <c r="F33" s="246">
        <v>4448.8039615999996</v>
      </c>
      <c r="G33" s="246">
        <v>5793.1074562399999</v>
      </c>
      <c r="H33" s="246">
        <v>6679.349409384</v>
      </c>
      <c r="I33" s="246">
        <v>7476.5402628224001</v>
      </c>
      <c r="J33" s="246">
        <v>8372.8385884796407</v>
      </c>
      <c r="K33" s="246">
        <v>9381.0633916088555</v>
      </c>
    </row>
    <row r="34" spans="2:13" hidden="1">
      <c r="B34" s="237" t="s">
        <v>276</v>
      </c>
      <c r="D34" s="246"/>
      <c r="E34" s="246"/>
      <c r="F34" s="246"/>
      <c r="G34" s="246"/>
      <c r="H34" s="246"/>
      <c r="I34" s="246"/>
      <c r="J34" s="246"/>
      <c r="K34" s="246"/>
    </row>
    <row r="35" spans="2:13" ht="17" hidden="1">
      <c r="B35" s="244" t="s">
        <v>131</v>
      </c>
      <c r="C35" s="244" t="s">
        <v>132</v>
      </c>
      <c r="D35" s="238">
        <v>975</v>
      </c>
      <c r="E35" s="239">
        <v>1591</v>
      </c>
      <c r="F35" s="239">
        <v>2447</v>
      </c>
      <c r="G35" s="239">
        <v>3402</v>
      </c>
      <c r="H35" s="239">
        <v>4280</v>
      </c>
      <c r="I35" s="239">
        <v>4922</v>
      </c>
      <c r="J35" s="239">
        <v>5600</v>
      </c>
      <c r="K35" s="239">
        <v>6136</v>
      </c>
      <c r="L35" s="239">
        <v>6163</v>
      </c>
    </row>
    <row r="36" spans="2:13" ht="34" hidden="1">
      <c r="B36" s="245" t="s">
        <v>134</v>
      </c>
      <c r="C36" s="245" t="s">
        <v>135</v>
      </c>
      <c r="D36" s="240">
        <v>76</v>
      </c>
      <c r="E36" s="241">
        <v>157</v>
      </c>
      <c r="F36" s="241">
        <v>246</v>
      </c>
      <c r="G36" s="241">
        <v>325</v>
      </c>
      <c r="H36" s="241">
        <v>381</v>
      </c>
      <c r="I36" s="241">
        <v>447</v>
      </c>
      <c r="J36" s="241">
        <v>502</v>
      </c>
      <c r="K36" s="241">
        <v>520</v>
      </c>
      <c r="L36" s="241">
        <v>493</v>
      </c>
    </row>
    <row r="37" spans="2:13" ht="17" hidden="1">
      <c r="B37" s="244" t="s">
        <v>136</v>
      </c>
      <c r="C37" s="244" t="s">
        <v>132</v>
      </c>
      <c r="D37" s="238">
        <v>235</v>
      </c>
      <c r="E37" s="242">
        <v>313</v>
      </c>
      <c r="F37" s="242">
        <v>565</v>
      </c>
      <c r="G37" s="242">
        <v>738</v>
      </c>
      <c r="H37" s="242">
        <v>637</v>
      </c>
      <c r="I37" s="242">
        <v>732</v>
      </c>
      <c r="J37" s="242">
        <v>769</v>
      </c>
      <c r="K37" s="242">
        <v>777</v>
      </c>
      <c r="L37" s="242">
        <v>719</v>
      </c>
    </row>
    <row r="38" spans="2:13" ht="34" hidden="1">
      <c r="B38" s="245" t="s">
        <v>136</v>
      </c>
      <c r="C38" s="245" t="s">
        <v>135</v>
      </c>
      <c r="D38" s="240">
        <v>550</v>
      </c>
      <c r="E38" s="241">
        <v>680</v>
      </c>
      <c r="F38" s="241">
        <v>880</v>
      </c>
      <c r="G38" s="243">
        <v>1120</v>
      </c>
      <c r="H38" s="243">
        <v>1050</v>
      </c>
      <c r="I38" s="243">
        <v>1260</v>
      </c>
      <c r="J38" s="243">
        <v>1470</v>
      </c>
      <c r="K38" s="243">
        <v>1646</v>
      </c>
      <c r="L38" s="243">
        <v>1629</v>
      </c>
    </row>
    <row r="39" spans="2:13" ht="16" hidden="1">
      <c r="B39" s="237" t="s">
        <v>277</v>
      </c>
      <c r="C39" s="245"/>
      <c r="D39" s="240"/>
      <c r="E39" s="241"/>
      <c r="F39" s="241"/>
      <c r="G39" s="243"/>
      <c r="H39" s="243"/>
      <c r="I39" s="243"/>
      <c r="J39" s="243"/>
      <c r="K39" s="243"/>
      <c r="L39" s="243"/>
    </row>
    <row r="40" spans="2:13" ht="17" hidden="1">
      <c r="B40" s="244" t="s">
        <v>131</v>
      </c>
      <c r="C40" s="244" t="s">
        <v>132</v>
      </c>
      <c r="D40" s="238">
        <v>325</v>
      </c>
      <c r="E40" s="239">
        <v>1591</v>
      </c>
      <c r="F40" s="239">
        <v>2447</v>
      </c>
      <c r="G40" s="239">
        <v>3402</v>
      </c>
      <c r="H40" s="239">
        <v>4280</v>
      </c>
      <c r="I40" s="239">
        <v>4922</v>
      </c>
      <c r="J40" s="239">
        <v>5600</v>
      </c>
      <c r="K40" s="239">
        <v>6136</v>
      </c>
      <c r="L40" s="239">
        <v>6163</v>
      </c>
    </row>
    <row r="41" spans="2:13" ht="34" hidden="1">
      <c r="B41" s="245" t="s">
        <v>134</v>
      </c>
      <c r="C41" s="245" t="s">
        <v>135</v>
      </c>
      <c r="D41" s="240">
        <v>304</v>
      </c>
      <c r="E41" s="241">
        <v>367</v>
      </c>
      <c r="F41" s="241">
        <v>574</v>
      </c>
      <c r="G41" s="241">
        <v>758</v>
      </c>
      <c r="H41" s="241">
        <v>889</v>
      </c>
      <c r="I41" s="243">
        <v>1044</v>
      </c>
      <c r="J41" s="243">
        <v>1172</v>
      </c>
      <c r="K41" s="243">
        <v>1213</v>
      </c>
      <c r="L41" s="243">
        <v>1151</v>
      </c>
    </row>
    <row r="42" spans="2:13" ht="17" hidden="1">
      <c r="B42" s="244" t="s">
        <v>136</v>
      </c>
      <c r="C42" s="244" t="s">
        <v>132</v>
      </c>
      <c r="D42" s="238">
        <v>235</v>
      </c>
      <c r="E42" s="242">
        <v>470</v>
      </c>
      <c r="F42" s="242">
        <v>848</v>
      </c>
      <c r="G42" s="239">
        <v>1107</v>
      </c>
      <c r="H42" s="239">
        <v>1485</v>
      </c>
      <c r="I42" s="239">
        <v>1708</v>
      </c>
      <c r="J42" s="239">
        <v>1794</v>
      </c>
      <c r="K42" s="239">
        <v>1813</v>
      </c>
      <c r="L42" s="239">
        <v>1678</v>
      </c>
    </row>
    <row r="43" spans="2:13" ht="34" hidden="1">
      <c r="B43" s="245" t="s">
        <v>136</v>
      </c>
      <c r="C43" s="245" t="s">
        <v>135</v>
      </c>
      <c r="D43" s="240">
        <v>550</v>
      </c>
      <c r="E43" s="243">
        <v>1020</v>
      </c>
      <c r="F43" s="243">
        <v>1320</v>
      </c>
      <c r="G43" s="243">
        <v>1680</v>
      </c>
      <c r="H43" s="243">
        <v>2450</v>
      </c>
      <c r="I43" s="243">
        <v>2940</v>
      </c>
      <c r="J43" s="243">
        <v>3430</v>
      </c>
      <c r="K43" s="243">
        <v>3840</v>
      </c>
      <c r="L43" s="243">
        <v>3801</v>
      </c>
    </row>
    <row r="44" spans="2:13" ht="16" hidden="1">
      <c r="B44" s="245"/>
      <c r="C44" s="245"/>
      <c r="D44" s="240"/>
      <c r="E44" s="243"/>
      <c r="F44" s="243"/>
      <c r="G44" s="243"/>
      <c r="H44" s="243"/>
      <c r="I44" s="243"/>
      <c r="J44" s="243"/>
      <c r="K44" s="243"/>
      <c r="L44" s="243"/>
    </row>
    <row r="45" spans="2:13">
      <c r="B45" s="247" t="s">
        <v>275</v>
      </c>
      <c r="C45" s="230"/>
      <c r="D45" s="251">
        <f>D33</f>
        <v>1862.6641106</v>
      </c>
      <c r="E45" s="251">
        <f t="shared" ref="E45:K45" si="12">E33</f>
        <v>2905.8001813999999</v>
      </c>
      <c r="F45" s="251">
        <f t="shared" si="12"/>
        <v>4448.8039615999996</v>
      </c>
      <c r="G45" s="251">
        <f t="shared" si="12"/>
        <v>5793.1074562399999</v>
      </c>
      <c r="H45" s="251">
        <f t="shared" si="12"/>
        <v>6679.349409384</v>
      </c>
      <c r="I45" s="251">
        <f t="shared" si="12"/>
        <v>7476.5402628224001</v>
      </c>
      <c r="J45" s="251">
        <f t="shared" si="12"/>
        <v>8372.8385884796407</v>
      </c>
      <c r="K45" s="251">
        <f t="shared" si="12"/>
        <v>9381.0633916088555</v>
      </c>
      <c r="L45" s="252">
        <f>K45</f>
        <v>9381.0633916088555</v>
      </c>
      <c r="M45" s="253"/>
    </row>
    <row r="46" spans="2:13">
      <c r="B46" s="248" t="s">
        <v>273</v>
      </c>
      <c r="D46" s="254">
        <f>SUM(D35:D36,D40:D41)</f>
        <v>1680</v>
      </c>
      <c r="E46" s="254">
        <f t="shared" ref="E46:L46" si="13">SUM(E35:E36,E40:E41)</f>
        <v>3706</v>
      </c>
      <c r="F46" s="254">
        <f t="shared" si="13"/>
        <v>5714</v>
      </c>
      <c r="G46" s="254">
        <f t="shared" si="13"/>
        <v>7887</v>
      </c>
      <c r="H46" s="254">
        <f t="shared" si="13"/>
        <v>9830</v>
      </c>
      <c r="I46" s="254">
        <f t="shared" si="13"/>
        <v>11335</v>
      </c>
      <c r="J46" s="254">
        <f t="shared" si="13"/>
        <v>12874</v>
      </c>
      <c r="K46" s="254">
        <f t="shared" si="13"/>
        <v>14005</v>
      </c>
      <c r="L46" s="255">
        <f t="shared" si="13"/>
        <v>13970</v>
      </c>
      <c r="M46" s="253"/>
    </row>
    <row r="47" spans="2:13">
      <c r="B47" s="249" t="s">
        <v>274</v>
      </c>
      <c r="C47" s="225"/>
      <c r="D47" s="256">
        <f>SUM(D37:D38,D42:D43)</f>
        <v>1570</v>
      </c>
      <c r="E47" s="256">
        <f t="shared" ref="E47:L47" si="14">SUM(E37:E38,E42:E43)</f>
        <v>2483</v>
      </c>
      <c r="F47" s="256">
        <f t="shared" si="14"/>
        <v>3613</v>
      </c>
      <c r="G47" s="256">
        <f t="shared" si="14"/>
        <v>4645</v>
      </c>
      <c r="H47" s="256">
        <f t="shared" si="14"/>
        <v>5622</v>
      </c>
      <c r="I47" s="256">
        <f t="shared" si="14"/>
        <v>6640</v>
      </c>
      <c r="J47" s="256">
        <f t="shared" si="14"/>
        <v>7463</v>
      </c>
      <c r="K47" s="256">
        <f t="shared" si="14"/>
        <v>8076</v>
      </c>
      <c r="L47" s="257">
        <f t="shared" si="14"/>
        <v>7827</v>
      </c>
      <c r="M47" s="253"/>
    </row>
    <row r="48" spans="2:13">
      <c r="C48" s="217" t="s">
        <v>278</v>
      </c>
      <c r="D48" s="258">
        <f>SUM(D45:D47)</f>
        <v>5112.6641105999997</v>
      </c>
      <c r="E48" s="258">
        <f t="shared" ref="E48:L48" si="15">SUM(E45:E47)</f>
        <v>9094.8001813999999</v>
      </c>
      <c r="F48" s="258">
        <f t="shared" si="15"/>
        <v>13775.803961599999</v>
      </c>
      <c r="G48" s="258">
        <f t="shared" si="15"/>
        <v>18325.107456239999</v>
      </c>
      <c r="H48" s="258">
        <f t="shared" si="15"/>
        <v>22131.349409383998</v>
      </c>
      <c r="I48" s="258">
        <f t="shared" si="15"/>
        <v>25451.5402628224</v>
      </c>
      <c r="J48" s="258">
        <f t="shared" si="15"/>
        <v>28709.838588479641</v>
      </c>
      <c r="K48" s="258">
        <f t="shared" si="15"/>
        <v>31462.063391608855</v>
      </c>
      <c r="L48" s="258">
        <f t="shared" si="15"/>
        <v>31178.063391608855</v>
      </c>
      <c r="M48" s="253"/>
    </row>
    <row r="50" spans="1:13">
      <c r="A50" s="237" t="s">
        <v>280</v>
      </c>
      <c r="B50" s="237"/>
      <c r="D50" s="218"/>
    </row>
    <row r="51" spans="1:13" hidden="1">
      <c r="B51" s="217" t="s">
        <v>281</v>
      </c>
      <c r="D51" s="259">
        <v>18970.666666666668</v>
      </c>
      <c r="E51" s="259">
        <v>20867.733333333337</v>
      </c>
      <c r="F51" s="259">
        <v>22954.506666666672</v>
      </c>
      <c r="G51" s="259">
        <v>25249.957333333339</v>
      </c>
      <c r="H51" s="259">
        <v>27774.953066666676</v>
      </c>
      <c r="I51" s="259">
        <v>29163.700720000012</v>
      </c>
      <c r="J51" s="259">
        <v>30621.885756000014</v>
      </c>
      <c r="K51" s="259">
        <v>32152.980043800017</v>
      </c>
      <c r="L51" s="259">
        <v>33760.629045990019</v>
      </c>
      <c r="M51" s="259">
        <v>35448.660498289522</v>
      </c>
    </row>
    <row r="52" spans="1:13" hidden="1">
      <c r="B52" s="217" t="s">
        <v>283</v>
      </c>
      <c r="D52" s="260">
        <v>0.75</v>
      </c>
      <c r="E52" s="260">
        <v>0.78</v>
      </c>
      <c r="F52" s="260">
        <v>0.8</v>
      </c>
      <c r="G52" s="260">
        <v>0.85</v>
      </c>
      <c r="H52" s="260">
        <v>0.9</v>
      </c>
      <c r="I52" s="260">
        <v>0.9</v>
      </c>
      <c r="J52" s="260">
        <v>0.9</v>
      </c>
      <c r="K52" s="260">
        <v>0.9</v>
      </c>
      <c r="L52" s="260">
        <v>0.9</v>
      </c>
      <c r="M52" s="260">
        <v>0.9</v>
      </c>
    </row>
    <row r="53" spans="1:13">
      <c r="B53" s="217" t="s">
        <v>282</v>
      </c>
      <c r="D53" s="261">
        <f>D51*D52</f>
        <v>14228</v>
      </c>
      <c r="E53" s="261">
        <f t="shared" ref="E53:M53" si="16">E51*E52</f>
        <v>16276.832000000004</v>
      </c>
      <c r="F53" s="261">
        <f t="shared" si="16"/>
        <v>18363.605333333337</v>
      </c>
      <c r="G53" s="261">
        <f t="shared" si="16"/>
        <v>21462.463733333338</v>
      </c>
      <c r="H53" s="261">
        <f t="shared" si="16"/>
        <v>24997.457760000008</v>
      </c>
      <c r="I53" s="261">
        <f t="shared" si="16"/>
        <v>26247.33064800001</v>
      </c>
      <c r="J53" s="261">
        <f t="shared" si="16"/>
        <v>27559.697180400013</v>
      </c>
      <c r="K53" s="261">
        <f t="shared" si="16"/>
        <v>28937.682039420015</v>
      </c>
      <c r="L53" s="261">
        <f t="shared" si="16"/>
        <v>30384.566141391017</v>
      </c>
      <c r="M53" s="261">
        <f t="shared" si="16"/>
        <v>31903.794448460572</v>
      </c>
    </row>
    <row r="54" spans="1:13">
      <c r="D54" s="218"/>
    </row>
    <row r="56" spans="1:13">
      <c r="D56" s="218"/>
    </row>
    <row r="57" spans="1:13">
      <c r="D57" s="218"/>
    </row>
    <row r="58" spans="1:13">
      <c r="D58" s="218"/>
    </row>
    <row r="60" spans="1:13">
      <c r="D60" s="218"/>
    </row>
    <row r="62" spans="1:13">
      <c r="D62" s="218"/>
    </row>
    <row r="64" spans="1:13">
      <c r="D64" s="218"/>
    </row>
    <row r="66" spans="4:4">
      <c r="D66" s="218"/>
    </row>
    <row r="68" spans="4:4">
      <c r="D68" s="218"/>
    </row>
    <row r="70" spans="4:4">
      <c r="D70" s="218"/>
    </row>
    <row r="72" spans="4:4">
      <c r="D72" s="218"/>
    </row>
    <row r="73" spans="4:4">
      <c r="D73" s="218"/>
    </row>
  </sheetData>
  <phoneticPr fontId="11" type="noConversion"/>
  <pageMargins left="0.7" right="0.7" top="0.75" bottom="0.75" header="0.3" footer="0.3"/>
  <pageSetup paperSize="9" orientation="portrait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8"/>
  <sheetViews>
    <sheetView showGridLines="0" workbookViewId="0">
      <selection activeCell="F6" sqref="F6"/>
    </sheetView>
  </sheetViews>
  <sheetFormatPr baseColWidth="10" defaultColWidth="9" defaultRowHeight="12"/>
  <cols>
    <col min="1" max="1" width="2.5" style="367" customWidth="1"/>
    <col min="2" max="3" width="9" style="367"/>
    <col min="4" max="5" width="9.1640625" style="367" bestFit="1" customWidth="1"/>
    <col min="6" max="6" width="9" style="367"/>
    <col min="7" max="13" width="9.1640625" style="367" bestFit="1" customWidth="1"/>
    <col min="14" max="15" width="9.5" style="367" bestFit="1" customWidth="1"/>
    <col min="16" max="16" width="9.83203125" style="367" bestFit="1" customWidth="1"/>
    <col min="17" max="17" width="9.1640625" style="367" bestFit="1" customWidth="1"/>
    <col min="18" max="16384" width="9" style="367"/>
  </cols>
  <sheetData>
    <row r="1" spans="1:18" s="360" customFormat="1" ht="14">
      <c r="A1" s="359"/>
      <c r="G1" s="360">
        <v>2015</v>
      </c>
      <c r="H1" s="360">
        <f>G1+1</f>
        <v>2016</v>
      </c>
      <c r="I1" s="360">
        <f t="shared" ref="I1:P1" si="0">H1+1</f>
        <v>2017</v>
      </c>
      <c r="J1" s="360">
        <f t="shared" si="0"/>
        <v>2018</v>
      </c>
      <c r="K1" s="360">
        <f t="shared" si="0"/>
        <v>2019</v>
      </c>
      <c r="L1" s="360">
        <f t="shared" si="0"/>
        <v>2020</v>
      </c>
      <c r="M1" s="360">
        <f t="shared" si="0"/>
        <v>2021</v>
      </c>
      <c r="N1" s="360">
        <f t="shared" si="0"/>
        <v>2022</v>
      </c>
      <c r="O1" s="360">
        <f t="shared" si="0"/>
        <v>2023</v>
      </c>
      <c r="P1" s="360">
        <f t="shared" si="0"/>
        <v>2024</v>
      </c>
    </row>
    <row r="2" spans="1:18" s="360" customFormat="1" ht="14">
      <c r="A2" s="359"/>
    </row>
    <row r="3" spans="1:18" s="360" customFormat="1" ht="14">
      <c r="A3" s="359"/>
      <c r="B3" s="361" t="s">
        <v>312</v>
      </c>
      <c r="C3" s="361"/>
      <c r="D3" s="361"/>
      <c r="F3" s="362" t="s">
        <v>2</v>
      </c>
      <c r="G3" s="549">
        <v>10500</v>
      </c>
      <c r="H3" s="549">
        <v>12000</v>
      </c>
      <c r="I3" s="549">
        <v>14100</v>
      </c>
      <c r="J3" s="549">
        <v>16800</v>
      </c>
      <c r="K3" s="549">
        <v>20100</v>
      </c>
      <c r="L3" s="549">
        <v>24300</v>
      </c>
      <c r="M3" s="549">
        <v>28800</v>
      </c>
      <c r="N3" s="549">
        <v>33900</v>
      </c>
      <c r="O3" s="549">
        <v>39600</v>
      </c>
      <c r="P3" s="549">
        <v>45000</v>
      </c>
    </row>
    <row r="4" spans="1:18" s="360" customFormat="1" ht="14">
      <c r="A4" s="359"/>
      <c r="D4" s="360" t="s">
        <v>313</v>
      </c>
      <c r="G4" s="545"/>
      <c r="H4" s="545"/>
      <c r="I4" s="545"/>
      <c r="J4" s="545"/>
      <c r="K4" s="545"/>
      <c r="L4" s="545"/>
      <c r="M4" s="545"/>
      <c r="N4" s="545"/>
      <c r="O4" s="545"/>
      <c r="P4" s="545"/>
    </row>
    <row r="5" spans="1:18" s="360" customFormat="1" ht="14">
      <c r="A5" s="359"/>
      <c r="B5" s="364" t="s">
        <v>42</v>
      </c>
      <c r="C5" s="546" t="s">
        <v>314</v>
      </c>
      <c r="D5" s="547">
        <v>50</v>
      </c>
      <c r="E5" s="548">
        <v>0.2</v>
      </c>
      <c r="F5" s="365" t="s">
        <v>2</v>
      </c>
      <c r="G5" s="550">
        <f ca="1">G$6*$E5</f>
        <v>2100</v>
      </c>
      <c r="H5" s="550">
        <f t="shared" ref="H5:P5" ca="1" si="1">H$6*$E5</f>
        <v>2400</v>
      </c>
      <c r="I5" s="550">
        <f t="shared" ca="1" si="1"/>
        <v>2820</v>
      </c>
      <c r="J5" s="550">
        <f t="shared" ca="1" si="1"/>
        <v>3360</v>
      </c>
      <c r="K5" s="550">
        <f t="shared" ca="1" si="1"/>
        <v>4020</v>
      </c>
      <c r="L5" s="550">
        <f t="shared" ca="1" si="1"/>
        <v>4860</v>
      </c>
      <c r="M5" s="550">
        <f t="shared" ca="1" si="1"/>
        <v>5760</v>
      </c>
      <c r="N5" s="550">
        <f t="shared" ca="1" si="1"/>
        <v>6780</v>
      </c>
      <c r="O5" s="550">
        <f t="shared" ca="1" si="1"/>
        <v>7920</v>
      </c>
      <c r="P5" s="550">
        <f t="shared" ca="1" si="1"/>
        <v>9000</v>
      </c>
    </row>
    <row r="6" spans="1:18" s="360" customFormat="1" ht="14">
      <c r="A6" s="359"/>
      <c r="B6" s="364" t="s">
        <v>43</v>
      </c>
      <c r="C6" s="546" t="s">
        <v>314</v>
      </c>
      <c r="D6" s="547">
        <v>50</v>
      </c>
      <c r="E6" s="548">
        <v>0.45</v>
      </c>
      <c r="F6" s="365" t="s">
        <v>2</v>
      </c>
      <c r="G6" s="550">
        <f t="shared" ref="G6:P8" ca="1" si="2">G$6*$E6</f>
        <v>4725</v>
      </c>
      <c r="H6" s="550">
        <f t="shared" ca="1" si="2"/>
        <v>5400</v>
      </c>
      <c r="I6" s="550">
        <f t="shared" ca="1" si="2"/>
        <v>6345</v>
      </c>
      <c r="J6" s="550">
        <f t="shared" ca="1" si="2"/>
        <v>7560</v>
      </c>
      <c r="K6" s="550">
        <f t="shared" ca="1" si="2"/>
        <v>9045</v>
      </c>
      <c r="L6" s="550">
        <f t="shared" ca="1" si="2"/>
        <v>10935</v>
      </c>
      <c r="M6" s="550">
        <f t="shared" ca="1" si="2"/>
        <v>12960</v>
      </c>
      <c r="N6" s="550">
        <f t="shared" ca="1" si="2"/>
        <v>15255</v>
      </c>
      <c r="O6" s="550">
        <f t="shared" ca="1" si="2"/>
        <v>17820</v>
      </c>
      <c r="P6" s="550">
        <f t="shared" ca="1" si="2"/>
        <v>20250</v>
      </c>
    </row>
    <row r="7" spans="1:18" s="360" customFormat="1" ht="14">
      <c r="A7" s="359"/>
      <c r="B7" s="364" t="s">
        <v>315</v>
      </c>
      <c r="C7" s="546" t="s">
        <v>314</v>
      </c>
      <c r="D7" s="547">
        <v>50</v>
      </c>
      <c r="E7" s="548">
        <v>0.15</v>
      </c>
      <c r="F7" s="365" t="s">
        <v>2</v>
      </c>
      <c r="G7" s="550">
        <f t="shared" ca="1" si="2"/>
        <v>1575</v>
      </c>
      <c r="H7" s="550">
        <f t="shared" ca="1" si="2"/>
        <v>1800</v>
      </c>
      <c r="I7" s="550">
        <f t="shared" ca="1" si="2"/>
        <v>2115</v>
      </c>
      <c r="J7" s="550">
        <f t="shared" ca="1" si="2"/>
        <v>2520</v>
      </c>
      <c r="K7" s="550">
        <f t="shared" ca="1" si="2"/>
        <v>3015</v>
      </c>
      <c r="L7" s="550">
        <f t="shared" ca="1" si="2"/>
        <v>3645</v>
      </c>
      <c r="M7" s="550">
        <f t="shared" ca="1" si="2"/>
        <v>4320</v>
      </c>
      <c r="N7" s="550">
        <f t="shared" ca="1" si="2"/>
        <v>5085</v>
      </c>
      <c r="O7" s="550">
        <f t="shared" ca="1" si="2"/>
        <v>5940</v>
      </c>
      <c r="P7" s="550">
        <f t="shared" ca="1" si="2"/>
        <v>6750</v>
      </c>
    </row>
    <row r="8" spans="1:18" s="360" customFormat="1" ht="14">
      <c r="A8" s="359"/>
      <c r="B8" s="364" t="s">
        <v>316</v>
      </c>
      <c r="C8" s="546" t="s">
        <v>314</v>
      </c>
      <c r="D8" s="547">
        <v>50</v>
      </c>
      <c r="E8" s="548">
        <v>0.2</v>
      </c>
      <c r="F8" s="365" t="s">
        <v>2</v>
      </c>
      <c r="G8" s="550">
        <f t="shared" ca="1" si="2"/>
        <v>2100</v>
      </c>
      <c r="H8" s="550">
        <f t="shared" ca="1" si="2"/>
        <v>2400</v>
      </c>
      <c r="I8" s="550">
        <f t="shared" ca="1" si="2"/>
        <v>2820</v>
      </c>
      <c r="J8" s="550">
        <f t="shared" ca="1" si="2"/>
        <v>3360</v>
      </c>
      <c r="K8" s="550">
        <f t="shared" ca="1" si="2"/>
        <v>4020</v>
      </c>
      <c r="L8" s="550">
        <f t="shared" ca="1" si="2"/>
        <v>4860</v>
      </c>
      <c r="M8" s="550">
        <f t="shared" ca="1" si="2"/>
        <v>5760</v>
      </c>
      <c r="N8" s="550">
        <f t="shared" ca="1" si="2"/>
        <v>6780</v>
      </c>
      <c r="O8" s="550">
        <f t="shared" ca="1" si="2"/>
        <v>7920</v>
      </c>
      <c r="P8" s="550">
        <f t="shared" ca="1" si="2"/>
        <v>9000</v>
      </c>
    </row>
    <row r="9" spans="1:18" s="360" customFormat="1" ht="14">
      <c r="A9" s="359"/>
      <c r="B9" s="364" t="s">
        <v>317</v>
      </c>
      <c r="C9" s="546"/>
      <c r="D9" s="547">
        <v>50</v>
      </c>
      <c r="E9" s="548">
        <f>SUM(E5:E8)</f>
        <v>1</v>
      </c>
      <c r="F9" s="365"/>
      <c r="G9" s="550"/>
      <c r="H9" s="550"/>
      <c r="I9" s="550"/>
      <c r="J9" s="550"/>
      <c r="K9" s="550"/>
      <c r="L9" s="550"/>
      <c r="M9" s="550"/>
      <c r="N9" s="550"/>
      <c r="O9" s="550"/>
      <c r="P9" s="550"/>
    </row>
    <row r="10" spans="1:18" s="360" customFormat="1" ht="14">
      <c r="A10" s="359"/>
    </row>
    <row r="11" spans="1:18" s="360" customFormat="1" ht="14">
      <c r="A11" s="359"/>
    </row>
    <row r="12" spans="1:18" s="360" customFormat="1" ht="14">
      <c r="A12" s="359"/>
      <c r="B12" s="361" t="s">
        <v>318</v>
      </c>
      <c r="C12" s="361"/>
      <c r="F12" s="365" t="s">
        <v>319</v>
      </c>
      <c r="G12" s="549">
        <v>24500</v>
      </c>
      <c r="H12" s="549">
        <v>28000</v>
      </c>
      <c r="I12" s="549">
        <v>32900</v>
      </c>
      <c r="J12" s="549">
        <v>39200</v>
      </c>
      <c r="K12" s="549">
        <v>46900</v>
      </c>
      <c r="L12" s="549">
        <v>56700</v>
      </c>
      <c r="M12" s="549">
        <v>67200</v>
      </c>
      <c r="N12" s="549">
        <v>79100</v>
      </c>
      <c r="O12" s="549">
        <v>92400</v>
      </c>
      <c r="P12" s="549">
        <v>105000</v>
      </c>
      <c r="Q12" s="363"/>
      <c r="R12" s="363"/>
    </row>
    <row r="13" spans="1:18" s="360" customFormat="1" ht="14">
      <c r="A13" s="359"/>
      <c r="D13" s="360" t="s">
        <v>313</v>
      </c>
      <c r="F13" s="365"/>
      <c r="G13" s="366"/>
      <c r="H13" s="366"/>
      <c r="I13" s="366"/>
      <c r="J13" s="366"/>
      <c r="K13" s="366"/>
      <c r="L13" s="366"/>
      <c r="M13" s="366"/>
      <c r="N13" s="366"/>
      <c r="O13" s="366"/>
      <c r="P13" s="366"/>
      <c r="Q13" s="360">
        <f>20*330*24</f>
        <v>158400</v>
      </c>
      <c r="R13" s="360" t="s">
        <v>320</v>
      </c>
    </row>
    <row r="14" spans="1:18" s="360" customFormat="1" ht="14">
      <c r="A14" s="359"/>
      <c r="B14" s="364" t="s">
        <v>42</v>
      </c>
      <c r="C14" s="547" t="s">
        <v>321</v>
      </c>
      <c r="D14" s="547">
        <v>50</v>
      </c>
      <c r="E14" s="551">
        <v>0.02</v>
      </c>
      <c r="F14" s="365" t="s">
        <v>319</v>
      </c>
      <c r="G14" s="366">
        <f ca="1">G$15*$E14</f>
        <v>490</v>
      </c>
      <c r="H14" s="366">
        <f t="shared" ref="H14:P14" ca="1" si="3">H$15*$E14</f>
        <v>560</v>
      </c>
      <c r="I14" s="366">
        <f t="shared" ca="1" si="3"/>
        <v>658</v>
      </c>
      <c r="J14" s="366">
        <f t="shared" ca="1" si="3"/>
        <v>784</v>
      </c>
      <c r="K14" s="366">
        <f t="shared" ca="1" si="3"/>
        <v>938</v>
      </c>
      <c r="L14" s="366">
        <f t="shared" ca="1" si="3"/>
        <v>1134</v>
      </c>
      <c r="M14" s="366">
        <f t="shared" ca="1" si="3"/>
        <v>1344</v>
      </c>
      <c r="N14" s="366">
        <f t="shared" ca="1" si="3"/>
        <v>1582</v>
      </c>
      <c r="O14" s="366">
        <f t="shared" ca="1" si="3"/>
        <v>1848</v>
      </c>
      <c r="P14" s="366">
        <f t="shared" ca="1" si="3"/>
        <v>2100</v>
      </c>
    </row>
    <row r="15" spans="1:18" s="360" customFormat="1" ht="14">
      <c r="A15" s="359"/>
      <c r="B15" s="364" t="s">
        <v>42</v>
      </c>
      <c r="C15" s="552" t="s">
        <v>322</v>
      </c>
      <c r="D15" s="547">
        <v>50</v>
      </c>
      <c r="E15" s="553">
        <v>0.12</v>
      </c>
      <c r="F15" s="365" t="s">
        <v>319</v>
      </c>
      <c r="G15" s="366">
        <f t="shared" ref="G15:P25" ca="1" si="4">G$15*$E15</f>
        <v>2940</v>
      </c>
      <c r="H15" s="366">
        <f t="shared" ca="1" si="4"/>
        <v>3360</v>
      </c>
      <c r="I15" s="366">
        <f t="shared" ca="1" si="4"/>
        <v>3948</v>
      </c>
      <c r="J15" s="366">
        <f t="shared" ca="1" si="4"/>
        <v>4704</v>
      </c>
      <c r="K15" s="366">
        <f t="shared" ca="1" si="4"/>
        <v>5628</v>
      </c>
      <c r="L15" s="366">
        <f t="shared" ca="1" si="4"/>
        <v>6804</v>
      </c>
      <c r="M15" s="366">
        <f t="shared" ca="1" si="4"/>
        <v>8064</v>
      </c>
      <c r="N15" s="366">
        <f t="shared" ca="1" si="4"/>
        <v>9492</v>
      </c>
      <c r="O15" s="366">
        <f t="shared" ca="1" si="4"/>
        <v>11088</v>
      </c>
      <c r="P15" s="366">
        <f t="shared" ca="1" si="4"/>
        <v>12600</v>
      </c>
      <c r="Q15" s="360">
        <f>16*24*330</f>
        <v>126720</v>
      </c>
      <c r="R15" s="360" t="s">
        <v>323</v>
      </c>
    </row>
    <row r="16" spans="1:18" s="360" customFormat="1" ht="14">
      <c r="A16" s="359"/>
      <c r="B16" s="364" t="s">
        <v>42</v>
      </c>
      <c r="C16" s="552" t="s">
        <v>324</v>
      </c>
      <c r="D16" s="547">
        <v>50</v>
      </c>
      <c r="E16" s="553">
        <v>0.03</v>
      </c>
      <c r="F16" s="365" t="s">
        <v>319</v>
      </c>
      <c r="G16" s="366">
        <f t="shared" ca="1" si="4"/>
        <v>735</v>
      </c>
      <c r="H16" s="366">
        <f t="shared" ca="1" si="4"/>
        <v>840</v>
      </c>
      <c r="I16" s="366">
        <f t="shared" ca="1" si="4"/>
        <v>987</v>
      </c>
      <c r="J16" s="366">
        <f t="shared" ca="1" si="4"/>
        <v>1176</v>
      </c>
      <c r="K16" s="366">
        <f t="shared" ca="1" si="4"/>
        <v>1407</v>
      </c>
      <c r="L16" s="366">
        <f t="shared" ca="1" si="4"/>
        <v>1701</v>
      </c>
      <c r="M16" s="366">
        <f t="shared" ca="1" si="4"/>
        <v>2016</v>
      </c>
      <c r="N16" s="366">
        <f t="shared" ca="1" si="4"/>
        <v>2373</v>
      </c>
      <c r="O16" s="366">
        <f t="shared" ca="1" si="4"/>
        <v>2772</v>
      </c>
      <c r="P16" s="366">
        <f t="shared" ca="1" si="4"/>
        <v>3150</v>
      </c>
      <c r="Q16" s="360">
        <f>11*24*330</f>
        <v>87120</v>
      </c>
      <c r="R16" s="360" t="s">
        <v>325</v>
      </c>
    </row>
    <row r="17" spans="1:17" s="360" customFormat="1" ht="14">
      <c r="A17" s="359"/>
      <c r="B17" s="364" t="s">
        <v>42</v>
      </c>
      <c r="C17" s="552" t="s">
        <v>326</v>
      </c>
      <c r="D17" s="547">
        <v>50</v>
      </c>
      <c r="E17" s="553">
        <v>0.15</v>
      </c>
      <c r="F17" s="365" t="s">
        <v>319</v>
      </c>
      <c r="G17" s="366">
        <f t="shared" ca="1" si="4"/>
        <v>3675</v>
      </c>
      <c r="H17" s="366">
        <f t="shared" ca="1" si="4"/>
        <v>4200</v>
      </c>
      <c r="I17" s="366">
        <f t="shared" ca="1" si="4"/>
        <v>4935</v>
      </c>
      <c r="J17" s="366">
        <f t="shared" ca="1" si="4"/>
        <v>5880</v>
      </c>
      <c r="K17" s="366">
        <f t="shared" ca="1" si="4"/>
        <v>7035</v>
      </c>
      <c r="L17" s="366">
        <f t="shared" ca="1" si="4"/>
        <v>8505</v>
      </c>
      <c r="M17" s="366">
        <f t="shared" ca="1" si="4"/>
        <v>10080</v>
      </c>
      <c r="N17" s="366">
        <f t="shared" ca="1" si="4"/>
        <v>11865</v>
      </c>
      <c r="O17" s="366">
        <f t="shared" ca="1" si="4"/>
        <v>13860</v>
      </c>
      <c r="P17" s="366">
        <f t="shared" ca="1" si="4"/>
        <v>15750</v>
      </c>
    </row>
    <row r="18" spans="1:17" s="360" customFormat="1" ht="14">
      <c r="A18" s="359"/>
      <c r="B18" s="364" t="s">
        <v>327</v>
      </c>
      <c r="C18" s="552" t="s">
        <v>321</v>
      </c>
      <c r="D18" s="547"/>
      <c r="E18" s="553">
        <v>3.3000000000000002E-2</v>
      </c>
      <c r="F18" s="365"/>
      <c r="G18" s="366">
        <f t="shared" ca="1" si="4"/>
        <v>808.5</v>
      </c>
      <c r="H18" s="366">
        <f t="shared" ca="1" si="4"/>
        <v>924</v>
      </c>
      <c r="I18" s="366">
        <f t="shared" ca="1" si="4"/>
        <v>1085.7</v>
      </c>
      <c r="J18" s="366">
        <f t="shared" ca="1" si="4"/>
        <v>1293.6000000000001</v>
      </c>
      <c r="K18" s="366">
        <f t="shared" ca="1" si="4"/>
        <v>1547.7</v>
      </c>
      <c r="L18" s="366">
        <f t="shared" ca="1" si="4"/>
        <v>1871.1000000000001</v>
      </c>
      <c r="M18" s="366">
        <f t="shared" ca="1" si="4"/>
        <v>2217.6</v>
      </c>
      <c r="N18" s="366">
        <f t="shared" ca="1" si="4"/>
        <v>2610.3000000000002</v>
      </c>
      <c r="O18" s="366">
        <f t="shared" ca="1" si="4"/>
        <v>3049.2000000000003</v>
      </c>
      <c r="P18" s="366">
        <f t="shared" ca="1" si="4"/>
        <v>3465</v>
      </c>
    </row>
    <row r="19" spans="1:17" s="360" customFormat="1" ht="14">
      <c r="A19" s="359"/>
      <c r="B19" s="364" t="s">
        <v>328</v>
      </c>
      <c r="C19" s="552" t="s">
        <v>322</v>
      </c>
      <c r="D19" s="547">
        <v>50</v>
      </c>
      <c r="E19" s="553">
        <v>0.40300000000000002</v>
      </c>
      <c r="F19" s="365" t="s">
        <v>319</v>
      </c>
      <c r="G19" s="366">
        <f t="shared" ca="1" si="4"/>
        <v>9873.5</v>
      </c>
      <c r="H19" s="366">
        <f t="shared" ca="1" si="4"/>
        <v>11284</v>
      </c>
      <c r="I19" s="366">
        <f t="shared" ca="1" si="4"/>
        <v>13258.7</v>
      </c>
      <c r="J19" s="366">
        <f t="shared" ca="1" si="4"/>
        <v>15797.6</v>
      </c>
      <c r="K19" s="366">
        <f t="shared" ca="1" si="4"/>
        <v>18900.7</v>
      </c>
      <c r="L19" s="366">
        <f t="shared" ca="1" si="4"/>
        <v>22850.100000000002</v>
      </c>
      <c r="M19" s="366">
        <f t="shared" ca="1" si="4"/>
        <v>27081.600000000002</v>
      </c>
      <c r="N19" s="366">
        <f t="shared" ca="1" si="4"/>
        <v>31877.300000000003</v>
      </c>
      <c r="O19" s="366">
        <f t="shared" ca="1" si="4"/>
        <v>37237.200000000004</v>
      </c>
      <c r="P19" s="366">
        <f t="shared" ca="1" si="4"/>
        <v>42315</v>
      </c>
    </row>
    <row r="20" spans="1:17" s="360" customFormat="1" ht="14">
      <c r="A20" s="359"/>
      <c r="B20" s="364" t="s">
        <v>328</v>
      </c>
      <c r="C20" s="552" t="s">
        <v>329</v>
      </c>
      <c r="D20" s="547">
        <v>50</v>
      </c>
      <c r="E20" s="553">
        <v>4.4999999999999998E-2</v>
      </c>
      <c r="F20" s="365" t="s">
        <v>319</v>
      </c>
      <c r="G20" s="366">
        <f t="shared" ca="1" si="4"/>
        <v>1102.5</v>
      </c>
      <c r="H20" s="366">
        <f t="shared" ca="1" si="4"/>
        <v>1260</v>
      </c>
      <c r="I20" s="366">
        <f t="shared" ca="1" si="4"/>
        <v>1480.5</v>
      </c>
      <c r="J20" s="366">
        <f t="shared" ca="1" si="4"/>
        <v>1764</v>
      </c>
      <c r="K20" s="366">
        <f t="shared" ca="1" si="4"/>
        <v>2110.5</v>
      </c>
      <c r="L20" s="366">
        <f t="shared" ca="1" si="4"/>
        <v>2551.5</v>
      </c>
      <c r="M20" s="366">
        <f t="shared" ca="1" si="4"/>
        <v>3024</v>
      </c>
      <c r="N20" s="366">
        <f t="shared" ca="1" si="4"/>
        <v>3559.5</v>
      </c>
      <c r="O20" s="366">
        <f t="shared" ca="1" si="4"/>
        <v>4158</v>
      </c>
      <c r="P20" s="366">
        <f t="shared" ca="1" si="4"/>
        <v>4725</v>
      </c>
    </row>
    <row r="21" spans="1:17" s="360" customFormat="1" ht="14">
      <c r="A21" s="359"/>
      <c r="B21" s="364" t="s">
        <v>328</v>
      </c>
      <c r="C21" s="552" t="s">
        <v>326</v>
      </c>
      <c r="D21" s="547">
        <v>50</v>
      </c>
      <c r="E21" s="553">
        <v>1.7999999999999999E-2</v>
      </c>
      <c r="F21" s="365" t="s">
        <v>319</v>
      </c>
      <c r="G21" s="366">
        <f t="shared" ca="1" si="4"/>
        <v>440.99999999999994</v>
      </c>
      <c r="H21" s="366">
        <f t="shared" ca="1" si="4"/>
        <v>503.99999999999994</v>
      </c>
      <c r="I21" s="366">
        <f t="shared" ca="1" si="4"/>
        <v>592.19999999999993</v>
      </c>
      <c r="J21" s="366">
        <f t="shared" ca="1" si="4"/>
        <v>705.59999999999991</v>
      </c>
      <c r="K21" s="366">
        <f t="shared" ca="1" si="4"/>
        <v>844.19999999999993</v>
      </c>
      <c r="L21" s="366">
        <f t="shared" ca="1" si="4"/>
        <v>1020.5999999999999</v>
      </c>
      <c r="M21" s="366">
        <f t="shared" ca="1" si="4"/>
        <v>1209.5999999999999</v>
      </c>
      <c r="N21" s="366">
        <f t="shared" ca="1" si="4"/>
        <v>1423.8</v>
      </c>
      <c r="O21" s="366">
        <f t="shared" ca="1" si="4"/>
        <v>1663.1999999999998</v>
      </c>
      <c r="P21" s="366">
        <f t="shared" ca="1" si="4"/>
        <v>1889.9999999999998</v>
      </c>
    </row>
    <row r="22" spans="1:17" s="360" customFormat="1" ht="14">
      <c r="A22" s="359"/>
      <c r="B22" s="364" t="s">
        <v>330</v>
      </c>
      <c r="C22" s="552" t="s">
        <v>321</v>
      </c>
      <c r="D22" s="547"/>
      <c r="E22" s="553">
        <v>1.2999999999999999E-2</v>
      </c>
      <c r="F22" s="365"/>
      <c r="G22" s="366">
        <f t="shared" ca="1" si="4"/>
        <v>318.5</v>
      </c>
      <c r="H22" s="366">
        <f t="shared" ca="1" si="4"/>
        <v>364</v>
      </c>
      <c r="I22" s="366">
        <f t="shared" ca="1" si="4"/>
        <v>427.7</v>
      </c>
      <c r="J22" s="366">
        <f t="shared" ca="1" si="4"/>
        <v>509.59999999999997</v>
      </c>
      <c r="K22" s="366">
        <f t="shared" ca="1" si="4"/>
        <v>609.69999999999993</v>
      </c>
      <c r="L22" s="366">
        <f t="shared" ca="1" si="4"/>
        <v>737.1</v>
      </c>
      <c r="M22" s="366">
        <f t="shared" ca="1" si="4"/>
        <v>873.59999999999991</v>
      </c>
      <c r="N22" s="366">
        <f t="shared" ca="1" si="4"/>
        <v>1028.3</v>
      </c>
      <c r="O22" s="366">
        <f t="shared" ca="1" si="4"/>
        <v>1201.2</v>
      </c>
      <c r="P22" s="366">
        <f t="shared" ca="1" si="4"/>
        <v>1365</v>
      </c>
    </row>
    <row r="23" spans="1:17" s="360" customFormat="1" ht="14">
      <c r="A23" s="359"/>
      <c r="B23" s="364" t="s">
        <v>330</v>
      </c>
      <c r="C23" s="552" t="s">
        <v>331</v>
      </c>
      <c r="D23" s="547">
        <v>50</v>
      </c>
      <c r="E23" s="553">
        <v>0.13400000000000001</v>
      </c>
      <c r="F23" s="365" t="s">
        <v>319</v>
      </c>
      <c r="G23" s="366">
        <f t="shared" ca="1" si="4"/>
        <v>3283</v>
      </c>
      <c r="H23" s="366">
        <f t="shared" ca="1" si="4"/>
        <v>3752</v>
      </c>
      <c r="I23" s="366">
        <f t="shared" ca="1" si="4"/>
        <v>4408.6000000000004</v>
      </c>
      <c r="J23" s="366">
        <f t="shared" ca="1" si="4"/>
        <v>5252.8</v>
      </c>
      <c r="K23" s="366">
        <f t="shared" ca="1" si="4"/>
        <v>6284.6</v>
      </c>
      <c r="L23" s="366">
        <f t="shared" ca="1" si="4"/>
        <v>7597.8</v>
      </c>
      <c r="M23" s="366">
        <f t="shared" ca="1" si="4"/>
        <v>9004.8000000000011</v>
      </c>
      <c r="N23" s="366">
        <f t="shared" ca="1" si="4"/>
        <v>10599.400000000001</v>
      </c>
      <c r="O23" s="366">
        <f t="shared" ca="1" si="4"/>
        <v>12381.6</v>
      </c>
      <c r="P23" s="366">
        <f t="shared" ca="1" si="4"/>
        <v>14070</v>
      </c>
    </row>
    <row r="24" spans="1:17" s="360" customFormat="1" ht="14">
      <c r="A24" s="359"/>
      <c r="B24" s="364" t="s">
        <v>330</v>
      </c>
      <c r="C24" s="552" t="s">
        <v>324</v>
      </c>
      <c r="D24" s="547">
        <v>50</v>
      </c>
      <c r="E24" s="553">
        <v>1.4999999999999999E-2</v>
      </c>
      <c r="F24" s="365" t="s">
        <v>319</v>
      </c>
      <c r="G24" s="366">
        <f t="shared" ca="1" si="4"/>
        <v>367.5</v>
      </c>
      <c r="H24" s="366">
        <f t="shared" ca="1" si="4"/>
        <v>420</v>
      </c>
      <c r="I24" s="366">
        <f t="shared" ca="1" si="4"/>
        <v>493.5</v>
      </c>
      <c r="J24" s="366">
        <f t="shared" ca="1" si="4"/>
        <v>588</v>
      </c>
      <c r="K24" s="366">
        <f t="shared" ca="1" si="4"/>
        <v>703.5</v>
      </c>
      <c r="L24" s="366">
        <f t="shared" ca="1" si="4"/>
        <v>850.5</v>
      </c>
      <c r="M24" s="366">
        <f t="shared" ca="1" si="4"/>
        <v>1008</v>
      </c>
      <c r="N24" s="366">
        <f t="shared" ca="1" si="4"/>
        <v>1186.5</v>
      </c>
      <c r="O24" s="366">
        <f t="shared" ca="1" si="4"/>
        <v>1386</v>
      </c>
      <c r="P24" s="366">
        <f t="shared" ca="1" si="4"/>
        <v>1575</v>
      </c>
    </row>
    <row r="25" spans="1:17" s="360" customFormat="1" ht="14">
      <c r="A25" s="359"/>
      <c r="B25" s="364" t="s">
        <v>330</v>
      </c>
      <c r="C25" s="552" t="s">
        <v>326</v>
      </c>
      <c r="D25" s="547">
        <v>50</v>
      </c>
      <c r="E25" s="553">
        <v>1.9E-2</v>
      </c>
      <c r="F25" s="365" t="s">
        <v>319</v>
      </c>
      <c r="G25" s="366">
        <f t="shared" ca="1" si="4"/>
        <v>465.5</v>
      </c>
      <c r="H25" s="366">
        <f t="shared" ca="1" si="4"/>
        <v>532</v>
      </c>
      <c r="I25" s="366">
        <f t="shared" ca="1" si="4"/>
        <v>625.1</v>
      </c>
      <c r="J25" s="366">
        <f t="shared" ca="1" si="4"/>
        <v>744.8</v>
      </c>
      <c r="K25" s="366">
        <f t="shared" ca="1" si="4"/>
        <v>891.1</v>
      </c>
      <c r="L25" s="366">
        <f t="shared" ca="1" si="4"/>
        <v>1077.3</v>
      </c>
      <c r="M25" s="366">
        <f t="shared" ca="1" si="4"/>
        <v>1276.8</v>
      </c>
      <c r="N25" s="366">
        <f t="shared" ca="1" si="4"/>
        <v>1502.8999999999999</v>
      </c>
      <c r="O25" s="366">
        <f t="shared" ca="1" si="4"/>
        <v>1755.6</v>
      </c>
      <c r="P25" s="366">
        <f t="shared" ca="1" si="4"/>
        <v>1995</v>
      </c>
    </row>
    <row r="26" spans="1:17" s="360" customFormat="1" ht="14">
      <c r="A26" s="359"/>
      <c r="B26" s="364" t="s">
        <v>332</v>
      </c>
      <c r="C26" s="546"/>
      <c r="D26" s="547">
        <v>50</v>
      </c>
      <c r="E26" s="553">
        <f>SUM(E14:E25)</f>
        <v>1</v>
      </c>
      <c r="F26" s="365"/>
      <c r="G26" s="366"/>
    </row>
    <row r="27" spans="1:17" s="360" customFormat="1" ht="14">
      <c r="A27" s="359"/>
    </row>
    <row r="28" spans="1:17" s="360" customFormat="1" ht="14">
      <c r="A28" s="359"/>
      <c r="B28" s="361" t="s">
        <v>333</v>
      </c>
      <c r="C28" s="361"/>
      <c r="F28" s="365" t="s">
        <v>319</v>
      </c>
      <c r="G28" s="363">
        <f t="shared" ref="G28:P28" si="5">G3+G12</f>
        <v>35000</v>
      </c>
      <c r="H28" s="363">
        <f t="shared" si="5"/>
        <v>40000</v>
      </c>
      <c r="I28" s="363">
        <f t="shared" si="5"/>
        <v>47000</v>
      </c>
      <c r="J28" s="363">
        <f t="shared" si="5"/>
        <v>56000</v>
      </c>
      <c r="K28" s="363">
        <f t="shared" si="5"/>
        <v>67000</v>
      </c>
      <c r="L28" s="363">
        <f t="shared" si="5"/>
        <v>81000</v>
      </c>
      <c r="M28" s="363">
        <f t="shared" si="5"/>
        <v>96000</v>
      </c>
      <c r="N28" s="363">
        <f t="shared" si="5"/>
        <v>113000</v>
      </c>
      <c r="O28" s="363">
        <f t="shared" si="5"/>
        <v>132000</v>
      </c>
      <c r="P28" s="363">
        <f t="shared" si="5"/>
        <v>150000</v>
      </c>
      <c r="Q28" s="361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N49"/>
  <sheetViews>
    <sheetView showGridLines="0" zoomScaleNormal="100" workbookViewId="0">
      <selection activeCell="B3" sqref="B3"/>
    </sheetView>
  </sheetViews>
  <sheetFormatPr baseColWidth="10" defaultColWidth="9" defaultRowHeight="12"/>
  <cols>
    <col min="1" max="1" width="3.5" style="370" customWidth="1"/>
    <col min="2" max="2" width="28" style="370" customWidth="1"/>
    <col min="3" max="3" width="15.5" style="370" customWidth="1"/>
    <col min="4" max="14" width="12.5" style="370" customWidth="1"/>
    <col min="15" max="16384" width="9" style="370"/>
  </cols>
  <sheetData>
    <row r="1" spans="2:14" ht="18">
      <c r="B1" s="368" t="s">
        <v>335</v>
      </c>
      <c r="C1" s="369"/>
    </row>
    <row r="2" spans="2:14" ht="18">
      <c r="B2" s="368" t="s">
        <v>336</v>
      </c>
      <c r="C2" s="371">
        <v>41656</v>
      </c>
    </row>
    <row r="3" spans="2:14" ht="18">
      <c r="B3" s="372"/>
    </row>
    <row r="4" spans="2:14" ht="13" thickBot="1"/>
    <row r="5" spans="2:14" ht="14" thickBot="1">
      <c r="B5" s="373" t="s">
        <v>337</v>
      </c>
      <c r="C5" s="374"/>
      <c r="D5" s="374">
        <v>2015</v>
      </c>
      <c r="E5" s="374">
        <v>2016</v>
      </c>
      <c r="F5" s="374">
        <v>2017</v>
      </c>
      <c r="G5" s="374">
        <v>2018</v>
      </c>
      <c r="H5" s="374">
        <v>2019</v>
      </c>
      <c r="I5" s="374">
        <v>2020</v>
      </c>
      <c r="J5" s="374">
        <v>2021</v>
      </c>
      <c r="K5" s="374">
        <v>2022</v>
      </c>
      <c r="L5" s="374">
        <v>2023</v>
      </c>
      <c r="M5" s="374">
        <v>2024</v>
      </c>
      <c r="N5" s="375">
        <v>2025</v>
      </c>
    </row>
    <row r="6" spans="2:14" ht="15" thickTop="1" thickBot="1">
      <c r="B6" s="376" t="s">
        <v>338</v>
      </c>
      <c r="C6" s="377"/>
      <c r="D6" s="554">
        <v>45000</v>
      </c>
      <c r="E6" s="554">
        <v>55000</v>
      </c>
      <c r="F6" s="554">
        <v>70000</v>
      </c>
      <c r="G6" s="554">
        <v>85000</v>
      </c>
      <c r="H6" s="554">
        <v>100000</v>
      </c>
      <c r="I6" s="554">
        <v>120000</v>
      </c>
      <c r="J6" s="554">
        <v>135000</v>
      </c>
      <c r="K6" s="554">
        <v>160000</v>
      </c>
      <c r="L6" s="554">
        <v>170000</v>
      </c>
      <c r="M6" s="554">
        <v>190000</v>
      </c>
      <c r="N6" s="555">
        <v>200000</v>
      </c>
    </row>
    <row r="7" spans="2:14" ht="15" thickTop="1" thickBot="1">
      <c r="B7" s="376" t="s">
        <v>339</v>
      </c>
      <c r="C7" s="377"/>
      <c r="D7" s="554">
        <v>35000</v>
      </c>
      <c r="E7" s="554">
        <v>40000</v>
      </c>
      <c r="F7" s="554">
        <v>47000</v>
      </c>
      <c r="G7" s="554">
        <v>56000</v>
      </c>
      <c r="H7" s="554">
        <v>67000</v>
      </c>
      <c r="I7" s="554">
        <v>81000</v>
      </c>
      <c r="J7" s="554">
        <v>96000</v>
      </c>
      <c r="K7" s="554">
        <v>113000</v>
      </c>
      <c r="L7" s="554">
        <v>132000</v>
      </c>
      <c r="M7" s="554">
        <v>150000</v>
      </c>
      <c r="N7" s="555">
        <v>170000</v>
      </c>
    </row>
    <row r="8" spans="2:14" ht="15" thickTop="1" thickBot="1">
      <c r="B8" s="378" t="s">
        <v>340</v>
      </c>
      <c r="C8" s="379"/>
      <c r="D8" s="556"/>
      <c r="E8" s="557">
        <f>E7/D7-1</f>
        <v>0.14285714285714279</v>
      </c>
      <c r="F8" s="557">
        <f t="shared" ref="F8:N8" si="0">F7/E7-1</f>
        <v>0.17500000000000004</v>
      </c>
      <c r="G8" s="557">
        <f t="shared" si="0"/>
        <v>0.1914893617021276</v>
      </c>
      <c r="H8" s="557">
        <f t="shared" si="0"/>
        <v>0.1964285714285714</v>
      </c>
      <c r="I8" s="557">
        <f t="shared" si="0"/>
        <v>0.20895522388059695</v>
      </c>
      <c r="J8" s="557">
        <f t="shared" si="0"/>
        <v>0.18518518518518512</v>
      </c>
      <c r="K8" s="557">
        <f t="shared" si="0"/>
        <v>0.17708333333333326</v>
      </c>
      <c r="L8" s="557">
        <f t="shared" si="0"/>
        <v>0.16814159292035402</v>
      </c>
      <c r="M8" s="557">
        <f t="shared" si="0"/>
        <v>0.13636363636363646</v>
      </c>
      <c r="N8" s="558">
        <f t="shared" si="0"/>
        <v>0.1333333333333333</v>
      </c>
    </row>
    <row r="9" spans="2:14" ht="15" thickTop="1" thickBot="1">
      <c r="B9" s="380" t="s">
        <v>341</v>
      </c>
      <c r="C9" s="381"/>
      <c r="D9" s="559">
        <v>24500</v>
      </c>
      <c r="E9" s="559">
        <v>28000</v>
      </c>
      <c r="F9" s="559">
        <v>32900</v>
      </c>
      <c r="G9" s="559">
        <v>39200</v>
      </c>
      <c r="H9" s="559">
        <v>46900</v>
      </c>
      <c r="I9" s="559">
        <v>56700</v>
      </c>
      <c r="J9" s="559">
        <v>67200</v>
      </c>
      <c r="K9" s="559">
        <v>79100</v>
      </c>
      <c r="L9" s="559">
        <v>92400</v>
      </c>
      <c r="M9" s="559">
        <v>105000</v>
      </c>
      <c r="N9" s="560">
        <v>119000</v>
      </c>
    </row>
    <row r="10" spans="2:14" ht="14" thickBot="1">
      <c r="B10" s="382" t="s">
        <v>342</v>
      </c>
      <c r="C10" s="383"/>
      <c r="D10" s="561">
        <v>10500</v>
      </c>
      <c r="E10" s="561">
        <v>12000</v>
      </c>
      <c r="F10" s="561">
        <v>14100</v>
      </c>
      <c r="G10" s="561">
        <v>16800</v>
      </c>
      <c r="H10" s="561">
        <v>20100</v>
      </c>
      <c r="I10" s="561">
        <v>24300</v>
      </c>
      <c r="J10" s="561">
        <v>28800</v>
      </c>
      <c r="K10" s="561">
        <v>33900</v>
      </c>
      <c r="L10" s="561">
        <v>39600</v>
      </c>
      <c r="M10" s="561">
        <v>45000</v>
      </c>
      <c r="N10" s="562">
        <v>51000</v>
      </c>
    </row>
    <row r="11" spans="2:14">
      <c r="B11" s="384"/>
      <c r="C11" s="384"/>
    </row>
    <row r="13" spans="2:14" s="385" customFormat="1"/>
    <row r="14" spans="2:14" s="385" customFormat="1"/>
    <row r="15" spans="2:14" s="385" customFormat="1" ht="15">
      <c r="B15" s="386" t="s">
        <v>343</v>
      </c>
    </row>
    <row r="16" spans="2:14" s="385" customFormat="1">
      <c r="B16" s="387" t="s">
        <v>344</v>
      </c>
      <c r="C16" s="388"/>
      <c r="D16" s="388"/>
      <c r="E16" s="388"/>
      <c r="F16" s="388"/>
      <c r="G16" s="388"/>
      <c r="H16" s="388"/>
      <c r="I16" s="388"/>
      <c r="J16" s="388"/>
      <c r="K16" s="388"/>
      <c r="L16" s="388"/>
      <c r="M16" s="388"/>
      <c r="N16" s="388"/>
    </row>
    <row r="17" spans="2:14" s="385" customFormat="1">
      <c r="B17" s="389" t="s">
        <v>345</v>
      </c>
      <c r="C17" s="390"/>
      <c r="D17" s="391">
        <f t="shared" ref="D17:N21" si="1">D$7*$C34</f>
        <v>1631</v>
      </c>
      <c r="E17" s="391">
        <f t="shared" si="1"/>
        <v>1864</v>
      </c>
      <c r="F17" s="391">
        <f t="shared" si="1"/>
        <v>2190.2000000000003</v>
      </c>
      <c r="G17" s="391">
        <f t="shared" si="1"/>
        <v>2609.6000000000004</v>
      </c>
      <c r="H17" s="391">
        <f t="shared" si="1"/>
        <v>3122.2000000000003</v>
      </c>
      <c r="I17" s="391">
        <f t="shared" si="1"/>
        <v>3774.6000000000004</v>
      </c>
      <c r="J17" s="391">
        <f t="shared" si="1"/>
        <v>4473.6000000000004</v>
      </c>
      <c r="K17" s="391">
        <f t="shared" si="1"/>
        <v>5265.8</v>
      </c>
      <c r="L17" s="391">
        <f t="shared" si="1"/>
        <v>6151.2000000000007</v>
      </c>
      <c r="M17" s="391">
        <f t="shared" si="1"/>
        <v>6990</v>
      </c>
      <c r="N17" s="391">
        <f t="shared" si="1"/>
        <v>7922</v>
      </c>
    </row>
    <row r="18" spans="2:14" s="385" customFormat="1">
      <c r="B18" s="389" t="s">
        <v>346</v>
      </c>
      <c r="C18" s="390"/>
      <c r="D18" s="391">
        <f t="shared" si="1"/>
        <v>16096.5</v>
      </c>
      <c r="E18" s="391">
        <f t="shared" si="1"/>
        <v>18396</v>
      </c>
      <c r="F18" s="391">
        <f t="shared" si="1"/>
        <v>21615.3</v>
      </c>
      <c r="G18" s="391">
        <f t="shared" si="1"/>
        <v>25754.399999999998</v>
      </c>
      <c r="H18" s="391">
        <f t="shared" si="1"/>
        <v>30813.3</v>
      </c>
      <c r="I18" s="391">
        <f t="shared" si="1"/>
        <v>37251.9</v>
      </c>
      <c r="J18" s="391">
        <f t="shared" si="1"/>
        <v>44150.399999999994</v>
      </c>
      <c r="K18" s="391">
        <f t="shared" si="1"/>
        <v>51968.7</v>
      </c>
      <c r="L18" s="391">
        <f t="shared" si="1"/>
        <v>60706.799999999996</v>
      </c>
      <c r="M18" s="391">
        <f t="shared" si="1"/>
        <v>68985</v>
      </c>
      <c r="N18" s="391">
        <f t="shared" si="1"/>
        <v>78183</v>
      </c>
    </row>
    <row r="19" spans="2:14" s="385" customFormat="1">
      <c r="B19" s="389" t="s">
        <v>347</v>
      </c>
      <c r="C19" s="390"/>
      <c r="D19" s="391">
        <f t="shared" si="1"/>
        <v>2198</v>
      </c>
      <c r="E19" s="391">
        <f t="shared" si="1"/>
        <v>2512</v>
      </c>
      <c r="F19" s="391">
        <f t="shared" si="1"/>
        <v>2951.6</v>
      </c>
      <c r="G19" s="391">
        <f t="shared" si="1"/>
        <v>3516.7999999999997</v>
      </c>
      <c r="H19" s="391">
        <f t="shared" si="1"/>
        <v>4207.5999999999995</v>
      </c>
      <c r="I19" s="391">
        <f t="shared" si="1"/>
        <v>5086.7999999999993</v>
      </c>
      <c r="J19" s="391">
        <f t="shared" si="1"/>
        <v>6028.7999999999993</v>
      </c>
      <c r="K19" s="391">
        <f t="shared" si="1"/>
        <v>7096.4</v>
      </c>
      <c r="L19" s="391">
        <f t="shared" si="1"/>
        <v>8289.5999999999985</v>
      </c>
      <c r="M19" s="391">
        <f t="shared" si="1"/>
        <v>9420</v>
      </c>
      <c r="N19" s="391">
        <f t="shared" si="1"/>
        <v>10676</v>
      </c>
    </row>
    <row r="20" spans="2:14" s="385" customFormat="1">
      <c r="B20" s="389" t="s">
        <v>348</v>
      </c>
      <c r="C20" s="390"/>
      <c r="D20" s="391">
        <f t="shared" si="1"/>
        <v>4574.4999999999991</v>
      </c>
      <c r="E20" s="391">
        <f t="shared" si="1"/>
        <v>5227.9999999999991</v>
      </c>
      <c r="F20" s="391">
        <f t="shared" si="1"/>
        <v>6142.9</v>
      </c>
      <c r="G20" s="391">
        <f t="shared" si="1"/>
        <v>7319.1999999999989</v>
      </c>
      <c r="H20" s="391">
        <f t="shared" si="1"/>
        <v>8756.9</v>
      </c>
      <c r="I20" s="391">
        <f t="shared" si="1"/>
        <v>10586.699999999999</v>
      </c>
      <c r="J20" s="391">
        <f t="shared" si="1"/>
        <v>12547.199999999999</v>
      </c>
      <c r="K20" s="391">
        <f t="shared" si="1"/>
        <v>14769.099999999999</v>
      </c>
      <c r="L20" s="391">
        <f t="shared" si="1"/>
        <v>17252.399999999998</v>
      </c>
      <c r="M20" s="391">
        <f t="shared" si="1"/>
        <v>19604.999999999996</v>
      </c>
      <c r="N20" s="391">
        <f t="shared" si="1"/>
        <v>22218.999999999996</v>
      </c>
    </row>
    <row r="21" spans="2:14" s="385" customFormat="1">
      <c r="B21" s="392" t="s">
        <v>349</v>
      </c>
      <c r="C21" s="393"/>
      <c r="D21" s="394">
        <f t="shared" si="1"/>
        <v>10500</v>
      </c>
      <c r="E21" s="394">
        <f t="shared" si="1"/>
        <v>12000</v>
      </c>
      <c r="F21" s="394">
        <f t="shared" si="1"/>
        <v>14100</v>
      </c>
      <c r="G21" s="394">
        <f t="shared" si="1"/>
        <v>16800</v>
      </c>
      <c r="H21" s="394">
        <f t="shared" si="1"/>
        <v>20100</v>
      </c>
      <c r="I21" s="394">
        <f t="shared" si="1"/>
        <v>24300</v>
      </c>
      <c r="J21" s="394">
        <f t="shared" si="1"/>
        <v>28800</v>
      </c>
      <c r="K21" s="394">
        <f t="shared" si="1"/>
        <v>33900</v>
      </c>
      <c r="L21" s="394">
        <f t="shared" si="1"/>
        <v>39600</v>
      </c>
      <c r="M21" s="394">
        <f t="shared" si="1"/>
        <v>45000</v>
      </c>
      <c r="N21" s="394">
        <f t="shared" si="1"/>
        <v>51000</v>
      </c>
    </row>
    <row r="22" spans="2:14" s="385" customFormat="1">
      <c r="B22" s="388" t="s">
        <v>350</v>
      </c>
      <c r="C22" s="388"/>
      <c r="D22" s="395">
        <f>SUM(D17:D21)</f>
        <v>35000</v>
      </c>
      <c r="E22" s="395">
        <f t="shared" ref="E22:N22" si="2">SUM(E17:E21)</f>
        <v>40000</v>
      </c>
      <c r="F22" s="395">
        <f t="shared" si="2"/>
        <v>47000</v>
      </c>
      <c r="G22" s="395">
        <f t="shared" si="2"/>
        <v>56000</v>
      </c>
      <c r="H22" s="395">
        <f t="shared" si="2"/>
        <v>67000</v>
      </c>
      <c r="I22" s="395">
        <f t="shared" si="2"/>
        <v>81000</v>
      </c>
      <c r="J22" s="395">
        <f t="shared" si="2"/>
        <v>95999.999999999985</v>
      </c>
      <c r="K22" s="395">
        <f t="shared" si="2"/>
        <v>113000</v>
      </c>
      <c r="L22" s="395">
        <f t="shared" si="2"/>
        <v>132000</v>
      </c>
      <c r="M22" s="395">
        <f t="shared" si="2"/>
        <v>150000</v>
      </c>
      <c r="N22" s="395">
        <f t="shared" si="2"/>
        <v>170000</v>
      </c>
    </row>
    <row r="23" spans="2:14" s="385" customFormat="1">
      <c r="B23" s="388"/>
      <c r="C23" s="388"/>
      <c r="D23" s="388"/>
      <c r="E23" s="388"/>
      <c r="F23" s="388"/>
      <c r="G23" s="388"/>
      <c r="H23" s="388"/>
      <c r="I23" s="388"/>
      <c r="J23" s="388"/>
      <c r="K23" s="388"/>
      <c r="L23" s="388"/>
      <c r="M23" s="388"/>
      <c r="N23" s="388"/>
    </row>
    <row r="24" spans="2:14" s="385" customFormat="1">
      <c r="B24" s="396" t="s">
        <v>351</v>
      </c>
      <c r="C24" s="397">
        <v>0.1</v>
      </c>
      <c r="D24" s="388"/>
      <c r="E24" s="388"/>
      <c r="F24" s="388"/>
      <c r="G24" s="388"/>
      <c r="H24" s="388"/>
      <c r="I24" s="388"/>
      <c r="J24" s="388"/>
      <c r="K24" s="388"/>
      <c r="L24" s="388"/>
      <c r="M24" s="388"/>
      <c r="N24" s="388"/>
    </row>
    <row r="25" spans="2:14" s="385" customFormat="1">
      <c r="B25" s="389" t="str">
        <f>B17</f>
        <v>5L*4 in box</v>
      </c>
      <c r="C25" s="390"/>
      <c r="D25" s="391">
        <f t="shared" ref="D25:N29" si="3">D17*(1+$C$24)/12</f>
        <v>149.50833333333335</v>
      </c>
      <c r="E25" s="391">
        <f t="shared" si="3"/>
        <v>170.86666666666667</v>
      </c>
      <c r="F25" s="391">
        <f t="shared" si="3"/>
        <v>200.7683333333334</v>
      </c>
      <c r="G25" s="391">
        <f t="shared" si="3"/>
        <v>239.2133333333334</v>
      </c>
      <c r="H25" s="391">
        <f t="shared" si="3"/>
        <v>286.20166666666671</v>
      </c>
      <c r="I25" s="391">
        <f t="shared" si="3"/>
        <v>346.00500000000005</v>
      </c>
      <c r="J25" s="391">
        <f t="shared" si="3"/>
        <v>410.0800000000001</v>
      </c>
      <c r="K25" s="391">
        <f t="shared" si="3"/>
        <v>482.69833333333344</v>
      </c>
      <c r="L25" s="391">
        <f t="shared" si="3"/>
        <v>563.86000000000013</v>
      </c>
      <c r="M25" s="391">
        <f t="shared" si="3"/>
        <v>640.75000000000011</v>
      </c>
      <c r="N25" s="391">
        <f t="shared" si="3"/>
        <v>726.18333333333339</v>
      </c>
    </row>
    <row r="26" spans="2:14" s="385" customFormat="1">
      <c r="B26" s="389" t="str">
        <f t="shared" ref="B26:B30" si="4">B18</f>
        <v>20L without box</v>
      </c>
      <c r="C26" s="390"/>
      <c r="D26" s="391">
        <f t="shared" si="3"/>
        <v>1475.5125</v>
      </c>
      <c r="E26" s="391">
        <f t="shared" si="3"/>
        <v>1686.3000000000002</v>
      </c>
      <c r="F26" s="391">
        <f t="shared" si="3"/>
        <v>1981.4025000000001</v>
      </c>
      <c r="G26" s="391">
        <f t="shared" si="3"/>
        <v>2360.8200000000002</v>
      </c>
      <c r="H26" s="391">
        <f t="shared" si="3"/>
        <v>2824.5525000000002</v>
      </c>
      <c r="I26" s="391">
        <f t="shared" si="3"/>
        <v>3414.7575000000002</v>
      </c>
      <c r="J26" s="391">
        <f t="shared" si="3"/>
        <v>4047.1199999999994</v>
      </c>
      <c r="K26" s="391">
        <f t="shared" si="3"/>
        <v>4763.7974999999997</v>
      </c>
      <c r="L26" s="391">
        <f t="shared" si="3"/>
        <v>5564.79</v>
      </c>
      <c r="M26" s="391">
        <f t="shared" si="3"/>
        <v>6323.625</v>
      </c>
      <c r="N26" s="391">
        <f t="shared" si="3"/>
        <v>7166.7750000000005</v>
      </c>
    </row>
    <row r="27" spans="2:14" s="385" customFormat="1">
      <c r="B27" s="389" t="str">
        <f t="shared" si="4"/>
        <v>20L in box</v>
      </c>
      <c r="C27" s="390"/>
      <c r="D27" s="391">
        <f t="shared" si="3"/>
        <v>201.48333333333335</v>
      </c>
      <c r="E27" s="391">
        <f t="shared" si="3"/>
        <v>230.26666666666668</v>
      </c>
      <c r="F27" s="391">
        <f t="shared" si="3"/>
        <v>270.56333333333333</v>
      </c>
      <c r="G27" s="391">
        <f t="shared" si="3"/>
        <v>322.37333333333333</v>
      </c>
      <c r="H27" s="391">
        <f t="shared" si="3"/>
        <v>385.69666666666666</v>
      </c>
      <c r="I27" s="391">
        <f t="shared" si="3"/>
        <v>466.28999999999996</v>
      </c>
      <c r="J27" s="391">
        <f t="shared" si="3"/>
        <v>552.64</v>
      </c>
      <c r="K27" s="391">
        <f t="shared" si="3"/>
        <v>650.50333333333333</v>
      </c>
      <c r="L27" s="391">
        <f t="shared" si="3"/>
        <v>759.88</v>
      </c>
      <c r="M27" s="391">
        <f t="shared" si="3"/>
        <v>863.5</v>
      </c>
      <c r="N27" s="391">
        <f t="shared" si="3"/>
        <v>978.63333333333333</v>
      </c>
    </row>
    <row r="28" spans="2:14" s="385" customFormat="1">
      <c r="B28" s="389" t="str">
        <f t="shared" si="4"/>
        <v>10L*2 in box</v>
      </c>
      <c r="C28" s="390"/>
      <c r="D28" s="391">
        <f t="shared" si="3"/>
        <v>419.32916666666665</v>
      </c>
      <c r="E28" s="391">
        <f t="shared" si="3"/>
        <v>479.23333333333329</v>
      </c>
      <c r="F28" s="391">
        <f t="shared" si="3"/>
        <v>563.09916666666675</v>
      </c>
      <c r="G28" s="391">
        <f t="shared" si="3"/>
        <v>670.92666666666662</v>
      </c>
      <c r="H28" s="391">
        <f t="shared" si="3"/>
        <v>802.71583333333331</v>
      </c>
      <c r="I28" s="391">
        <f t="shared" si="3"/>
        <v>970.44749999999988</v>
      </c>
      <c r="J28" s="391">
        <f t="shared" si="3"/>
        <v>1150.1600000000001</v>
      </c>
      <c r="K28" s="391">
        <f t="shared" si="3"/>
        <v>1353.8341666666668</v>
      </c>
      <c r="L28" s="391">
        <f t="shared" si="3"/>
        <v>1581.47</v>
      </c>
      <c r="M28" s="391">
        <f t="shared" si="3"/>
        <v>1797.1249999999998</v>
      </c>
      <c r="N28" s="391">
        <f t="shared" si="3"/>
        <v>2036.7416666666666</v>
      </c>
    </row>
    <row r="29" spans="2:14" s="385" customFormat="1">
      <c r="B29" s="392" t="str">
        <f t="shared" si="4"/>
        <v>BIB 22L</v>
      </c>
      <c r="C29" s="393"/>
      <c r="D29" s="394">
        <f t="shared" si="3"/>
        <v>962.50000000000011</v>
      </c>
      <c r="E29" s="394">
        <f t="shared" si="3"/>
        <v>1100.0000000000002</v>
      </c>
      <c r="F29" s="394">
        <f t="shared" si="3"/>
        <v>1292.5000000000002</v>
      </c>
      <c r="G29" s="394">
        <f t="shared" si="3"/>
        <v>1540</v>
      </c>
      <c r="H29" s="394">
        <f t="shared" si="3"/>
        <v>1842.5</v>
      </c>
      <c r="I29" s="394">
        <f t="shared" si="3"/>
        <v>2227.5000000000005</v>
      </c>
      <c r="J29" s="394">
        <f t="shared" si="3"/>
        <v>2640.0000000000005</v>
      </c>
      <c r="K29" s="394">
        <f t="shared" si="3"/>
        <v>3107.5</v>
      </c>
      <c r="L29" s="394">
        <f t="shared" si="3"/>
        <v>3630</v>
      </c>
      <c r="M29" s="394">
        <f t="shared" si="3"/>
        <v>4125.0000000000009</v>
      </c>
      <c r="N29" s="394">
        <f t="shared" si="3"/>
        <v>4675.0000000000009</v>
      </c>
    </row>
    <row r="30" spans="2:14" s="385" customFormat="1">
      <c r="B30" s="398" t="str">
        <f t="shared" si="4"/>
        <v>Total</v>
      </c>
      <c r="C30" s="388"/>
      <c r="D30" s="395">
        <f>SUM(D25:D29)</f>
        <v>3208.3333333333335</v>
      </c>
      <c r="E30" s="395">
        <f t="shared" ref="E30:N30" si="5">SUM(E25:E29)</f>
        <v>3666.666666666667</v>
      </c>
      <c r="F30" s="395">
        <f t="shared" si="5"/>
        <v>4308.3333333333339</v>
      </c>
      <c r="G30" s="395">
        <f t="shared" si="5"/>
        <v>5133.3333333333339</v>
      </c>
      <c r="H30" s="395">
        <f t="shared" si="5"/>
        <v>6141.666666666667</v>
      </c>
      <c r="I30" s="395">
        <f t="shared" si="5"/>
        <v>7425</v>
      </c>
      <c r="J30" s="395">
        <f t="shared" si="5"/>
        <v>8800</v>
      </c>
      <c r="K30" s="395">
        <f t="shared" si="5"/>
        <v>10358.333333333332</v>
      </c>
      <c r="L30" s="395">
        <f t="shared" si="5"/>
        <v>12100</v>
      </c>
      <c r="M30" s="395">
        <f t="shared" si="5"/>
        <v>13750</v>
      </c>
      <c r="N30" s="395">
        <f t="shared" si="5"/>
        <v>15583.333333333336</v>
      </c>
    </row>
    <row r="31" spans="2:14" s="385" customFormat="1"/>
    <row r="32" spans="2:14" s="385" customFormat="1" ht="15">
      <c r="B32" s="386" t="s">
        <v>352</v>
      </c>
    </row>
    <row r="33" spans="2:14" s="385" customFormat="1">
      <c r="B33" s="387" t="s">
        <v>344</v>
      </c>
      <c r="C33" s="396"/>
      <c r="D33" s="388"/>
      <c r="E33" s="388"/>
      <c r="F33" s="388"/>
      <c r="G33" s="388"/>
      <c r="H33" s="388"/>
      <c r="I33" s="388"/>
      <c r="J33" s="388"/>
      <c r="K33" s="388"/>
      <c r="L33" s="388"/>
      <c r="M33" s="388"/>
      <c r="N33" s="388"/>
    </row>
    <row r="34" spans="2:14" s="385" customFormat="1">
      <c r="B34" s="389" t="s">
        <v>345</v>
      </c>
      <c r="C34" s="399">
        <v>4.6600000000000003E-2</v>
      </c>
      <c r="D34" s="391">
        <f t="shared" ref="D34:N38" si="6">D$6*$C34</f>
        <v>2097</v>
      </c>
      <c r="E34" s="391">
        <f t="shared" si="6"/>
        <v>2563</v>
      </c>
      <c r="F34" s="391">
        <f t="shared" si="6"/>
        <v>3262</v>
      </c>
      <c r="G34" s="391">
        <f t="shared" si="6"/>
        <v>3961</v>
      </c>
      <c r="H34" s="391">
        <f t="shared" si="6"/>
        <v>4660</v>
      </c>
      <c r="I34" s="391">
        <f t="shared" si="6"/>
        <v>5592</v>
      </c>
      <c r="J34" s="391">
        <f t="shared" si="6"/>
        <v>6291</v>
      </c>
      <c r="K34" s="391">
        <f t="shared" si="6"/>
        <v>7456</v>
      </c>
      <c r="L34" s="391">
        <f t="shared" si="6"/>
        <v>7922</v>
      </c>
      <c r="M34" s="391">
        <f t="shared" si="6"/>
        <v>8854</v>
      </c>
      <c r="N34" s="391">
        <f t="shared" si="6"/>
        <v>9320</v>
      </c>
    </row>
    <row r="35" spans="2:14" s="385" customFormat="1">
      <c r="B35" s="389" t="s">
        <v>346</v>
      </c>
      <c r="C35" s="399">
        <v>0.45989999999999998</v>
      </c>
      <c r="D35" s="391">
        <f t="shared" si="6"/>
        <v>20695.5</v>
      </c>
      <c r="E35" s="391">
        <f t="shared" si="6"/>
        <v>25294.5</v>
      </c>
      <c r="F35" s="391">
        <f t="shared" si="6"/>
        <v>32193</v>
      </c>
      <c r="G35" s="391">
        <f t="shared" si="6"/>
        <v>39091.5</v>
      </c>
      <c r="H35" s="391">
        <f t="shared" si="6"/>
        <v>45990</v>
      </c>
      <c r="I35" s="391">
        <f t="shared" si="6"/>
        <v>55188</v>
      </c>
      <c r="J35" s="391">
        <f t="shared" si="6"/>
        <v>62086.5</v>
      </c>
      <c r="K35" s="391">
        <f t="shared" si="6"/>
        <v>73584</v>
      </c>
      <c r="L35" s="391">
        <f t="shared" si="6"/>
        <v>78183</v>
      </c>
      <c r="M35" s="391">
        <f t="shared" si="6"/>
        <v>87381</v>
      </c>
      <c r="N35" s="391">
        <f t="shared" si="6"/>
        <v>91980</v>
      </c>
    </row>
    <row r="36" spans="2:14" s="385" customFormat="1">
      <c r="B36" s="389" t="s">
        <v>347</v>
      </c>
      <c r="C36" s="399">
        <v>6.2799999999999995E-2</v>
      </c>
      <c r="D36" s="391">
        <f t="shared" si="6"/>
        <v>2825.9999999999995</v>
      </c>
      <c r="E36" s="391">
        <f t="shared" si="6"/>
        <v>3453.9999999999995</v>
      </c>
      <c r="F36" s="391">
        <f t="shared" si="6"/>
        <v>4396</v>
      </c>
      <c r="G36" s="391">
        <f t="shared" si="6"/>
        <v>5338</v>
      </c>
      <c r="H36" s="391">
        <f t="shared" si="6"/>
        <v>6279.9999999999991</v>
      </c>
      <c r="I36" s="391">
        <f t="shared" si="6"/>
        <v>7535.9999999999991</v>
      </c>
      <c r="J36" s="391">
        <f t="shared" si="6"/>
        <v>8478</v>
      </c>
      <c r="K36" s="391">
        <f t="shared" si="6"/>
        <v>10048</v>
      </c>
      <c r="L36" s="391">
        <f t="shared" si="6"/>
        <v>10676</v>
      </c>
      <c r="M36" s="391">
        <f t="shared" si="6"/>
        <v>11931.999999999998</v>
      </c>
      <c r="N36" s="391">
        <f t="shared" si="6"/>
        <v>12559.999999999998</v>
      </c>
    </row>
    <row r="37" spans="2:14" s="385" customFormat="1">
      <c r="B37" s="389" t="s">
        <v>348</v>
      </c>
      <c r="C37" s="399">
        <v>0.13069999999999998</v>
      </c>
      <c r="D37" s="391">
        <f t="shared" si="6"/>
        <v>5881.4999999999991</v>
      </c>
      <c r="E37" s="391">
        <f t="shared" si="6"/>
        <v>7188.4999999999991</v>
      </c>
      <c r="F37" s="391">
        <f t="shared" si="6"/>
        <v>9148.9999999999982</v>
      </c>
      <c r="G37" s="391">
        <f t="shared" si="6"/>
        <v>11109.499999999998</v>
      </c>
      <c r="H37" s="391">
        <f t="shared" si="6"/>
        <v>13069.999999999998</v>
      </c>
      <c r="I37" s="391">
        <f t="shared" si="6"/>
        <v>15683.999999999998</v>
      </c>
      <c r="J37" s="391">
        <f t="shared" si="6"/>
        <v>17644.499999999996</v>
      </c>
      <c r="K37" s="391">
        <f t="shared" si="6"/>
        <v>20911.999999999996</v>
      </c>
      <c r="L37" s="391">
        <f t="shared" si="6"/>
        <v>22218.999999999996</v>
      </c>
      <c r="M37" s="391">
        <f t="shared" si="6"/>
        <v>24832.999999999996</v>
      </c>
      <c r="N37" s="391">
        <f t="shared" si="6"/>
        <v>26139.999999999996</v>
      </c>
    </row>
    <row r="38" spans="2:14" s="385" customFormat="1">
      <c r="B38" s="392" t="s">
        <v>349</v>
      </c>
      <c r="C38" s="400">
        <v>0.3</v>
      </c>
      <c r="D38" s="394">
        <f t="shared" si="6"/>
        <v>13500</v>
      </c>
      <c r="E38" s="394">
        <f t="shared" si="6"/>
        <v>16500</v>
      </c>
      <c r="F38" s="394">
        <f t="shared" si="6"/>
        <v>21000</v>
      </c>
      <c r="G38" s="394">
        <f t="shared" si="6"/>
        <v>25500</v>
      </c>
      <c r="H38" s="394">
        <f t="shared" si="6"/>
        <v>30000</v>
      </c>
      <c r="I38" s="394">
        <f t="shared" si="6"/>
        <v>36000</v>
      </c>
      <c r="J38" s="394">
        <f t="shared" si="6"/>
        <v>40500</v>
      </c>
      <c r="K38" s="394">
        <f t="shared" si="6"/>
        <v>48000</v>
      </c>
      <c r="L38" s="394">
        <f t="shared" si="6"/>
        <v>51000</v>
      </c>
      <c r="M38" s="394">
        <f t="shared" si="6"/>
        <v>57000</v>
      </c>
      <c r="N38" s="394">
        <f t="shared" si="6"/>
        <v>60000</v>
      </c>
    </row>
    <row r="39" spans="2:14" s="385" customFormat="1">
      <c r="B39" s="388" t="s">
        <v>350</v>
      </c>
      <c r="C39" s="397">
        <f>SUM(C34:C38)</f>
        <v>1</v>
      </c>
      <c r="D39" s="395">
        <f>SUM(D34:D38)</f>
        <v>45000</v>
      </c>
      <c r="E39" s="395">
        <f t="shared" ref="E39:N39" si="7">SUM(E34:E38)</f>
        <v>55000</v>
      </c>
      <c r="F39" s="395">
        <f t="shared" si="7"/>
        <v>70000</v>
      </c>
      <c r="G39" s="395">
        <f t="shared" si="7"/>
        <v>85000</v>
      </c>
      <c r="H39" s="395">
        <f t="shared" si="7"/>
        <v>100000</v>
      </c>
      <c r="I39" s="395">
        <f t="shared" si="7"/>
        <v>120000</v>
      </c>
      <c r="J39" s="395">
        <f t="shared" si="7"/>
        <v>135000</v>
      </c>
      <c r="K39" s="395">
        <f t="shared" si="7"/>
        <v>160000</v>
      </c>
      <c r="L39" s="395">
        <f t="shared" si="7"/>
        <v>170000</v>
      </c>
      <c r="M39" s="395">
        <f t="shared" si="7"/>
        <v>190000</v>
      </c>
      <c r="N39" s="395">
        <f t="shared" si="7"/>
        <v>200000</v>
      </c>
    </row>
    <row r="40" spans="2:14" s="385" customFormat="1">
      <c r="B40" s="388"/>
      <c r="C40" s="388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388"/>
    </row>
    <row r="41" spans="2:14" s="385" customFormat="1">
      <c r="B41" s="396" t="s">
        <v>351</v>
      </c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388"/>
    </row>
    <row r="42" spans="2:14" s="385" customFormat="1">
      <c r="B42" s="389" t="str">
        <f>B34</f>
        <v>5L*4 in box</v>
      </c>
      <c r="C42" s="390"/>
      <c r="D42" s="391">
        <f t="shared" ref="D42:N46" si="8">D34*(1+$C$24)/12</f>
        <v>192.22500000000002</v>
      </c>
      <c r="E42" s="391">
        <f t="shared" si="8"/>
        <v>234.94166666666669</v>
      </c>
      <c r="F42" s="391">
        <f t="shared" si="8"/>
        <v>299.01666666666671</v>
      </c>
      <c r="G42" s="391">
        <f t="shared" si="8"/>
        <v>363.0916666666667</v>
      </c>
      <c r="H42" s="391">
        <f t="shared" si="8"/>
        <v>427.16666666666669</v>
      </c>
      <c r="I42" s="391">
        <f t="shared" si="8"/>
        <v>512.6</v>
      </c>
      <c r="J42" s="391">
        <f t="shared" si="8"/>
        <v>576.67500000000007</v>
      </c>
      <c r="K42" s="391">
        <f t="shared" si="8"/>
        <v>683.4666666666667</v>
      </c>
      <c r="L42" s="391">
        <f t="shared" si="8"/>
        <v>726.18333333333339</v>
      </c>
      <c r="M42" s="391">
        <f t="shared" si="8"/>
        <v>811.61666666666679</v>
      </c>
      <c r="N42" s="391">
        <f t="shared" si="8"/>
        <v>854.33333333333337</v>
      </c>
    </row>
    <row r="43" spans="2:14" s="385" customFormat="1">
      <c r="B43" s="389" t="str">
        <f t="shared" ref="B43:B47" si="9">B35</f>
        <v>20L without box</v>
      </c>
      <c r="C43" s="390"/>
      <c r="D43" s="391">
        <f t="shared" si="8"/>
        <v>1897.0875000000003</v>
      </c>
      <c r="E43" s="391">
        <f t="shared" si="8"/>
        <v>2318.6624999999999</v>
      </c>
      <c r="F43" s="391">
        <f t="shared" si="8"/>
        <v>2951.0250000000001</v>
      </c>
      <c r="G43" s="391">
        <f t="shared" si="8"/>
        <v>3583.3875000000003</v>
      </c>
      <c r="H43" s="391">
        <f t="shared" si="8"/>
        <v>4215.7500000000009</v>
      </c>
      <c r="I43" s="391">
        <f t="shared" si="8"/>
        <v>5058.9000000000005</v>
      </c>
      <c r="J43" s="391">
        <f t="shared" si="8"/>
        <v>5691.2625000000007</v>
      </c>
      <c r="K43" s="391">
        <f t="shared" si="8"/>
        <v>6745.2000000000007</v>
      </c>
      <c r="L43" s="391">
        <f t="shared" si="8"/>
        <v>7166.7750000000005</v>
      </c>
      <c r="M43" s="391">
        <f t="shared" si="8"/>
        <v>8009.9250000000002</v>
      </c>
      <c r="N43" s="391">
        <f t="shared" si="8"/>
        <v>8431.5000000000018</v>
      </c>
    </row>
    <row r="44" spans="2:14" s="385" customFormat="1">
      <c r="B44" s="389" t="str">
        <f t="shared" si="9"/>
        <v>20L in box</v>
      </c>
      <c r="C44" s="390"/>
      <c r="D44" s="391">
        <f t="shared" si="8"/>
        <v>259.05</v>
      </c>
      <c r="E44" s="391">
        <f t="shared" si="8"/>
        <v>316.61666666666662</v>
      </c>
      <c r="F44" s="391">
        <f t="shared" si="8"/>
        <v>402.9666666666667</v>
      </c>
      <c r="G44" s="391">
        <f t="shared" si="8"/>
        <v>489.31666666666666</v>
      </c>
      <c r="H44" s="391">
        <f t="shared" si="8"/>
        <v>575.66666666666663</v>
      </c>
      <c r="I44" s="391">
        <f t="shared" si="8"/>
        <v>690.80000000000007</v>
      </c>
      <c r="J44" s="391">
        <f t="shared" si="8"/>
        <v>777.15000000000009</v>
      </c>
      <c r="K44" s="391">
        <f t="shared" si="8"/>
        <v>921.06666666666672</v>
      </c>
      <c r="L44" s="391">
        <f t="shared" si="8"/>
        <v>978.63333333333333</v>
      </c>
      <c r="M44" s="391">
        <f t="shared" si="8"/>
        <v>1093.7666666666667</v>
      </c>
      <c r="N44" s="391">
        <f t="shared" si="8"/>
        <v>1151.3333333333333</v>
      </c>
    </row>
    <row r="45" spans="2:14" s="385" customFormat="1">
      <c r="B45" s="389" t="str">
        <f t="shared" si="9"/>
        <v>10L*2 in box</v>
      </c>
      <c r="C45" s="390"/>
      <c r="D45" s="391">
        <f t="shared" si="8"/>
        <v>539.13749999999993</v>
      </c>
      <c r="E45" s="391">
        <f t="shared" si="8"/>
        <v>658.94583333333333</v>
      </c>
      <c r="F45" s="391">
        <f t="shared" si="8"/>
        <v>838.6583333333333</v>
      </c>
      <c r="G45" s="391">
        <f t="shared" si="8"/>
        <v>1018.3708333333333</v>
      </c>
      <c r="H45" s="391">
        <f t="shared" si="8"/>
        <v>1198.0833333333333</v>
      </c>
      <c r="I45" s="391">
        <f t="shared" si="8"/>
        <v>1437.6999999999998</v>
      </c>
      <c r="J45" s="391">
        <f t="shared" si="8"/>
        <v>1617.4124999999997</v>
      </c>
      <c r="K45" s="391">
        <f t="shared" si="8"/>
        <v>1916.9333333333332</v>
      </c>
      <c r="L45" s="391">
        <f t="shared" si="8"/>
        <v>2036.7416666666666</v>
      </c>
      <c r="M45" s="391">
        <f t="shared" si="8"/>
        <v>2276.3583333333331</v>
      </c>
      <c r="N45" s="391">
        <f t="shared" si="8"/>
        <v>2396.1666666666665</v>
      </c>
    </row>
    <row r="46" spans="2:14" s="385" customFormat="1">
      <c r="B46" s="392" t="str">
        <f t="shared" si="9"/>
        <v>BIB 22L</v>
      </c>
      <c r="C46" s="393"/>
      <c r="D46" s="394">
        <f t="shared" si="8"/>
        <v>1237.5000000000002</v>
      </c>
      <c r="E46" s="394">
        <f t="shared" si="8"/>
        <v>1512.5</v>
      </c>
      <c r="F46" s="394">
        <f t="shared" si="8"/>
        <v>1925.0000000000002</v>
      </c>
      <c r="G46" s="394">
        <f t="shared" si="8"/>
        <v>2337.5000000000005</v>
      </c>
      <c r="H46" s="394">
        <f t="shared" si="8"/>
        <v>2750</v>
      </c>
      <c r="I46" s="394">
        <f t="shared" si="8"/>
        <v>3300</v>
      </c>
      <c r="J46" s="394">
        <f t="shared" si="8"/>
        <v>3712.5</v>
      </c>
      <c r="K46" s="394">
        <f t="shared" si="8"/>
        <v>4400.0000000000009</v>
      </c>
      <c r="L46" s="394">
        <f t="shared" si="8"/>
        <v>4675.0000000000009</v>
      </c>
      <c r="M46" s="394">
        <f t="shared" si="8"/>
        <v>5225.0000000000009</v>
      </c>
      <c r="N46" s="394">
        <f t="shared" si="8"/>
        <v>5500</v>
      </c>
    </row>
    <row r="47" spans="2:14" s="385" customFormat="1">
      <c r="B47" s="398" t="str">
        <f t="shared" si="9"/>
        <v>Total</v>
      </c>
      <c r="C47" s="388"/>
      <c r="D47" s="395">
        <f>SUM(D42:D46)</f>
        <v>4125.0000000000009</v>
      </c>
      <c r="E47" s="395">
        <f t="shared" ref="E47:N47" si="10">SUM(E42:E46)</f>
        <v>5041.6666666666661</v>
      </c>
      <c r="F47" s="395">
        <f t="shared" si="10"/>
        <v>6416.666666666667</v>
      </c>
      <c r="G47" s="395">
        <f t="shared" si="10"/>
        <v>7791.6666666666679</v>
      </c>
      <c r="H47" s="395">
        <f t="shared" si="10"/>
        <v>9166.6666666666679</v>
      </c>
      <c r="I47" s="395">
        <f t="shared" si="10"/>
        <v>11000</v>
      </c>
      <c r="J47" s="395">
        <f t="shared" si="10"/>
        <v>12375.000000000002</v>
      </c>
      <c r="K47" s="395">
        <f t="shared" si="10"/>
        <v>14666.666666666668</v>
      </c>
      <c r="L47" s="395">
        <f t="shared" si="10"/>
        <v>15583.333333333336</v>
      </c>
      <c r="M47" s="395">
        <f t="shared" si="10"/>
        <v>17416.666666666668</v>
      </c>
      <c r="N47" s="395">
        <f t="shared" si="10"/>
        <v>18333.333333333336</v>
      </c>
    </row>
    <row r="48" spans="2:14" s="385" customFormat="1"/>
    <row r="49" s="385" customFormat="1"/>
  </sheetData>
  <phoneticPr fontId="1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AF96A294A09E45BE3ADCD253365FA4" ma:contentTypeVersion="2" ma:contentTypeDescription="Create a new document." ma:contentTypeScope="" ma:versionID="7456ce5187228344e7c963b326711dc0">
  <xsd:schema xmlns:xsd="http://www.w3.org/2001/XMLSchema" xmlns:xs="http://www.w3.org/2001/XMLSchema" xmlns:p="http://schemas.microsoft.com/office/2006/metadata/properties" xmlns:ns2="aa1caed3-2d4e-470a-ace7-3fdcc8634446" targetNamespace="http://schemas.microsoft.com/office/2006/metadata/properties" ma:root="true" ma:fieldsID="ede16aad7948280fc272f083d303cb15" ns2:_="">
    <xsd:import namespace="aa1caed3-2d4e-470a-ace7-3fdcc86344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1caed3-2d4e-470a-ace7-3fdcc86344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216C4C-4983-4CC6-9B9C-13C7A95D0C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1caed3-2d4e-470a-ace7-3fdcc86344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D507265-72B1-4B1F-9099-5B4D1DF343B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FB0A4BD-F1D7-45A8-BCE9-9C8055034F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Capacity Calcuations</vt:lpstr>
      <vt:lpstr>Graph Base Data</vt:lpstr>
      <vt:lpstr>IE&amp;Hydro Oil in IE Product</vt:lpstr>
      <vt:lpstr>Hydro Oil In NonIE Product</vt:lpstr>
      <vt:lpstr>Volume Database</vt:lpstr>
      <vt:lpstr>Volume Summary</vt:lpstr>
      <vt:lpstr>MP volume</vt:lpstr>
      <vt:lpstr>MP business case Volume</vt:lpstr>
    </vt:vector>
  </TitlesOfParts>
  <Company>Cargill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Akshaya Rai</dc:creator>
  <cp:lastModifiedBy>Microsoft Office User</cp:lastModifiedBy>
  <cp:lastPrinted>2014-01-06T08:31:09Z</cp:lastPrinted>
  <dcterms:created xsi:type="dcterms:W3CDTF">2013-03-21T03:19:32Z</dcterms:created>
  <dcterms:modified xsi:type="dcterms:W3CDTF">2020-07-19T21:45:47Z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0x01010006AF96A294A09E45BE3ADCD253365FA4</vt:lpwstr>
  </property>
</Properties>
</file>