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f005cbk/Documents/lab/Mcaps/2022-8-22_Mcaps_13%CH4_Cu_free_ForClumped/"/>
    </mc:Choice>
  </mc:AlternateContent>
  <xr:revisionPtr revIDLastSave="0" documentId="13_ncr:1_{78D014AD-0B99-5A42-B675-2101B7B38282}" xr6:coauthVersionLast="47" xr6:coauthVersionMax="47" xr10:uidLastSave="{00000000-0000-0000-0000-000000000000}"/>
  <bookViews>
    <workbookView xWindow="0" yWindow="500" windowWidth="28800" windowHeight="16120" xr2:uid="{00000000-000D-0000-FFFF-FFFF00000000}"/>
  </bookViews>
  <sheets>
    <sheet name="SampleMeasurements" sheetId="1" r:id="rId1"/>
    <sheet name="CH4_std_curves" sheetId="4" r:id="rId2"/>
    <sheet name="CO2_std_curves" sheetId="5" r:id="rId3"/>
    <sheet name="SampleList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U28" i="1" l="1"/>
  <c r="Y27" i="1"/>
  <c r="Y22" i="1"/>
  <c r="Y17" i="1"/>
  <c r="Y12" i="1"/>
  <c r="V17" i="1"/>
  <c r="V13" i="1"/>
  <c r="V14" i="1"/>
  <c r="V15" i="1"/>
  <c r="V16" i="1"/>
  <c r="V18" i="1"/>
  <c r="V19" i="1"/>
  <c r="V20" i="1"/>
  <c r="V21" i="1"/>
  <c r="V22" i="1"/>
  <c r="V23" i="1"/>
  <c r="V24" i="1"/>
  <c r="V25" i="1"/>
  <c r="V26" i="1"/>
  <c r="V27" i="1"/>
  <c r="V28" i="1"/>
  <c r="V29" i="1"/>
  <c r="V30" i="1"/>
  <c r="V31" i="1"/>
  <c r="V32" i="1"/>
  <c r="V33" i="1"/>
  <c r="V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12" i="1"/>
  <c r="U3" i="1"/>
  <c r="U23" i="1"/>
  <c r="U18" i="1"/>
  <c r="U13" i="1"/>
  <c r="U27" i="1"/>
  <c r="U22" i="1"/>
  <c r="U17" i="1"/>
  <c r="U12" i="1"/>
  <c r="W27" i="1"/>
  <c r="W22" i="1"/>
  <c r="W17" i="1"/>
  <c r="W12" i="1"/>
  <c r="U2" i="1"/>
  <c r="C34" i="4"/>
  <c r="C33" i="4"/>
  <c r="C32" i="4"/>
  <c r="C31" i="4"/>
  <c r="C30" i="4"/>
  <c r="C29" i="4"/>
  <c r="C28" i="4"/>
  <c r="C27" i="4"/>
  <c r="C26" i="4"/>
  <c r="C25" i="4"/>
  <c r="C24" i="4"/>
  <c r="C23" i="4"/>
  <c r="C22" i="4"/>
  <c r="C21" i="4"/>
  <c r="C20" i="4"/>
  <c r="C19" i="4"/>
  <c r="C18" i="4"/>
  <c r="C17" i="4"/>
  <c r="C16" i="4"/>
  <c r="C15" i="4"/>
  <c r="C14" i="4"/>
  <c r="C13" i="4"/>
  <c r="C12" i="4"/>
  <c r="C11" i="4"/>
  <c r="C10" i="4"/>
  <c r="C9" i="4"/>
  <c r="C8" i="4"/>
  <c r="C7" i="4"/>
  <c r="C6" i="4"/>
  <c r="C5" i="4"/>
  <c r="C4" i="4"/>
  <c r="C3" i="4"/>
  <c r="C2" i="4"/>
  <c r="R33" i="1"/>
  <c r="R32" i="1"/>
  <c r="R31" i="1"/>
  <c r="R30" i="1"/>
  <c r="R29" i="1"/>
  <c r="R28" i="1"/>
  <c r="R27" i="1"/>
  <c r="R26" i="1"/>
  <c r="R25" i="1"/>
  <c r="R24" i="1"/>
  <c r="R23" i="1"/>
  <c r="R22" i="1"/>
  <c r="R21" i="1"/>
  <c r="R20" i="1"/>
  <c r="R19" i="1"/>
  <c r="R16" i="1"/>
  <c r="R14" i="1"/>
  <c r="R18" i="1"/>
  <c r="R17" i="1"/>
  <c r="R15" i="1"/>
  <c r="R3" i="1"/>
  <c r="R4" i="1"/>
  <c r="R5" i="1"/>
  <c r="R6" i="1"/>
  <c r="R7" i="1"/>
  <c r="R8" i="1"/>
  <c r="R9" i="1"/>
  <c r="R10" i="1"/>
  <c r="R11" i="1"/>
  <c r="R12" i="1"/>
  <c r="R13" i="1"/>
  <c r="R2" i="1"/>
  <c r="C16" i="5"/>
  <c r="C15" i="5"/>
  <c r="C14" i="5"/>
  <c r="C13" i="5"/>
  <c r="C12" i="5"/>
  <c r="C11" i="5"/>
  <c r="C10" i="5"/>
  <c r="C9" i="5"/>
  <c r="C8" i="5"/>
  <c r="C7" i="5"/>
  <c r="C3" i="5"/>
  <c r="C4" i="5"/>
  <c r="C5" i="5"/>
  <c r="C6" i="5"/>
  <c r="C2" i="5"/>
  <c r="E34" i="4"/>
  <c r="F34" i="4"/>
  <c r="E18" i="4"/>
  <c r="F18" i="4"/>
  <c r="E32" i="4"/>
  <c r="F32" i="4"/>
  <c r="E21" i="4"/>
  <c r="F21" i="4"/>
  <c r="E26" i="4"/>
  <c r="F26" i="4"/>
  <c r="E28" i="4"/>
  <c r="F28" i="4"/>
  <c r="E23" i="4"/>
  <c r="F23" i="4"/>
  <c r="E24" i="4"/>
  <c r="F24" i="4"/>
  <c r="E33" i="4"/>
  <c r="F33" i="4"/>
  <c r="E17" i="4"/>
  <c r="F17" i="4"/>
  <c r="E27" i="4"/>
  <c r="F27" i="4"/>
  <c r="E22" i="4"/>
  <c r="F22" i="4"/>
  <c r="E31" i="4"/>
  <c r="F31" i="4"/>
  <c r="E30" i="4"/>
  <c r="F30" i="4"/>
  <c r="E19" i="4"/>
  <c r="F19" i="4"/>
  <c r="E20" i="4"/>
  <c r="F20" i="4"/>
  <c r="E29" i="4"/>
  <c r="F29" i="4"/>
  <c r="E25" i="4"/>
  <c r="F25" i="4"/>
  <c r="E4" i="5"/>
  <c r="F4" i="5"/>
  <c r="E16" i="5"/>
  <c r="F16" i="5"/>
  <c r="E15" i="5"/>
  <c r="F15" i="5"/>
  <c r="E8" i="5"/>
  <c r="F8" i="5"/>
  <c r="E12" i="5"/>
  <c r="F12" i="5"/>
  <c r="E14" i="5"/>
  <c r="F14" i="5"/>
  <c r="E7" i="5"/>
  <c r="F7" i="5"/>
  <c r="E13" i="5"/>
  <c r="F13" i="5"/>
  <c r="E11" i="5"/>
  <c r="F11" i="5"/>
  <c r="E10" i="5"/>
  <c r="F10" i="5"/>
  <c r="E9" i="5"/>
  <c r="F9" i="5"/>
  <c r="E16" i="4"/>
  <c r="F16" i="4"/>
  <c r="E14" i="4"/>
  <c r="F14" i="4"/>
  <c r="E15" i="4"/>
  <c r="F15" i="4"/>
  <c r="E12" i="4"/>
  <c r="F12" i="4"/>
  <c r="E13" i="4"/>
  <c r="F13" i="4"/>
  <c r="E6" i="4"/>
  <c r="F6" i="4"/>
  <c r="E10" i="4"/>
  <c r="F10" i="4"/>
  <c r="E7" i="4"/>
  <c r="F7" i="4"/>
  <c r="E8" i="4"/>
  <c r="F8" i="4"/>
  <c r="E11" i="4"/>
  <c r="F11" i="4"/>
  <c r="E9" i="4"/>
  <c r="F9" i="4"/>
  <c r="E3" i="5"/>
  <c r="F3" i="5"/>
  <c r="E6" i="5"/>
  <c r="F6" i="5"/>
  <c r="E5" i="5"/>
  <c r="F5" i="5"/>
  <c r="E2" i="5"/>
  <c r="F2" i="5"/>
  <c r="E2" i="4"/>
  <c r="F2" i="4"/>
  <c r="E3" i="4"/>
  <c r="F3" i="4"/>
  <c r="E5" i="4"/>
  <c r="F5" i="4"/>
  <c r="E4" i="4"/>
  <c r="F4" i="4"/>
  <c r="J12" i="4"/>
  <c r="I12" i="4"/>
  <c r="J22" i="4"/>
  <c r="I22" i="4"/>
  <c r="I27" i="4"/>
  <c r="J27" i="4"/>
  <c r="I17" i="4"/>
  <c r="J17" i="4"/>
  <c r="I12" i="5"/>
  <c r="J12" i="5"/>
  <c r="J30" i="4"/>
  <c r="I30" i="4"/>
  <c r="J7" i="5"/>
  <c r="I7" i="5"/>
  <c r="J7" i="4"/>
  <c r="I7" i="4"/>
  <c r="J2" i="5"/>
  <c r="I2" i="5"/>
  <c r="I2" i="4"/>
  <c r="J2" i="4"/>
  <c r="S27" i="1"/>
  <c r="S30" i="1"/>
  <c r="S28" i="1"/>
  <c r="S29" i="1"/>
  <c r="T29" i="1"/>
  <c r="S31" i="1"/>
  <c r="S32" i="1"/>
  <c r="T32" i="1"/>
  <c r="S33" i="1"/>
  <c r="S12" i="1"/>
  <c r="S2" i="1"/>
  <c r="T30" i="1"/>
  <c r="T27" i="1"/>
  <c r="T31" i="1"/>
  <c r="T28" i="1"/>
  <c r="T33" i="1"/>
  <c r="S16" i="1"/>
  <c r="T16" i="1"/>
  <c r="S20" i="1"/>
  <c r="T20" i="1"/>
  <c r="S24" i="1"/>
  <c r="T24" i="1"/>
  <c r="S17" i="1"/>
  <c r="T17" i="1"/>
  <c r="S21" i="1"/>
  <c r="T21" i="1"/>
  <c r="S25" i="1"/>
  <c r="T25" i="1"/>
  <c r="S14" i="1"/>
  <c r="T14" i="1"/>
  <c r="S18" i="1"/>
  <c r="T18" i="1"/>
  <c r="S22" i="1"/>
  <c r="T22" i="1"/>
  <c r="S13" i="1"/>
  <c r="T13" i="1"/>
  <c r="S15" i="1"/>
  <c r="T15" i="1"/>
  <c r="S19" i="1"/>
  <c r="T19" i="1"/>
  <c r="S23" i="1"/>
  <c r="T23" i="1"/>
  <c r="S26" i="1"/>
  <c r="T26" i="1"/>
  <c r="S5" i="1"/>
  <c r="T5" i="1"/>
  <c r="S6" i="1"/>
  <c r="T6" i="1"/>
  <c r="S10" i="1"/>
  <c r="T10" i="1"/>
  <c r="S3" i="1"/>
  <c r="T3" i="1"/>
  <c r="S7" i="1"/>
  <c r="T7" i="1"/>
  <c r="S11" i="1"/>
  <c r="T11" i="1"/>
  <c r="T2" i="1"/>
  <c r="S4" i="1"/>
  <c r="T4" i="1"/>
  <c r="S8" i="1"/>
  <c r="T8" i="1"/>
  <c r="T12" i="1"/>
  <c r="S9" i="1"/>
  <c r="T9" i="1"/>
</calcChain>
</file>

<file path=xl/sharedStrings.xml><?xml version="1.0" encoding="utf-8"?>
<sst xmlns="http://schemas.openxmlformats.org/spreadsheetml/2006/main" count="232" uniqueCount="62">
  <si>
    <t>Date time</t>
  </si>
  <si>
    <t>Bottle</t>
  </si>
  <si>
    <t>FID_CH4_retention_time</t>
  </si>
  <si>
    <t>FID_CH4_peak_area</t>
  </si>
  <si>
    <t>TCD_CH4_retention_time</t>
  </si>
  <si>
    <t>TCD_CH4_peak_area</t>
  </si>
  <si>
    <t>TCD_CO2_retention_time</t>
  </si>
  <si>
    <t>TCD_CO2_peak_area</t>
  </si>
  <si>
    <t>Notes</t>
  </si>
  <si>
    <t>Vol (L) of 1 mol ideal gas at 20C (ideal gas law)</t>
  </si>
  <si>
    <t>CH4 1% std concentration</t>
  </si>
  <si>
    <t>Inj. Vol. (uL)</t>
  </si>
  <si>
    <t>moles</t>
  </si>
  <si>
    <t>nanomoles</t>
  </si>
  <si>
    <t>RT</t>
  </si>
  <si>
    <t>Area</t>
  </si>
  <si>
    <t>slope</t>
  </si>
  <si>
    <t>y-intercept</t>
  </si>
  <si>
    <t>Date</t>
  </si>
  <si>
    <t>Injection volume (µL)</t>
  </si>
  <si>
    <t>Timepoint</t>
  </si>
  <si>
    <t>CO2 % std concentration</t>
  </si>
  <si>
    <t>Number of OD samplings taken prior to GC measurement</t>
  </si>
  <si>
    <t>Volume of 1M HCl added prior to GC measurement (mL)</t>
  </si>
  <si>
    <t>Total capacity volume of culture vessel (mL); Constant</t>
  </si>
  <si>
    <t>Initial media volume (mL); Constant</t>
  </si>
  <si>
    <t>Headspace volume at time of GC measurement (mL)</t>
  </si>
  <si>
    <t>OD sampling volume (mL); Constant</t>
  </si>
  <si>
    <t>Volume of inoculum added prior to GC measurement (mL); Constant after initial addition</t>
  </si>
  <si>
    <t>Methane concentration in sample injection (nanomols/uL)</t>
  </si>
  <si>
    <t>Total methane concentration in bottle (umols)</t>
  </si>
  <si>
    <t>No TCD</t>
  </si>
  <si>
    <t>2022-8-22_Uninoculated-control1_lowCu</t>
  </si>
  <si>
    <t>2022-8-22_Uninoculated-control2_lowCu</t>
  </si>
  <si>
    <t>2022-8_22_Mcaps_lowCu_T1_M1</t>
  </si>
  <si>
    <t>2022-8-22_Mcaps_lowCu_T1_M2</t>
  </si>
  <si>
    <t>2022-8-22_Mcaps_lowCu_T1_C1</t>
  </si>
  <si>
    <t>2022-8-22_Mcaps_lowCu_T1_C2</t>
  </si>
  <si>
    <t>2022-8-22_Mcaps_lowCu_T1_C3</t>
  </si>
  <si>
    <t>2022-8-22_Mcaps_lowCu_T2_M1</t>
  </si>
  <si>
    <t>2022-8-22_Mcaps_lowCu_T2_M2</t>
  </si>
  <si>
    <t>2022-8-22_Mcaps_lowCu_T2_C1</t>
  </si>
  <si>
    <t>2022-8-22_Mcaps_lowCu_T2_C2</t>
  </si>
  <si>
    <t>2022-8-22_Mcaps_lowCu_T2_C3</t>
  </si>
  <si>
    <t>2022-8-22_Mcaps_lowCu_T3_M1</t>
  </si>
  <si>
    <t>2022-8-22_Mcaps_lowCu_T3_M2</t>
  </si>
  <si>
    <t>2022-8-22_Mcaps_lowCu_T3_C1</t>
  </si>
  <si>
    <t>2022-8-22_Mcaps_lowCu_T3_C2</t>
  </si>
  <si>
    <t>2022-8-22_Mcaps_lowCu_T3_C3</t>
  </si>
  <si>
    <t>2022-8-22_Mcaps_lowCu_T4_M1</t>
  </si>
  <si>
    <t>2022-8-22_Mcaps_lowCu_T4_M2</t>
  </si>
  <si>
    <t>2022-8-22_Mcaps_lowCu_T4_C1</t>
  </si>
  <si>
    <t>2022-8-22_Mcaps_lowCu_T4_C2</t>
  </si>
  <si>
    <t>2022-8-22_Mcaps_lowCu_T4_C3</t>
  </si>
  <si>
    <t>Needle slipped off when taking T0 OD, CH4 concentration not reliable</t>
  </si>
  <si>
    <t>Measured two times, the first time peak was too small</t>
  </si>
  <si>
    <t>Forgot to close the valve on the syringe for about two seconds, value maybe unreliable</t>
  </si>
  <si>
    <t>f</t>
  </si>
  <si>
    <t>average f</t>
  </si>
  <si>
    <t>Didn't account for serveral outliers when calculating average</t>
  </si>
  <si>
    <t>stdev f</t>
  </si>
  <si>
    <t>stdevf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</si>
</sst>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000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2"/>
      <color theme="2"/>
      <name val="Calibri"/>
      <family val="2"/>
      <scheme val="minor"/>
    </font>
    <font>
      <sz val="12"/>
      <name val="Calibri"/>
      <family val="2"/>
      <scheme val="minor"/>
    </font>
    <font>
      <sz val="10"/>
      <name val="Arial"/>
      <family val="2"/>
    </font>
    <font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0" xfId="0" applyFont="1"/>
    <xf numFmtId="2" fontId="0" fillId="0" borderId="0" xfId="0" applyNumberFormat="1"/>
    <xf numFmtId="164" fontId="0" fillId="0" borderId="0" xfId="0" applyNumberFormat="1"/>
    <xf numFmtId="0" fontId="0" fillId="2" borderId="0" xfId="0" applyFill="1"/>
    <xf numFmtId="11" fontId="0" fillId="3" borderId="0" xfId="0" applyNumberFormat="1" applyFill="1"/>
    <xf numFmtId="164" fontId="0" fillId="2" borderId="0" xfId="0" applyNumberFormat="1" applyFill="1"/>
    <xf numFmtId="165" fontId="0" fillId="2" borderId="0" xfId="0" applyNumberFormat="1" applyFill="1"/>
    <xf numFmtId="0" fontId="0" fillId="0" borderId="0" xfId="0" applyAlignment="1">
      <alignment horizontal="left"/>
    </xf>
    <xf numFmtId="0" fontId="1" fillId="0" borderId="0" xfId="0" applyFont="1"/>
    <xf numFmtId="0" fontId="1" fillId="0" borderId="0" xfId="0" applyFont="1" applyAlignment="1">
      <alignment wrapText="1"/>
    </xf>
    <xf numFmtId="2" fontId="1" fillId="0" borderId="0" xfId="0" applyNumberFormat="1" applyFont="1"/>
    <xf numFmtId="164" fontId="1" fillId="0" borderId="0" xfId="0" applyNumberFormat="1" applyFont="1"/>
    <xf numFmtId="165" fontId="1" fillId="0" borderId="0" xfId="0" applyNumberFormat="1" applyFont="1"/>
    <xf numFmtId="0" fontId="3" fillId="0" borderId="0" xfId="0" applyFont="1"/>
    <xf numFmtId="0" fontId="3" fillId="0" borderId="0" xfId="0" applyFont="1" applyAlignment="1">
      <alignment wrapText="1"/>
    </xf>
    <xf numFmtId="14" fontId="0" fillId="0" borderId="0" xfId="0" applyNumberFormat="1"/>
    <xf numFmtId="16" fontId="0" fillId="0" borderId="0" xfId="0" applyNumberFormat="1"/>
    <xf numFmtId="0" fontId="4" fillId="0" borderId="0" xfId="0" applyFont="1"/>
    <xf numFmtId="22" fontId="5" fillId="0" borderId="0" xfId="0" applyNumberFormat="1" applyFont="1"/>
    <xf numFmtId="0" fontId="5" fillId="0" borderId="0" xfId="0" applyFont="1"/>
    <xf numFmtId="0" fontId="6" fillId="0" borderId="0" xfId="0" applyFont="1"/>
    <xf numFmtId="0" fontId="3" fillId="3" borderId="0" xfId="0" applyFont="1" applyFill="1" applyAlignment="1">
      <alignment wrapText="1"/>
    </xf>
    <xf numFmtId="0" fontId="5" fillId="3" borderId="0" xfId="0" applyFont="1" applyFill="1"/>
    <xf numFmtId="0" fontId="0" fillId="3" borderId="0" xfId="0" applyFill="1"/>
    <xf numFmtId="0" fontId="7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8/22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9.8336556134313788E-3"/>
                  <c:y val="-8.346547913286804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21.01659751037344</c:v>
                </c:pt>
                <c:pt idx="1">
                  <c:v>42.033195020746881</c:v>
                </c:pt>
                <c:pt idx="2">
                  <c:v>84.066390041493761</c:v>
                </c:pt>
                <c:pt idx="3">
                  <c:v>126.09958506224065</c:v>
                </c:pt>
                <c:pt idx="4">
                  <c:v>168.13278008298752</c:v>
                </c:pt>
              </c:numCache>
            </c:numRef>
          </c:xVal>
          <c:yVal>
            <c:numRef>
              <c:f>CH4_std_curves!$H$2:$H$6</c:f>
              <c:numCache>
                <c:formatCode>General</c:formatCode>
                <c:ptCount val="5"/>
                <c:pt idx="0">
                  <c:v>137.2347</c:v>
                </c:pt>
                <c:pt idx="1">
                  <c:v>272.27789999999999</c:v>
                </c:pt>
                <c:pt idx="2">
                  <c:v>547.65419999999995</c:v>
                </c:pt>
                <c:pt idx="3">
                  <c:v>820.79639999999995</c:v>
                </c:pt>
                <c:pt idx="4">
                  <c:v>1092.8672999999999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C06-4672-BB7F-F5DEC3ACCA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8/23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CH4_std_curves!$F$7:$F$11</c:f>
              <c:numCache>
                <c:formatCode>0.00</c:formatCode>
                <c:ptCount val="5"/>
                <c:pt idx="0">
                  <c:v>21.01659751037344</c:v>
                </c:pt>
                <c:pt idx="1">
                  <c:v>42.033195020746881</c:v>
                </c:pt>
                <c:pt idx="2">
                  <c:v>84.066390041493761</c:v>
                </c:pt>
                <c:pt idx="3">
                  <c:v>126.09958506224065</c:v>
                </c:pt>
                <c:pt idx="4">
                  <c:v>168.13278008298752</c:v>
                </c:pt>
              </c:numCache>
            </c:numRef>
          </c:xVal>
          <c:yVal>
            <c:numRef>
              <c:f>CH4_std_curves!$H$7:$H$11</c:f>
              <c:numCache>
                <c:formatCode>General</c:formatCode>
                <c:ptCount val="5"/>
                <c:pt idx="0">
                  <c:v>133.25200000000001</c:v>
                </c:pt>
                <c:pt idx="1">
                  <c:v>270.13189999999997</c:v>
                </c:pt>
                <c:pt idx="2">
                  <c:v>532.02880000000005</c:v>
                </c:pt>
                <c:pt idx="3">
                  <c:v>787.08199999999999</c:v>
                </c:pt>
                <c:pt idx="4">
                  <c:v>1043.2235000000001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B-4E89-B354-8C2DC15C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CH4 7/22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3.0878937007874016E-2"/>
                  <c:y val="-4.3714416905549731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CH4_std_curves!$F$12:$F$16</c:f>
              <c:numCache>
                <c:formatCode>0.00</c:formatCode>
                <c:ptCount val="5"/>
                <c:pt idx="0">
                  <c:v>21.01659751037344</c:v>
                </c:pt>
                <c:pt idx="1">
                  <c:v>42.033195020746881</c:v>
                </c:pt>
                <c:pt idx="2">
                  <c:v>84.066390041493761</c:v>
                </c:pt>
                <c:pt idx="3">
                  <c:v>126.09958506224065</c:v>
                </c:pt>
                <c:pt idx="4">
                  <c:v>168.13278008298752</c:v>
                </c:pt>
              </c:numCache>
            </c:numRef>
          </c:xVal>
          <c:yVal>
            <c:numRef>
              <c:f>CH4_std_curves!$H$12:$H$16</c:f>
              <c:numCache>
                <c:formatCode>General</c:formatCode>
                <c:ptCount val="5"/>
                <c:pt idx="0">
                  <c:v>135.00450000000001</c:v>
                </c:pt>
                <c:pt idx="1">
                  <c:v>270.37299999999999</c:v>
                </c:pt>
                <c:pt idx="2">
                  <c:v>533.52679999999998</c:v>
                </c:pt>
                <c:pt idx="3">
                  <c:v>795.87789999999995</c:v>
                </c:pt>
                <c:pt idx="4">
                  <c:v>1057.9195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5D5-41F2-AB47-052555026E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CH4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1133982939632546"/>
                  <c:y val="4.2129629629629626E-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CO2_std_curves!$F$2:$F$6</c:f>
              <c:numCache>
                <c:formatCode>0.00</c:formatCode>
                <c:ptCount val="5"/>
                <c:pt idx="0">
                  <c:v>103.7344398340249</c:v>
                </c:pt>
                <c:pt idx="1">
                  <c:v>207.46887966804979</c:v>
                </c:pt>
                <c:pt idx="2">
                  <c:v>414.93775933609959</c:v>
                </c:pt>
                <c:pt idx="3">
                  <c:v>622.40663900414938</c:v>
                </c:pt>
                <c:pt idx="4">
                  <c:v>829.87551867219918</c:v>
                </c:pt>
              </c:numCache>
            </c:numRef>
          </c:xVal>
          <c:yVal>
            <c:numRef>
              <c:f>CO2_std_curves!$H$2:$H$6</c:f>
              <c:numCache>
                <c:formatCode>General</c:formatCode>
                <c:ptCount val="5"/>
                <c:pt idx="0">
                  <c:v>16.038799999999998</c:v>
                </c:pt>
                <c:pt idx="1">
                  <c:v>39.380800000000001</c:v>
                </c:pt>
                <c:pt idx="2">
                  <c:v>78.537199999999999</c:v>
                </c:pt>
                <c:pt idx="3">
                  <c:v>117.0763</c:v>
                </c:pt>
                <c:pt idx="4">
                  <c:v>158.52789999999999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EF-1D42-9EEA-E52EB2DF24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63741199"/>
        <c:axId val="364900287"/>
      </c:scatterChart>
      <c:valAx>
        <c:axId val="863741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nanomoles</a:t>
                </a:r>
                <a:r>
                  <a:rPr lang="en-US" baseline="0"/>
                  <a:t> methane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64900287"/>
        <c:crosses val="autoZero"/>
        <c:crossBetween val="midCat"/>
      </c:valAx>
      <c:valAx>
        <c:axId val="3649002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Peak</a:t>
                </a:r>
                <a:r>
                  <a:rPr lang="en-US" baseline="0"/>
                  <a:t> Area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7411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101600</xdr:colOff>
      <xdr:row>0</xdr:row>
      <xdr:rowOff>177800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100-000003000000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9DC6A321-7955-2E40-8C8B-E62D75784DF6}"/>
                </a:ext>
              </a:extLst>
            </xdr:cNvPr>
            <xdr:cNvSpPr txBox="1"/>
          </xdr:nvSpPr>
          <xdr:spPr>
            <a:xfrm>
              <a:off x="8750300" y="1778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  <xdr:twoCellAnchor>
    <xdr:from>
      <xdr:col>10</xdr:col>
      <xdr:colOff>592932</xdr:colOff>
      <xdr:row>0</xdr:row>
      <xdr:rowOff>690562</xdr:rowOff>
    </xdr:from>
    <xdr:to>
      <xdr:col>15</xdr:col>
      <xdr:colOff>428624</xdr:colOff>
      <xdr:row>12</xdr:row>
      <xdr:rowOff>11906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666749</xdr:colOff>
      <xdr:row>0</xdr:row>
      <xdr:rowOff>666750</xdr:rowOff>
    </xdr:from>
    <xdr:to>
      <xdr:col>21</xdr:col>
      <xdr:colOff>489857</xdr:colOff>
      <xdr:row>14</xdr:row>
      <xdr:rowOff>136071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15</xdr:row>
      <xdr:rowOff>0</xdr:rowOff>
    </xdr:from>
    <xdr:to>
      <xdr:col>16</xdr:col>
      <xdr:colOff>666750</xdr:colOff>
      <xdr:row>29</xdr:row>
      <xdr:rowOff>68035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168275</xdr:colOff>
      <xdr:row>1</xdr:row>
      <xdr:rowOff>127000</xdr:rowOff>
    </xdr:from>
    <xdr:to>
      <xdr:col>15</xdr:col>
      <xdr:colOff>476250</xdr:colOff>
      <xdr:row>12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10</xdr:col>
      <xdr:colOff>266700</xdr:colOff>
      <xdr:row>0</xdr:row>
      <xdr:rowOff>254000</xdr:rowOff>
    </xdr:from>
    <xdr:ext cx="7391400" cy="3302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0000000-0008-0000-0200-000003000000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𝑚𝑜𝑙𝑠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=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𝑖𝑛𝑗𝑒𝑐𝑡𝑖𝑜𝑛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𝑣𝑜𝑙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𝑖𝑛</m:t>
                  </m:r>
                  <m:r>
                    <a:rPr lang="en-US" sz="1200" b="0" i="1">
                      <a:latin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𝜇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𝐿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</m:t>
                      </m:r>
                      <m:r>
                        <m:rPr>
                          <m:sty m:val="p"/>
                        </m:rPr>
                        <a:rPr lang="el-GR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Ε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+6 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𝜇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𝐿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f>
                    <m:fPr>
                      <m:ctrlP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fPr>
                    <m:num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1 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𝑚𝑜𝑙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𝑔𝑎𝑠</m:t>
                      </m:r>
                    </m:num>
                    <m:den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𝑣𝑜𝑙𝑢𝑚𝑒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d>
                        <m:dPr>
                          <m:ctrlP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</m:ctrlPr>
                        </m:dPr>
                        <m:e>
                          <m:r>
                            <a:rPr lang="en-US" sz="1200" b="0" i="1">
                              <a:latin typeface="Cambria Math" panose="02040503050406030204" pitchFamily="18" charset="0"/>
                              <a:ea typeface="Cambria Math" panose="02040503050406030204" pitchFamily="18" charset="0"/>
                            </a:rPr>
                            <m:t>𝐿</m:t>
                          </m:r>
                        </m:e>
                      </m:d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𝑎𝑡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𝑐h𝑜𝑠𝑒𝑛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𝑡𝑒𝑚𝑝</m:t>
                      </m:r>
                      <m:r>
                        <a:rPr lang="en-US" sz="12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 </m:t>
                      </m:r>
                    </m:den>
                  </m:f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×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𝑓𝑟𝑎𝑐𝑡𝑖𝑜𝑛𝑎𝑙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𝑐𝑜𝑛𝑐𝑒𝑛𝑡𝑟𝑎𝑡𝑖𝑜𝑛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𝑜𝑓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𝑠𝑡𝑑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 </m:t>
                  </m:r>
                  <m:r>
                    <a:rPr lang="en-US" sz="12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𝑔𝑎𝑠</m:t>
                  </m:r>
                </m:oMath>
              </a14:m>
              <a:r>
                <a:rPr lang="en-US" sz="1200"/>
                <a:t> </a:t>
              </a:r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015F1677-5944-7F46-807F-9438CC8D4887}"/>
                </a:ext>
              </a:extLst>
            </xdr:cNvPr>
            <xdr:cNvSpPr txBox="1"/>
          </xdr:nvSpPr>
          <xdr:spPr>
            <a:xfrm>
              <a:off x="8915400" y="254000"/>
              <a:ext cx="7391400" cy="330200"/>
            </a:xfrm>
            <a:prstGeom prst="rect">
              <a:avLst/>
            </a:prstGeom>
            <a:solidFill>
              <a:schemeClr val="accent5">
                <a:lumMod val="20000"/>
                <a:lumOff val="80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𝑚𝑜𝑙𝑠 𝑜𝑓 𝑔𝑎𝑠</a:t>
              </a:r>
              <a:r>
                <a:rPr lang="en-US" sz="1200" b="0" i="0">
                  <a:latin typeface="Cambria Math" panose="02040503050406030204" pitchFamily="18" charset="0"/>
                </a:rPr>
                <a:t>=𝑖𝑛𝑗𝑒𝑐𝑡𝑖𝑜𝑛 𝑣𝑜𝑙 𝑖𝑛 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𝜇𝐿 ×  (1 𝐿)/(1</a:t>
              </a:r>
              <a:r>
                <a:rPr lang="el-GR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Ε</a:t>
              </a:r>
              <a:r>
                <a:rPr lang="en-US" sz="12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+6 𝜇𝐿)  ×  (1 𝑚𝑜𝑙 𝑔𝑎𝑠)/(𝑣𝑜𝑙𝑢𝑚𝑒 (𝐿)  𝑎𝑡 𝑐ℎ𝑜𝑠𝑒𝑛 𝑡𝑒𝑚𝑝 )  × 𝑓𝑟𝑎𝑐𝑡𝑖𝑜𝑛𝑎𝑙 𝑐𝑜𝑛𝑐𝑒𝑛𝑡𝑟𝑎𝑡𝑖𝑜𝑛 𝑜𝑓 𝑠𝑡𝑑 𝑔𝑎𝑠</a:t>
              </a:r>
              <a:r>
                <a:rPr lang="en-US" sz="1200"/>
                <a:t> </a:t>
              </a:r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Y33"/>
  <sheetViews>
    <sheetView tabSelected="1" topLeftCell="J1" zoomScaleNormal="100" workbookViewId="0">
      <pane ySplit="1" topLeftCell="A2" activePane="bottomLeft" state="frozen"/>
      <selection pane="bottomLeft" activeCell="U28" activeCellId="4" sqref="U3 U13 U18 U23 U28"/>
    </sheetView>
  </sheetViews>
  <sheetFormatPr baseColWidth="10" defaultColWidth="11" defaultRowHeight="16" x14ac:dyDescent="0.2"/>
  <cols>
    <col min="1" max="1" width="19.33203125" customWidth="1"/>
    <col min="2" max="2" width="28.6640625" customWidth="1"/>
    <col min="3" max="3" width="9" customWidth="1"/>
    <col min="4" max="4" width="9.6640625" customWidth="1"/>
    <col min="5" max="5" width="9.33203125" customWidth="1"/>
    <col min="6" max="6" width="10" customWidth="1"/>
    <col min="7" max="7" width="9.5" customWidth="1"/>
    <col min="8" max="8" width="9.6640625" customWidth="1"/>
    <col min="12" max="12" width="15" style="24" customWidth="1"/>
    <col min="13" max="13" width="11" style="24"/>
    <col min="14" max="14" width="15.1640625" style="24" customWidth="1"/>
    <col min="15" max="15" width="11" style="24"/>
    <col min="16" max="16" width="14.5" style="24" customWidth="1"/>
    <col min="17" max="17" width="15.5" style="24" customWidth="1"/>
    <col min="18" max="18" width="11" style="24"/>
    <col min="19" max="19" width="12.6640625" customWidth="1"/>
  </cols>
  <sheetData>
    <row r="1" spans="1:25" ht="65.25" customHeight="1" x14ac:dyDescent="0.2">
      <c r="A1" s="14" t="s">
        <v>0</v>
      </c>
      <c r="B1" s="14" t="s">
        <v>1</v>
      </c>
      <c r="C1" s="14" t="s">
        <v>19</v>
      </c>
      <c r="D1" s="15" t="s">
        <v>2</v>
      </c>
      <c r="E1" s="15" t="s">
        <v>3</v>
      </c>
      <c r="F1" s="15" t="s">
        <v>4</v>
      </c>
      <c r="G1" s="15" t="s">
        <v>5</v>
      </c>
      <c r="H1" s="15" t="s">
        <v>6</v>
      </c>
      <c r="I1" s="15" t="s">
        <v>7</v>
      </c>
      <c r="J1" s="15" t="s">
        <v>20</v>
      </c>
      <c r="K1" s="14" t="s">
        <v>8</v>
      </c>
      <c r="L1" s="22" t="s">
        <v>24</v>
      </c>
      <c r="M1" s="22" t="s">
        <v>25</v>
      </c>
      <c r="N1" s="22" t="s">
        <v>28</v>
      </c>
      <c r="O1" s="22" t="s">
        <v>27</v>
      </c>
      <c r="P1" s="22" t="s">
        <v>22</v>
      </c>
      <c r="Q1" s="22" t="s">
        <v>23</v>
      </c>
      <c r="R1" s="22" t="s">
        <v>26</v>
      </c>
      <c r="S1" s="15" t="s">
        <v>29</v>
      </c>
      <c r="T1" s="15" t="s">
        <v>30</v>
      </c>
      <c r="V1" t="s">
        <v>57</v>
      </c>
      <c r="W1" t="s">
        <v>58</v>
      </c>
      <c r="X1" t="s">
        <v>60</v>
      </c>
      <c r="Y1" t="s">
        <v>61</v>
      </c>
    </row>
    <row r="2" spans="1:25" s="20" customFormat="1" x14ac:dyDescent="0.2">
      <c r="A2" s="19"/>
      <c r="B2" s="1" t="s">
        <v>32</v>
      </c>
      <c r="C2" s="20">
        <v>40</v>
      </c>
      <c r="D2">
        <v>1.026</v>
      </c>
      <c r="E2" s="1">
        <v>920.46720000000005</v>
      </c>
      <c r="F2" s="21" t="s">
        <v>31</v>
      </c>
      <c r="G2" s="21" t="s">
        <v>31</v>
      </c>
      <c r="H2" s="21" t="s">
        <v>31</v>
      </c>
      <c r="I2" s="21" t="s">
        <v>31</v>
      </c>
      <c r="J2" s="20">
        <v>0</v>
      </c>
      <c r="L2" s="23">
        <v>160</v>
      </c>
      <c r="M2" s="23">
        <v>30.03</v>
      </c>
      <c r="N2" s="23">
        <v>0</v>
      </c>
      <c r="O2" s="23">
        <v>0.8</v>
      </c>
      <c r="P2" s="23">
        <v>0</v>
      </c>
      <c r="Q2" s="23">
        <v>0</v>
      </c>
      <c r="R2" s="23">
        <f>L2-M2-N2+(O2*P2)-Q2</f>
        <v>129.97</v>
      </c>
      <c r="S2" s="20">
        <f>((E2-CH4_std_curves!$J$2)/CH4_std_curves!$I$2)/C2</f>
        <v>3.538106267905814</v>
      </c>
      <c r="T2" s="25">
        <f t="shared" ref="T2:T7" si="0">S2*1000/1000*R2</f>
        <v>459.84767163971861</v>
      </c>
      <c r="U2" s="20">
        <f>AVERAGE(T4:T5,T7:T11)</f>
        <v>604.6031537448813</v>
      </c>
    </row>
    <row r="3" spans="1:25" x14ac:dyDescent="0.2">
      <c r="A3" s="19"/>
      <c r="B3" s="1" t="s">
        <v>33</v>
      </c>
      <c r="C3">
        <v>40</v>
      </c>
      <c r="D3" s="1">
        <v>1.016</v>
      </c>
      <c r="E3" s="1">
        <v>1068.4929999999999</v>
      </c>
      <c r="F3" s="21" t="s">
        <v>31</v>
      </c>
      <c r="G3" s="21" t="s">
        <v>31</v>
      </c>
      <c r="H3" s="21" t="s">
        <v>31</v>
      </c>
      <c r="I3" s="21" t="s">
        <v>31</v>
      </c>
      <c r="J3">
        <v>0</v>
      </c>
      <c r="L3" s="23">
        <v>160</v>
      </c>
      <c r="M3" s="23">
        <v>30.03</v>
      </c>
      <c r="N3" s="23">
        <v>0</v>
      </c>
      <c r="O3" s="23">
        <v>0.8</v>
      </c>
      <c r="P3" s="23">
        <v>0</v>
      </c>
      <c r="Q3" s="23">
        <v>0</v>
      </c>
      <c r="R3" s="23">
        <f t="shared" ref="R3:R33" si="1">L3-M3-N3+(O3*P3)-Q3</f>
        <v>129.97</v>
      </c>
      <c r="S3" s="20">
        <f>((E3-CH4_std_curves!$J$2)/CH4_std_curves!$I$2)/C3</f>
        <v>4.1071952818243762</v>
      </c>
      <c r="T3" s="25">
        <f t="shared" si="0"/>
        <v>533.81217077871418</v>
      </c>
      <c r="U3">
        <f>STDEV(T4:T5,T7:T11)</f>
        <v>27.662817256541818</v>
      </c>
    </row>
    <row r="4" spans="1:25" s="20" customFormat="1" x14ac:dyDescent="0.2">
      <c r="A4" s="19"/>
      <c r="B4" s="1" t="s">
        <v>34</v>
      </c>
      <c r="C4" s="20">
        <v>40</v>
      </c>
      <c r="D4">
        <v>1.026</v>
      </c>
      <c r="E4">
        <v>1148.4484</v>
      </c>
      <c r="F4" s="21" t="s">
        <v>31</v>
      </c>
      <c r="G4" s="21" t="s">
        <v>31</v>
      </c>
      <c r="H4" s="21" t="s">
        <v>31</v>
      </c>
      <c r="I4" s="21" t="s">
        <v>31</v>
      </c>
      <c r="J4" s="20">
        <v>0</v>
      </c>
      <c r="K4" s="21"/>
      <c r="L4" s="23">
        <v>160</v>
      </c>
      <c r="M4" s="23">
        <v>30.03</v>
      </c>
      <c r="N4" s="23">
        <v>0</v>
      </c>
      <c r="O4" s="23">
        <v>0.8</v>
      </c>
      <c r="P4" s="23">
        <v>0</v>
      </c>
      <c r="Q4" s="23">
        <v>0</v>
      </c>
      <c r="R4" s="23">
        <f t="shared" si="1"/>
        <v>129.97</v>
      </c>
      <c r="S4" s="20">
        <f>((E4-CH4_std_curves!$J$2)/CH4_std_curves!$I$2)/C4</f>
        <v>4.4145858836212541</v>
      </c>
      <c r="T4" s="20">
        <f t="shared" si="0"/>
        <v>573.76372729425441</v>
      </c>
      <c r="U4" s="20" t="s">
        <v>59</v>
      </c>
    </row>
    <row r="5" spans="1:25" x14ac:dyDescent="0.2">
      <c r="A5" s="19"/>
      <c r="B5" s="1" t="s">
        <v>35</v>
      </c>
      <c r="C5">
        <v>40</v>
      </c>
      <c r="D5">
        <v>1.02</v>
      </c>
      <c r="E5" s="1">
        <v>1150.636</v>
      </c>
      <c r="F5" s="21" t="s">
        <v>31</v>
      </c>
      <c r="G5" s="21" t="s">
        <v>31</v>
      </c>
      <c r="H5" s="21" t="s">
        <v>31</v>
      </c>
      <c r="I5" s="21" t="s">
        <v>31</v>
      </c>
      <c r="J5" s="20">
        <v>0</v>
      </c>
      <c r="L5" s="23">
        <v>160</v>
      </c>
      <c r="M5" s="23">
        <v>30.03</v>
      </c>
      <c r="N5" s="23">
        <v>0</v>
      </c>
      <c r="O5" s="23">
        <v>0.8</v>
      </c>
      <c r="P5" s="23">
        <v>0</v>
      </c>
      <c r="Q5" s="23">
        <v>0</v>
      </c>
      <c r="R5" s="23">
        <f t="shared" si="1"/>
        <v>129.97</v>
      </c>
      <c r="S5" s="20">
        <f>((E5-CH4_std_curves!$J$2)/CH4_std_curves!$I$2)/C5</f>
        <v>4.4229961683611325</v>
      </c>
      <c r="T5">
        <f t="shared" si="0"/>
        <v>574.8568120018964</v>
      </c>
      <c r="U5" s="20"/>
    </row>
    <row r="6" spans="1:25" x14ac:dyDescent="0.2">
      <c r="A6" s="19"/>
      <c r="B6" s="1" t="s">
        <v>39</v>
      </c>
      <c r="C6">
        <v>40</v>
      </c>
      <c r="D6">
        <v>1.03</v>
      </c>
      <c r="E6">
        <v>892.36879999999996</v>
      </c>
      <c r="F6" s="21" t="s">
        <v>31</v>
      </c>
      <c r="G6" s="21" t="s">
        <v>31</v>
      </c>
      <c r="H6" s="21" t="s">
        <v>31</v>
      </c>
      <c r="I6" s="21" t="s">
        <v>31</v>
      </c>
      <c r="J6" s="20">
        <v>0</v>
      </c>
      <c r="L6" s="23">
        <v>160</v>
      </c>
      <c r="M6" s="23">
        <v>30.03</v>
      </c>
      <c r="N6" s="23">
        <v>0</v>
      </c>
      <c r="O6" s="23">
        <v>0.8</v>
      </c>
      <c r="P6" s="23">
        <v>0</v>
      </c>
      <c r="Q6" s="23">
        <v>0</v>
      </c>
      <c r="R6" s="23">
        <f t="shared" si="1"/>
        <v>129.97</v>
      </c>
      <c r="S6" s="20">
        <f>((E6-CH4_std_curves!$J$2)/CH4_std_curves!$I$2)/C6</f>
        <v>3.4300812428852474</v>
      </c>
      <c r="T6" s="25">
        <f t="shared" si="0"/>
        <v>445.80765913779561</v>
      </c>
      <c r="U6" s="20"/>
    </row>
    <row r="7" spans="1:25" x14ac:dyDescent="0.2">
      <c r="A7" s="19"/>
      <c r="B7" s="1" t="s">
        <v>40</v>
      </c>
      <c r="C7">
        <v>40</v>
      </c>
      <c r="D7">
        <v>1.026</v>
      </c>
      <c r="E7">
        <v>1281.1439</v>
      </c>
      <c r="F7" s="21" t="s">
        <v>31</v>
      </c>
      <c r="G7" s="21" t="s">
        <v>31</v>
      </c>
      <c r="H7" s="21" t="s">
        <v>31</v>
      </c>
      <c r="I7" s="21" t="s">
        <v>31</v>
      </c>
      <c r="J7" s="20">
        <v>0</v>
      </c>
      <c r="L7" s="23">
        <v>160</v>
      </c>
      <c r="M7" s="23">
        <v>30.03</v>
      </c>
      <c r="N7" s="23">
        <v>0</v>
      </c>
      <c r="O7" s="23">
        <v>0.8</v>
      </c>
      <c r="P7" s="23">
        <v>0</v>
      </c>
      <c r="Q7" s="23">
        <v>0</v>
      </c>
      <c r="R7" s="23">
        <f t="shared" si="1"/>
        <v>129.97</v>
      </c>
      <c r="S7" s="20">
        <f>((E7-CH4_std_curves!$J$2)/CH4_std_curves!$I$2)/C7</f>
        <v>4.92473716296871</v>
      </c>
      <c r="T7">
        <f t="shared" si="0"/>
        <v>640.06808907104323</v>
      </c>
      <c r="U7" s="20"/>
    </row>
    <row r="8" spans="1:25" x14ac:dyDescent="0.2">
      <c r="A8" s="19"/>
      <c r="B8" s="1" t="s">
        <v>44</v>
      </c>
      <c r="C8">
        <v>40</v>
      </c>
      <c r="D8">
        <v>1.02</v>
      </c>
      <c r="E8" s="1">
        <v>1205.1892</v>
      </c>
      <c r="F8" s="21" t="s">
        <v>31</v>
      </c>
      <c r="G8" s="21" t="s">
        <v>31</v>
      </c>
      <c r="H8" s="21" t="s">
        <v>31</v>
      </c>
      <c r="I8" s="21" t="s">
        <v>31</v>
      </c>
      <c r="J8" s="20">
        <v>0</v>
      </c>
      <c r="L8" s="23">
        <v>160</v>
      </c>
      <c r="M8" s="23">
        <v>30.03</v>
      </c>
      <c r="N8" s="23">
        <v>0</v>
      </c>
      <c r="O8" s="23">
        <v>0.8</v>
      </c>
      <c r="P8" s="23">
        <v>0</v>
      </c>
      <c r="Q8" s="23">
        <v>0</v>
      </c>
      <c r="R8" s="23">
        <f t="shared" si="1"/>
        <v>129.97</v>
      </c>
      <c r="S8" s="20">
        <f>((E8-CH4_std_curves!$J$2)/CH4_std_curves!$I$2)/C8</f>
        <v>4.6327273557224036</v>
      </c>
      <c r="T8">
        <f>S8*1000/1000*R8</f>
        <v>602.11557442324079</v>
      </c>
      <c r="U8" s="20"/>
    </row>
    <row r="9" spans="1:25" x14ac:dyDescent="0.2">
      <c r="A9" s="19"/>
      <c r="B9" s="1" t="s">
        <v>45</v>
      </c>
      <c r="C9">
        <v>40</v>
      </c>
      <c r="D9" s="1">
        <v>1.026</v>
      </c>
      <c r="E9" s="1">
        <v>1285.9755</v>
      </c>
      <c r="F9" s="21" t="s">
        <v>31</v>
      </c>
      <c r="G9" s="21" t="s">
        <v>31</v>
      </c>
      <c r="H9" s="21" t="s">
        <v>31</v>
      </c>
      <c r="I9" s="21" t="s">
        <v>31</v>
      </c>
      <c r="J9" s="20">
        <v>0</v>
      </c>
      <c r="L9" s="23">
        <v>160</v>
      </c>
      <c r="M9" s="23">
        <v>30.03</v>
      </c>
      <c r="N9" s="23">
        <v>0</v>
      </c>
      <c r="O9" s="23">
        <v>0.8</v>
      </c>
      <c r="P9" s="23">
        <v>0</v>
      </c>
      <c r="Q9" s="23">
        <v>0</v>
      </c>
      <c r="R9" s="23">
        <f t="shared" si="1"/>
        <v>129.97</v>
      </c>
      <c r="S9" s="20">
        <f>((E9-CH4_std_curves!$J$2)/CH4_std_curves!$I$2)/C9</f>
        <v>4.9433123740444076</v>
      </c>
      <c r="T9">
        <f t="shared" ref="T9:T18" si="2">S9*1000/1000*R9</f>
        <v>642.48230925455164</v>
      </c>
      <c r="U9" s="20"/>
    </row>
    <row r="10" spans="1:25" x14ac:dyDescent="0.2">
      <c r="A10" s="19"/>
      <c r="B10" s="1" t="s">
        <v>49</v>
      </c>
      <c r="C10">
        <v>40</v>
      </c>
      <c r="D10">
        <v>1.026</v>
      </c>
      <c r="E10" s="1">
        <v>1202.7025000000001</v>
      </c>
      <c r="F10" s="21" t="s">
        <v>31</v>
      </c>
      <c r="G10" s="21" t="s">
        <v>31</v>
      </c>
      <c r="H10" s="21" t="s">
        <v>31</v>
      </c>
      <c r="I10" s="21" t="s">
        <v>31</v>
      </c>
      <c r="J10" s="20">
        <v>0</v>
      </c>
      <c r="K10" s="21"/>
      <c r="L10" s="23">
        <v>160</v>
      </c>
      <c r="M10" s="23">
        <v>30.03</v>
      </c>
      <c r="N10" s="23">
        <v>0</v>
      </c>
      <c r="O10" s="23">
        <v>0.8</v>
      </c>
      <c r="P10" s="23">
        <v>0</v>
      </c>
      <c r="Q10" s="23">
        <v>0</v>
      </c>
      <c r="R10" s="23">
        <f t="shared" si="1"/>
        <v>129.97</v>
      </c>
      <c r="S10" s="20">
        <f>((E10-CH4_std_curves!$J$2)/CH4_std_curves!$I$2)/C10</f>
        <v>4.623167173302102</v>
      </c>
      <c r="T10">
        <f t="shared" si="2"/>
        <v>600.87303751407421</v>
      </c>
      <c r="U10" s="20"/>
    </row>
    <row r="11" spans="1:25" x14ac:dyDescent="0.2">
      <c r="A11" s="19"/>
      <c r="B11" s="1" t="s">
        <v>50</v>
      </c>
      <c r="C11">
        <v>40</v>
      </c>
      <c r="D11" s="1">
        <v>1.03</v>
      </c>
      <c r="E11" s="1">
        <v>1197.0778</v>
      </c>
      <c r="F11" s="21" t="s">
        <v>31</v>
      </c>
      <c r="G11" s="21" t="s">
        <v>31</v>
      </c>
      <c r="H11" s="21" t="s">
        <v>31</v>
      </c>
      <c r="I11" s="21" t="s">
        <v>31</v>
      </c>
      <c r="J11" s="20">
        <v>0</v>
      </c>
      <c r="K11" s="21"/>
      <c r="L11" s="23">
        <v>160</v>
      </c>
      <c r="M11" s="23">
        <v>30.03</v>
      </c>
      <c r="N11" s="23">
        <v>0</v>
      </c>
      <c r="O11" s="23">
        <v>0.8</v>
      </c>
      <c r="P11" s="23">
        <v>0</v>
      </c>
      <c r="Q11" s="23">
        <v>0</v>
      </c>
      <c r="R11" s="23">
        <f t="shared" si="1"/>
        <v>129.97</v>
      </c>
      <c r="S11" s="20">
        <f>((E11-CH4_std_curves!$J$2)/CH4_std_curves!$I$2)/C11</f>
        <v>4.6015428687782425</v>
      </c>
      <c r="T11">
        <f t="shared" si="2"/>
        <v>598.06252665510817</v>
      </c>
      <c r="U11" s="20"/>
    </row>
    <row r="12" spans="1:25" x14ac:dyDescent="0.2">
      <c r="A12" s="19"/>
      <c r="B12" s="1" t="s">
        <v>34</v>
      </c>
      <c r="C12">
        <v>40</v>
      </c>
      <c r="D12">
        <v>1.03</v>
      </c>
      <c r="E12">
        <v>862.95749999999998</v>
      </c>
      <c r="F12" s="21" t="s">
        <v>31</v>
      </c>
      <c r="G12" s="21" t="s">
        <v>31</v>
      </c>
      <c r="H12" s="21" t="s">
        <v>31</v>
      </c>
      <c r="I12" s="21" t="s">
        <v>31</v>
      </c>
      <c r="J12" s="20">
        <v>1</v>
      </c>
      <c r="K12" s="21" t="s">
        <v>54</v>
      </c>
      <c r="L12" s="23">
        <v>160</v>
      </c>
      <c r="M12" s="23">
        <v>30.03</v>
      </c>
      <c r="N12" s="23">
        <v>0.8</v>
      </c>
      <c r="O12" s="23">
        <v>0.8</v>
      </c>
      <c r="P12" s="23">
        <v>2</v>
      </c>
      <c r="Q12" s="23">
        <v>0</v>
      </c>
      <c r="R12" s="23">
        <f t="shared" si="1"/>
        <v>130.76999999999998</v>
      </c>
      <c r="S12" s="20">
        <f>((E12-CH4_std_curves!$J$7)/CH4_std_curves!$I$7)/C12</f>
        <v>3.4618775680193159</v>
      </c>
      <c r="T12">
        <f t="shared" si="2"/>
        <v>452.70972956988589</v>
      </c>
      <c r="U12" s="20">
        <f>AVERAGE(T12:T16)</f>
        <v>485.15410682858408</v>
      </c>
      <c r="V12">
        <f>T12/$U$2</f>
        <v>0.74877169721299797</v>
      </c>
      <c r="W12">
        <f>AVERAGE(V12:V16)</f>
        <v>0.80243396651764753</v>
      </c>
      <c r="X12">
        <f>$U$3*T12/$U$2^2</f>
        <v>3.4259058191439651E-2</v>
      </c>
      <c r="Y12">
        <f>STDEV(V12:V16)</f>
        <v>3.4417934826599557E-2</v>
      </c>
    </row>
    <row r="13" spans="1:25" x14ac:dyDescent="0.2">
      <c r="A13" s="19"/>
      <c r="B13" s="1" t="s">
        <v>35</v>
      </c>
      <c r="C13">
        <v>40</v>
      </c>
      <c r="D13">
        <v>1.0760000000000001</v>
      </c>
      <c r="E13">
        <v>954.84439999999995</v>
      </c>
      <c r="F13" s="21" t="s">
        <v>31</v>
      </c>
      <c r="G13" s="21" t="s">
        <v>31</v>
      </c>
      <c r="H13" s="21" t="s">
        <v>31</v>
      </c>
      <c r="I13" s="21" t="s">
        <v>31</v>
      </c>
      <c r="J13" s="20">
        <v>1</v>
      </c>
      <c r="L13" s="23">
        <v>160</v>
      </c>
      <c r="M13" s="23">
        <v>30.03</v>
      </c>
      <c r="N13" s="23">
        <v>0.8</v>
      </c>
      <c r="O13" s="23">
        <v>0.8</v>
      </c>
      <c r="P13" s="23">
        <v>2</v>
      </c>
      <c r="Q13" s="23">
        <v>0</v>
      </c>
      <c r="R13" s="23">
        <f t="shared" si="1"/>
        <v>130.76999999999998</v>
      </c>
      <c r="S13" s="20">
        <f>((E13-CH4_std_curves!$J$7)/CH4_std_curves!$I$7)/C13</f>
        <v>3.8341347954989424</v>
      </c>
      <c r="T13">
        <f t="shared" si="2"/>
        <v>501.38980720739664</v>
      </c>
      <c r="U13" s="20">
        <f>STDEV(T12:T16)</f>
        <v>20.809191941547873</v>
      </c>
      <c r="V13">
        <f t="shared" ref="V13:V33" si="3">T13/$U$2</f>
        <v>0.82928744929928599</v>
      </c>
      <c r="X13">
        <f t="shared" ref="X13:X33" si="4">$U$3*T13/$U$2^2</f>
        <v>3.7942949885421524E-2</v>
      </c>
    </row>
    <row r="14" spans="1:25" x14ac:dyDescent="0.2">
      <c r="A14" s="19"/>
      <c r="B14" s="1" t="s">
        <v>36</v>
      </c>
      <c r="C14">
        <v>40</v>
      </c>
      <c r="D14">
        <v>1.026</v>
      </c>
      <c r="E14" s="25">
        <v>923.18320000000006</v>
      </c>
      <c r="F14" s="21" t="s">
        <v>31</v>
      </c>
      <c r="G14" s="21" t="s">
        <v>31</v>
      </c>
      <c r="H14" s="21" t="s">
        <v>31</v>
      </c>
      <c r="I14" s="21" t="s">
        <v>31</v>
      </c>
      <c r="J14" s="20">
        <v>1</v>
      </c>
      <c r="K14" s="21" t="s">
        <v>55</v>
      </c>
      <c r="L14" s="23">
        <v>160</v>
      </c>
      <c r="M14" s="23">
        <v>30.03</v>
      </c>
      <c r="N14" s="23">
        <v>0.8</v>
      </c>
      <c r="O14" s="23">
        <v>0.8</v>
      </c>
      <c r="P14" s="23">
        <v>0</v>
      </c>
      <c r="Q14" s="23">
        <v>0</v>
      </c>
      <c r="R14" s="23">
        <f>L14-M14-N14+(O14*P14)-Q14</f>
        <v>129.16999999999999</v>
      </c>
      <c r="S14" s="20">
        <f>((E14-CH4_std_curves!$J$7)/CH4_std_curves!$I$7)/C14</f>
        <v>3.7058672129525951</v>
      </c>
      <c r="T14">
        <f t="shared" si="2"/>
        <v>478.68686789708664</v>
      </c>
      <c r="U14" s="20"/>
      <c r="V14">
        <f t="shared" si="3"/>
        <v>0.79173729897392109</v>
      </c>
      <c r="X14">
        <f t="shared" si="4"/>
        <v>3.6224892445640866E-2</v>
      </c>
    </row>
    <row r="15" spans="1:25" x14ac:dyDescent="0.2">
      <c r="A15" s="19"/>
      <c r="B15" s="1" t="s">
        <v>37</v>
      </c>
      <c r="C15">
        <v>40</v>
      </c>
      <c r="D15">
        <v>1.02</v>
      </c>
      <c r="E15" s="1">
        <v>942.59640000000002</v>
      </c>
      <c r="F15" s="21" t="s">
        <v>31</v>
      </c>
      <c r="G15" s="21" t="s">
        <v>31</v>
      </c>
      <c r="H15" s="21" t="s">
        <v>31</v>
      </c>
      <c r="I15" s="21" t="s">
        <v>31</v>
      </c>
      <c r="J15" s="20">
        <v>1</v>
      </c>
      <c r="K15" s="1"/>
      <c r="L15" s="23">
        <v>160</v>
      </c>
      <c r="M15" s="23">
        <v>30.03</v>
      </c>
      <c r="N15" s="23">
        <v>0.8</v>
      </c>
      <c r="O15" s="23">
        <v>0.8</v>
      </c>
      <c r="P15" s="23">
        <v>0</v>
      </c>
      <c r="Q15" s="23">
        <v>0</v>
      </c>
      <c r="R15" s="23">
        <f t="shared" si="1"/>
        <v>129.16999999999999</v>
      </c>
      <c r="S15" s="20">
        <f>((E15-CH4_std_curves!$J$7)/CH4_std_curves!$I$7)/C15</f>
        <v>3.784515029001537</v>
      </c>
      <c r="T15">
        <f t="shared" si="2"/>
        <v>488.8458062961285</v>
      </c>
      <c r="U15" s="20"/>
      <c r="V15">
        <f t="shared" si="3"/>
        <v>0.80853995429604086</v>
      </c>
      <c r="X15">
        <f t="shared" si="4"/>
        <v>3.6993675705737104E-2</v>
      </c>
    </row>
    <row r="16" spans="1:25" x14ac:dyDescent="0.2">
      <c r="A16" s="19"/>
      <c r="B16" s="1" t="s">
        <v>38</v>
      </c>
      <c r="C16">
        <v>40</v>
      </c>
      <c r="D16">
        <v>1.0229999999999999</v>
      </c>
      <c r="E16" s="1">
        <v>971.81960000000004</v>
      </c>
      <c r="F16" s="21" t="s">
        <v>31</v>
      </c>
      <c r="G16" s="21" t="s">
        <v>31</v>
      </c>
      <c r="H16" s="21" t="s">
        <v>31</v>
      </c>
      <c r="I16" s="21" t="s">
        <v>31</v>
      </c>
      <c r="J16" s="20">
        <v>1</v>
      </c>
      <c r="L16" s="23">
        <v>160</v>
      </c>
      <c r="M16" s="23">
        <v>30.03</v>
      </c>
      <c r="N16" s="23">
        <v>0.8</v>
      </c>
      <c r="O16" s="23">
        <v>0.8</v>
      </c>
      <c r="P16" s="23">
        <v>0</v>
      </c>
      <c r="Q16" s="23">
        <v>0</v>
      </c>
      <c r="R16" s="23">
        <f>L16-M16-N16+(O16*P16)-Q16</f>
        <v>129.16999999999999</v>
      </c>
      <c r="S16" s="20">
        <f>((E16-CH4_std_curves!$J$7)/CH4_std_curves!$I$7)/C16</f>
        <v>3.9029056528019113</v>
      </c>
      <c r="T16">
        <f t="shared" si="2"/>
        <v>504.13832317242282</v>
      </c>
      <c r="U16" s="20"/>
      <c r="V16">
        <f t="shared" si="3"/>
        <v>0.8338334328059912</v>
      </c>
      <c r="X16">
        <f t="shared" si="4"/>
        <v>3.8150945345283613E-2</v>
      </c>
    </row>
    <row r="17" spans="1:25" x14ac:dyDescent="0.2">
      <c r="A17" s="19"/>
      <c r="B17" s="1" t="s">
        <v>39</v>
      </c>
      <c r="C17">
        <v>40</v>
      </c>
      <c r="D17">
        <v>1.026</v>
      </c>
      <c r="E17" s="1">
        <v>765.57730000000004</v>
      </c>
      <c r="F17" s="21" t="s">
        <v>31</v>
      </c>
      <c r="G17" s="21" t="s">
        <v>31</v>
      </c>
      <c r="H17" s="21" t="s">
        <v>31</v>
      </c>
      <c r="I17" s="21" t="s">
        <v>31</v>
      </c>
      <c r="J17" s="20">
        <v>2</v>
      </c>
      <c r="L17" s="23">
        <v>160</v>
      </c>
      <c r="M17" s="23">
        <v>30.03</v>
      </c>
      <c r="N17" s="23">
        <v>0.8</v>
      </c>
      <c r="O17" s="23">
        <v>0.8</v>
      </c>
      <c r="P17" s="23">
        <v>1</v>
      </c>
      <c r="Q17" s="23">
        <v>0</v>
      </c>
      <c r="R17" s="23">
        <f t="shared" si="1"/>
        <v>129.97</v>
      </c>
      <c r="S17" s="20">
        <f>((E17-CH4_std_curves!$J$7)/CH4_std_curves!$I$7)/C17</f>
        <v>3.0673655835752713</v>
      </c>
      <c r="T17">
        <f t="shared" si="2"/>
        <v>398.66550489727803</v>
      </c>
      <c r="U17" s="20">
        <f>AVERAGE(T17:T21)</f>
        <v>347.66942610337588</v>
      </c>
      <c r="V17">
        <f>T17/$U$2</f>
        <v>0.65938376673684895</v>
      </c>
      <c r="W17">
        <f>AVERAGE(V17:V21)</f>
        <v>0.57503740089665256</v>
      </c>
      <c r="X17">
        <f t="shared" si="4"/>
        <v>3.0169231715368103E-2</v>
      </c>
      <c r="Y17">
        <f>STDEV(V17:V21)</f>
        <v>5.2071029744781276E-2</v>
      </c>
    </row>
    <row r="18" spans="1:25" x14ac:dyDescent="0.2">
      <c r="A18" s="19"/>
      <c r="B18" s="1" t="s">
        <v>40</v>
      </c>
      <c r="C18">
        <v>40</v>
      </c>
      <c r="D18">
        <v>1.0229999999999999</v>
      </c>
      <c r="E18">
        <v>650.80690000000004</v>
      </c>
      <c r="F18" s="21" t="s">
        <v>31</v>
      </c>
      <c r="G18" s="21" t="s">
        <v>31</v>
      </c>
      <c r="H18" s="21" t="s">
        <v>31</v>
      </c>
      <c r="I18" s="21" t="s">
        <v>31</v>
      </c>
      <c r="J18" s="20">
        <v>2</v>
      </c>
      <c r="L18" s="23">
        <v>160</v>
      </c>
      <c r="M18" s="23">
        <v>30.03</v>
      </c>
      <c r="N18" s="23">
        <v>0.8</v>
      </c>
      <c r="O18" s="23">
        <v>0.8</v>
      </c>
      <c r="P18" s="24">
        <v>1</v>
      </c>
      <c r="Q18" s="23">
        <v>0</v>
      </c>
      <c r="R18" s="24">
        <f t="shared" si="1"/>
        <v>129.97</v>
      </c>
      <c r="S18" s="20">
        <f>((E18-CH4_std_curves!$J$7)/CH4_std_curves!$I$7)/C18</f>
        <v>2.6024014711639518</v>
      </c>
      <c r="T18">
        <f t="shared" si="2"/>
        <v>338.23411920717882</v>
      </c>
      <c r="U18" s="20">
        <f>STDEV(T17:T21)</f>
        <v>31.482308802438279</v>
      </c>
      <c r="V18">
        <f t="shared" si="3"/>
        <v>0.55943161578330158</v>
      </c>
      <c r="X18">
        <f t="shared" si="4"/>
        <v>2.5596053310491692E-2</v>
      </c>
    </row>
    <row r="19" spans="1:25" x14ac:dyDescent="0.2">
      <c r="A19" s="19"/>
      <c r="B19" s="1" t="s">
        <v>41</v>
      </c>
      <c r="C19">
        <v>40</v>
      </c>
      <c r="D19">
        <v>1.016</v>
      </c>
      <c r="E19" s="25">
        <v>605.40039999999999</v>
      </c>
      <c r="F19" s="21" t="s">
        <v>31</v>
      </c>
      <c r="G19" s="21" t="s">
        <v>31</v>
      </c>
      <c r="H19" s="21" t="s">
        <v>31</v>
      </c>
      <c r="I19" s="21" t="s">
        <v>31</v>
      </c>
      <c r="J19" s="20">
        <v>2</v>
      </c>
      <c r="K19" s="21" t="s">
        <v>55</v>
      </c>
      <c r="L19" s="23">
        <v>160</v>
      </c>
      <c r="M19" s="23">
        <v>30.03</v>
      </c>
      <c r="N19" s="23">
        <v>0.8</v>
      </c>
      <c r="O19" s="23">
        <v>0.8</v>
      </c>
      <c r="P19" s="24">
        <v>0</v>
      </c>
      <c r="Q19" s="23">
        <v>0</v>
      </c>
      <c r="R19" s="24">
        <f t="shared" si="1"/>
        <v>129.16999999999999</v>
      </c>
      <c r="S19" s="20">
        <f>((E19-CH4_std_curves!$J$7)/CH4_std_curves!$I$7)/C19</f>
        <v>2.4184481785884735</v>
      </c>
      <c r="T19">
        <f t="shared" ref="T19:T26" si="5">S19*1000/1000*R19</f>
        <v>312.39095122827308</v>
      </c>
      <c r="U19" s="20"/>
      <c r="V19">
        <f t="shared" si="3"/>
        <v>0.51668759796130626</v>
      </c>
      <c r="X19">
        <f t="shared" si="4"/>
        <v>2.3640357336204475E-2</v>
      </c>
    </row>
    <row r="20" spans="1:25" x14ac:dyDescent="0.2">
      <c r="A20" s="19"/>
      <c r="B20" s="1" t="s">
        <v>42</v>
      </c>
      <c r="C20">
        <v>40</v>
      </c>
      <c r="D20">
        <v>1.0229999999999999</v>
      </c>
      <c r="E20">
        <v>671.21529999999996</v>
      </c>
      <c r="F20" s="21" t="s">
        <v>31</v>
      </c>
      <c r="G20" s="21" t="s">
        <v>31</v>
      </c>
      <c r="H20" s="21" t="s">
        <v>31</v>
      </c>
      <c r="I20" s="21" t="s">
        <v>31</v>
      </c>
      <c r="J20" s="20">
        <v>2</v>
      </c>
      <c r="L20" s="23">
        <v>160</v>
      </c>
      <c r="M20" s="23">
        <v>30.03</v>
      </c>
      <c r="N20" s="23">
        <v>0.8</v>
      </c>
      <c r="O20" s="23">
        <v>0.8</v>
      </c>
      <c r="P20" s="24">
        <v>0</v>
      </c>
      <c r="Q20" s="23">
        <v>0</v>
      </c>
      <c r="R20" s="24">
        <f t="shared" si="1"/>
        <v>129.16999999999999</v>
      </c>
      <c r="S20" s="20">
        <f>((E20-CH4_std_curves!$J$7)/CH4_std_curves!$I$7)/C20</f>
        <v>2.6850810958035374</v>
      </c>
      <c r="T20">
        <f t="shared" si="5"/>
        <v>346.83192514494289</v>
      </c>
      <c r="U20" s="20"/>
      <c r="V20">
        <f t="shared" si="3"/>
        <v>0.57365219317280025</v>
      </c>
      <c r="X20">
        <f t="shared" si="4"/>
        <v>2.6246697011523729E-2</v>
      </c>
    </row>
    <row r="21" spans="1:25" x14ac:dyDescent="0.2">
      <c r="A21" s="19"/>
      <c r="B21" s="1" t="s">
        <v>43</v>
      </c>
      <c r="C21">
        <v>40</v>
      </c>
      <c r="D21">
        <v>1.016</v>
      </c>
      <c r="E21">
        <v>662.41099999999994</v>
      </c>
      <c r="F21" s="21" t="s">
        <v>31</v>
      </c>
      <c r="G21" s="21" t="s">
        <v>31</v>
      </c>
      <c r="H21" s="21" t="s">
        <v>31</v>
      </c>
      <c r="I21" s="21" t="s">
        <v>31</v>
      </c>
      <c r="J21" s="20">
        <v>2</v>
      </c>
      <c r="K21" s="1"/>
      <c r="L21" s="23">
        <v>160</v>
      </c>
      <c r="M21" s="23">
        <v>30.03</v>
      </c>
      <c r="N21" s="23">
        <v>0.8</v>
      </c>
      <c r="O21" s="23">
        <v>0.8</v>
      </c>
      <c r="P21" s="24">
        <v>0</v>
      </c>
      <c r="Q21" s="23">
        <v>0</v>
      </c>
      <c r="R21" s="24">
        <f t="shared" si="1"/>
        <v>129.16999999999999</v>
      </c>
      <c r="S21" s="20">
        <f>((E21-CH4_std_curves!$J$7)/CH4_std_curves!$I$7)/C21</f>
        <v>2.6494126348161839</v>
      </c>
      <c r="T21">
        <f t="shared" si="5"/>
        <v>342.22463003920643</v>
      </c>
      <c r="U21" s="20"/>
      <c r="V21">
        <f t="shared" si="3"/>
        <v>0.56603183082900643</v>
      </c>
      <c r="X21">
        <f t="shared" si="4"/>
        <v>2.5898037416152268E-2</v>
      </c>
    </row>
    <row r="22" spans="1:25" x14ac:dyDescent="0.2">
      <c r="A22" s="19"/>
      <c r="B22" s="1" t="s">
        <v>44</v>
      </c>
      <c r="C22">
        <v>40</v>
      </c>
      <c r="D22">
        <v>1.0629999999999999</v>
      </c>
      <c r="E22">
        <v>470.42079999999999</v>
      </c>
      <c r="F22" s="21" t="s">
        <v>31</v>
      </c>
      <c r="G22" s="21" t="s">
        <v>31</v>
      </c>
      <c r="H22" s="21" t="s">
        <v>31</v>
      </c>
      <c r="I22" s="21" t="s">
        <v>31</v>
      </c>
      <c r="J22" s="20">
        <v>3</v>
      </c>
      <c r="L22" s="23">
        <v>160</v>
      </c>
      <c r="M22" s="23">
        <v>30.03</v>
      </c>
      <c r="N22" s="23">
        <v>0.8</v>
      </c>
      <c r="O22" s="23">
        <v>0.8</v>
      </c>
      <c r="P22" s="24">
        <v>2</v>
      </c>
      <c r="Q22" s="23">
        <v>0</v>
      </c>
      <c r="R22" s="24">
        <f t="shared" si="1"/>
        <v>130.76999999999998</v>
      </c>
      <c r="S22" s="20">
        <f>((E22-CH4_std_curves!$J$7)/CH4_std_curves!$I$7)/C22</f>
        <v>1.8716114514564341</v>
      </c>
      <c r="T22">
        <f t="shared" si="5"/>
        <v>244.75062950695786</v>
      </c>
      <c r="U22" s="20">
        <f>AVERAGE(T22:T26)</f>
        <v>245.53252249352286</v>
      </c>
      <c r="V22">
        <f t="shared" si="3"/>
        <v>0.40481202916489084</v>
      </c>
      <c r="W22">
        <f>AVERAGE(V22:V26)</f>
        <v>0.40610526255562318</v>
      </c>
      <c r="X22">
        <f t="shared" si="4"/>
        <v>1.8521638725628394E-2</v>
      </c>
      <c r="Y22">
        <f>STDEV(V22:V26)</f>
        <v>1.6251486633357463E-2</v>
      </c>
    </row>
    <row r="23" spans="1:25" x14ac:dyDescent="0.2">
      <c r="A23" s="19"/>
      <c r="B23" s="1" t="s">
        <v>45</v>
      </c>
      <c r="C23">
        <v>40</v>
      </c>
      <c r="D23">
        <v>1.02</v>
      </c>
      <c r="E23">
        <v>486.48880000000003</v>
      </c>
      <c r="F23" s="21" t="s">
        <v>31</v>
      </c>
      <c r="G23" s="21" t="s">
        <v>31</v>
      </c>
      <c r="H23" s="21" t="s">
        <v>31</v>
      </c>
      <c r="I23" s="21" t="s">
        <v>31</v>
      </c>
      <c r="J23" s="20">
        <v>3</v>
      </c>
      <c r="L23" s="23">
        <v>160</v>
      </c>
      <c r="M23" s="23">
        <v>30.03</v>
      </c>
      <c r="N23" s="23">
        <v>0.8</v>
      </c>
      <c r="O23" s="23">
        <v>0.8</v>
      </c>
      <c r="P23" s="24">
        <v>2</v>
      </c>
      <c r="Q23" s="23">
        <v>0</v>
      </c>
      <c r="R23" s="24">
        <f t="shared" si="1"/>
        <v>130.76999999999998</v>
      </c>
      <c r="S23" s="20">
        <f>((E23-CH4_std_curves!$J$7)/CH4_std_curves!$I$7)/C23</f>
        <v>1.9367070105746838</v>
      </c>
      <c r="T23">
        <f t="shared" si="5"/>
        <v>253.26317577285138</v>
      </c>
      <c r="U23" s="20">
        <f>STDEV(T22:T26)</f>
        <v>9.8257000715707097</v>
      </c>
      <c r="V23">
        <f t="shared" si="3"/>
        <v>0.41889158897725243</v>
      </c>
      <c r="X23">
        <f t="shared" si="4"/>
        <v>1.9165830354020488E-2</v>
      </c>
    </row>
    <row r="24" spans="1:25" x14ac:dyDescent="0.2">
      <c r="A24" s="19"/>
      <c r="B24" s="1" t="s">
        <v>46</v>
      </c>
      <c r="C24">
        <v>40</v>
      </c>
      <c r="D24">
        <v>1.02</v>
      </c>
      <c r="E24">
        <v>484.19979999999998</v>
      </c>
      <c r="F24" s="21" t="s">
        <v>31</v>
      </c>
      <c r="G24" s="21" t="s">
        <v>31</v>
      </c>
      <c r="H24" s="21" t="s">
        <v>31</v>
      </c>
      <c r="I24" s="21" t="s">
        <v>31</v>
      </c>
      <c r="J24" s="20">
        <v>3</v>
      </c>
      <c r="L24" s="23">
        <v>160</v>
      </c>
      <c r="M24" s="23">
        <v>30.03</v>
      </c>
      <c r="N24" s="23">
        <v>0.8</v>
      </c>
      <c r="O24" s="23">
        <v>0.8</v>
      </c>
      <c r="P24" s="24">
        <v>0</v>
      </c>
      <c r="Q24" s="23">
        <v>0</v>
      </c>
      <c r="R24" s="24">
        <f t="shared" si="1"/>
        <v>129.16999999999999</v>
      </c>
      <c r="S24" s="20">
        <f>((E24-CH4_std_curves!$J$7)/CH4_std_curves!$I$7)/C24</f>
        <v>1.927433688766016</v>
      </c>
      <c r="T24">
        <f t="shared" si="5"/>
        <v>248.96660957790627</v>
      </c>
      <c r="U24" s="20"/>
      <c r="V24">
        <f t="shared" si="3"/>
        <v>0.41178516525396819</v>
      </c>
      <c r="X24">
        <f t="shared" si="4"/>
        <v>1.8840685340159515E-2</v>
      </c>
    </row>
    <row r="25" spans="1:25" x14ac:dyDescent="0.2">
      <c r="A25" s="19"/>
      <c r="B25" s="1" t="s">
        <v>47</v>
      </c>
      <c r="C25">
        <v>40</v>
      </c>
      <c r="D25">
        <v>1.026</v>
      </c>
      <c r="E25">
        <v>445.92419999999998</v>
      </c>
      <c r="F25" s="21" t="s">
        <v>31</v>
      </c>
      <c r="G25" s="21" t="s">
        <v>31</v>
      </c>
      <c r="H25" s="21" t="s">
        <v>31</v>
      </c>
      <c r="I25" s="21" t="s">
        <v>31</v>
      </c>
      <c r="J25" s="20">
        <v>3</v>
      </c>
      <c r="L25" s="23">
        <v>160</v>
      </c>
      <c r="M25" s="23">
        <v>30.03</v>
      </c>
      <c r="N25" s="23">
        <v>0.8</v>
      </c>
      <c r="O25" s="23">
        <v>0.8</v>
      </c>
      <c r="P25" s="24">
        <v>0</v>
      </c>
      <c r="Q25" s="23">
        <v>0</v>
      </c>
      <c r="R25" s="24">
        <f t="shared" si="1"/>
        <v>129.16999999999999</v>
      </c>
      <c r="S25" s="20">
        <f>((E25-CH4_std_curves!$J$7)/CH4_std_curves!$I$7)/C25</f>
        <v>1.7723694877088554</v>
      </c>
      <c r="T25">
        <f t="shared" si="5"/>
        <v>228.93696672735283</v>
      </c>
      <c r="U25" s="20"/>
      <c r="V25">
        <f t="shared" si="3"/>
        <v>0.37865658706761429</v>
      </c>
      <c r="X25">
        <f t="shared" si="4"/>
        <v>1.7324931082739841E-2</v>
      </c>
    </row>
    <row r="26" spans="1:25" x14ac:dyDescent="0.2">
      <c r="A26" s="19"/>
      <c r="B26" s="1" t="s">
        <v>48</v>
      </c>
      <c r="C26">
        <v>40</v>
      </c>
      <c r="D26">
        <v>1.026</v>
      </c>
      <c r="E26">
        <v>489.50959999999998</v>
      </c>
      <c r="F26" s="21" t="s">
        <v>31</v>
      </c>
      <c r="G26" s="21" t="s">
        <v>31</v>
      </c>
      <c r="H26" s="21" t="s">
        <v>31</v>
      </c>
      <c r="I26" s="21" t="s">
        <v>31</v>
      </c>
      <c r="J26" s="20">
        <v>3</v>
      </c>
      <c r="L26" s="23">
        <v>160</v>
      </c>
      <c r="M26" s="23">
        <v>30.03</v>
      </c>
      <c r="N26" s="23">
        <v>0.8</v>
      </c>
      <c r="O26" s="23">
        <v>0.8</v>
      </c>
      <c r="P26" s="24">
        <v>0</v>
      </c>
      <c r="Q26" s="23">
        <v>0</v>
      </c>
      <c r="R26" s="24">
        <f t="shared" si="1"/>
        <v>129.16999999999999</v>
      </c>
      <c r="S26" s="20">
        <f>((E26-CH4_std_curves!$J$7)/CH4_std_curves!$I$7)/C26</f>
        <v>1.9489450405089879</v>
      </c>
      <c r="T26">
        <f t="shared" si="5"/>
        <v>251.74523088254594</v>
      </c>
      <c r="U26" s="20"/>
      <c r="V26">
        <f t="shared" si="3"/>
        <v>0.41638094231439043</v>
      </c>
      <c r="X26">
        <f t="shared" si="4"/>
        <v>1.9050959038182456E-2</v>
      </c>
    </row>
    <row r="27" spans="1:25" x14ac:dyDescent="0.2">
      <c r="A27" s="19"/>
      <c r="B27" s="1" t="s">
        <v>49</v>
      </c>
      <c r="C27">
        <v>40</v>
      </c>
      <c r="D27">
        <v>1.02</v>
      </c>
      <c r="E27">
        <v>251.39920000000001</v>
      </c>
      <c r="F27" s="21" t="s">
        <v>31</v>
      </c>
      <c r="G27" s="21" t="s">
        <v>31</v>
      </c>
      <c r="H27" s="21" t="s">
        <v>31</v>
      </c>
      <c r="I27" s="21" t="s">
        <v>31</v>
      </c>
      <c r="J27" s="20">
        <v>4</v>
      </c>
      <c r="K27" s="21" t="s">
        <v>55</v>
      </c>
      <c r="L27" s="23">
        <v>160</v>
      </c>
      <c r="M27" s="23">
        <v>30.03</v>
      </c>
      <c r="N27" s="23">
        <v>0.8</v>
      </c>
      <c r="O27" s="23">
        <v>0.8</v>
      </c>
      <c r="P27" s="24">
        <v>1</v>
      </c>
      <c r="Q27" s="23">
        <v>0</v>
      </c>
      <c r="R27" s="24">
        <f t="shared" si="1"/>
        <v>129.97</v>
      </c>
      <c r="S27" s="20">
        <f>((E27-CH4_std_curves!$J$7)/CH4_std_curves!$I$7)/C27</f>
        <v>0.98429918415661555</v>
      </c>
      <c r="T27">
        <f t="shared" ref="T27" si="6">S27*1000/1000*R27</f>
        <v>127.92936496483532</v>
      </c>
      <c r="U27" s="20">
        <f>AVERAGE(T27:T31)</f>
        <v>121.06825627531589</v>
      </c>
      <c r="V27">
        <f t="shared" si="3"/>
        <v>0.21159228854902148</v>
      </c>
      <c r="W27">
        <f>AVERAGE(V27:V31)</f>
        <v>0.20024416929588482</v>
      </c>
      <c r="X27">
        <f t="shared" si="4"/>
        <v>9.6811251723885033E-3</v>
      </c>
      <c r="Y27">
        <f>STDEV(V27:V31)</f>
        <v>2.220529843448231E-2</v>
      </c>
    </row>
    <row r="28" spans="1:25" x14ac:dyDescent="0.2">
      <c r="A28" s="19"/>
      <c r="B28" s="1" t="s">
        <v>50</v>
      </c>
      <c r="C28">
        <v>40</v>
      </c>
      <c r="D28">
        <v>1.02</v>
      </c>
      <c r="E28">
        <v>275.01580000000001</v>
      </c>
      <c r="F28" s="21" t="s">
        <v>31</v>
      </c>
      <c r="G28" s="21" t="s">
        <v>31</v>
      </c>
      <c r="H28" s="21" t="s">
        <v>31</v>
      </c>
      <c r="I28" s="21" t="s">
        <v>31</v>
      </c>
      <c r="J28" s="20">
        <v>4</v>
      </c>
      <c r="L28" s="23">
        <v>160</v>
      </c>
      <c r="M28" s="23">
        <v>30.03</v>
      </c>
      <c r="N28" s="23">
        <v>0.8</v>
      </c>
      <c r="O28" s="23">
        <v>0.8</v>
      </c>
      <c r="P28" s="24">
        <v>1</v>
      </c>
      <c r="Q28" s="23">
        <v>0</v>
      </c>
      <c r="R28" s="24">
        <f t="shared" si="1"/>
        <v>129.97</v>
      </c>
      <c r="S28" s="20">
        <f>((E28-CH4_std_curves!$J$7)/CH4_std_curves!$I$7)/C28</f>
        <v>1.0799760438449426</v>
      </c>
      <c r="T28">
        <f t="shared" ref="T28" si="7">S28*1000/1000*R28</f>
        <v>140.36448641852718</v>
      </c>
      <c r="U28" s="20">
        <f>STDEV(T27:T31)</f>
        <v>13.425393463334281</v>
      </c>
      <c r="V28">
        <f t="shared" si="3"/>
        <v>0.2321596993815144</v>
      </c>
      <c r="X28">
        <f t="shared" si="4"/>
        <v>1.062215983913711E-2</v>
      </c>
    </row>
    <row r="29" spans="1:25" x14ac:dyDescent="0.2">
      <c r="A29" s="19"/>
      <c r="B29" s="1" t="s">
        <v>51</v>
      </c>
      <c r="C29">
        <v>40</v>
      </c>
      <c r="D29">
        <v>1.026</v>
      </c>
      <c r="E29">
        <v>223.10939999999999</v>
      </c>
      <c r="F29" s="21" t="s">
        <v>31</v>
      </c>
      <c r="G29" s="21" t="s">
        <v>31</v>
      </c>
      <c r="H29" s="21" t="s">
        <v>31</v>
      </c>
      <c r="I29" s="21" t="s">
        <v>31</v>
      </c>
      <c r="J29" s="20">
        <v>4</v>
      </c>
      <c r="L29" s="23">
        <v>160</v>
      </c>
      <c r="M29" s="23">
        <v>30.03</v>
      </c>
      <c r="N29" s="23">
        <v>0.8</v>
      </c>
      <c r="O29" s="23">
        <v>0.8</v>
      </c>
      <c r="P29" s="24">
        <v>0</v>
      </c>
      <c r="Q29" s="23">
        <v>0</v>
      </c>
      <c r="R29" s="24">
        <f t="shared" si="1"/>
        <v>129.16999999999999</v>
      </c>
      <c r="S29" s="20">
        <f>((E29-CH4_std_curves!$J$7)/CH4_std_curves!$I$7)/C29</f>
        <v>0.86969000141181585</v>
      </c>
      <c r="T29">
        <f t="shared" ref="T29" si="8">S29*1000/1000*R29</f>
        <v>112.33785748236424</v>
      </c>
      <c r="U29" s="25"/>
      <c r="V29">
        <f t="shared" si="3"/>
        <v>0.18580428631003534</v>
      </c>
      <c r="X29">
        <f t="shared" si="4"/>
        <v>8.5012292540000631E-3</v>
      </c>
    </row>
    <row r="30" spans="1:25" x14ac:dyDescent="0.2">
      <c r="A30" s="19"/>
      <c r="B30" s="1" t="s">
        <v>52</v>
      </c>
      <c r="C30">
        <v>40</v>
      </c>
      <c r="D30">
        <v>1.026</v>
      </c>
      <c r="E30">
        <v>211.5591</v>
      </c>
      <c r="F30" s="21" t="s">
        <v>31</v>
      </c>
      <c r="G30" s="21" t="s">
        <v>31</v>
      </c>
      <c r="H30" s="21" t="s">
        <v>31</v>
      </c>
      <c r="I30" s="21" t="s">
        <v>31</v>
      </c>
      <c r="J30" s="20">
        <v>4</v>
      </c>
      <c r="L30" s="23">
        <v>160</v>
      </c>
      <c r="M30" s="23">
        <v>30.03</v>
      </c>
      <c r="N30" s="23">
        <v>0.8</v>
      </c>
      <c r="O30" s="23">
        <v>0.8</v>
      </c>
      <c r="P30" s="24">
        <v>0</v>
      </c>
      <c r="Q30" s="23">
        <v>0</v>
      </c>
      <c r="R30" s="24">
        <f t="shared" si="1"/>
        <v>129.16999999999999</v>
      </c>
      <c r="S30" s="20">
        <f>((E30-CH4_std_curves!$J$7)/CH4_std_curves!$I$7)/C30</f>
        <v>0.82289679525775106</v>
      </c>
      <c r="T30">
        <f t="shared" ref="T30:T33" si="9">S30*1000/1000*R30</f>
        <v>106.2935790434437</v>
      </c>
      <c r="U30" s="25"/>
      <c r="V30">
        <f t="shared" si="3"/>
        <v>0.1758071858955195</v>
      </c>
      <c r="X30">
        <f t="shared" si="4"/>
        <v>8.04382515322896E-3</v>
      </c>
    </row>
    <row r="31" spans="1:25" x14ac:dyDescent="0.2">
      <c r="A31" s="19"/>
      <c r="B31" s="1" t="s">
        <v>53</v>
      </c>
      <c r="C31">
        <v>40</v>
      </c>
      <c r="D31">
        <v>1.03</v>
      </c>
      <c r="E31" s="25">
        <v>234.7244</v>
      </c>
      <c r="F31" s="21" t="s">
        <v>31</v>
      </c>
      <c r="G31" s="21" t="s">
        <v>31</v>
      </c>
      <c r="H31" s="21" t="s">
        <v>31</v>
      </c>
      <c r="I31" s="21" t="s">
        <v>31</v>
      </c>
      <c r="J31" s="20">
        <v>4</v>
      </c>
      <c r="K31" s="21" t="s">
        <v>56</v>
      </c>
      <c r="L31" s="23">
        <v>160</v>
      </c>
      <c r="M31" s="23">
        <v>30.03</v>
      </c>
      <c r="N31" s="23">
        <v>0.8</v>
      </c>
      <c r="O31" s="23">
        <v>0.8</v>
      </c>
      <c r="P31" s="24">
        <v>0</v>
      </c>
      <c r="Q31" s="23">
        <v>0</v>
      </c>
      <c r="R31" s="24">
        <f t="shared" si="1"/>
        <v>129.16999999999999</v>
      </c>
      <c r="S31" s="20">
        <f>((E31-CH4_std_curves!$J$7)/CH4_std_curves!$I$7)/C31</f>
        <v>0.91674532373932782</v>
      </c>
      <c r="T31">
        <f t="shared" si="9"/>
        <v>118.41599346740897</v>
      </c>
      <c r="U31" s="25"/>
      <c r="V31">
        <f t="shared" si="3"/>
        <v>0.19585738634333333</v>
      </c>
      <c r="X31">
        <f t="shared" si="4"/>
        <v>8.9611955432268679E-3</v>
      </c>
    </row>
    <row r="32" spans="1:25" x14ac:dyDescent="0.2">
      <c r="A32" s="19"/>
      <c r="B32" s="1" t="s">
        <v>32</v>
      </c>
      <c r="C32">
        <v>40</v>
      </c>
      <c r="D32">
        <v>1.036</v>
      </c>
      <c r="E32">
        <v>1146.1538</v>
      </c>
      <c r="F32" s="21" t="s">
        <v>31</v>
      </c>
      <c r="G32" s="21" t="s">
        <v>31</v>
      </c>
      <c r="H32" s="21" t="s">
        <v>31</v>
      </c>
      <c r="I32" s="21" t="s">
        <v>31</v>
      </c>
      <c r="J32" s="20">
        <v>4</v>
      </c>
      <c r="L32" s="23">
        <v>160</v>
      </c>
      <c r="M32" s="23">
        <v>30.03</v>
      </c>
      <c r="N32" s="24">
        <v>0</v>
      </c>
      <c r="O32" s="23">
        <v>0.8</v>
      </c>
      <c r="P32" s="24">
        <v>3</v>
      </c>
      <c r="Q32" s="23">
        <v>0</v>
      </c>
      <c r="R32" s="24">
        <f t="shared" si="1"/>
        <v>132.37</v>
      </c>
      <c r="S32" s="20">
        <f>((E32-CH4_std_curves!$J$7)/CH4_std_curves!$I$7)/C32</f>
        <v>4.6091778847183074</v>
      </c>
      <c r="T32">
        <f t="shared" si="9"/>
        <v>610.11687660016241</v>
      </c>
      <c r="V32">
        <f t="shared" si="3"/>
        <v>1.0091195734278418</v>
      </c>
      <c r="X32">
        <f t="shared" si="4"/>
        <v>4.6170930761490682E-2</v>
      </c>
    </row>
    <row r="33" spans="1:24" x14ac:dyDescent="0.2">
      <c r="A33" s="19"/>
      <c r="B33" s="1" t="s">
        <v>33</v>
      </c>
      <c r="C33">
        <v>40</v>
      </c>
      <c r="D33">
        <v>1.0229999999999999</v>
      </c>
      <c r="E33">
        <v>1163.6469999999999</v>
      </c>
      <c r="F33" s="21" t="s">
        <v>31</v>
      </c>
      <c r="G33" s="21" t="s">
        <v>31</v>
      </c>
      <c r="H33" s="21" t="s">
        <v>31</v>
      </c>
      <c r="I33" s="21" t="s">
        <v>31</v>
      </c>
      <c r="J33" s="20">
        <v>4</v>
      </c>
      <c r="L33" s="23">
        <v>160</v>
      </c>
      <c r="M33" s="23">
        <v>30.03</v>
      </c>
      <c r="N33" s="24">
        <v>0</v>
      </c>
      <c r="O33" s="23">
        <v>0.8</v>
      </c>
      <c r="P33" s="24">
        <v>3</v>
      </c>
      <c r="Q33" s="23">
        <v>0</v>
      </c>
      <c r="R33" s="24">
        <f t="shared" si="1"/>
        <v>132.37</v>
      </c>
      <c r="S33" s="20">
        <f>((E33-CH4_std_curves!$J$7)/CH4_std_curves!$I$7)/C33</f>
        <v>4.6800472919106983</v>
      </c>
      <c r="T33">
        <f t="shared" si="9"/>
        <v>619.49786003021916</v>
      </c>
      <c r="V33">
        <f t="shared" si="3"/>
        <v>1.0246355087516179</v>
      </c>
      <c r="X33">
        <f t="shared" si="4"/>
        <v>4.6880841850719064E-2</v>
      </c>
    </row>
  </sheetData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000-000000000000}">
          <x14:formula1>
            <xm:f>SampleList!$A$2:$A$22</xm:f>
          </x14:formula1>
          <xm:sqref>B1 B34:B1048576</xm:sqref>
        </x14:dataValidation>
        <x14:dataValidation type="list" allowBlank="1" showInputMessage="1" showErrorMessage="1" xr:uid="{00000000-0002-0000-0000-000001000000}">
          <x14:formula1>
            <xm:f>SampleList!$A$1:$A$22</xm:f>
          </x14:formula1>
          <xm:sqref>B2:B33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4"/>
  <sheetViews>
    <sheetView topLeftCell="B2" zoomScale="110" zoomScaleNormal="110" workbookViewId="0">
      <selection activeCell="O14" sqref="O14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10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44795</v>
      </c>
      <c r="B2">
        <v>24.1</v>
      </c>
      <c r="C2" s="4">
        <f>1.013/100</f>
        <v>1.0129999999999998E-2</v>
      </c>
      <c r="D2">
        <v>50</v>
      </c>
      <c r="E2" s="5">
        <f t="shared" ref="E2:E16" si="0">(D2/1000000)*(1/$B$2)*$C$2</f>
        <v>2.1016597510373442E-8</v>
      </c>
      <c r="F2" s="2">
        <f t="shared" ref="F2:F16" si="1">E2*(10^9)</f>
        <v>21.01659751037344</v>
      </c>
      <c r="G2">
        <v>1.03</v>
      </c>
      <c r="H2">
        <v>137.2347</v>
      </c>
      <c r="I2" s="3">
        <f>SLOPE(H2:H6,F2:F6)</f>
        <v>6.5027524859750097</v>
      </c>
      <c r="J2" s="8">
        <f>INTERCEPT(H2:H6,F2:F6)</f>
        <v>0.17002682926818125</v>
      </c>
      <c r="K2" s="18"/>
    </row>
    <row r="3" spans="1:11" x14ac:dyDescent="0.2">
      <c r="A3" s="16">
        <v>44795</v>
      </c>
      <c r="B3">
        <v>24.1</v>
      </c>
      <c r="C3" s="4">
        <f>1.013/100</f>
        <v>1.0129999999999998E-2</v>
      </c>
      <c r="D3">
        <v>100</v>
      </c>
      <c r="E3" s="5">
        <f t="shared" si="0"/>
        <v>4.2033195020746883E-8</v>
      </c>
      <c r="F3" s="2">
        <f t="shared" si="1"/>
        <v>42.033195020746881</v>
      </c>
      <c r="G3">
        <v>1.0229999999999999</v>
      </c>
      <c r="H3">
        <v>272.27789999999999</v>
      </c>
      <c r="J3" s="2"/>
      <c r="K3" s="18"/>
    </row>
    <row r="4" spans="1:11" x14ac:dyDescent="0.2">
      <c r="A4" s="16">
        <v>44795</v>
      </c>
      <c r="B4">
        <v>24.1</v>
      </c>
      <c r="C4" s="4">
        <f t="shared" ref="C4:C34" si="2">1.013/100</f>
        <v>1.0129999999999998E-2</v>
      </c>
      <c r="D4">
        <v>200</v>
      </c>
      <c r="E4" s="5">
        <f t="shared" si="0"/>
        <v>8.4066390041493767E-8</v>
      </c>
      <c r="F4" s="2">
        <f t="shared" si="1"/>
        <v>84.066390041493761</v>
      </c>
      <c r="G4">
        <v>1.036</v>
      </c>
      <c r="H4">
        <v>547.65419999999995</v>
      </c>
      <c r="J4" s="2"/>
      <c r="K4" s="18"/>
    </row>
    <row r="5" spans="1:11" x14ac:dyDescent="0.2">
      <c r="A5" s="16">
        <v>44795</v>
      </c>
      <c r="B5">
        <v>24.1</v>
      </c>
      <c r="C5" s="4">
        <f t="shared" si="2"/>
        <v>1.0129999999999998E-2</v>
      </c>
      <c r="D5">
        <v>300</v>
      </c>
      <c r="E5" s="5">
        <f t="shared" si="0"/>
        <v>1.2609958506224064E-7</v>
      </c>
      <c r="F5" s="2">
        <f t="shared" si="1"/>
        <v>126.09958506224065</v>
      </c>
      <c r="G5">
        <v>1.0429999999999999</v>
      </c>
      <c r="H5">
        <v>820.79639999999995</v>
      </c>
      <c r="J5" s="2"/>
      <c r="K5" s="18"/>
    </row>
    <row r="6" spans="1:11" x14ac:dyDescent="0.2">
      <c r="A6" s="16">
        <v>44795</v>
      </c>
      <c r="B6">
        <v>24.1</v>
      </c>
      <c r="C6" s="4">
        <f t="shared" si="2"/>
        <v>1.0129999999999998E-2</v>
      </c>
      <c r="D6">
        <v>400</v>
      </c>
      <c r="E6" s="5">
        <f t="shared" si="0"/>
        <v>1.6813278008298753E-7</v>
      </c>
      <c r="F6" s="2">
        <f t="shared" si="1"/>
        <v>168.13278008298752</v>
      </c>
      <c r="G6">
        <v>1.0529999999999999</v>
      </c>
      <c r="H6">
        <v>1092.8672999999999</v>
      </c>
      <c r="J6" s="2"/>
      <c r="K6" s="18"/>
    </row>
    <row r="7" spans="1:11" x14ac:dyDescent="0.2">
      <c r="A7" s="16">
        <v>44796</v>
      </c>
      <c r="B7">
        <v>24.1</v>
      </c>
      <c r="C7" s="4">
        <f t="shared" si="2"/>
        <v>1.0129999999999998E-2</v>
      </c>
      <c r="D7">
        <v>50</v>
      </c>
      <c r="E7" s="5">
        <f t="shared" si="0"/>
        <v>2.1016597510373442E-8</v>
      </c>
      <c r="F7" s="2">
        <f t="shared" si="1"/>
        <v>21.01659751037344</v>
      </c>
      <c r="G7">
        <v>1.02</v>
      </c>
      <c r="H7">
        <v>133.25200000000001</v>
      </c>
      <c r="I7" s="3">
        <f>SLOPE(H7:H11,F7:F11)</f>
        <v>6.1709278703681427</v>
      </c>
      <c r="J7" s="8">
        <f>INTERCEPT(H7:H11,F7:F11)</f>
        <v>8.4376292682926533</v>
      </c>
    </row>
    <row r="8" spans="1:11" x14ac:dyDescent="0.2">
      <c r="A8" s="16">
        <v>44796</v>
      </c>
      <c r="B8">
        <v>24.1</v>
      </c>
      <c r="C8" s="4">
        <f t="shared" si="2"/>
        <v>1.0129999999999998E-2</v>
      </c>
      <c r="D8">
        <v>100</v>
      </c>
      <c r="E8" s="5">
        <f t="shared" si="0"/>
        <v>4.2033195020746883E-8</v>
      </c>
      <c r="F8" s="2">
        <f t="shared" si="1"/>
        <v>42.033195020746881</v>
      </c>
      <c r="G8">
        <v>1.123</v>
      </c>
      <c r="H8">
        <v>270.13189999999997</v>
      </c>
      <c r="J8" s="2"/>
    </row>
    <row r="9" spans="1:11" x14ac:dyDescent="0.2">
      <c r="A9" s="16">
        <v>44796</v>
      </c>
      <c r="B9">
        <v>24.1</v>
      </c>
      <c r="C9" s="4">
        <f t="shared" si="2"/>
        <v>1.0129999999999998E-2</v>
      </c>
      <c r="D9">
        <v>200</v>
      </c>
      <c r="E9" s="5">
        <f t="shared" si="0"/>
        <v>8.4066390041493767E-8</v>
      </c>
      <c r="F9" s="2">
        <f t="shared" si="1"/>
        <v>84.066390041493761</v>
      </c>
      <c r="G9">
        <v>1.1200000000000001</v>
      </c>
      <c r="H9">
        <v>532.02880000000005</v>
      </c>
      <c r="J9" s="2"/>
    </row>
    <row r="10" spans="1:11" x14ac:dyDescent="0.2">
      <c r="A10" s="16">
        <v>44796</v>
      </c>
      <c r="B10">
        <v>24.1</v>
      </c>
      <c r="C10" s="4">
        <f t="shared" si="2"/>
        <v>1.0129999999999998E-2</v>
      </c>
      <c r="D10">
        <v>300</v>
      </c>
      <c r="E10" s="5">
        <f t="shared" si="0"/>
        <v>1.2609958506224064E-7</v>
      </c>
      <c r="F10" s="2">
        <f t="shared" si="1"/>
        <v>126.09958506224065</v>
      </c>
      <c r="G10">
        <v>1.073</v>
      </c>
      <c r="H10">
        <v>787.08199999999999</v>
      </c>
      <c r="J10" s="2"/>
    </row>
    <row r="11" spans="1:11" x14ac:dyDescent="0.2">
      <c r="A11" s="16">
        <v>44796</v>
      </c>
      <c r="B11">
        <v>24.1</v>
      </c>
      <c r="C11" s="4">
        <f t="shared" si="2"/>
        <v>1.0129999999999998E-2</v>
      </c>
      <c r="D11">
        <v>400</v>
      </c>
      <c r="E11" s="5">
        <f t="shared" si="0"/>
        <v>1.6813278008298753E-7</v>
      </c>
      <c r="F11" s="2">
        <f t="shared" si="1"/>
        <v>168.13278008298752</v>
      </c>
      <c r="G11">
        <v>1.046</v>
      </c>
      <c r="H11">
        <v>1043.2235000000001</v>
      </c>
      <c r="J11" s="2"/>
    </row>
    <row r="12" spans="1:11" x14ac:dyDescent="0.2">
      <c r="A12" s="16">
        <v>44496</v>
      </c>
      <c r="B12">
        <v>24.1</v>
      </c>
      <c r="C12" s="4">
        <f t="shared" si="2"/>
        <v>1.0129999999999998E-2</v>
      </c>
      <c r="D12">
        <v>50</v>
      </c>
      <c r="E12" s="5">
        <f t="shared" si="0"/>
        <v>2.1016597510373442E-8</v>
      </c>
      <c r="F12" s="2">
        <f t="shared" si="1"/>
        <v>21.01659751037344</v>
      </c>
      <c r="G12">
        <v>1.026</v>
      </c>
      <c r="H12">
        <v>135.00450000000001</v>
      </c>
      <c r="I12" s="3">
        <f>SLOPE(H12:H16,F12:F16)</f>
        <v>6.2655676471721282</v>
      </c>
      <c r="J12" s="8">
        <f>INTERCEPT(H12:H16,F12:F16)</f>
        <v>5.4805036585365769</v>
      </c>
    </row>
    <row r="13" spans="1:11" x14ac:dyDescent="0.2">
      <c r="A13" s="16">
        <v>44496</v>
      </c>
      <c r="B13">
        <v>24.1</v>
      </c>
      <c r="C13" s="4">
        <f t="shared" si="2"/>
        <v>1.0129999999999998E-2</v>
      </c>
      <c r="D13">
        <v>100</v>
      </c>
      <c r="E13" s="5">
        <f t="shared" si="0"/>
        <v>4.2033195020746883E-8</v>
      </c>
      <c r="F13" s="2">
        <f t="shared" si="1"/>
        <v>42.033195020746881</v>
      </c>
      <c r="G13">
        <v>1.026</v>
      </c>
      <c r="H13">
        <v>270.37299999999999</v>
      </c>
      <c r="J13" s="2"/>
    </row>
    <row r="14" spans="1:11" x14ac:dyDescent="0.2">
      <c r="A14" s="16">
        <v>44496</v>
      </c>
      <c r="B14">
        <v>24.1</v>
      </c>
      <c r="C14" s="4">
        <f t="shared" si="2"/>
        <v>1.0129999999999998E-2</v>
      </c>
      <c r="D14">
        <v>200</v>
      </c>
      <c r="E14" s="5">
        <f t="shared" si="0"/>
        <v>8.4066390041493767E-8</v>
      </c>
      <c r="F14" s="2">
        <f t="shared" si="1"/>
        <v>84.066390041493761</v>
      </c>
      <c r="G14">
        <v>1.036</v>
      </c>
      <c r="H14">
        <v>533.52679999999998</v>
      </c>
      <c r="J14" s="2"/>
    </row>
    <row r="15" spans="1:11" x14ac:dyDescent="0.2">
      <c r="A15" s="16">
        <v>44496</v>
      </c>
      <c r="B15">
        <v>24.1</v>
      </c>
      <c r="C15" s="4">
        <f t="shared" si="2"/>
        <v>1.0129999999999998E-2</v>
      </c>
      <c r="D15">
        <v>300</v>
      </c>
      <c r="E15" s="5">
        <f t="shared" si="0"/>
        <v>1.2609958506224064E-7</v>
      </c>
      <c r="F15" s="2">
        <f t="shared" si="1"/>
        <v>126.09958506224065</v>
      </c>
      <c r="G15">
        <v>1.04</v>
      </c>
      <c r="H15">
        <v>795.87789999999995</v>
      </c>
      <c r="J15" s="2"/>
    </row>
    <row r="16" spans="1:11" x14ac:dyDescent="0.2">
      <c r="A16" s="16">
        <v>44496</v>
      </c>
      <c r="B16">
        <v>24.1</v>
      </c>
      <c r="C16" s="4">
        <f t="shared" si="2"/>
        <v>1.0129999999999998E-2</v>
      </c>
      <c r="D16">
        <v>400</v>
      </c>
      <c r="E16" s="5">
        <f t="shared" si="0"/>
        <v>1.6813278008298753E-7</v>
      </c>
      <c r="F16" s="2">
        <f t="shared" si="1"/>
        <v>168.13278008298752</v>
      </c>
      <c r="G16">
        <v>1.046</v>
      </c>
      <c r="H16">
        <v>1057.9195</v>
      </c>
      <c r="J16" s="2"/>
    </row>
    <row r="17" spans="1:10" x14ac:dyDescent="0.2">
      <c r="A17" s="16"/>
      <c r="B17">
        <v>24.1</v>
      </c>
      <c r="C17" s="4">
        <f t="shared" si="2"/>
        <v>1.0129999999999998E-2</v>
      </c>
      <c r="D17">
        <v>50</v>
      </c>
      <c r="E17" s="5">
        <f t="shared" ref="E17:E21" si="3">(D17/1000000)*(1/$B$2)*$C$2</f>
        <v>2.1016597510373442E-8</v>
      </c>
      <c r="F17" s="2">
        <f t="shared" ref="F17:F21" si="4">E17*(10^9)</f>
        <v>21.01659751037344</v>
      </c>
      <c r="G17" s="6"/>
      <c r="H17" s="7"/>
      <c r="I17" s="3" t="e">
        <f>SLOPE(H17:H21,F17:F21)</f>
        <v>#DIV/0!</v>
      </c>
      <c r="J17" s="8" t="e">
        <f>INTERCEPT(H17:H21,F17:F21)</f>
        <v>#DIV/0!</v>
      </c>
    </row>
    <row r="18" spans="1:10" x14ac:dyDescent="0.2">
      <c r="A18" s="16"/>
      <c r="B18">
        <v>24.1</v>
      </c>
      <c r="C18" s="4">
        <f t="shared" si="2"/>
        <v>1.0129999999999998E-2</v>
      </c>
      <c r="D18">
        <v>100</v>
      </c>
      <c r="E18" s="5">
        <f t="shared" si="3"/>
        <v>4.2033195020746883E-8</v>
      </c>
      <c r="F18" s="2">
        <f t="shared" si="4"/>
        <v>42.033195020746881</v>
      </c>
      <c r="G18" s="6"/>
      <c r="H18" s="7"/>
      <c r="J18" s="2"/>
    </row>
    <row r="19" spans="1:10" x14ac:dyDescent="0.2">
      <c r="A19" s="16"/>
      <c r="B19">
        <v>24.1</v>
      </c>
      <c r="C19" s="4">
        <f t="shared" si="2"/>
        <v>1.0129999999999998E-2</v>
      </c>
      <c r="D19">
        <v>200</v>
      </c>
      <c r="E19" s="5">
        <f t="shared" si="3"/>
        <v>8.4066390041493767E-8</v>
      </c>
      <c r="F19" s="2">
        <f t="shared" si="4"/>
        <v>84.066390041493761</v>
      </c>
      <c r="G19" s="6"/>
      <c r="H19" s="7"/>
      <c r="J19" s="2"/>
    </row>
    <row r="20" spans="1:10" x14ac:dyDescent="0.2">
      <c r="A20" s="16"/>
      <c r="B20">
        <v>24.1</v>
      </c>
      <c r="C20" s="4">
        <f t="shared" si="2"/>
        <v>1.0129999999999998E-2</v>
      </c>
      <c r="D20">
        <v>300</v>
      </c>
      <c r="E20" s="5">
        <f t="shared" si="3"/>
        <v>1.2609958506224064E-7</v>
      </c>
      <c r="F20" s="2">
        <f t="shared" si="4"/>
        <v>126.09958506224065</v>
      </c>
      <c r="G20" s="6"/>
      <c r="H20" s="7"/>
      <c r="J20" s="2"/>
    </row>
    <row r="21" spans="1:10" x14ac:dyDescent="0.2">
      <c r="A21" s="16"/>
      <c r="B21">
        <v>24.1</v>
      </c>
      <c r="C21" s="4">
        <f t="shared" si="2"/>
        <v>1.0129999999999998E-2</v>
      </c>
      <c r="D21">
        <v>400</v>
      </c>
      <c r="E21" s="5">
        <f t="shared" si="3"/>
        <v>1.6813278008298753E-7</v>
      </c>
      <c r="F21" s="2">
        <f t="shared" si="4"/>
        <v>168.13278008298752</v>
      </c>
      <c r="G21" s="6"/>
      <c r="H21" s="7"/>
      <c r="J21" s="2"/>
    </row>
    <row r="22" spans="1:10" x14ac:dyDescent="0.2">
      <c r="A22" s="16"/>
      <c r="B22">
        <v>24.1</v>
      </c>
      <c r="C22" s="4">
        <f t="shared" si="2"/>
        <v>1.0129999999999998E-2</v>
      </c>
      <c r="D22">
        <v>50</v>
      </c>
      <c r="E22" s="5">
        <f t="shared" ref="E22:E26" si="5">(D22/1000000)*(1/$B$2)*$C$2</f>
        <v>2.1016597510373442E-8</v>
      </c>
      <c r="F22" s="2">
        <f t="shared" ref="F22:F26" si="6">E22*(10^9)</f>
        <v>21.01659751037344</v>
      </c>
      <c r="G22" s="6"/>
      <c r="H22" s="7"/>
      <c r="I22" s="3" t="e">
        <f>SLOPE(H22:H26,F22:F26)</f>
        <v>#DIV/0!</v>
      </c>
      <c r="J22" s="8" t="e">
        <f>INTERCEPT(H22:H26,F22:F26)</f>
        <v>#DIV/0!</v>
      </c>
    </row>
    <row r="23" spans="1:10" x14ac:dyDescent="0.2">
      <c r="A23" s="16"/>
      <c r="B23">
        <v>24.1</v>
      </c>
      <c r="C23" s="4">
        <f t="shared" si="2"/>
        <v>1.0129999999999998E-2</v>
      </c>
      <c r="D23">
        <v>100</v>
      </c>
      <c r="E23" s="5">
        <f t="shared" si="5"/>
        <v>4.2033195020746883E-8</v>
      </c>
      <c r="F23" s="2">
        <f t="shared" si="6"/>
        <v>42.033195020746881</v>
      </c>
      <c r="G23" s="6"/>
      <c r="H23" s="7"/>
    </row>
    <row r="24" spans="1:10" x14ac:dyDescent="0.2">
      <c r="A24" s="16"/>
      <c r="B24">
        <v>24.1</v>
      </c>
      <c r="C24" s="4">
        <f t="shared" si="2"/>
        <v>1.0129999999999998E-2</v>
      </c>
      <c r="D24">
        <v>200</v>
      </c>
      <c r="E24" s="5">
        <f t="shared" si="5"/>
        <v>8.4066390041493767E-8</v>
      </c>
      <c r="F24" s="2">
        <f t="shared" si="6"/>
        <v>84.066390041493761</v>
      </c>
      <c r="G24" s="6"/>
      <c r="H24" s="7"/>
    </row>
    <row r="25" spans="1:10" x14ac:dyDescent="0.2">
      <c r="A25" s="16"/>
      <c r="B25">
        <v>24.1</v>
      </c>
      <c r="C25" s="4">
        <f t="shared" si="2"/>
        <v>1.0129999999999998E-2</v>
      </c>
      <c r="D25">
        <v>300</v>
      </c>
      <c r="E25" s="5">
        <f t="shared" si="5"/>
        <v>1.2609958506224064E-7</v>
      </c>
      <c r="F25" s="2">
        <f t="shared" si="6"/>
        <v>126.09958506224065</v>
      </c>
      <c r="G25" s="6"/>
      <c r="H25" s="7"/>
    </row>
    <row r="26" spans="1:10" x14ac:dyDescent="0.2">
      <c r="A26" s="16"/>
      <c r="B26">
        <v>24.1</v>
      </c>
      <c r="C26" s="4">
        <f t="shared" si="2"/>
        <v>1.0129999999999998E-2</v>
      </c>
      <c r="D26">
        <v>400</v>
      </c>
      <c r="E26" s="5">
        <f t="shared" si="5"/>
        <v>1.6813278008298753E-7</v>
      </c>
      <c r="F26" s="2">
        <f t="shared" si="6"/>
        <v>168.13278008298752</v>
      </c>
      <c r="G26" s="6"/>
      <c r="H26" s="7"/>
    </row>
    <row r="27" spans="1:10" x14ac:dyDescent="0.2">
      <c r="A27" s="16"/>
      <c r="B27">
        <v>24.1</v>
      </c>
      <c r="C27" s="4">
        <f t="shared" si="2"/>
        <v>1.0129999999999998E-2</v>
      </c>
      <c r="D27">
        <v>50</v>
      </c>
      <c r="E27" s="5">
        <f t="shared" ref="E27:E34" si="7">(D27/1000000)*(1/$B$2)*$C$2</f>
        <v>2.1016597510373442E-8</v>
      </c>
      <c r="F27" s="2">
        <f t="shared" ref="F27:F34" si="8">E27*(10^9)</f>
        <v>21.01659751037344</v>
      </c>
      <c r="G27" s="6"/>
      <c r="H27" s="7"/>
      <c r="I27" s="3" t="e">
        <f>SLOPE(H27:H29,F27:F29)</f>
        <v>#DIV/0!</v>
      </c>
      <c r="J27" s="8" t="e">
        <f>INTERCEPT(H27:H31,F27:F31)</f>
        <v>#DIV/0!</v>
      </c>
    </row>
    <row r="28" spans="1:10" x14ac:dyDescent="0.2">
      <c r="A28" s="16"/>
      <c r="B28">
        <v>24.1</v>
      </c>
      <c r="C28" s="4">
        <f t="shared" si="2"/>
        <v>1.0129999999999998E-2</v>
      </c>
      <c r="D28">
        <v>100</v>
      </c>
      <c r="E28" s="5">
        <f t="shared" si="7"/>
        <v>4.2033195020746883E-8</v>
      </c>
      <c r="F28" s="2">
        <f t="shared" si="8"/>
        <v>42.033195020746881</v>
      </c>
      <c r="G28" s="6"/>
      <c r="H28" s="7"/>
    </row>
    <row r="29" spans="1:10" x14ac:dyDescent="0.2">
      <c r="A29" s="16"/>
      <c r="B29">
        <v>24.1</v>
      </c>
      <c r="C29" s="4">
        <f t="shared" si="2"/>
        <v>1.0129999999999998E-2</v>
      </c>
      <c r="D29">
        <v>200</v>
      </c>
      <c r="E29" s="5">
        <f t="shared" si="7"/>
        <v>8.4066390041493767E-8</v>
      </c>
      <c r="F29" s="2">
        <f t="shared" si="8"/>
        <v>84.066390041493761</v>
      </c>
      <c r="G29" s="6"/>
      <c r="H29" s="7"/>
    </row>
    <row r="30" spans="1:10" x14ac:dyDescent="0.2">
      <c r="A30" s="16"/>
      <c r="B30">
        <v>24.1</v>
      </c>
      <c r="C30" s="4">
        <f t="shared" si="2"/>
        <v>1.0129999999999998E-2</v>
      </c>
      <c r="D30">
        <v>50</v>
      </c>
      <c r="E30" s="5">
        <f t="shared" si="7"/>
        <v>2.1016597510373442E-8</v>
      </c>
      <c r="F30" s="2">
        <f t="shared" si="8"/>
        <v>21.01659751037344</v>
      </c>
      <c r="G30" s="6"/>
      <c r="H30" s="7"/>
      <c r="I30" s="3" t="e">
        <f>SLOPE(H30:H34,F30:F34)</f>
        <v>#DIV/0!</v>
      </c>
      <c r="J30" s="8" t="e">
        <f>INTERCEPT(H30:H34,F30:F34)</f>
        <v>#DIV/0!</v>
      </c>
    </row>
    <row r="31" spans="1:10" x14ac:dyDescent="0.2">
      <c r="A31" s="16"/>
      <c r="B31">
        <v>24.1</v>
      </c>
      <c r="C31" s="4">
        <f t="shared" si="2"/>
        <v>1.0129999999999998E-2</v>
      </c>
      <c r="D31">
        <v>100</v>
      </c>
      <c r="E31" s="5">
        <f t="shared" si="7"/>
        <v>4.2033195020746883E-8</v>
      </c>
      <c r="F31" s="2">
        <f t="shared" si="8"/>
        <v>42.033195020746881</v>
      </c>
      <c r="G31" s="6"/>
      <c r="H31" s="7"/>
    </row>
    <row r="32" spans="1:10" x14ac:dyDescent="0.2">
      <c r="A32" s="16"/>
      <c r="B32">
        <v>24.1</v>
      </c>
      <c r="C32" s="4">
        <f t="shared" si="2"/>
        <v>1.0129999999999998E-2</v>
      </c>
      <c r="D32">
        <v>200</v>
      </c>
      <c r="E32" s="5">
        <f t="shared" si="7"/>
        <v>8.4066390041493767E-8</v>
      </c>
      <c r="F32" s="2">
        <f t="shared" si="8"/>
        <v>84.066390041493761</v>
      </c>
      <c r="G32" s="6"/>
      <c r="H32" s="7"/>
    </row>
    <row r="33" spans="1:8" x14ac:dyDescent="0.2">
      <c r="A33" s="16"/>
      <c r="B33">
        <v>24.1</v>
      </c>
      <c r="C33" s="4">
        <f t="shared" si="2"/>
        <v>1.0129999999999998E-2</v>
      </c>
      <c r="D33">
        <v>300</v>
      </c>
      <c r="E33" s="5">
        <f t="shared" si="7"/>
        <v>1.2609958506224064E-7</v>
      </c>
      <c r="F33" s="2">
        <f t="shared" si="8"/>
        <v>126.09958506224065</v>
      </c>
      <c r="G33" s="6"/>
      <c r="H33" s="7"/>
    </row>
    <row r="34" spans="1:8" x14ac:dyDescent="0.2">
      <c r="A34" s="16"/>
      <c r="B34">
        <v>24.1</v>
      </c>
      <c r="C34" s="4">
        <f t="shared" si="2"/>
        <v>1.0129999999999998E-2</v>
      </c>
      <c r="D34">
        <v>400</v>
      </c>
      <c r="E34" s="5">
        <f t="shared" si="7"/>
        <v>1.6813278008298753E-7</v>
      </c>
      <c r="F34" s="2">
        <f t="shared" si="8"/>
        <v>168.13278008298752</v>
      </c>
      <c r="G34" s="6"/>
      <c r="H34" s="7"/>
    </row>
  </sheetData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6"/>
  <sheetViews>
    <sheetView zoomScale="91" zoomScaleNormal="91" workbookViewId="0">
      <selection activeCell="A11" sqref="A11"/>
    </sheetView>
  </sheetViews>
  <sheetFormatPr baseColWidth="10" defaultColWidth="11" defaultRowHeight="16" x14ac:dyDescent="0.2"/>
  <cols>
    <col min="1" max="1" width="14.33203125" customWidth="1"/>
    <col min="2" max="2" width="12.5" customWidth="1"/>
  </cols>
  <sheetData>
    <row r="1" spans="1:11" ht="68" x14ac:dyDescent="0.2">
      <c r="A1" s="9" t="s">
        <v>18</v>
      </c>
      <c r="B1" s="10" t="s">
        <v>9</v>
      </c>
      <c r="C1" s="10" t="s">
        <v>21</v>
      </c>
      <c r="D1" s="9" t="s">
        <v>11</v>
      </c>
      <c r="E1" s="9" t="s">
        <v>12</v>
      </c>
      <c r="F1" s="11" t="s">
        <v>13</v>
      </c>
      <c r="G1" s="12" t="s">
        <v>14</v>
      </c>
      <c r="H1" s="13" t="s">
        <v>15</v>
      </c>
      <c r="I1" s="11" t="s">
        <v>16</v>
      </c>
      <c r="J1" s="9" t="s">
        <v>17</v>
      </c>
    </row>
    <row r="2" spans="1:11" x14ac:dyDescent="0.2">
      <c r="A2" s="16">
        <v>44495</v>
      </c>
      <c r="B2">
        <v>24.1</v>
      </c>
      <c r="C2" s="4">
        <f t="shared" ref="C2:C16" si="0">5/100</f>
        <v>0.05</v>
      </c>
      <c r="D2">
        <v>50</v>
      </c>
      <c r="E2" s="5">
        <f t="shared" ref="E2:E16" si="1">(D2/1000000)*(1/$B$2)*$C$2</f>
        <v>1.037344398340249E-7</v>
      </c>
      <c r="F2" s="2">
        <f t="shared" ref="F2:F16" si="2">E2*(10^9)</f>
        <v>103.7344398340249</v>
      </c>
      <c r="G2">
        <v>2.5129999999999999</v>
      </c>
      <c r="H2">
        <v>16.038799999999998</v>
      </c>
      <c r="I2" s="3">
        <f>SLOPE(H2:H6,F2:F6)</f>
        <v>0.19382101707317073</v>
      </c>
      <c r="J2" s="8">
        <f>INTERCEPT(H2:H6,F2:F6)</f>
        <v>-2.5326414634146204</v>
      </c>
      <c r="K2" s="18"/>
    </row>
    <row r="3" spans="1:11" x14ac:dyDescent="0.2">
      <c r="A3" s="16">
        <v>44495</v>
      </c>
      <c r="B3">
        <v>24.1</v>
      </c>
      <c r="C3" s="4">
        <f t="shared" si="0"/>
        <v>0.05</v>
      </c>
      <c r="D3">
        <v>100</v>
      </c>
      <c r="E3" s="5">
        <f t="shared" si="1"/>
        <v>2.074688796680498E-7</v>
      </c>
      <c r="F3" s="2">
        <f t="shared" si="2"/>
        <v>207.46887966804979</v>
      </c>
      <c r="G3">
        <v>2.5129999999999999</v>
      </c>
      <c r="H3">
        <v>39.380800000000001</v>
      </c>
      <c r="J3" s="2"/>
      <c r="K3" s="18"/>
    </row>
    <row r="4" spans="1:11" x14ac:dyDescent="0.2">
      <c r="A4" s="16">
        <v>44495</v>
      </c>
      <c r="B4">
        <v>24.1</v>
      </c>
      <c r="C4" s="4">
        <f t="shared" si="0"/>
        <v>0.05</v>
      </c>
      <c r="D4">
        <v>200</v>
      </c>
      <c r="E4" s="5">
        <f t="shared" si="1"/>
        <v>4.1493775933609961E-7</v>
      </c>
      <c r="F4" s="2">
        <f t="shared" si="2"/>
        <v>414.93775933609959</v>
      </c>
      <c r="G4">
        <v>2.5129999999999999</v>
      </c>
      <c r="H4">
        <v>78.537199999999999</v>
      </c>
      <c r="J4" s="2"/>
      <c r="K4" s="18"/>
    </row>
    <row r="5" spans="1:11" x14ac:dyDescent="0.2">
      <c r="A5" s="16">
        <v>44495</v>
      </c>
      <c r="B5">
        <v>24.1</v>
      </c>
      <c r="C5" s="4">
        <f t="shared" si="0"/>
        <v>0.05</v>
      </c>
      <c r="D5">
        <v>300</v>
      </c>
      <c r="E5" s="5">
        <f t="shared" si="1"/>
        <v>6.2240663900414941E-7</v>
      </c>
      <c r="F5" s="2">
        <f t="shared" si="2"/>
        <v>622.40663900414938</v>
      </c>
      <c r="G5">
        <v>2.516</v>
      </c>
      <c r="H5">
        <v>117.0763</v>
      </c>
      <c r="J5" s="2"/>
      <c r="K5" s="18"/>
    </row>
    <row r="6" spans="1:11" x14ac:dyDescent="0.2">
      <c r="A6" s="16">
        <v>44495</v>
      </c>
      <c r="B6">
        <v>24.1</v>
      </c>
      <c r="C6" s="4">
        <f t="shared" si="0"/>
        <v>0.05</v>
      </c>
      <c r="D6">
        <v>400</v>
      </c>
      <c r="E6" s="5">
        <f t="shared" si="1"/>
        <v>8.2987551867219922E-7</v>
      </c>
      <c r="F6" s="2">
        <f t="shared" si="2"/>
        <v>829.87551867219918</v>
      </c>
      <c r="G6">
        <v>2.5059999999999998</v>
      </c>
      <c r="H6">
        <v>158.52789999999999</v>
      </c>
      <c r="J6" s="2"/>
      <c r="K6" s="18"/>
    </row>
    <row r="7" spans="1:11" x14ac:dyDescent="0.2">
      <c r="A7" s="16">
        <v>44496</v>
      </c>
      <c r="B7">
        <v>24.1</v>
      </c>
      <c r="C7" s="4">
        <f t="shared" si="0"/>
        <v>0.05</v>
      </c>
      <c r="D7">
        <v>50</v>
      </c>
      <c r="E7" s="5">
        <f t="shared" si="1"/>
        <v>1.037344398340249E-7</v>
      </c>
      <c r="F7" s="2">
        <f t="shared" si="2"/>
        <v>103.7344398340249</v>
      </c>
      <c r="G7">
        <v>2.5099999999999998</v>
      </c>
      <c r="H7">
        <v>16.754000000000001</v>
      </c>
      <c r="I7" s="3">
        <f>SLOPE(H7:H11,F7:F11)</f>
        <v>0.19162360258536582</v>
      </c>
      <c r="J7" s="8">
        <f>INTERCEPT(H7:H11,F7:F11)</f>
        <v>-2.1055817073170573</v>
      </c>
    </row>
    <row r="8" spans="1:11" x14ac:dyDescent="0.2">
      <c r="A8" s="16">
        <v>44496</v>
      </c>
      <c r="B8">
        <v>24.1</v>
      </c>
      <c r="C8" s="4">
        <f t="shared" si="0"/>
        <v>0.05</v>
      </c>
      <c r="D8">
        <v>100</v>
      </c>
      <c r="E8" s="5">
        <f t="shared" si="1"/>
        <v>2.074688796680498E-7</v>
      </c>
      <c r="F8" s="2">
        <f t="shared" si="2"/>
        <v>207.46887966804979</v>
      </c>
      <c r="G8">
        <v>2.5129999999999999</v>
      </c>
      <c r="H8">
        <v>38.718200000000003</v>
      </c>
      <c r="J8" s="2"/>
    </row>
    <row r="9" spans="1:11" x14ac:dyDescent="0.2">
      <c r="A9" s="16">
        <v>44496</v>
      </c>
      <c r="B9">
        <v>24.1</v>
      </c>
      <c r="C9" s="4">
        <f t="shared" si="0"/>
        <v>0.05</v>
      </c>
      <c r="D9">
        <v>200</v>
      </c>
      <c r="E9" s="5">
        <f t="shared" si="1"/>
        <v>4.1493775933609961E-7</v>
      </c>
      <c r="F9" s="2">
        <f t="shared" si="2"/>
        <v>414.93775933609959</v>
      </c>
      <c r="G9">
        <v>2.5030000000000001</v>
      </c>
      <c r="H9">
        <v>77.901200000000003</v>
      </c>
      <c r="J9" s="2"/>
    </row>
    <row r="10" spans="1:11" x14ac:dyDescent="0.2">
      <c r="A10" s="16">
        <v>44496</v>
      </c>
      <c r="B10">
        <v>24.1</v>
      </c>
      <c r="C10" s="4">
        <f t="shared" si="0"/>
        <v>0.05</v>
      </c>
      <c r="D10">
        <v>300</v>
      </c>
      <c r="E10" s="5">
        <f t="shared" si="1"/>
        <v>6.2240663900414941E-7</v>
      </c>
      <c r="F10" s="2">
        <f t="shared" si="2"/>
        <v>622.40663900414938</v>
      </c>
      <c r="G10">
        <v>2.5</v>
      </c>
      <c r="H10">
        <v>116.53319999999999</v>
      </c>
      <c r="J10" s="2"/>
    </row>
    <row r="11" spans="1:11" x14ac:dyDescent="0.2">
      <c r="A11" s="16">
        <v>44496</v>
      </c>
      <c r="B11">
        <v>24.1</v>
      </c>
      <c r="C11" s="4">
        <f t="shared" si="0"/>
        <v>0.05</v>
      </c>
      <c r="D11">
        <v>400</v>
      </c>
      <c r="E11" s="5">
        <f t="shared" si="1"/>
        <v>8.2987551867219922E-7</v>
      </c>
      <c r="F11" s="2">
        <f t="shared" si="2"/>
        <v>829.87551867219918</v>
      </c>
      <c r="G11">
        <v>2.5099999999999998</v>
      </c>
      <c r="H11">
        <v>157.00280000000001</v>
      </c>
      <c r="J11" s="2"/>
    </row>
    <row r="12" spans="1:11" x14ac:dyDescent="0.2">
      <c r="A12" s="17"/>
      <c r="B12">
        <v>24.1</v>
      </c>
      <c r="C12" s="4">
        <f t="shared" si="0"/>
        <v>0.05</v>
      </c>
      <c r="D12">
        <v>50</v>
      </c>
      <c r="E12" s="5">
        <f t="shared" si="1"/>
        <v>1.037344398340249E-7</v>
      </c>
      <c r="F12" s="2">
        <f t="shared" si="2"/>
        <v>103.7344398340249</v>
      </c>
      <c r="G12" s="6"/>
      <c r="H12" s="7"/>
      <c r="I12" s="3" t="e">
        <f>SLOPE(H12:H16,F12:F16)</f>
        <v>#DIV/0!</v>
      </c>
      <c r="J12" s="8" t="e">
        <f>INTERCEPT(H12:H16,F12:F16)</f>
        <v>#DIV/0!</v>
      </c>
    </row>
    <row r="13" spans="1:11" x14ac:dyDescent="0.2">
      <c r="A13" s="17"/>
      <c r="B13">
        <v>24.1</v>
      </c>
      <c r="C13" s="4">
        <f t="shared" si="0"/>
        <v>0.05</v>
      </c>
      <c r="D13">
        <v>100</v>
      </c>
      <c r="E13" s="5">
        <f t="shared" si="1"/>
        <v>2.074688796680498E-7</v>
      </c>
      <c r="F13" s="2">
        <f t="shared" si="2"/>
        <v>207.46887966804979</v>
      </c>
      <c r="G13" s="6"/>
      <c r="H13" s="7"/>
      <c r="J13" s="2"/>
    </row>
    <row r="14" spans="1:11" x14ac:dyDescent="0.2">
      <c r="A14" s="17"/>
      <c r="B14">
        <v>24.1</v>
      </c>
      <c r="C14" s="4">
        <f t="shared" si="0"/>
        <v>0.05</v>
      </c>
      <c r="D14">
        <v>200</v>
      </c>
      <c r="E14" s="5">
        <f t="shared" si="1"/>
        <v>4.1493775933609961E-7</v>
      </c>
      <c r="F14" s="2">
        <f t="shared" si="2"/>
        <v>414.93775933609959</v>
      </c>
      <c r="G14" s="6"/>
      <c r="H14" s="7"/>
      <c r="J14" s="2"/>
    </row>
    <row r="15" spans="1:11" x14ac:dyDescent="0.2">
      <c r="A15" s="17"/>
      <c r="B15">
        <v>24.1</v>
      </c>
      <c r="C15" s="4">
        <f t="shared" si="0"/>
        <v>0.05</v>
      </c>
      <c r="D15">
        <v>300</v>
      </c>
      <c r="E15" s="5">
        <f t="shared" si="1"/>
        <v>6.2240663900414941E-7</v>
      </c>
      <c r="F15" s="2">
        <f t="shared" si="2"/>
        <v>622.40663900414938</v>
      </c>
      <c r="G15" s="6"/>
      <c r="H15" s="7"/>
      <c r="J15" s="2"/>
    </row>
    <row r="16" spans="1:11" x14ac:dyDescent="0.2">
      <c r="A16" s="17"/>
      <c r="B16">
        <v>24.1</v>
      </c>
      <c r="C16" s="4">
        <f t="shared" si="0"/>
        <v>0.05</v>
      </c>
      <c r="D16">
        <v>400</v>
      </c>
      <c r="E16" s="5">
        <f t="shared" si="1"/>
        <v>8.2987551867219922E-7</v>
      </c>
      <c r="F16" s="2">
        <f t="shared" si="2"/>
        <v>829.87551867219918</v>
      </c>
      <c r="G16" s="6"/>
      <c r="H16" s="7"/>
      <c r="J16" s="2"/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22"/>
  <sheetViews>
    <sheetView topLeftCell="A7" workbookViewId="0">
      <selection activeCell="A23" sqref="A23"/>
    </sheetView>
  </sheetViews>
  <sheetFormatPr baseColWidth="10" defaultColWidth="11" defaultRowHeight="16" x14ac:dyDescent="0.2"/>
  <sheetData>
    <row r="1" spans="1:1" x14ac:dyDescent="0.2">
      <c r="A1" s="1" t="s">
        <v>32</v>
      </c>
    </row>
    <row r="2" spans="1:1" x14ac:dyDescent="0.2">
      <c r="A2" s="1" t="s">
        <v>33</v>
      </c>
    </row>
    <row r="3" spans="1:1" x14ac:dyDescent="0.2">
      <c r="A3" s="1" t="s">
        <v>34</v>
      </c>
    </row>
    <row r="4" spans="1:1" x14ac:dyDescent="0.2">
      <c r="A4" s="1" t="s">
        <v>35</v>
      </c>
    </row>
    <row r="5" spans="1:1" x14ac:dyDescent="0.2">
      <c r="A5" s="1" t="s">
        <v>36</v>
      </c>
    </row>
    <row r="6" spans="1:1" x14ac:dyDescent="0.2">
      <c r="A6" s="1" t="s">
        <v>37</v>
      </c>
    </row>
    <row r="7" spans="1:1" x14ac:dyDescent="0.2">
      <c r="A7" s="1" t="s">
        <v>38</v>
      </c>
    </row>
    <row r="8" spans="1:1" x14ac:dyDescent="0.2">
      <c r="A8" s="1" t="s">
        <v>39</v>
      </c>
    </row>
    <row r="9" spans="1:1" x14ac:dyDescent="0.2">
      <c r="A9" s="1" t="s">
        <v>40</v>
      </c>
    </row>
    <row r="10" spans="1:1" x14ac:dyDescent="0.2">
      <c r="A10" s="1" t="s">
        <v>41</v>
      </c>
    </row>
    <row r="11" spans="1:1" x14ac:dyDescent="0.2">
      <c r="A11" s="1" t="s">
        <v>42</v>
      </c>
    </row>
    <row r="12" spans="1:1" x14ac:dyDescent="0.2">
      <c r="A12" s="1" t="s">
        <v>43</v>
      </c>
    </row>
    <row r="13" spans="1:1" x14ac:dyDescent="0.2">
      <c r="A13" s="1" t="s">
        <v>44</v>
      </c>
    </row>
    <row r="14" spans="1:1" x14ac:dyDescent="0.2">
      <c r="A14" s="1" t="s">
        <v>45</v>
      </c>
    </row>
    <row r="15" spans="1:1" x14ac:dyDescent="0.2">
      <c r="A15" s="1" t="s">
        <v>46</v>
      </c>
    </row>
    <row r="16" spans="1:1" x14ac:dyDescent="0.2">
      <c r="A16" s="1" t="s">
        <v>47</v>
      </c>
    </row>
    <row r="17" spans="1:1" x14ac:dyDescent="0.2">
      <c r="A17" s="1" t="s">
        <v>48</v>
      </c>
    </row>
    <row r="18" spans="1:1" x14ac:dyDescent="0.2">
      <c r="A18" s="1" t="s">
        <v>49</v>
      </c>
    </row>
    <row r="19" spans="1:1" x14ac:dyDescent="0.2">
      <c r="A19" s="1" t="s">
        <v>50</v>
      </c>
    </row>
    <row r="20" spans="1:1" x14ac:dyDescent="0.2">
      <c r="A20" s="1" t="s">
        <v>51</v>
      </c>
    </row>
    <row r="21" spans="1:1" x14ac:dyDescent="0.2">
      <c r="A21" s="1" t="s">
        <v>52</v>
      </c>
    </row>
    <row r="22" spans="1:1" x14ac:dyDescent="0.2">
      <c r="A22" s="1" t="s">
        <v>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SampleMeasurements</vt:lpstr>
      <vt:lpstr>CH4_std_curves</vt:lpstr>
      <vt:lpstr>CO2_std_curves</vt:lpstr>
      <vt:lpstr>SampleList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Jiawen Li</cp:lastModifiedBy>
  <dcterms:created xsi:type="dcterms:W3CDTF">2021-05-10T01:36:15Z</dcterms:created>
  <dcterms:modified xsi:type="dcterms:W3CDTF">2023-06-05T01:11:43Z</dcterms:modified>
</cp:coreProperties>
</file>