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5cbk/Documents/lab/Mcaps/2021-10-25-37C/"/>
    </mc:Choice>
  </mc:AlternateContent>
  <xr:revisionPtr revIDLastSave="0" documentId="13_ncr:1_{906859EF-C910-D949-B2A2-4845B0593116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ampleMeasurements" sheetId="1" r:id="rId1"/>
    <sheet name="CH4_std_curves" sheetId="4" r:id="rId2"/>
    <sheet name="CO2_std_curves" sheetId="5" r:id="rId3"/>
    <sheet name="SampleL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" i="1" l="1"/>
  <c r="Z37" i="1"/>
  <c r="Z30" i="1"/>
  <c r="Z24" i="1"/>
  <c r="Z18" i="1"/>
  <c r="Z12" i="1"/>
  <c r="V12" i="1"/>
  <c r="V13" i="1" s="1"/>
  <c r="Y37" i="1"/>
  <c r="Y43" i="1"/>
  <c r="Y30" i="1"/>
  <c r="Y24" i="1"/>
  <c r="Y18" i="1"/>
  <c r="Y12" i="1"/>
  <c r="U13" i="1"/>
  <c r="X38" i="1"/>
  <c r="W38" i="1"/>
  <c r="U38" i="1"/>
  <c r="X32" i="1"/>
  <c r="W32" i="1"/>
  <c r="V25" i="1"/>
  <c r="X25" i="1"/>
  <c r="W25" i="1"/>
  <c r="X19" i="1"/>
  <c r="W19" i="1"/>
  <c r="X13" i="1"/>
  <c r="W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9" i="1"/>
  <c r="U40" i="1"/>
  <c r="U41" i="1"/>
  <c r="U42" i="1"/>
  <c r="U43" i="1"/>
  <c r="V16" i="1"/>
  <c r="V17" i="1"/>
  <c r="V18" i="1"/>
  <c r="V19" i="1"/>
  <c r="V20" i="1"/>
  <c r="V23" i="1"/>
  <c r="V24" i="1"/>
  <c r="V26" i="1"/>
  <c r="V27" i="1"/>
  <c r="V28" i="1"/>
  <c r="V29" i="1"/>
  <c r="V32" i="1"/>
  <c r="V33" i="1"/>
  <c r="V34" i="1"/>
  <c r="V35" i="1"/>
  <c r="V36" i="1"/>
  <c r="V37" i="1"/>
  <c r="V40" i="1"/>
  <c r="V41" i="1"/>
  <c r="V42" i="1"/>
  <c r="V43" i="1"/>
  <c r="U12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6" i="1"/>
  <c r="R14" i="1"/>
  <c r="R18" i="1"/>
  <c r="R17" i="1"/>
  <c r="R15" i="1"/>
  <c r="R3" i="1"/>
  <c r="R4" i="1"/>
  <c r="R5" i="1"/>
  <c r="R6" i="1"/>
  <c r="R7" i="1"/>
  <c r="R8" i="1"/>
  <c r="R9" i="1"/>
  <c r="R10" i="1"/>
  <c r="R11" i="1"/>
  <c r="R12" i="1"/>
  <c r="R13" i="1"/>
  <c r="R2" i="1"/>
  <c r="C16" i="5"/>
  <c r="C15" i="5"/>
  <c r="C14" i="5"/>
  <c r="C13" i="5"/>
  <c r="C12" i="5"/>
  <c r="C34" i="4"/>
  <c r="C33" i="4"/>
  <c r="C32" i="4"/>
  <c r="C31" i="4"/>
  <c r="C30" i="4"/>
  <c r="C29" i="4"/>
  <c r="C28" i="4"/>
  <c r="C27" i="4"/>
  <c r="C11" i="5"/>
  <c r="C10" i="5"/>
  <c r="C9" i="5"/>
  <c r="C8" i="5"/>
  <c r="C7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3" i="5"/>
  <c r="C4" i="5"/>
  <c r="C5" i="5"/>
  <c r="C6" i="5"/>
  <c r="C2" i="5"/>
  <c r="C3" i="4"/>
  <c r="C4" i="4"/>
  <c r="C5" i="4"/>
  <c r="C6" i="4"/>
  <c r="C2" i="4"/>
  <c r="E34" i="4"/>
  <c r="F34" i="4"/>
  <c r="E18" i="4"/>
  <c r="F18" i="4"/>
  <c r="E32" i="4"/>
  <c r="F32" i="4"/>
  <c r="E21" i="4"/>
  <c r="F21" i="4"/>
  <c r="E26" i="4"/>
  <c r="F26" i="4"/>
  <c r="E28" i="4"/>
  <c r="F28" i="4"/>
  <c r="E23" i="4"/>
  <c r="F23" i="4"/>
  <c r="E24" i="4"/>
  <c r="F24" i="4"/>
  <c r="E33" i="4"/>
  <c r="F33" i="4"/>
  <c r="E17" i="4"/>
  <c r="F17" i="4"/>
  <c r="E27" i="4"/>
  <c r="F27" i="4"/>
  <c r="E22" i="4"/>
  <c r="F22" i="4"/>
  <c r="E31" i="4"/>
  <c r="F31" i="4"/>
  <c r="E30" i="4"/>
  <c r="F30" i="4"/>
  <c r="E19" i="4"/>
  <c r="F19" i="4"/>
  <c r="E20" i="4"/>
  <c r="F20" i="4"/>
  <c r="E29" i="4"/>
  <c r="F29" i="4"/>
  <c r="E25" i="4"/>
  <c r="F25" i="4"/>
  <c r="E4" i="5"/>
  <c r="F4" i="5"/>
  <c r="E16" i="5"/>
  <c r="F16" i="5"/>
  <c r="E15" i="5"/>
  <c r="F15" i="5"/>
  <c r="E8" i="5"/>
  <c r="F8" i="5"/>
  <c r="E12" i="5"/>
  <c r="F12" i="5"/>
  <c r="E14" i="5"/>
  <c r="F14" i="5"/>
  <c r="E7" i="5"/>
  <c r="F7" i="5"/>
  <c r="E13" i="5"/>
  <c r="F13" i="5"/>
  <c r="E11" i="5"/>
  <c r="F11" i="5"/>
  <c r="E10" i="5"/>
  <c r="F10" i="5"/>
  <c r="E9" i="5"/>
  <c r="F9" i="5"/>
  <c r="E16" i="4"/>
  <c r="F16" i="4"/>
  <c r="E14" i="4"/>
  <c r="F14" i="4"/>
  <c r="E15" i="4"/>
  <c r="F15" i="4"/>
  <c r="E12" i="4"/>
  <c r="F12" i="4"/>
  <c r="E13" i="4"/>
  <c r="F13" i="4"/>
  <c r="E6" i="4"/>
  <c r="F6" i="4"/>
  <c r="E10" i="4"/>
  <c r="F10" i="4"/>
  <c r="E7" i="4"/>
  <c r="F7" i="4"/>
  <c r="E8" i="4"/>
  <c r="F8" i="4"/>
  <c r="E11" i="4"/>
  <c r="F11" i="4"/>
  <c r="E9" i="4"/>
  <c r="F9" i="4"/>
  <c r="E3" i="5"/>
  <c r="F3" i="5"/>
  <c r="E6" i="5"/>
  <c r="F6" i="5"/>
  <c r="E5" i="5"/>
  <c r="F5" i="5"/>
  <c r="E2" i="5"/>
  <c r="F2" i="5"/>
  <c r="E2" i="4"/>
  <c r="F2" i="4"/>
  <c r="E3" i="4"/>
  <c r="F3" i="4"/>
  <c r="E5" i="4"/>
  <c r="F5" i="4"/>
  <c r="E4" i="4"/>
  <c r="F4" i="4"/>
  <c r="I12" i="4"/>
  <c r="J22" i="4"/>
  <c r="I22" i="4"/>
  <c r="I27" i="4"/>
  <c r="J27" i="4"/>
  <c r="I17" i="4"/>
  <c r="J17" i="4"/>
  <c r="I12" i="5"/>
  <c r="J12" i="5"/>
  <c r="J30" i="4"/>
  <c r="I30" i="4"/>
  <c r="J7" i="5"/>
  <c r="I7" i="5"/>
  <c r="I7" i="4"/>
  <c r="J2" i="5"/>
  <c r="I2" i="5"/>
  <c r="I2" i="4"/>
  <c r="J7" i="4"/>
  <c r="S16" i="1"/>
  <c r="T16" i="1"/>
  <c r="S25" i="1"/>
  <c r="T25" i="1"/>
  <c r="S15" i="1"/>
  <c r="T15" i="1"/>
  <c r="S19" i="1"/>
  <c r="T19" i="1"/>
  <c r="S24" i="1"/>
  <c r="T24" i="1"/>
  <c r="S20" i="1"/>
  <c r="T20" i="1"/>
  <c r="S18" i="1"/>
  <c r="T18" i="1"/>
  <c r="S21" i="1"/>
  <c r="T21" i="1"/>
  <c r="S17" i="1"/>
  <c r="T17" i="1"/>
  <c r="S23" i="1"/>
  <c r="T23" i="1"/>
  <c r="S14" i="1"/>
  <c r="T14" i="1"/>
  <c r="S22" i="1"/>
  <c r="T22" i="1"/>
  <c r="J2" i="4"/>
  <c r="S8" i="1"/>
  <c r="T8" i="1"/>
  <c r="S11" i="1"/>
  <c r="T11" i="1"/>
  <c r="S7" i="1"/>
  <c r="T7" i="1"/>
  <c r="S3" i="1"/>
  <c r="T3" i="1"/>
  <c r="S12" i="1"/>
  <c r="T12" i="1"/>
  <c r="S4" i="1"/>
  <c r="T4" i="1"/>
  <c r="S10" i="1"/>
  <c r="T10" i="1"/>
  <c r="S6" i="1"/>
  <c r="T6" i="1"/>
  <c r="S13" i="1"/>
  <c r="T13" i="1"/>
  <c r="S2" i="1"/>
  <c r="T2" i="1"/>
  <c r="S9" i="1"/>
  <c r="T9" i="1"/>
  <c r="S5" i="1"/>
  <c r="T5" i="1"/>
  <c r="S26" i="1"/>
  <c r="T26" i="1"/>
  <c r="S30" i="1"/>
  <c r="T30" i="1"/>
  <c r="S29" i="1"/>
  <c r="T29" i="1"/>
  <c r="S28" i="1"/>
  <c r="T28" i="1"/>
  <c r="S27" i="1"/>
  <c r="T27" i="1"/>
  <c r="S31" i="1"/>
  <c r="T31" i="1"/>
  <c r="S32" i="1"/>
  <c r="T32" i="1"/>
  <c r="S37" i="1"/>
  <c r="T37" i="1"/>
  <c r="S36" i="1"/>
  <c r="T36" i="1"/>
  <c r="S35" i="1"/>
  <c r="T35" i="1"/>
  <c r="S34" i="1"/>
  <c r="T34" i="1"/>
  <c r="S33" i="1"/>
  <c r="T33" i="1"/>
  <c r="J12" i="4"/>
  <c r="S38" i="1"/>
  <c r="T38" i="1"/>
  <c r="S39" i="1"/>
  <c r="T39" i="1"/>
  <c r="S42" i="1"/>
  <c r="T42" i="1"/>
  <c r="S40" i="1"/>
  <c r="T40" i="1"/>
  <c r="S41" i="1"/>
  <c r="T41" i="1"/>
  <c r="S43" i="1"/>
  <c r="T43" i="1"/>
  <c r="V15" i="1" l="1"/>
  <c r="V39" i="1"/>
  <c r="V31" i="1"/>
  <c r="V22" i="1"/>
  <c r="V14" i="1"/>
  <c r="V38" i="1"/>
  <c r="V30" i="1"/>
  <c r="V21" i="1"/>
</calcChain>
</file>

<file path=xl/sharedStrings.xml><?xml version="1.0" encoding="utf-8"?>
<sst xmlns="http://schemas.openxmlformats.org/spreadsheetml/2006/main" count="202" uniqueCount="71">
  <si>
    <t>Date time</t>
  </si>
  <si>
    <t>Bottle</t>
  </si>
  <si>
    <t>FID_CH4_retention_time</t>
  </si>
  <si>
    <t>FID_CH4_peak_area</t>
  </si>
  <si>
    <t>TCD_CH4_retention_time</t>
  </si>
  <si>
    <t>TCD_CH4_peak_area</t>
  </si>
  <si>
    <t>TCD_CO2_retention_time</t>
  </si>
  <si>
    <t>TCD_CO2_peak_area</t>
  </si>
  <si>
    <t>Notes</t>
  </si>
  <si>
    <t>Vol (L) of 1 mol ideal gas at 20C (ideal gas law)</t>
  </si>
  <si>
    <t>CH4 1% std concentration</t>
  </si>
  <si>
    <t>Inj. Vol. (uL)</t>
  </si>
  <si>
    <t>moles</t>
  </si>
  <si>
    <t>nanomoles</t>
  </si>
  <si>
    <t>RT</t>
  </si>
  <si>
    <t>Area</t>
  </si>
  <si>
    <t>slope</t>
  </si>
  <si>
    <t>y-intercept</t>
  </si>
  <si>
    <t>Date</t>
  </si>
  <si>
    <t>Injection volume (µL)</t>
  </si>
  <si>
    <t>Timepoint</t>
  </si>
  <si>
    <t>CO2 % std concentration</t>
  </si>
  <si>
    <t>Number of OD samplings taken prior to GC measurement</t>
  </si>
  <si>
    <t>Volume of 1M HCl added prior to GC measurement (mL)</t>
  </si>
  <si>
    <t>Total capacity volume of culture vessel (mL); Constant</t>
  </si>
  <si>
    <t>Initial media volume (mL); Constant</t>
  </si>
  <si>
    <t>Headspace volume at time of GC measurement (mL)</t>
  </si>
  <si>
    <t>OD sampling volume (mL); Constant</t>
  </si>
  <si>
    <t>Volume of inoculum added prior to GC measurement (mL); Constant after initial addition</t>
  </si>
  <si>
    <t>Methane concentration in sample injection (nanomols/uL)</t>
  </si>
  <si>
    <t>Total methane concentration in bottle (umols)</t>
  </si>
  <si>
    <t>2021-10-25_Uninoculated-control_37C</t>
  </si>
  <si>
    <t>2021-10-25_Mcaps_37C_T1_M1</t>
  </si>
  <si>
    <t>2021-10-25_Mcaps_37C_T1_M2</t>
  </si>
  <si>
    <t>2021-10-25_Mcaps_37C_T1_C1</t>
  </si>
  <si>
    <t>2021-10-25_Mcaps_37C_T1_C2</t>
  </si>
  <si>
    <t>2021-10-25_Mcaps_37C_T1_C3</t>
  </si>
  <si>
    <t>2021-10-25_Mcaps_37C_T1_C4</t>
  </si>
  <si>
    <t>2021-10-25_Mcaps_37C_T2_M1</t>
  </si>
  <si>
    <t>2021-10-25_Mcaps_37C_T2_M2</t>
  </si>
  <si>
    <t>2021-10-25_Mcaps_37C_T2_C1</t>
  </si>
  <si>
    <t>2021-10-25_Mcaps_37C_T2_C2</t>
  </si>
  <si>
    <t>2021-10-25_Mcaps_37C_T2_C3</t>
  </si>
  <si>
    <t>2021-10-25_Mcaps_37C_T2_C4</t>
  </si>
  <si>
    <t>2021-10-25_Mcaps_37C_T3_M1</t>
  </si>
  <si>
    <t>2021-10-25_Mcaps_37C_T3_M2</t>
  </si>
  <si>
    <t>2021-10-25_Mcaps_37C_T3_C1</t>
  </si>
  <si>
    <t>2021-10-25_Mcaps_37C_T3_C2</t>
  </si>
  <si>
    <t>2021-10-25_Mcaps_37C_T3_C3</t>
  </si>
  <si>
    <t>2021-10-25_Mcaps_37C_T3_C4</t>
  </si>
  <si>
    <t>2021-10-25_Mcaps_37C_T4_M1</t>
  </si>
  <si>
    <t>2021-10-25_Mcaps_37C_T4_M2</t>
  </si>
  <si>
    <t>2021-10-25_Mcaps_37C_T4_C1</t>
  </si>
  <si>
    <t>2021-10-25_Mcaps_37C_T4_C2</t>
  </si>
  <si>
    <t>2021-10-25_Mcaps_37C_T4_C3</t>
  </si>
  <si>
    <t>2021-10-25_Mcaps_37C_T4_C4</t>
  </si>
  <si>
    <t>2021-10-25_Mcaps_37C_T5_M1</t>
  </si>
  <si>
    <t>2021-10-25_Mcaps_37C_T5_M2</t>
  </si>
  <si>
    <t>2021-10-25_Mcaps_37C_T5_C1</t>
  </si>
  <si>
    <t>2021-10-25_Mcaps_37C_T5_C2</t>
  </si>
  <si>
    <t>2021-10-25_Mcaps_37C_T5_C3</t>
  </si>
  <si>
    <t>2021-10-25_Mcaps_37C_T5_C4</t>
  </si>
  <si>
    <t>No TCD</t>
  </si>
  <si>
    <t>*Accidentally had two bottles labeled as T5_M1 at the time of GC measurements instead of T5_M1 and T5_M2, so this is one of the two T5 monitor bottles, but I'm not sure which is which</t>
  </si>
  <si>
    <t>ND</t>
  </si>
  <si>
    <t>Culture not acidified (just refrigerated) and GC measurement taken day after</t>
  </si>
  <si>
    <t>f</t>
  </si>
  <si>
    <t>avgf</t>
  </si>
  <si>
    <t>stdev f (individual stdev from error propagation)</t>
  </si>
  <si>
    <t>stdev f (stdev from all f at the same time point)</t>
  </si>
  <si>
    <t>avg 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</si>
</sst>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3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22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0" borderId="0" xfId="0" applyFont="1"/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0" fillId="3" borderId="0" xfId="0" applyFill="1"/>
    <xf numFmtId="22" fontId="5" fillId="4" borderId="0" xfId="0" applyNumberFormat="1" applyFont="1" applyFill="1"/>
    <xf numFmtId="0" fontId="5" fillId="4" borderId="0" xfId="0" applyFont="1" applyFill="1"/>
    <xf numFmtId="0" fontId="0" fillId="4" borderId="0" xfId="0" applyFill="1"/>
    <xf numFmtId="0" fontId="2" fillId="4" borderId="0" xfId="0" applyFont="1" applyFill="1"/>
    <xf numFmtId="0" fontId="6" fillId="4" borderId="0" xfId="0" applyFont="1" applyFill="1"/>
    <xf numFmtId="22" fontId="0" fillId="4" borderId="0" xfId="0" applyNumberFormat="1" applyFill="1"/>
    <xf numFmtId="22" fontId="0" fillId="2" borderId="0" xfId="0" applyNumberFormat="1" applyFill="1"/>
    <xf numFmtId="0" fontId="2" fillId="2" borderId="0" xfId="0" applyFont="1" applyFill="1"/>
    <xf numFmtId="0" fontId="5" fillId="2" borderId="0" xfId="0" applyFont="1" applyFill="1"/>
    <xf numFmtId="22" fontId="0" fillId="5" borderId="0" xfId="0" applyNumberFormat="1" applyFill="1"/>
    <xf numFmtId="0" fontId="0" fillId="5" borderId="0" xfId="0" applyFill="1"/>
    <xf numFmtId="0" fontId="5" fillId="5" borderId="0" xfId="0" applyFont="1" applyFill="1"/>
    <xf numFmtId="0" fontId="2" fillId="5" borderId="0" xfId="0" applyFont="1" applyFill="1"/>
    <xf numFmtId="22" fontId="0" fillId="6" borderId="0" xfId="0" applyNumberFormat="1" applyFill="1"/>
    <xf numFmtId="0" fontId="0" fillId="6" borderId="0" xfId="0" applyFill="1"/>
    <xf numFmtId="0" fontId="5" fillId="6" borderId="0" xfId="0" applyFont="1" applyFill="1"/>
    <xf numFmtId="0" fontId="2" fillId="6" borderId="0" xfId="0" applyFont="1" applyFill="1"/>
    <xf numFmtId="22" fontId="0" fillId="7" borderId="0" xfId="0" applyNumberFormat="1" applyFill="1"/>
    <xf numFmtId="0" fontId="0" fillId="7" borderId="0" xfId="0" applyFill="1"/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10/25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CH4_std_curves!$H$2:$H$6</c:f>
              <c:numCache>
                <c:formatCode>General</c:formatCode>
                <c:ptCount val="5"/>
                <c:pt idx="0">
                  <c:v>124.5048</c:v>
                </c:pt>
                <c:pt idx="1">
                  <c:v>274.71899999999999</c:v>
                </c:pt>
                <c:pt idx="2">
                  <c:v>554.221</c:v>
                </c:pt>
                <c:pt idx="3">
                  <c:v>823.80010000000004</c:v>
                </c:pt>
                <c:pt idx="4">
                  <c:v>1107.2598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4672-BB7F-F5DEC3AC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10/26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CH4_std_curves!$H$7:$H$11</c:f>
              <c:numCache>
                <c:formatCode>General</c:formatCode>
                <c:ptCount val="5"/>
                <c:pt idx="0">
                  <c:v>119.6148</c:v>
                </c:pt>
                <c:pt idx="1">
                  <c:v>269.92840000000001</c:v>
                </c:pt>
                <c:pt idx="2">
                  <c:v>534.61659999999995</c:v>
                </c:pt>
                <c:pt idx="3">
                  <c:v>807.21939999999995</c:v>
                </c:pt>
                <c:pt idx="4">
                  <c:v>1078.2518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B-4E89-B354-8C2DC15C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CO2_std_curves!$F$2:$F$6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CO2_std_curves!$H$2:$H$6</c:f>
              <c:numCache>
                <c:formatCode>General</c:formatCode>
                <c:ptCount val="5"/>
                <c:pt idx="0">
                  <c:v>16.038799999999998</c:v>
                </c:pt>
                <c:pt idx="1">
                  <c:v>39.380800000000001</c:v>
                </c:pt>
                <c:pt idx="2">
                  <c:v>78.537199999999999</c:v>
                </c:pt>
                <c:pt idx="3">
                  <c:v>117.0763</c:v>
                </c:pt>
                <c:pt idx="4">
                  <c:v>158.52789999999999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F-1D42-9EEA-E52EB2DF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177800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C6A321-7955-2E40-8C8B-E62D75784DF6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  <xdr:twoCellAnchor>
    <xdr:from>
      <xdr:col>10</xdr:col>
      <xdr:colOff>592932</xdr:colOff>
      <xdr:row>0</xdr:row>
      <xdr:rowOff>690562</xdr:rowOff>
    </xdr:from>
    <xdr:to>
      <xdr:col>14</xdr:col>
      <xdr:colOff>307182</xdr:colOff>
      <xdr:row>9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14</xdr:col>
      <xdr:colOff>547688</xdr:colOff>
      <xdr:row>20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1</xdr:row>
      <xdr:rowOff>127000</xdr:rowOff>
    </xdr:from>
    <xdr:to>
      <xdr:col>15</xdr:col>
      <xdr:colOff>476250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266700</xdr:colOff>
      <xdr:row>0</xdr:row>
      <xdr:rowOff>254000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5F1677-5944-7F46-807F-9438CC8D4887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I1" zoomScaleNormal="70" workbookViewId="0">
      <pane ySplit="1" topLeftCell="A2" activePane="bottomLeft" state="frozen"/>
      <selection pane="bottomLeft" activeCell="Z43" activeCellId="5" sqref="Z12 Z18 Z24 Z30 Z37 Z43"/>
    </sheetView>
  </sheetViews>
  <sheetFormatPr baseColWidth="10" defaultColWidth="11" defaultRowHeight="16" x14ac:dyDescent="0.2"/>
  <cols>
    <col min="1" max="1" width="19.33203125" customWidth="1"/>
    <col min="2" max="2" width="28.6640625" customWidth="1"/>
    <col min="3" max="3" width="9" customWidth="1"/>
    <col min="4" max="4" width="9.6640625" customWidth="1"/>
    <col min="5" max="5" width="9.33203125" customWidth="1"/>
    <col min="6" max="6" width="10" customWidth="1"/>
    <col min="7" max="7" width="9.5" customWidth="1"/>
    <col min="8" max="8" width="9.6640625" customWidth="1"/>
    <col min="12" max="12" width="15" style="23" customWidth="1"/>
    <col min="13" max="13" width="11" style="23"/>
    <col min="14" max="14" width="15.1640625" style="23" customWidth="1"/>
    <col min="15" max="15" width="11" style="23"/>
    <col min="16" max="16" width="14.5" style="23" customWidth="1"/>
    <col min="17" max="17" width="15.5" style="23" customWidth="1"/>
    <col min="18" max="18" width="11" style="23"/>
    <col min="19" max="19" width="12.6640625" customWidth="1"/>
  </cols>
  <sheetData>
    <row r="1" spans="1:26" ht="65.25" customHeight="1" x14ac:dyDescent="0.2">
      <c r="A1" s="14" t="s">
        <v>0</v>
      </c>
      <c r="B1" s="14" t="s">
        <v>1</v>
      </c>
      <c r="C1" s="14" t="s">
        <v>19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20</v>
      </c>
      <c r="K1" s="14" t="s">
        <v>8</v>
      </c>
      <c r="L1" s="21" t="s">
        <v>24</v>
      </c>
      <c r="M1" s="21" t="s">
        <v>25</v>
      </c>
      <c r="N1" s="21" t="s">
        <v>28</v>
      </c>
      <c r="O1" s="21" t="s">
        <v>27</v>
      </c>
      <c r="P1" s="21" t="s">
        <v>22</v>
      </c>
      <c r="Q1" s="21" t="s">
        <v>23</v>
      </c>
      <c r="R1" s="21" t="s">
        <v>26</v>
      </c>
      <c r="S1" s="15" t="s">
        <v>29</v>
      </c>
      <c r="T1" s="15" t="s">
        <v>30</v>
      </c>
      <c r="U1" s="21" t="s">
        <v>66</v>
      </c>
      <c r="V1" t="s">
        <v>68</v>
      </c>
      <c r="W1" t="s">
        <v>67</v>
      </c>
      <c r="X1" t="s">
        <v>69</v>
      </c>
      <c r="Y1" t="s">
        <v>70</v>
      </c>
    </row>
    <row r="2" spans="1:26" s="25" customFormat="1" x14ac:dyDescent="0.2">
      <c r="A2" s="24">
        <v>44494.35</v>
      </c>
      <c r="B2" s="25" t="s">
        <v>32</v>
      </c>
      <c r="C2" s="25">
        <v>30</v>
      </c>
      <c r="D2" s="26">
        <v>1.3560000000000001</v>
      </c>
      <c r="E2" s="27">
        <v>918.76179999999999</v>
      </c>
      <c r="F2" s="28" t="s">
        <v>62</v>
      </c>
      <c r="G2" s="28" t="s">
        <v>62</v>
      </c>
      <c r="H2" s="28" t="s">
        <v>62</v>
      </c>
      <c r="I2" s="28" t="s">
        <v>62</v>
      </c>
      <c r="J2" s="25">
        <v>0</v>
      </c>
      <c r="L2" s="25">
        <v>160</v>
      </c>
      <c r="M2" s="25">
        <v>30.03</v>
      </c>
      <c r="N2" s="25">
        <v>0</v>
      </c>
      <c r="O2" s="25">
        <v>0.8</v>
      </c>
      <c r="P2" s="25">
        <v>0</v>
      </c>
      <c r="Q2" s="25">
        <v>0</v>
      </c>
      <c r="R2" s="25">
        <f>L2-M2-N2+(O2*P2)-Q2</f>
        <v>129.97</v>
      </c>
      <c r="S2" s="25">
        <f>((E2-CH4_std_curves!$J$2)/CH4_std_curves!$I$2)/C2</f>
        <v>4.5988799546487407</v>
      </c>
      <c r="T2" s="26">
        <f t="shared" ref="T2:T7" si="0">S2*1000/1000*R2</f>
        <v>597.71642770569679</v>
      </c>
    </row>
    <row r="3" spans="1:26" s="26" customFormat="1" x14ac:dyDescent="0.2">
      <c r="A3" s="29">
        <v>44494.365277777775</v>
      </c>
      <c r="B3" s="26" t="s">
        <v>33</v>
      </c>
      <c r="C3" s="26">
        <v>30</v>
      </c>
      <c r="D3" s="27">
        <v>1.3560000000000001</v>
      </c>
      <c r="E3" s="27">
        <v>912.46299999999997</v>
      </c>
      <c r="F3" s="28" t="s">
        <v>62</v>
      </c>
      <c r="G3" s="28" t="s">
        <v>62</v>
      </c>
      <c r="H3" s="28" t="s">
        <v>62</v>
      </c>
      <c r="I3" s="28" t="s">
        <v>62</v>
      </c>
      <c r="J3" s="26">
        <v>0</v>
      </c>
      <c r="L3" s="25">
        <v>160</v>
      </c>
      <c r="M3" s="25">
        <v>30.03</v>
      </c>
      <c r="N3" s="25">
        <v>0</v>
      </c>
      <c r="O3" s="25">
        <v>0.8</v>
      </c>
      <c r="P3" s="25">
        <v>0</v>
      </c>
      <c r="Q3" s="25">
        <v>0</v>
      </c>
      <c r="R3" s="25">
        <f t="shared" ref="R3:R43" si="1">L3-M3-N3+(O3*P3)-Q3</f>
        <v>129.97</v>
      </c>
      <c r="S3" s="25">
        <f>((E3-CH4_std_curves!$J$2)/CH4_std_curves!$I$2)/C3</f>
        <v>4.5676621213208835</v>
      </c>
      <c r="T3" s="26">
        <f t="shared" si="0"/>
        <v>593.6590459080752</v>
      </c>
    </row>
    <row r="4" spans="1:26" s="25" customFormat="1" x14ac:dyDescent="0.2">
      <c r="A4" s="29">
        <v>44494.379861111112</v>
      </c>
      <c r="B4" s="25" t="s">
        <v>38</v>
      </c>
      <c r="C4" s="25">
        <v>30</v>
      </c>
      <c r="D4" s="26">
        <v>1.3560000000000001</v>
      </c>
      <c r="E4" s="26">
        <v>885.16700000000003</v>
      </c>
      <c r="F4" s="28" t="s">
        <v>62</v>
      </c>
      <c r="G4" s="28" t="s">
        <v>62</v>
      </c>
      <c r="H4" s="28" t="s">
        <v>62</v>
      </c>
      <c r="I4" s="28" t="s">
        <v>62</v>
      </c>
      <c r="J4" s="25">
        <v>0</v>
      </c>
      <c r="K4" s="28"/>
      <c r="L4" s="25">
        <v>160</v>
      </c>
      <c r="M4" s="25">
        <v>30.03</v>
      </c>
      <c r="N4" s="25">
        <v>0</v>
      </c>
      <c r="O4" s="25">
        <v>0.8</v>
      </c>
      <c r="P4" s="25">
        <v>0</v>
      </c>
      <c r="Q4" s="25">
        <v>0</v>
      </c>
      <c r="R4" s="25">
        <f t="shared" si="1"/>
        <v>129.97</v>
      </c>
      <c r="S4" s="25">
        <f>((E4-CH4_std_curves!$J$2)/CH4_std_curves!$I$2)/C4</f>
        <v>4.4323788961800341</v>
      </c>
      <c r="T4" s="25">
        <f t="shared" si="0"/>
        <v>576.076285136519</v>
      </c>
    </row>
    <row r="5" spans="1:26" s="26" customFormat="1" x14ac:dyDescent="0.2">
      <c r="A5" s="29">
        <v>44494.393750000003</v>
      </c>
      <c r="B5" s="26" t="s">
        <v>39</v>
      </c>
      <c r="C5" s="26">
        <v>30</v>
      </c>
      <c r="D5" s="26">
        <v>1.35</v>
      </c>
      <c r="E5" s="27">
        <v>915.73749999999995</v>
      </c>
      <c r="F5" s="28" t="s">
        <v>62</v>
      </c>
      <c r="G5" s="28" t="s">
        <v>62</v>
      </c>
      <c r="H5" s="28" t="s">
        <v>62</v>
      </c>
      <c r="I5" s="28" t="s">
        <v>62</v>
      </c>
      <c r="J5" s="25">
        <v>0</v>
      </c>
      <c r="L5" s="25">
        <v>160</v>
      </c>
      <c r="M5" s="25">
        <v>30.03</v>
      </c>
      <c r="N5" s="25">
        <v>0</v>
      </c>
      <c r="O5" s="25">
        <v>0.8</v>
      </c>
      <c r="P5" s="25">
        <v>0</v>
      </c>
      <c r="Q5" s="25">
        <v>0</v>
      </c>
      <c r="R5" s="25">
        <f t="shared" si="1"/>
        <v>129.97</v>
      </c>
      <c r="S5" s="25">
        <f>((E5-CH4_std_curves!$J$2)/CH4_std_curves!$I$2)/C5</f>
        <v>4.5838910530590038</v>
      </c>
      <c r="T5" s="26">
        <f t="shared" si="0"/>
        <v>595.76832016607875</v>
      </c>
      <c r="U5" s="25"/>
    </row>
    <row r="6" spans="1:26" s="26" customFormat="1" x14ac:dyDescent="0.2">
      <c r="A6" s="29">
        <v>44494.407638888886</v>
      </c>
      <c r="B6" s="26" t="s">
        <v>44</v>
      </c>
      <c r="C6" s="26">
        <v>30</v>
      </c>
      <c r="D6" s="26">
        <v>1.3560000000000001</v>
      </c>
      <c r="E6" s="26">
        <v>931.16650000000004</v>
      </c>
      <c r="F6" s="28" t="s">
        <v>62</v>
      </c>
      <c r="G6" s="28" t="s">
        <v>62</v>
      </c>
      <c r="H6" s="28" t="s">
        <v>62</v>
      </c>
      <c r="I6" s="28" t="s">
        <v>62</v>
      </c>
      <c r="J6" s="25">
        <v>0</v>
      </c>
      <c r="L6" s="25">
        <v>160</v>
      </c>
      <c r="M6" s="25">
        <v>30.03</v>
      </c>
      <c r="N6" s="25">
        <v>0</v>
      </c>
      <c r="O6" s="25">
        <v>0.8</v>
      </c>
      <c r="P6" s="25">
        <v>0</v>
      </c>
      <c r="Q6" s="25">
        <v>0</v>
      </c>
      <c r="R6" s="25">
        <f t="shared" si="1"/>
        <v>129.97</v>
      </c>
      <c r="S6" s="25">
        <f>((E6-CH4_std_curves!$J$2)/CH4_std_curves!$I$2)/C6</f>
        <v>4.6603595788759069</v>
      </c>
      <c r="T6" s="26">
        <f t="shared" si="0"/>
        <v>605.70693446650159</v>
      </c>
      <c r="U6" s="25"/>
      <c r="W6" s="25"/>
    </row>
    <row r="7" spans="1:26" s="26" customFormat="1" x14ac:dyDescent="0.2">
      <c r="A7" s="29">
        <v>44494.421527777777</v>
      </c>
      <c r="B7" s="26" t="s">
        <v>45</v>
      </c>
      <c r="C7" s="26">
        <v>30</v>
      </c>
      <c r="D7" s="26">
        <v>1.3560000000000001</v>
      </c>
      <c r="E7" s="26">
        <v>923.93979999999999</v>
      </c>
      <c r="F7" s="28" t="s">
        <v>62</v>
      </c>
      <c r="G7" s="28" t="s">
        <v>62</v>
      </c>
      <c r="H7" s="28" t="s">
        <v>62</v>
      </c>
      <c r="I7" s="28" t="s">
        <v>62</v>
      </c>
      <c r="J7" s="25">
        <v>0</v>
      </c>
      <c r="L7" s="25">
        <v>160</v>
      </c>
      <c r="M7" s="25">
        <v>30.03</v>
      </c>
      <c r="N7" s="25">
        <v>0</v>
      </c>
      <c r="O7" s="25">
        <v>0.8</v>
      </c>
      <c r="P7" s="25">
        <v>0</v>
      </c>
      <c r="Q7" s="25">
        <v>0</v>
      </c>
      <c r="R7" s="25">
        <f t="shared" si="1"/>
        <v>129.97</v>
      </c>
      <c r="S7" s="25">
        <f>((E7-CH4_std_curves!$J$2)/CH4_std_curves!$I$2)/C7</f>
        <v>4.6245429287027902</v>
      </c>
      <c r="T7" s="26">
        <f t="shared" si="0"/>
        <v>601.05184444350164</v>
      </c>
      <c r="U7" s="25"/>
    </row>
    <row r="8" spans="1:26" s="26" customFormat="1" x14ac:dyDescent="0.2">
      <c r="A8" s="29">
        <v>44494.435416666667</v>
      </c>
      <c r="B8" s="26" t="s">
        <v>50</v>
      </c>
      <c r="C8" s="26">
        <v>30</v>
      </c>
      <c r="D8" s="26">
        <v>1.3560000000000001</v>
      </c>
      <c r="E8" s="27">
        <v>930.44680000000005</v>
      </c>
      <c r="F8" s="28" t="s">
        <v>62</v>
      </c>
      <c r="G8" s="28" t="s">
        <v>62</v>
      </c>
      <c r="H8" s="28" t="s">
        <v>62</v>
      </c>
      <c r="I8" s="28" t="s">
        <v>62</v>
      </c>
      <c r="J8" s="25">
        <v>0</v>
      </c>
      <c r="L8" s="25">
        <v>160</v>
      </c>
      <c r="M8" s="25">
        <v>30.03</v>
      </c>
      <c r="N8" s="25">
        <v>0</v>
      </c>
      <c r="O8" s="25">
        <v>0.8</v>
      </c>
      <c r="P8" s="25">
        <v>0</v>
      </c>
      <c r="Q8" s="25">
        <v>0</v>
      </c>
      <c r="R8" s="25">
        <f t="shared" si="1"/>
        <v>129.97</v>
      </c>
      <c r="S8" s="25">
        <f>((E8-CH4_std_curves!$J$2)/CH4_std_curves!$I$2)/C8</f>
        <v>4.656792633640932</v>
      </c>
      <c r="T8" s="26">
        <f>S8*1000/1000*R8</f>
        <v>605.24333859431192</v>
      </c>
      <c r="U8" s="25"/>
      <c r="W8" s="25"/>
    </row>
    <row r="9" spans="1:26" s="26" customFormat="1" x14ac:dyDescent="0.2">
      <c r="A9" s="29">
        <v>44494.454861111109</v>
      </c>
      <c r="B9" s="26" t="s">
        <v>51</v>
      </c>
      <c r="C9" s="26">
        <v>30</v>
      </c>
      <c r="D9" s="27">
        <v>1.343</v>
      </c>
      <c r="E9" s="27">
        <v>902.53139999999996</v>
      </c>
      <c r="F9" s="28" t="s">
        <v>62</v>
      </c>
      <c r="G9" s="28" t="s">
        <v>62</v>
      </c>
      <c r="H9" s="28" t="s">
        <v>62</v>
      </c>
      <c r="I9" s="28" t="s">
        <v>62</v>
      </c>
      <c r="J9" s="25">
        <v>0</v>
      </c>
      <c r="L9" s="25">
        <v>160</v>
      </c>
      <c r="M9" s="25">
        <v>30.03</v>
      </c>
      <c r="N9" s="25">
        <v>0</v>
      </c>
      <c r="O9" s="25">
        <v>0.8</v>
      </c>
      <c r="P9" s="25">
        <v>0</v>
      </c>
      <c r="Q9" s="25">
        <v>0</v>
      </c>
      <c r="R9" s="25">
        <f t="shared" si="1"/>
        <v>129.97</v>
      </c>
      <c r="S9" s="25">
        <f>((E9-CH4_std_curves!$J$2)/CH4_std_curves!$I$2)/C9</f>
        <v>4.5184395656787064</v>
      </c>
      <c r="T9" s="26">
        <f t="shared" ref="T9:T18" si="2">S9*1000/1000*R9</f>
        <v>587.26159035126148</v>
      </c>
      <c r="U9" s="25"/>
    </row>
    <row r="10" spans="1:26" s="26" customFormat="1" x14ac:dyDescent="0.2">
      <c r="A10" s="29">
        <v>44494.469444444447</v>
      </c>
      <c r="B10" s="26" t="s">
        <v>56</v>
      </c>
      <c r="C10" s="26">
        <v>30</v>
      </c>
      <c r="D10" s="26">
        <v>1.35</v>
      </c>
      <c r="E10" s="27">
        <v>939.27919999999995</v>
      </c>
      <c r="F10" s="28" t="s">
        <v>62</v>
      </c>
      <c r="G10" s="28" t="s">
        <v>62</v>
      </c>
      <c r="H10" s="28" t="s">
        <v>62</v>
      </c>
      <c r="I10" s="28" t="s">
        <v>62</v>
      </c>
      <c r="J10" s="25">
        <v>0</v>
      </c>
      <c r="K10" s="28" t="s">
        <v>63</v>
      </c>
      <c r="L10" s="25">
        <v>160</v>
      </c>
      <c r="M10" s="25">
        <v>30.03</v>
      </c>
      <c r="N10" s="25">
        <v>0</v>
      </c>
      <c r="O10" s="25">
        <v>0.8</v>
      </c>
      <c r="P10" s="25">
        <v>0</v>
      </c>
      <c r="Q10" s="25">
        <v>0</v>
      </c>
      <c r="R10" s="25">
        <f t="shared" si="1"/>
        <v>129.97</v>
      </c>
      <c r="S10" s="25">
        <f>((E10-CH4_std_curves!$J$2)/CH4_std_curves!$I$2)/C10</f>
        <v>4.7005673829717516</v>
      </c>
      <c r="T10" s="26">
        <f t="shared" si="2"/>
        <v>610.93274276483851</v>
      </c>
      <c r="U10" s="25"/>
      <c r="W10" s="25"/>
    </row>
    <row r="11" spans="1:26" s="26" customFormat="1" x14ac:dyDescent="0.2">
      <c r="A11" s="29">
        <v>44494.48333333333</v>
      </c>
      <c r="B11" s="26" t="s">
        <v>57</v>
      </c>
      <c r="C11" s="26">
        <v>30</v>
      </c>
      <c r="D11" s="27">
        <v>1.35</v>
      </c>
      <c r="E11" s="27">
        <v>918.71280000000002</v>
      </c>
      <c r="F11" s="28" t="s">
        <v>62</v>
      </c>
      <c r="G11" s="28" t="s">
        <v>62</v>
      </c>
      <c r="H11" s="28" t="s">
        <v>62</v>
      </c>
      <c r="I11" s="28" t="s">
        <v>62</v>
      </c>
      <c r="J11" s="25">
        <v>0</v>
      </c>
      <c r="K11" s="28" t="s">
        <v>63</v>
      </c>
      <c r="L11" s="25">
        <v>160</v>
      </c>
      <c r="M11" s="25">
        <v>30.03</v>
      </c>
      <c r="N11" s="25">
        <v>0</v>
      </c>
      <c r="O11" s="25">
        <v>0.8</v>
      </c>
      <c r="P11" s="25">
        <v>0</v>
      </c>
      <c r="Q11" s="25">
        <v>0</v>
      </c>
      <c r="R11" s="25">
        <f t="shared" si="1"/>
        <v>129.97</v>
      </c>
      <c r="S11" s="25">
        <f>((E11-CH4_std_curves!$J$2)/CH4_std_curves!$I$2)/C11</f>
        <v>4.5986371030209607</v>
      </c>
      <c r="T11" s="26">
        <f t="shared" si="2"/>
        <v>597.68486427963421</v>
      </c>
      <c r="U11" s="25"/>
    </row>
    <row r="12" spans="1:26" s="26" customFormat="1" x14ac:dyDescent="0.2">
      <c r="A12" s="29">
        <v>44494.506944444445</v>
      </c>
      <c r="B12" s="26" t="s">
        <v>31</v>
      </c>
      <c r="C12" s="26">
        <v>30</v>
      </c>
      <c r="D12" s="26">
        <v>1.3560000000000001</v>
      </c>
      <c r="E12" s="26">
        <v>927.423</v>
      </c>
      <c r="F12" s="28" t="s">
        <v>62</v>
      </c>
      <c r="G12" s="28" t="s">
        <v>62</v>
      </c>
      <c r="H12" s="28" t="s">
        <v>62</v>
      </c>
      <c r="I12" s="28" t="s">
        <v>62</v>
      </c>
      <c r="J12" s="25">
        <v>0</v>
      </c>
      <c r="L12" s="25">
        <v>160</v>
      </c>
      <c r="M12" s="25">
        <v>30.03</v>
      </c>
      <c r="N12" s="25">
        <v>0</v>
      </c>
      <c r="O12" s="25">
        <v>0.8</v>
      </c>
      <c r="P12" s="25">
        <v>0</v>
      </c>
      <c r="Q12" s="25">
        <v>0</v>
      </c>
      <c r="R12" s="25">
        <f t="shared" si="1"/>
        <v>129.97</v>
      </c>
      <c r="S12" s="25">
        <f>((E12-CH4_std_curves!$J$2)/CH4_std_curves!$I$2)/C12</f>
        <v>4.6418062101290296</v>
      </c>
      <c r="T12" s="26">
        <f t="shared" si="2"/>
        <v>603.29555313047001</v>
      </c>
      <c r="U12" s="25">
        <f>AVERAGE(T2:T12)</f>
        <v>597.67244972244441</v>
      </c>
      <c r="V12" s="26">
        <f>STDEV(T2:T12)</f>
        <v>9.6708934488942884</v>
      </c>
      <c r="W12" s="25"/>
      <c r="Y12" s="26">
        <f>AVERAGE(T2:T12)</f>
        <v>597.67244972244441</v>
      </c>
      <c r="Z12" s="26">
        <f>STDEV(T2:T12)</f>
        <v>9.6708934488942884</v>
      </c>
    </row>
    <row r="13" spans="1:26" s="4" customFormat="1" x14ac:dyDescent="0.2">
      <c r="A13" s="30">
        <v>44495.4</v>
      </c>
      <c r="B13" s="4" t="s">
        <v>34</v>
      </c>
      <c r="C13" s="4">
        <v>30</v>
      </c>
      <c r="D13" s="4">
        <v>1.36</v>
      </c>
      <c r="E13" s="4">
        <v>655.08759999999995</v>
      </c>
      <c r="F13" s="4">
        <v>1.323</v>
      </c>
      <c r="G13" s="4">
        <v>12.7698</v>
      </c>
      <c r="H13" s="31" t="s">
        <v>64</v>
      </c>
      <c r="I13" s="31" t="s">
        <v>64</v>
      </c>
      <c r="J13" s="32">
        <v>1</v>
      </c>
      <c r="L13" s="32">
        <v>160</v>
      </c>
      <c r="M13" s="32">
        <v>30.03</v>
      </c>
      <c r="N13" s="32">
        <v>1.7</v>
      </c>
      <c r="O13" s="32">
        <v>0.8</v>
      </c>
      <c r="P13" s="32">
        <v>0</v>
      </c>
      <c r="Q13" s="32">
        <v>1</v>
      </c>
      <c r="R13" s="32">
        <f t="shared" si="1"/>
        <v>127.27000000000001</v>
      </c>
      <c r="S13" s="32">
        <f>((E13-CH4_std_curves!$J$7)/CH4_std_curves!$I$7)/C13</f>
        <v>3.3776537413040679</v>
      </c>
      <c r="T13" s="4">
        <f t="shared" si="2"/>
        <v>429.87399165576875</v>
      </c>
      <c r="U13" s="32">
        <f>T13/$U$12</f>
        <v>0.71924679120712309</v>
      </c>
      <c r="V13" s="4">
        <f>$V$12*T13/$U$12^2</f>
        <v>1.1638078824703095E-2</v>
      </c>
      <c r="W13" s="4">
        <f>AVERAGE(U13:U18)</f>
        <v>0.70312910759982383</v>
      </c>
      <c r="X13" s="4">
        <f>STDEV(U13:U18)</f>
        <v>6.4831207606503502E-2</v>
      </c>
    </row>
    <row r="14" spans="1:26" s="4" customFormat="1" x14ac:dyDescent="0.2">
      <c r="A14" s="30">
        <v>44495.411805555559</v>
      </c>
      <c r="B14" s="4" t="s">
        <v>35</v>
      </c>
      <c r="C14" s="4">
        <v>30</v>
      </c>
      <c r="D14" s="4">
        <v>1.35</v>
      </c>
      <c r="E14" s="4">
        <v>607.61659999999995</v>
      </c>
      <c r="F14" s="4">
        <v>1.3129999999999999</v>
      </c>
      <c r="G14" s="4">
        <v>11.899800000000001</v>
      </c>
      <c r="H14" s="31" t="s">
        <v>64</v>
      </c>
      <c r="I14" s="31" t="s">
        <v>64</v>
      </c>
      <c r="J14" s="32">
        <v>1</v>
      </c>
      <c r="L14" s="32">
        <v>160</v>
      </c>
      <c r="M14" s="32">
        <v>30.03</v>
      </c>
      <c r="N14" s="32">
        <v>1.7</v>
      </c>
      <c r="O14" s="32">
        <v>0.8</v>
      </c>
      <c r="P14" s="32">
        <v>0</v>
      </c>
      <c r="Q14" s="32">
        <v>1</v>
      </c>
      <c r="R14" s="32">
        <f>L14-M14-N14+(O14*P14)-Q14</f>
        <v>127.27000000000001</v>
      </c>
      <c r="S14" s="32">
        <f>((E14-CH4_std_curves!$J$7)/CH4_std_curves!$I$7)/C14</f>
        <v>3.1365879335839444</v>
      </c>
      <c r="T14" s="4">
        <f t="shared" si="2"/>
        <v>399.19354630722864</v>
      </c>
      <c r="U14" s="32">
        <f>T14/$U$12</f>
        <v>0.66791358124774158</v>
      </c>
      <c r="V14" s="4">
        <f t="shared" ref="V14:V43" si="3">$V$12*T14/$U$12^2</f>
        <v>1.080745997296007E-2</v>
      </c>
    </row>
    <row r="15" spans="1:26" s="4" customFormat="1" x14ac:dyDescent="0.2">
      <c r="A15" s="30">
        <v>44495.425000000003</v>
      </c>
      <c r="B15" s="4" t="s">
        <v>36</v>
      </c>
      <c r="C15" s="4">
        <v>30</v>
      </c>
      <c r="D15" s="4">
        <v>1.353</v>
      </c>
      <c r="E15" s="31">
        <v>583.26070000000004</v>
      </c>
      <c r="F15" s="4">
        <v>1.3160000000000001</v>
      </c>
      <c r="G15" s="4">
        <v>11.5054</v>
      </c>
      <c r="H15" s="31" t="s">
        <v>64</v>
      </c>
      <c r="I15" s="31" t="s">
        <v>64</v>
      </c>
      <c r="J15" s="32">
        <v>1</v>
      </c>
      <c r="K15" s="31"/>
      <c r="L15" s="32">
        <v>160</v>
      </c>
      <c r="M15" s="32">
        <v>30.03</v>
      </c>
      <c r="N15" s="32">
        <v>1.7</v>
      </c>
      <c r="O15" s="32">
        <v>0.8</v>
      </c>
      <c r="P15" s="32">
        <v>0</v>
      </c>
      <c r="Q15" s="32">
        <v>1</v>
      </c>
      <c r="R15" s="32">
        <f t="shared" si="1"/>
        <v>127.27000000000001</v>
      </c>
      <c r="S15" s="32">
        <f>((E15-CH4_std_curves!$J$7)/CH4_std_curves!$I$7)/C15</f>
        <v>3.012904533060456</v>
      </c>
      <c r="T15" s="4">
        <f t="shared" si="2"/>
        <v>383.45235992260427</v>
      </c>
      <c r="U15" s="32">
        <f t="shared" ref="U15:U43" si="4">T15/$U$12</f>
        <v>0.64157610092397144</v>
      </c>
      <c r="V15" s="4">
        <f t="shared" si="3"/>
        <v>1.038129516305154E-2</v>
      </c>
    </row>
    <row r="16" spans="1:26" s="4" customFormat="1" x14ac:dyDescent="0.2">
      <c r="A16" s="30">
        <v>44495.438888888886</v>
      </c>
      <c r="B16" s="4" t="s">
        <v>37</v>
      </c>
      <c r="C16" s="4">
        <v>30</v>
      </c>
      <c r="D16" s="4">
        <v>1.35</v>
      </c>
      <c r="E16" s="31">
        <v>731.51520000000005</v>
      </c>
      <c r="F16" s="4">
        <v>1.3129999999999999</v>
      </c>
      <c r="G16" s="31">
        <v>14.4648</v>
      </c>
      <c r="H16" s="31" t="s">
        <v>64</v>
      </c>
      <c r="I16" s="31" t="s">
        <v>64</v>
      </c>
      <c r="J16" s="32">
        <v>1</v>
      </c>
      <c r="L16" s="32">
        <v>160</v>
      </c>
      <c r="M16" s="32">
        <v>30.03</v>
      </c>
      <c r="N16" s="32">
        <v>1.7</v>
      </c>
      <c r="O16" s="32">
        <v>0.8</v>
      </c>
      <c r="P16" s="32">
        <v>0</v>
      </c>
      <c r="Q16" s="32">
        <v>1</v>
      </c>
      <c r="R16" s="32">
        <f>L16-M16-N16+(O16*P16)-Q16</f>
        <v>127.27000000000001</v>
      </c>
      <c r="S16" s="32">
        <f>((E16-CH4_std_curves!$J$7)/CH4_std_curves!$I$7)/C16</f>
        <v>3.7657660862327722</v>
      </c>
      <c r="T16" s="4">
        <f t="shared" si="2"/>
        <v>479.26904979484493</v>
      </c>
      <c r="U16" s="32">
        <f t="shared" si="4"/>
        <v>0.80189249147658503</v>
      </c>
      <c r="V16" s="4">
        <f t="shared" si="3"/>
        <v>1.2975362752858712E-2</v>
      </c>
    </row>
    <row r="17" spans="1:26" s="4" customFormat="1" x14ac:dyDescent="0.2">
      <c r="A17" s="30">
        <v>44495.452777777777</v>
      </c>
      <c r="B17" s="31" t="s">
        <v>32</v>
      </c>
      <c r="C17" s="4">
        <v>30</v>
      </c>
      <c r="D17" s="4">
        <v>1.3460000000000001</v>
      </c>
      <c r="E17" s="31">
        <v>574.62099999999998</v>
      </c>
      <c r="F17" s="4">
        <v>1.31</v>
      </c>
      <c r="G17" s="4">
        <v>11.320399999999999</v>
      </c>
      <c r="H17" s="31" t="s">
        <v>64</v>
      </c>
      <c r="I17" s="31" t="s">
        <v>64</v>
      </c>
      <c r="J17" s="32">
        <v>1</v>
      </c>
      <c r="L17" s="32">
        <v>160</v>
      </c>
      <c r="M17" s="32">
        <v>30.03</v>
      </c>
      <c r="N17" s="32">
        <v>1.7</v>
      </c>
      <c r="O17" s="32">
        <v>0.8</v>
      </c>
      <c r="P17" s="32">
        <v>2</v>
      </c>
      <c r="Q17" s="32">
        <v>1</v>
      </c>
      <c r="R17" s="32">
        <f t="shared" si="1"/>
        <v>128.87</v>
      </c>
      <c r="S17" s="32">
        <f>((E17-CH4_std_curves!$J$7)/CH4_std_curves!$I$7)/C17</f>
        <v>2.9690306677751326</v>
      </c>
      <c r="T17" s="4">
        <f t="shared" si="2"/>
        <v>382.61898215618135</v>
      </c>
      <c r="U17" s="32">
        <f t="shared" si="4"/>
        <v>0.64018172886146474</v>
      </c>
      <c r="V17" s="4">
        <f t="shared" si="3"/>
        <v>1.0358732932433615E-2</v>
      </c>
    </row>
    <row r="18" spans="1:26" s="4" customFormat="1" x14ac:dyDescent="0.2">
      <c r="A18" s="30">
        <v>44495.467361111114</v>
      </c>
      <c r="B18" s="4" t="s">
        <v>33</v>
      </c>
      <c r="C18" s="4">
        <v>30</v>
      </c>
      <c r="D18" s="4">
        <v>1.36</v>
      </c>
      <c r="E18" s="4">
        <v>673.05640000000005</v>
      </c>
      <c r="F18" s="4">
        <v>1.3260000000000001</v>
      </c>
      <c r="G18" s="4">
        <v>13.303000000000001</v>
      </c>
      <c r="H18" s="31" t="s">
        <v>64</v>
      </c>
      <c r="I18" s="31" t="s">
        <v>64</v>
      </c>
      <c r="J18" s="32">
        <v>1</v>
      </c>
      <c r="L18" s="32">
        <v>160</v>
      </c>
      <c r="M18" s="32">
        <v>30.03</v>
      </c>
      <c r="N18" s="32">
        <v>1.7</v>
      </c>
      <c r="O18" s="32">
        <v>0.8</v>
      </c>
      <c r="P18" s="4">
        <v>2</v>
      </c>
      <c r="Q18" s="4">
        <v>1</v>
      </c>
      <c r="R18" s="4">
        <f t="shared" si="1"/>
        <v>128.87</v>
      </c>
      <c r="S18" s="32">
        <f>((E18-CH4_std_curves!$J$7)/CH4_std_curves!$I$7)/C18</f>
        <v>3.4689023622676327</v>
      </c>
      <c r="T18" s="4">
        <f t="shared" si="2"/>
        <v>447.03744742542983</v>
      </c>
      <c r="U18" s="32">
        <f t="shared" si="4"/>
        <v>0.74796395188205744</v>
      </c>
      <c r="V18" s="4">
        <f t="shared" si="3"/>
        <v>1.2102749065352532E-2</v>
      </c>
      <c r="Y18" s="4">
        <f>AVERAGE(T13:T18)</f>
        <v>420.24089621034295</v>
      </c>
      <c r="Z18" s="4">
        <f>STDEV(T13:T18)</f>
        <v>38.747826668643299</v>
      </c>
    </row>
    <row r="19" spans="1:26" s="38" customFormat="1" x14ac:dyDescent="0.2">
      <c r="A19" s="37">
        <v>44495.509027777778</v>
      </c>
      <c r="B19" s="38" t="s">
        <v>40</v>
      </c>
      <c r="C19" s="38">
        <v>30</v>
      </c>
      <c r="D19" s="38">
        <v>1.35</v>
      </c>
      <c r="E19" s="38">
        <v>489.0104</v>
      </c>
      <c r="F19" s="38">
        <v>1.3160000000000001</v>
      </c>
      <c r="G19" s="38">
        <v>9.5451999999999995</v>
      </c>
      <c r="H19" s="38">
        <v>2.5230000000000001</v>
      </c>
      <c r="I19" s="38">
        <v>5.6188000000000002</v>
      </c>
      <c r="J19" s="39">
        <v>2</v>
      </c>
      <c r="L19" s="39">
        <v>160</v>
      </c>
      <c r="M19" s="39">
        <v>30.03</v>
      </c>
      <c r="N19" s="38">
        <v>1.7</v>
      </c>
      <c r="O19" s="39">
        <v>0.8</v>
      </c>
      <c r="P19" s="38">
        <v>0</v>
      </c>
      <c r="Q19" s="38">
        <v>1</v>
      </c>
      <c r="R19" s="38">
        <f t="shared" si="1"/>
        <v>127.27000000000001</v>
      </c>
      <c r="S19" s="39">
        <f>((E19-CH4_std_curves!$J$7)/CH4_std_curves!$I$7)/C19</f>
        <v>2.5342854878041106</v>
      </c>
      <c r="T19" s="38">
        <f t="shared" ref="T19:T26" si="5">S19*1000/1000*R19</f>
        <v>322.5385140328292</v>
      </c>
      <c r="U19" s="39">
        <f t="shared" si="4"/>
        <v>0.53965765727132675</v>
      </c>
      <c r="V19" s="38">
        <f t="shared" si="3"/>
        <v>8.7321604078865831E-3</v>
      </c>
      <c r="W19" s="38">
        <f>AVERAGE(U19:U24)</f>
        <v>0.52656495121553637</v>
      </c>
      <c r="X19" s="38">
        <f>STDEV(U19:U24)</f>
        <v>9.3386630414006605E-2</v>
      </c>
    </row>
    <row r="20" spans="1:26" s="38" customFormat="1" x14ac:dyDescent="0.2">
      <c r="A20" s="37">
        <v>44495.522222222222</v>
      </c>
      <c r="B20" s="38" t="s">
        <v>41</v>
      </c>
      <c r="C20" s="38">
        <v>30</v>
      </c>
      <c r="D20" s="38">
        <v>1.353</v>
      </c>
      <c r="E20" s="38">
        <v>504.46559999999999</v>
      </c>
      <c r="F20" s="38">
        <v>1.32</v>
      </c>
      <c r="G20" s="38">
        <v>9.9762000000000004</v>
      </c>
      <c r="H20" s="38">
        <v>2.5129999999999999</v>
      </c>
      <c r="I20" s="38">
        <v>5.4431000000000003</v>
      </c>
      <c r="J20" s="39">
        <v>2</v>
      </c>
      <c r="L20" s="39">
        <v>160</v>
      </c>
      <c r="M20" s="39">
        <v>30.03</v>
      </c>
      <c r="N20" s="38">
        <v>1.7</v>
      </c>
      <c r="O20" s="39">
        <v>0.8</v>
      </c>
      <c r="P20" s="38">
        <v>0</v>
      </c>
      <c r="Q20" s="38">
        <v>1</v>
      </c>
      <c r="R20" s="38">
        <f t="shared" si="1"/>
        <v>127.27000000000001</v>
      </c>
      <c r="S20" s="39">
        <f>((E20-CH4_std_curves!$J$7)/CH4_std_curves!$I$7)/C20</f>
        <v>2.6127696206742006</v>
      </c>
      <c r="T20" s="38">
        <f t="shared" si="5"/>
        <v>332.52718962320552</v>
      </c>
      <c r="U20" s="39">
        <f t="shared" si="4"/>
        <v>0.55637028238064046</v>
      </c>
      <c r="V20" s="38">
        <f t="shared" si="3"/>
        <v>9.002586151550267E-3</v>
      </c>
    </row>
    <row r="21" spans="1:26" s="38" customFormat="1" x14ac:dyDescent="0.2">
      <c r="A21" s="37">
        <v>44495.536111111112</v>
      </c>
      <c r="B21" s="38" t="s">
        <v>42</v>
      </c>
      <c r="C21" s="38">
        <v>30</v>
      </c>
      <c r="D21" s="38">
        <v>1.353</v>
      </c>
      <c r="E21" s="38">
        <v>506.53140000000002</v>
      </c>
      <c r="F21" s="38">
        <v>1.3160000000000001</v>
      </c>
      <c r="G21" s="38">
        <v>10.041600000000001</v>
      </c>
      <c r="H21" s="38">
        <v>2.52</v>
      </c>
      <c r="I21" s="38">
        <v>5.1702000000000004</v>
      </c>
      <c r="J21" s="39">
        <v>2</v>
      </c>
      <c r="K21" s="40"/>
      <c r="L21" s="39">
        <v>160</v>
      </c>
      <c r="M21" s="39">
        <v>30.03</v>
      </c>
      <c r="N21" s="38">
        <v>1.7</v>
      </c>
      <c r="O21" s="39">
        <v>0.8</v>
      </c>
      <c r="P21" s="38">
        <v>0</v>
      </c>
      <c r="Q21" s="38">
        <v>1</v>
      </c>
      <c r="R21" s="38">
        <f t="shared" si="1"/>
        <v>127.27000000000001</v>
      </c>
      <c r="S21" s="39">
        <f>((E21-CH4_std_curves!$J$7)/CH4_std_curves!$I$7)/C21</f>
        <v>2.623260104244975</v>
      </c>
      <c r="T21" s="38">
        <f t="shared" si="5"/>
        <v>333.86231346725799</v>
      </c>
      <c r="U21" s="39">
        <f t="shared" si="4"/>
        <v>0.55860415453699042</v>
      </c>
      <c r="V21" s="38">
        <f t="shared" si="3"/>
        <v>9.0387322707373655E-3</v>
      </c>
    </row>
    <row r="22" spans="1:26" s="38" customFormat="1" x14ac:dyDescent="0.2">
      <c r="A22" s="37">
        <v>44495.55</v>
      </c>
      <c r="B22" s="38" t="s">
        <v>43</v>
      </c>
      <c r="C22" s="38">
        <v>30</v>
      </c>
      <c r="D22" s="38">
        <v>1.35</v>
      </c>
      <c r="E22" s="38">
        <v>345.85730000000001</v>
      </c>
      <c r="F22" s="38">
        <v>1.3129999999999999</v>
      </c>
      <c r="G22" s="38">
        <v>6.8230000000000004</v>
      </c>
      <c r="H22" s="38">
        <v>2.5099999999999998</v>
      </c>
      <c r="I22" s="38">
        <v>7.3442999999999996</v>
      </c>
      <c r="J22" s="39">
        <v>2</v>
      </c>
      <c r="L22" s="39">
        <v>160</v>
      </c>
      <c r="M22" s="39">
        <v>30.03</v>
      </c>
      <c r="N22" s="38">
        <v>1.7</v>
      </c>
      <c r="O22" s="39">
        <v>0.8</v>
      </c>
      <c r="P22" s="38">
        <v>0</v>
      </c>
      <c r="Q22" s="38">
        <v>1</v>
      </c>
      <c r="R22" s="38">
        <f t="shared" si="1"/>
        <v>127.27000000000001</v>
      </c>
      <c r="S22" s="39">
        <f>((E22-CH4_std_curves!$J$7)/CH4_std_curves!$I$7)/C22</f>
        <v>1.8073297110321951</v>
      </c>
      <c r="T22" s="38">
        <f t="shared" si="5"/>
        <v>230.01885232306748</v>
      </c>
      <c r="U22" s="39">
        <f t="shared" si="4"/>
        <v>0.38485771333426344</v>
      </c>
      <c r="V22" s="38">
        <f t="shared" si="3"/>
        <v>6.227354030404449E-3</v>
      </c>
    </row>
    <row r="23" spans="1:26" s="38" customFormat="1" x14ac:dyDescent="0.2">
      <c r="A23" s="37">
        <v>44495.563194444447</v>
      </c>
      <c r="B23" s="38" t="s">
        <v>38</v>
      </c>
      <c r="C23" s="38">
        <v>30</v>
      </c>
      <c r="D23" s="38">
        <v>1.3460000000000001</v>
      </c>
      <c r="E23" s="38">
        <v>587.14340000000004</v>
      </c>
      <c r="F23" s="38">
        <v>1.3129999999999999</v>
      </c>
      <c r="G23" s="38">
        <v>11.6386</v>
      </c>
      <c r="H23" s="40" t="s">
        <v>64</v>
      </c>
      <c r="I23" s="40" t="s">
        <v>64</v>
      </c>
      <c r="J23" s="39">
        <v>2</v>
      </c>
      <c r="L23" s="39">
        <v>160</v>
      </c>
      <c r="M23" s="39">
        <v>30.03</v>
      </c>
      <c r="N23" s="38">
        <v>1.7</v>
      </c>
      <c r="O23" s="39">
        <v>0.8</v>
      </c>
      <c r="P23" s="38">
        <v>3</v>
      </c>
      <c r="Q23" s="38">
        <v>1</v>
      </c>
      <c r="R23" s="38">
        <f t="shared" si="1"/>
        <v>129.67000000000002</v>
      </c>
      <c r="S23" s="39">
        <f>((E23-CH4_std_curves!$J$7)/CH4_std_curves!$I$7)/C23</f>
        <v>3.0326215436908388</v>
      </c>
      <c r="T23" s="38">
        <f t="shared" si="5"/>
        <v>393.24003557039111</v>
      </c>
      <c r="U23" s="39">
        <f t="shared" si="4"/>
        <v>0.65795242151952882</v>
      </c>
      <c r="V23" s="38">
        <f t="shared" si="3"/>
        <v>1.0646279188395382E-2</v>
      </c>
    </row>
    <row r="24" spans="1:26" s="38" customFormat="1" x14ac:dyDescent="0.2">
      <c r="A24" s="37">
        <v>44495.57708333333</v>
      </c>
      <c r="B24" s="38" t="s">
        <v>39</v>
      </c>
      <c r="C24" s="38">
        <v>30</v>
      </c>
      <c r="D24" s="38">
        <v>1.35</v>
      </c>
      <c r="E24" s="38">
        <v>409.24029999999999</v>
      </c>
      <c r="F24" s="38">
        <v>1.3129999999999999</v>
      </c>
      <c r="G24" s="38">
        <v>8.0597999999999992</v>
      </c>
      <c r="H24" s="38">
        <v>2.5129999999999999</v>
      </c>
      <c r="I24" s="38">
        <v>5.8162000000000003</v>
      </c>
      <c r="J24" s="39">
        <v>2</v>
      </c>
      <c r="L24" s="39">
        <v>160</v>
      </c>
      <c r="M24" s="39">
        <v>30.03</v>
      </c>
      <c r="N24" s="38">
        <v>1.7</v>
      </c>
      <c r="O24" s="39">
        <v>0.8</v>
      </c>
      <c r="P24" s="38">
        <v>3</v>
      </c>
      <c r="Q24" s="38">
        <v>1</v>
      </c>
      <c r="R24" s="38">
        <f t="shared" si="1"/>
        <v>129.67000000000002</v>
      </c>
      <c r="S24" s="39">
        <f>((E24-CH4_std_curves!$J$7)/CH4_std_curves!$I$7)/C24</f>
        <v>2.129199359675042</v>
      </c>
      <c r="T24" s="38">
        <f t="shared" si="5"/>
        <v>276.09328096906273</v>
      </c>
      <c r="U24" s="39">
        <f t="shared" si="4"/>
        <v>0.46194747825046784</v>
      </c>
      <c r="V24" s="38">
        <f t="shared" si="3"/>
        <v>7.4747377819077022E-3</v>
      </c>
      <c r="Y24" s="4">
        <f>AVERAGE(T19:T24)</f>
        <v>314.713364330969</v>
      </c>
      <c r="Z24" s="4">
        <f>STDEV(T19:T24)</f>
        <v>55.81461617086422</v>
      </c>
    </row>
    <row r="25" spans="1:26" s="42" customFormat="1" x14ac:dyDescent="0.2">
      <c r="A25" s="41">
        <v>44495.635416666664</v>
      </c>
      <c r="B25" s="42" t="s">
        <v>46</v>
      </c>
      <c r="C25" s="42">
        <v>40</v>
      </c>
      <c r="D25" s="42">
        <v>1.3560000000000001</v>
      </c>
      <c r="E25" s="42">
        <v>491.06819999999999</v>
      </c>
      <c r="F25" s="42">
        <v>1.32</v>
      </c>
      <c r="G25" s="42">
        <v>9.6549999999999994</v>
      </c>
      <c r="H25" s="42">
        <v>2.5259999999999998</v>
      </c>
      <c r="I25" s="42">
        <v>10.9358</v>
      </c>
      <c r="J25" s="43">
        <v>3</v>
      </c>
      <c r="L25" s="43">
        <v>160</v>
      </c>
      <c r="M25" s="43">
        <v>30.03</v>
      </c>
      <c r="N25" s="42">
        <v>1.7</v>
      </c>
      <c r="O25" s="43">
        <v>0.8</v>
      </c>
      <c r="P25" s="42">
        <v>0</v>
      </c>
      <c r="Q25" s="42">
        <v>1</v>
      </c>
      <c r="R25" s="42">
        <f t="shared" si="1"/>
        <v>127.27000000000001</v>
      </c>
      <c r="S25" s="43">
        <f>((E25-CH4_std_curves!$J$7)/CH4_std_curves!$I$7)/C25</f>
        <v>1.908551509511208</v>
      </c>
      <c r="T25" s="42">
        <f t="shared" si="5"/>
        <v>242.90135061549145</v>
      </c>
      <c r="U25" s="43">
        <f t="shared" si="4"/>
        <v>0.40641215891462523</v>
      </c>
      <c r="V25" s="42">
        <f>$V$12*T25/$U$12^2</f>
        <v>6.5761249109335292E-3</v>
      </c>
      <c r="W25" s="42">
        <f>AVERAGE(U25:U30)</f>
        <v>0.35289997678445922</v>
      </c>
      <c r="X25" s="42">
        <f>STDEV(U25:U30)</f>
        <v>0.10364965462743805</v>
      </c>
    </row>
    <row r="26" spans="1:26" s="42" customFormat="1" x14ac:dyDescent="0.2">
      <c r="A26" s="41">
        <v>44495.649305555555</v>
      </c>
      <c r="B26" s="42" t="s">
        <v>47</v>
      </c>
      <c r="C26" s="42">
        <v>40</v>
      </c>
      <c r="D26" s="42">
        <v>1.36</v>
      </c>
      <c r="E26" s="42">
        <v>290.69479999999999</v>
      </c>
      <c r="F26" s="42">
        <v>1.3260000000000001</v>
      </c>
      <c r="G26" s="42">
        <v>5.7232000000000003</v>
      </c>
      <c r="H26" s="42">
        <v>2.5259999999999998</v>
      </c>
      <c r="I26" s="42">
        <v>13.458600000000001</v>
      </c>
      <c r="J26" s="43">
        <v>3</v>
      </c>
      <c r="L26" s="43">
        <v>160</v>
      </c>
      <c r="M26" s="43">
        <v>30.03</v>
      </c>
      <c r="N26" s="42">
        <v>1.7</v>
      </c>
      <c r="O26" s="43">
        <v>0.8</v>
      </c>
      <c r="P26" s="42">
        <v>0</v>
      </c>
      <c r="Q26" s="42">
        <v>1</v>
      </c>
      <c r="R26" s="42">
        <f t="shared" si="1"/>
        <v>127.27000000000001</v>
      </c>
      <c r="S26" s="43">
        <f>((E26-CH4_std_curves!$J$7)/CH4_std_curves!$I$7)/C26</f>
        <v>1.1454038691103203</v>
      </c>
      <c r="T26" s="42">
        <f t="shared" si="5"/>
        <v>145.77555042167049</v>
      </c>
      <c r="U26" s="43">
        <f t="shared" si="4"/>
        <v>0.24390542091971582</v>
      </c>
      <c r="V26" s="42">
        <f t="shared" si="3"/>
        <v>3.9466154720996238E-3</v>
      </c>
    </row>
    <row r="27" spans="1:26" s="42" customFormat="1" x14ac:dyDescent="0.2">
      <c r="A27" s="41">
        <v>44495.665277777778</v>
      </c>
      <c r="B27" s="42" t="s">
        <v>48</v>
      </c>
      <c r="C27" s="42">
        <v>40</v>
      </c>
      <c r="D27" s="42">
        <v>1.353</v>
      </c>
      <c r="E27" s="42">
        <v>381.72199999999998</v>
      </c>
      <c r="F27" s="42">
        <v>1.32</v>
      </c>
      <c r="G27" s="42">
        <v>7.5574000000000003</v>
      </c>
      <c r="H27" s="42">
        <v>2.5230000000000001</v>
      </c>
      <c r="I27" s="42">
        <v>12.516</v>
      </c>
      <c r="J27" s="43">
        <v>3</v>
      </c>
      <c r="L27" s="43">
        <v>160</v>
      </c>
      <c r="M27" s="43">
        <v>30.03</v>
      </c>
      <c r="N27" s="42">
        <v>1.7</v>
      </c>
      <c r="O27" s="43">
        <v>0.8</v>
      </c>
      <c r="P27" s="42">
        <v>0</v>
      </c>
      <c r="Q27" s="42">
        <v>1</v>
      </c>
      <c r="R27" s="42">
        <f t="shared" si="1"/>
        <v>127.27000000000001</v>
      </c>
      <c r="S27" s="43">
        <f>((E27-CH4_std_curves!$J$7)/CH4_std_curves!$I$7)/C27</f>
        <v>1.4920925657751454</v>
      </c>
      <c r="T27" s="42">
        <f t="shared" ref="T27" si="6">S27*1000/1000*R27</f>
        <v>189.89862084620276</v>
      </c>
      <c r="U27" s="43">
        <f t="shared" si="4"/>
        <v>0.31773025665544824</v>
      </c>
      <c r="V27" s="42">
        <f t="shared" si="3"/>
        <v>5.1411696474074325E-3</v>
      </c>
    </row>
    <row r="28" spans="1:26" s="42" customFormat="1" x14ac:dyDescent="0.2">
      <c r="A28" s="41">
        <v>44495.679166666669</v>
      </c>
      <c r="B28" s="42" t="s">
        <v>49</v>
      </c>
      <c r="C28" s="42">
        <v>40</v>
      </c>
      <c r="D28" s="42">
        <v>1.36</v>
      </c>
      <c r="E28" s="42">
        <v>276.10899999999998</v>
      </c>
      <c r="F28" s="42">
        <v>1.3260000000000001</v>
      </c>
      <c r="G28" s="42">
        <v>5.5191999999999997</v>
      </c>
      <c r="H28" s="42">
        <v>2.5259999999999998</v>
      </c>
      <c r="I28" s="42">
        <v>13.574</v>
      </c>
      <c r="J28" s="43">
        <v>3</v>
      </c>
      <c r="L28" s="43">
        <v>160</v>
      </c>
      <c r="M28" s="43">
        <v>30.03</v>
      </c>
      <c r="N28" s="42">
        <v>1.7</v>
      </c>
      <c r="O28" s="43">
        <v>0.8</v>
      </c>
      <c r="P28" s="42">
        <v>0</v>
      </c>
      <c r="Q28" s="42">
        <v>1</v>
      </c>
      <c r="R28" s="42">
        <f t="shared" si="1"/>
        <v>127.27000000000001</v>
      </c>
      <c r="S28" s="43">
        <f>((E28-CH4_std_curves!$J$7)/CH4_std_curves!$I$7)/C28</f>
        <v>1.089851990201447</v>
      </c>
      <c r="T28" s="42">
        <f t="shared" ref="T28" si="7">S28*1000/1000*R28</f>
        <v>138.70546279293816</v>
      </c>
      <c r="U28" s="43">
        <f t="shared" si="4"/>
        <v>0.23207605245540791</v>
      </c>
      <c r="V28" s="42">
        <f t="shared" si="3"/>
        <v>3.755205340949763E-3</v>
      </c>
    </row>
    <row r="29" spans="1:26" s="42" customFormat="1" x14ac:dyDescent="0.2">
      <c r="A29" s="41">
        <v>44495.692361111112</v>
      </c>
      <c r="B29" s="42" t="s">
        <v>44</v>
      </c>
      <c r="C29" s="42">
        <v>40</v>
      </c>
      <c r="D29" s="42">
        <v>1.36</v>
      </c>
      <c r="E29" s="42">
        <v>524.44849999999997</v>
      </c>
      <c r="F29" s="42">
        <v>1.323</v>
      </c>
      <c r="G29" s="42">
        <v>10.507300000000001</v>
      </c>
      <c r="H29" s="42">
        <v>2.5259999999999998</v>
      </c>
      <c r="I29" s="42">
        <v>9.6902000000000008</v>
      </c>
      <c r="J29" s="43">
        <v>3</v>
      </c>
      <c r="L29" s="43">
        <v>160</v>
      </c>
      <c r="M29" s="43">
        <v>30.03</v>
      </c>
      <c r="N29" s="42">
        <v>1.7</v>
      </c>
      <c r="O29" s="43">
        <v>0.8</v>
      </c>
      <c r="P29" s="42">
        <v>2</v>
      </c>
      <c r="Q29" s="42">
        <v>1</v>
      </c>
      <c r="R29" s="42">
        <f t="shared" si="1"/>
        <v>128.87</v>
      </c>
      <c r="S29" s="43">
        <f>((E29-CH4_std_curves!$J$7)/CH4_std_curves!$I$7)/C29</f>
        <v>2.0356846378649402</v>
      </c>
      <c r="T29" s="42">
        <f t="shared" ref="T29" si="8">S29*1000/1000*R29</f>
        <v>262.33867928165483</v>
      </c>
      <c r="U29" s="43">
        <f t="shared" si="4"/>
        <v>0.43893386654091782</v>
      </c>
      <c r="V29" s="42">
        <f t="shared" si="3"/>
        <v>7.1023562427876691E-3</v>
      </c>
    </row>
    <row r="30" spans="1:26" s="42" customFormat="1" x14ac:dyDescent="0.2">
      <c r="A30" s="41">
        <v>44495.70208333333</v>
      </c>
      <c r="B30" s="42" t="s">
        <v>45</v>
      </c>
      <c r="C30" s="42">
        <v>40</v>
      </c>
      <c r="D30" s="42">
        <v>1.363</v>
      </c>
      <c r="E30" s="42">
        <v>572.43619999999999</v>
      </c>
      <c r="F30" s="42">
        <v>1.3260000000000001</v>
      </c>
      <c r="G30" s="42">
        <v>11.4236</v>
      </c>
      <c r="H30" s="42">
        <v>2.5299999999999998</v>
      </c>
      <c r="I30" s="42">
        <v>9.0646000000000004</v>
      </c>
      <c r="J30" s="43">
        <v>3</v>
      </c>
      <c r="L30" s="43">
        <v>160</v>
      </c>
      <c r="M30" s="43">
        <v>30.03</v>
      </c>
      <c r="N30" s="42">
        <v>1.7</v>
      </c>
      <c r="O30" s="43">
        <v>0.8</v>
      </c>
      <c r="P30" s="42">
        <v>2</v>
      </c>
      <c r="Q30" s="42">
        <v>1</v>
      </c>
      <c r="R30" s="42">
        <f t="shared" si="1"/>
        <v>128.87</v>
      </c>
      <c r="S30" s="43">
        <f>((E30-CH4_std_curves!$J$7)/CH4_std_curves!$I$7)/C30</f>
        <v>2.2184519114814267</v>
      </c>
      <c r="T30" s="42">
        <f t="shared" ref="T30:T43" si="9">S30*1000/1000*R30</f>
        <v>285.89189783261145</v>
      </c>
      <c r="U30" s="43">
        <f t="shared" si="4"/>
        <v>0.47834210522064047</v>
      </c>
      <c r="V30" s="42">
        <f t="shared" si="3"/>
        <v>7.7400180213374062E-3</v>
      </c>
      <c r="Y30" s="4">
        <f>AVERAGE(T25:T30)</f>
        <v>210.91859363176152</v>
      </c>
      <c r="Z30" s="4">
        <f>STDEV(T25:T30)</f>
        <v>61.94854299406623</v>
      </c>
    </row>
    <row r="31" spans="1:26" x14ac:dyDescent="0.2">
      <c r="A31" s="17">
        <v>44495.867361111108</v>
      </c>
      <c r="B31" t="s">
        <v>31</v>
      </c>
      <c r="C31">
        <v>40</v>
      </c>
      <c r="D31">
        <v>1.3660000000000001</v>
      </c>
      <c r="E31">
        <v>1243.8199</v>
      </c>
      <c r="F31">
        <v>1.33</v>
      </c>
      <c r="G31">
        <v>24.892099999999999</v>
      </c>
      <c r="H31" t="s">
        <v>64</v>
      </c>
      <c r="I31" t="s">
        <v>64</v>
      </c>
      <c r="J31" s="20">
        <v>5</v>
      </c>
      <c r="L31" s="22">
        <v>160</v>
      </c>
      <c r="M31" s="22">
        <v>30.03</v>
      </c>
      <c r="N31" s="23">
        <v>0</v>
      </c>
      <c r="O31" s="22">
        <v>0.8</v>
      </c>
      <c r="P31" s="23">
        <v>3</v>
      </c>
      <c r="Q31" s="23">
        <v>0</v>
      </c>
      <c r="R31" s="23">
        <f t="shared" si="1"/>
        <v>132.37</v>
      </c>
      <c r="S31" s="20">
        <f>((E31-CH4_std_curves!$J$7)/CH4_std_curves!$I$7)/C31</f>
        <v>4.77550233064194</v>
      </c>
      <c r="T31">
        <f t="shared" si="9"/>
        <v>632.13324350707364</v>
      </c>
      <c r="U31" s="20">
        <f t="shared" si="4"/>
        <v>1.0576583274009579</v>
      </c>
      <c r="V31">
        <f t="shared" si="3"/>
        <v>1.7113890717868074E-2</v>
      </c>
    </row>
    <row r="32" spans="1:26" s="34" customFormat="1" x14ac:dyDescent="0.2">
      <c r="A32" s="33">
        <v>44495.880555555559</v>
      </c>
      <c r="B32" s="34" t="s">
        <v>50</v>
      </c>
      <c r="C32" s="34">
        <v>40</v>
      </c>
      <c r="D32" s="34">
        <v>1.3560000000000001</v>
      </c>
      <c r="E32" s="34">
        <v>385.7602</v>
      </c>
      <c r="F32" s="36">
        <v>1.32</v>
      </c>
      <c r="G32" s="36">
        <v>7.6824000000000003</v>
      </c>
      <c r="H32" s="36">
        <v>2.5099999999999998</v>
      </c>
      <c r="I32" s="36">
        <v>13.6318</v>
      </c>
      <c r="J32" s="35">
        <v>4</v>
      </c>
      <c r="L32" s="35">
        <v>160</v>
      </c>
      <c r="M32" s="35">
        <v>30.03</v>
      </c>
      <c r="N32" s="34">
        <v>1.7</v>
      </c>
      <c r="O32" s="35">
        <v>0.8</v>
      </c>
      <c r="P32" s="34">
        <v>2</v>
      </c>
      <c r="Q32" s="34">
        <v>1</v>
      </c>
      <c r="R32" s="34">
        <f t="shared" si="1"/>
        <v>128.87</v>
      </c>
      <c r="S32" s="35">
        <f>((E32-CH4_std_curves!$J$7)/CH4_std_curves!$I$7)/C32</f>
        <v>1.5074725653233234</v>
      </c>
      <c r="T32" s="34">
        <f t="shared" si="9"/>
        <v>194.2679894932167</v>
      </c>
      <c r="U32" s="35">
        <f t="shared" si="4"/>
        <v>0.32504089754084137</v>
      </c>
      <c r="V32" s="34">
        <f t="shared" si="3"/>
        <v>5.2594625837450526E-3</v>
      </c>
      <c r="W32" s="34">
        <f>AVERAGE(U32:U37)</f>
        <v>0.20382088171047175</v>
      </c>
      <c r="X32" s="34">
        <f>STDEV(U32:U37)</f>
        <v>6.7586639314589581E-2</v>
      </c>
    </row>
    <row r="33" spans="1:26" s="34" customFormat="1" x14ac:dyDescent="0.2">
      <c r="A33" s="33">
        <v>44495.894444444442</v>
      </c>
      <c r="B33" s="34" t="s">
        <v>51</v>
      </c>
      <c r="C33" s="34">
        <v>40</v>
      </c>
      <c r="D33" s="34">
        <v>1.3660000000000001</v>
      </c>
      <c r="E33" s="34">
        <v>198.50380000000001</v>
      </c>
      <c r="F33" s="34" t="s">
        <v>64</v>
      </c>
      <c r="G33" s="34" t="s">
        <v>64</v>
      </c>
      <c r="H33" s="34">
        <v>2.52</v>
      </c>
      <c r="I33" s="34">
        <v>14.667899999999999</v>
      </c>
      <c r="J33" s="35">
        <v>4</v>
      </c>
      <c r="L33" s="35">
        <v>160</v>
      </c>
      <c r="M33" s="35">
        <v>30.03</v>
      </c>
      <c r="N33" s="34">
        <v>1.7</v>
      </c>
      <c r="O33" s="35">
        <v>0.8</v>
      </c>
      <c r="P33" s="34">
        <v>2</v>
      </c>
      <c r="Q33" s="34">
        <v>1</v>
      </c>
      <c r="R33" s="34">
        <f t="shared" si="1"/>
        <v>128.87</v>
      </c>
      <c r="S33" s="35">
        <f>((E33-CH4_std_curves!$J$7)/CH4_std_curves!$I$7)/C33</f>
        <v>0.79428269176742838</v>
      </c>
      <c r="T33" s="34">
        <f t="shared" si="9"/>
        <v>102.3592104880685</v>
      </c>
      <c r="U33" s="35">
        <f t="shared" si="4"/>
        <v>0.17126305643769177</v>
      </c>
      <c r="V33" s="34">
        <f t="shared" si="3"/>
        <v>2.7711947761855961E-3</v>
      </c>
    </row>
    <row r="34" spans="1:26" s="34" customFormat="1" x14ac:dyDescent="0.2">
      <c r="A34" s="33">
        <v>44495.90625</v>
      </c>
      <c r="B34" s="34" t="s">
        <v>52</v>
      </c>
      <c r="C34" s="34">
        <v>40</v>
      </c>
      <c r="D34" s="34">
        <v>1.3360000000000001</v>
      </c>
      <c r="E34" s="34">
        <v>159.19659999999999</v>
      </c>
      <c r="F34" s="34" t="s">
        <v>64</v>
      </c>
      <c r="G34" s="34" t="s">
        <v>64</v>
      </c>
      <c r="H34" s="34">
        <v>2.4860000000000002</v>
      </c>
      <c r="I34" s="34">
        <v>15.4268</v>
      </c>
      <c r="J34" s="35">
        <v>4</v>
      </c>
      <c r="L34" s="35">
        <v>160</v>
      </c>
      <c r="M34" s="35">
        <v>30.03</v>
      </c>
      <c r="N34" s="34">
        <v>1.7</v>
      </c>
      <c r="O34" s="35">
        <v>0.8</v>
      </c>
      <c r="P34" s="34">
        <v>0</v>
      </c>
      <c r="Q34" s="34">
        <v>1</v>
      </c>
      <c r="R34" s="34">
        <f t="shared" si="1"/>
        <v>127.27000000000001</v>
      </c>
      <c r="S34" s="35">
        <f>((E34-CH4_std_curves!$J$7)/CH4_std_curves!$I$7)/C34</f>
        <v>0.64457620911670843</v>
      </c>
      <c r="T34" s="34">
        <f t="shared" si="9"/>
        <v>82.035214134283493</v>
      </c>
      <c r="U34" s="35">
        <f t="shared" si="4"/>
        <v>0.13725781433020739</v>
      </c>
      <c r="V34" s="34">
        <f t="shared" si="3"/>
        <v>2.2209584832494638E-3</v>
      </c>
    </row>
    <row r="35" spans="1:26" s="34" customFormat="1" x14ac:dyDescent="0.2">
      <c r="A35" s="33">
        <v>44495.918749999997</v>
      </c>
      <c r="B35" s="34" t="s">
        <v>53</v>
      </c>
      <c r="C35" s="34">
        <v>40</v>
      </c>
      <c r="D35" s="34">
        <v>1.353</v>
      </c>
      <c r="E35" s="34">
        <v>184.56479999999999</v>
      </c>
      <c r="F35" s="34" t="s">
        <v>64</v>
      </c>
      <c r="G35" s="34" t="s">
        <v>64</v>
      </c>
      <c r="H35" s="34">
        <v>2.5099999999999998</v>
      </c>
      <c r="I35" s="34">
        <v>16.564599999999999</v>
      </c>
      <c r="J35" s="35">
        <v>4</v>
      </c>
      <c r="L35" s="35">
        <v>160</v>
      </c>
      <c r="M35" s="35">
        <v>30.03</v>
      </c>
      <c r="N35" s="34">
        <v>1.7</v>
      </c>
      <c r="O35" s="35">
        <v>0.8</v>
      </c>
      <c r="P35" s="34">
        <v>0</v>
      </c>
      <c r="Q35" s="34">
        <v>1</v>
      </c>
      <c r="R35" s="34">
        <f t="shared" si="1"/>
        <v>127.27000000000001</v>
      </c>
      <c r="S35" s="35">
        <f>((E35-CH4_std_curves!$J$7)/CH4_std_curves!$I$7)/C35</f>
        <v>0.74119423312197952</v>
      </c>
      <c r="T35" s="34">
        <f t="shared" si="9"/>
        <v>94.331790049434346</v>
      </c>
      <c r="U35" s="35">
        <f t="shared" si="4"/>
        <v>0.1578319196296257</v>
      </c>
      <c r="V35" s="34">
        <f t="shared" si="3"/>
        <v>2.5538665506188163E-3</v>
      </c>
    </row>
    <row r="36" spans="1:26" s="34" customFormat="1" x14ac:dyDescent="0.2">
      <c r="A36" s="33">
        <v>44495.931944444441</v>
      </c>
      <c r="B36" s="34" t="s">
        <v>54</v>
      </c>
      <c r="C36" s="34">
        <v>40</v>
      </c>
      <c r="D36" s="34">
        <v>1.35</v>
      </c>
      <c r="E36" s="34">
        <v>242.0898</v>
      </c>
      <c r="F36" s="34" t="s">
        <v>64</v>
      </c>
      <c r="G36" s="34" t="s">
        <v>64</v>
      </c>
      <c r="H36" s="34">
        <v>2.4929999999999999</v>
      </c>
      <c r="I36" s="34">
        <v>15.5238</v>
      </c>
      <c r="J36" s="35">
        <v>4</v>
      </c>
      <c r="L36" s="35">
        <v>160</v>
      </c>
      <c r="M36" s="35">
        <v>30.03</v>
      </c>
      <c r="N36" s="34">
        <v>1.7</v>
      </c>
      <c r="O36" s="35">
        <v>0.8</v>
      </c>
      <c r="P36" s="34">
        <v>0</v>
      </c>
      <c r="Q36" s="34">
        <v>1</v>
      </c>
      <c r="R36" s="34">
        <f t="shared" si="1"/>
        <v>127.27000000000001</v>
      </c>
      <c r="S36" s="35">
        <f>((E36-CH4_std_curves!$J$7)/CH4_std_curves!$I$7)/C36</f>
        <v>0.96028552974149617</v>
      </c>
      <c r="T36" s="34">
        <f t="shared" si="9"/>
        <v>122.21553937020023</v>
      </c>
      <c r="U36" s="35">
        <f t="shared" si="4"/>
        <v>0.20448581731842652</v>
      </c>
      <c r="V36" s="34">
        <f t="shared" si="3"/>
        <v>3.3087697985994383E-3</v>
      </c>
    </row>
    <row r="37" spans="1:26" s="34" customFormat="1" x14ac:dyDescent="0.2">
      <c r="A37" s="33">
        <v>44495.945138888892</v>
      </c>
      <c r="B37" s="34" t="s">
        <v>55</v>
      </c>
      <c r="C37" s="34">
        <v>40</v>
      </c>
      <c r="D37" s="34">
        <v>1.3560000000000001</v>
      </c>
      <c r="E37" s="34">
        <v>269.90660000000003</v>
      </c>
      <c r="F37" s="34">
        <v>1.323</v>
      </c>
      <c r="G37" s="34">
        <v>5.3901000000000003</v>
      </c>
      <c r="H37" s="34">
        <v>2.5129999999999999</v>
      </c>
      <c r="I37" s="34">
        <v>15.14</v>
      </c>
      <c r="J37" s="35">
        <v>4</v>
      </c>
      <c r="L37" s="35">
        <v>160</v>
      </c>
      <c r="M37" s="35">
        <v>30.03</v>
      </c>
      <c r="N37" s="34">
        <v>1.7</v>
      </c>
      <c r="O37" s="35">
        <v>0.8</v>
      </c>
      <c r="P37" s="34">
        <v>0</v>
      </c>
      <c r="Q37" s="34">
        <v>1</v>
      </c>
      <c r="R37" s="34">
        <f t="shared" si="1"/>
        <v>127.27000000000001</v>
      </c>
      <c r="S37" s="35">
        <f>((E37-CH4_std_curves!$J$7)/CH4_std_curves!$I$7)/C37</f>
        <v>1.0662293590297323</v>
      </c>
      <c r="T37" s="34">
        <f t="shared" si="9"/>
        <v>135.69901052371404</v>
      </c>
      <c r="U37" s="35">
        <f t="shared" si="4"/>
        <v>0.22704578500603778</v>
      </c>
      <c r="V37" s="34">
        <f t="shared" si="3"/>
        <v>3.6738109575464597E-3</v>
      </c>
      <c r="Y37" s="4">
        <f>AVERAGE(T32:T37)</f>
        <v>121.81812567648622</v>
      </c>
      <c r="Z37" s="4">
        <f>STDEV(T32:T37)</f>
        <v>40.39467228765804</v>
      </c>
    </row>
    <row r="38" spans="1:26" s="42" customFormat="1" x14ac:dyDescent="0.2">
      <c r="A38" s="41">
        <v>44496.595833333333</v>
      </c>
      <c r="B38" s="42" t="s">
        <v>56</v>
      </c>
      <c r="C38" s="42">
        <v>50</v>
      </c>
      <c r="D38" s="42">
        <v>1.3560000000000001</v>
      </c>
      <c r="E38" s="42">
        <v>93.762100000000004</v>
      </c>
      <c r="F38" s="42" t="s">
        <v>64</v>
      </c>
      <c r="G38" s="42" t="s">
        <v>64</v>
      </c>
      <c r="H38" s="42">
        <v>2.5059999999999998</v>
      </c>
      <c r="I38" s="42">
        <v>16.617599999999999</v>
      </c>
      <c r="J38" s="43">
        <v>5</v>
      </c>
      <c r="K38" s="42" t="s">
        <v>65</v>
      </c>
      <c r="L38" s="43">
        <v>160</v>
      </c>
      <c r="M38" s="43">
        <v>30.03</v>
      </c>
      <c r="N38" s="42">
        <v>1.7</v>
      </c>
      <c r="O38" s="43">
        <v>0.8</v>
      </c>
      <c r="P38" s="42">
        <v>2</v>
      </c>
      <c r="Q38" s="42">
        <v>0</v>
      </c>
      <c r="R38" s="42">
        <f t="shared" si="1"/>
        <v>129.87</v>
      </c>
      <c r="S38" s="43">
        <f>((E38-CH4_std_curves!$J$12)/CH4_std_curves!$I$12)/C38</f>
        <v>0.3068116081871316</v>
      </c>
      <c r="T38" s="42">
        <f t="shared" si="9"/>
        <v>39.845623555262783</v>
      </c>
      <c r="U38" s="43">
        <f t="shared" si="4"/>
        <v>6.6667994440377604E-2</v>
      </c>
      <c r="V38" s="42">
        <f t="shared" si="3"/>
        <v>1.0787498586956477E-3</v>
      </c>
      <c r="W38" s="42">
        <f>AVERAGE(U38:U43)</f>
        <v>8.3587927120761865E-2</v>
      </c>
      <c r="X38" s="42">
        <f>STDEV(U38:U43)</f>
        <v>1.4700244698891828E-2</v>
      </c>
    </row>
    <row r="39" spans="1:26" s="42" customFormat="1" x14ac:dyDescent="0.2">
      <c r="A39" s="41">
        <v>44496.609722222223</v>
      </c>
      <c r="B39" s="42" t="s">
        <v>57</v>
      </c>
      <c r="C39" s="42">
        <v>50</v>
      </c>
      <c r="D39" s="42">
        <v>1.3560000000000001</v>
      </c>
      <c r="E39" s="42">
        <v>98.4803</v>
      </c>
      <c r="F39" s="42" t="s">
        <v>64</v>
      </c>
      <c r="G39" s="42" t="s">
        <v>64</v>
      </c>
      <c r="H39" s="42">
        <v>2.5059999999999998</v>
      </c>
      <c r="I39" s="42">
        <v>16.429600000000001</v>
      </c>
      <c r="J39" s="43">
        <v>5</v>
      </c>
      <c r="K39" s="42" t="s">
        <v>65</v>
      </c>
      <c r="L39" s="43">
        <v>160</v>
      </c>
      <c r="M39" s="43">
        <v>30.03</v>
      </c>
      <c r="N39" s="42">
        <v>1.7</v>
      </c>
      <c r="O39" s="43">
        <v>0.8</v>
      </c>
      <c r="P39" s="42">
        <v>2</v>
      </c>
      <c r="Q39" s="42">
        <v>0</v>
      </c>
      <c r="R39" s="42">
        <f t="shared" si="1"/>
        <v>129.87</v>
      </c>
      <c r="S39" s="43">
        <f>((E39-CH4_std_curves!$J$12)/CH4_std_curves!$I$12)/C39</f>
        <v>0.32102622822587035</v>
      </c>
      <c r="T39" s="42">
        <f t="shared" si="9"/>
        <v>41.691676259693786</v>
      </c>
      <c r="U39" s="43">
        <f t="shared" si="4"/>
        <v>6.9756730930219654E-2</v>
      </c>
      <c r="V39" s="42">
        <f t="shared" si="3"/>
        <v>1.1287284740707519E-3</v>
      </c>
    </row>
    <row r="40" spans="1:26" s="42" customFormat="1" x14ac:dyDescent="0.2">
      <c r="A40" s="41">
        <v>44496.624305555553</v>
      </c>
      <c r="B40" s="42" t="s">
        <v>58</v>
      </c>
      <c r="C40" s="42">
        <v>50</v>
      </c>
      <c r="D40" s="42">
        <v>1.36</v>
      </c>
      <c r="E40" s="42">
        <v>119.2796</v>
      </c>
      <c r="F40" s="42" t="s">
        <v>64</v>
      </c>
      <c r="G40" s="42" t="s">
        <v>64</v>
      </c>
      <c r="H40" s="42">
        <v>2.5129999999999999</v>
      </c>
      <c r="I40" s="42">
        <v>20.276199999999999</v>
      </c>
      <c r="J40" s="43">
        <v>5</v>
      </c>
      <c r="L40" s="43">
        <v>160</v>
      </c>
      <c r="M40" s="43">
        <v>30.03</v>
      </c>
      <c r="N40" s="42">
        <v>1.7</v>
      </c>
      <c r="O40" s="43">
        <v>0.8</v>
      </c>
      <c r="P40" s="42">
        <v>0</v>
      </c>
      <c r="Q40" s="42">
        <v>1</v>
      </c>
      <c r="R40" s="42">
        <f t="shared" si="1"/>
        <v>127.27000000000001</v>
      </c>
      <c r="S40" s="43">
        <f>((E40-CH4_std_curves!$J$12)/CH4_std_curves!$I$12)/C40</f>
        <v>0.383688715312416</v>
      </c>
      <c r="T40" s="42">
        <f t="shared" si="9"/>
        <v>48.83206279781119</v>
      </c>
      <c r="U40" s="43">
        <f t="shared" si="4"/>
        <v>8.1703720525328732E-2</v>
      </c>
      <c r="V40" s="42">
        <f t="shared" si="3"/>
        <v>1.3220418239884265E-3</v>
      </c>
    </row>
    <row r="41" spans="1:26" s="42" customFormat="1" x14ac:dyDescent="0.2">
      <c r="A41" s="41">
        <v>44496.637499999997</v>
      </c>
      <c r="B41" s="42" t="s">
        <v>59</v>
      </c>
      <c r="C41" s="42">
        <v>50</v>
      </c>
      <c r="D41" s="42">
        <v>1.3460000000000001</v>
      </c>
      <c r="E41" s="42">
        <v>149.12039999999999</v>
      </c>
      <c r="F41" s="42" t="s">
        <v>64</v>
      </c>
      <c r="G41" s="42" t="s">
        <v>64</v>
      </c>
      <c r="H41" s="42">
        <v>2.496</v>
      </c>
      <c r="I41" s="42">
        <v>19.9086</v>
      </c>
      <c r="J41" s="43">
        <v>5</v>
      </c>
      <c r="L41" s="43">
        <v>160</v>
      </c>
      <c r="M41" s="43">
        <v>30.03</v>
      </c>
      <c r="N41" s="42">
        <v>1.7</v>
      </c>
      <c r="O41" s="43">
        <v>0.8</v>
      </c>
      <c r="P41" s="42">
        <v>0</v>
      </c>
      <c r="Q41" s="42">
        <v>1</v>
      </c>
      <c r="R41" s="42">
        <f t="shared" si="1"/>
        <v>127.27000000000001</v>
      </c>
      <c r="S41" s="43">
        <f>((E41-CH4_std_curves!$J$12)/CH4_std_curves!$I$12)/C41</f>
        <v>0.47359071896889449</v>
      </c>
      <c r="T41" s="42">
        <f t="shared" si="9"/>
        <v>60.273890803171206</v>
      </c>
      <c r="U41" s="43">
        <f t="shared" si="4"/>
        <v>0.10084769815165823</v>
      </c>
      <c r="V41" s="42">
        <f t="shared" si="3"/>
        <v>1.6318091018648392E-3</v>
      </c>
    </row>
    <row r="42" spans="1:26" s="42" customFormat="1" x14ac:dyDescent="0.2">
      <c r="A42" s="41">
        <v>44496.652777777781</v>
      </c>
      <c r="B42" s="42" t="s">
        <v>60</v>
      </c>
      <c r="C42" s="42">
        <v>50</v>
      </c>
      <c r="D42" s="42">
        <v>1.343</v>
      </c>
      <c r="E42" s="42">
        <v>168.15039999999999</v>
      </c>
      <c r="F42" s="42" t="s">
        <v>64</v>
      </c>
      <c r="G42" s="42" t="s">
        <v>64</v>
      </c>
      <c r="H42" s="42">
        <v>2.496</v>
      </c>
      <c r="I42" s="42">
        <v>19.9207</v>
      </c>
      <c r="J42" s="43">
        <v>5</v>
      </c>
      <c r="L42" s="43">
        <v>160</v>
      </c>
      <c r="M42" s="43">
        <v>30.03</v>
      </c>
      <c r="N42" s="42">
        <v>1.7</v>
      </c>
      <c r="O42" s="43">
        <v>0.8</v>
      </c>
      <c r="P42" s="42">
        <v>0</v>
      </c>
      <c r="Q42" s="42">
        <v>1</v>
      </c>
      <c r="R42" s="42">
        <f t="shared" si="1"/>
        <v>127.27000000000001</v>
      </c>
      <c r="S42" s="43">
        <f>((E40-CH4_std_curves!$J$12)/CH4_std_curves!$I$12)/C42</f>
        <v>0.383688715312416</v>
      </c>
      <c r="T42" s="42">
        <f t="shared" si="9"/>
        <v>48.83206279781119</v>
      </c>
      <c r="U42" s="43">
        <f t="shared" si="4"/>
        <v>8.1703720525328732E-2</v>
      </c>
      <c r="V42" s="42">
        <f t="shared" si="3"/>
        <v>1.3220418239884265E-3</v>
      </c>
    </row>
    <row r="43" spans="1:26" s="42" customFormat="1" x14ac:dyDescent="0.2">
      <c r="A43" s="41">
        <v>44496.667361111111</v>
      </c>
      <c r="B43" s="42" t="s">
        <v>61</v>
      </c>
      <c r="C43" s="42">
        <v>50</v>
      </c>
      <c r="D43" s="42">
        <v>1.353</v>
      </c>
      <c r="E43" s="42">
        <v>112.066</v>
      </c>
      <c r="F43" s="42" t="s">
        <v>64</v>
      </c>
      <c r="G43" s="42" t="s">
        <v>64</v>
      </c>
      <c r="H43" s="42">
        <v>2.5030000000000001</v>
      </c>
      <c r="I43" s="42">
        <v>20.4557</v>
      </c>
      <c r="J43" s="43">
        <v>5</v>
      </c>
      <c r="L43" s="43">
        <v>160</v>
      </c>
      <c r="M43" s="43">
        <v>30.03</v>
      </c>
      <c r="N43" s="42">
        <v>1.7</v>
      </c>
      <c r="O43" s="43">
        <v>0.8</v>
      </c>
      <c r="P43" s="42">
        <v>0</v>
      </c>
      <c r="Q43" s="42">
        <v>1</v>
      </c>
      <c r="R43" s="42">
        <f t="shared" si="1"/>
        <v>127.27000000000001</v>
      </c>
      <c r="S43" s="43">
        <f>((E41-CH4_std_curves!$J$12)/CH4_std_curves!$I$12)/C43</f>
        <v>0.47359071896889449</v>
      </c>
      <c r="T43" s="42">
        <f t="shared" si="9"/>
        <v>60.273890803171206</v>
      </c>
      <c r="U43" s="43">
        <f t="shared" si="4"/>
        <v>0.10084769815165823</v>
      </c>
      <c r="V43" s="42">
        <f t="shared" si="3"/>
        <v>1.6318091018648392E-3</v>
      </c>
      <c r="Y43" s="4">
        <f>AVERAGE(T38:T43)</f>
        <v>49.958201169486891</v>
      </c>
      <c r="Z43" s="4">
        <f>STDEV(T38:T43)</f>
        <v>8.7859312607060733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SampleList!$A$1:$A$31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opLeftCell="A5" zoomScale="80" zoomScaleNormal="80" workbookViewId="0">
      <selection activeCell="I12" sqref="I12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10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44494</v>
      </c>
      <c r="B2">
        <v>24.1</v>
      </c>
      <c r="C2" s="4">
        <f t="shared" ref="C2:C34" si="0">1/100</f>
        <v>0.01</v>
      </c>
      <c r="D2">
        <v>50</v>
      </c>
      <c r="E2" s="5">
        <f t="shared" ref="E2:E16" si="1">(D2/1000000)*(1/$B$2)*$C$2</f>
        <v>2.0746887966804982E-8</v>
      </c>
      <c r="F2" s="2">
        <f t="shared" ref="F2:F16" si="2">E2*(10^9)</f>
        <v>20.74688796680498</v>
      </c>
      <c r="G2">
        <v>1.36</v>
      </c>
      <c r="H2">
        <v>124.5048</v>
      </c>
      <c r="I2" s="3">
        <f>SLOPE(H2:H6,F2:F6)</f>
        <v>6.7256429296341471</v>
      </c>
      <c r="J2" s="8">
        <f>INTERCEPT(H2:H6,F2:F6)</f>
        <v>-9.1509335365853985</v>
      </c>
      <c r="K2" s="19"/>
    </row>
    <row r="3" spans="1:11" x14ac:dyDescent="0.2">
      <c r="A3" s="16">
        <v>44494</v>
      </c>
      <c r="B3">
        <v>24.1</v>
      </c>
      <c r="C3" s="4">
        <f t="shared" si="0"/>
        <v>0.01</v>
      </c>
      <c r="D3">
        <v>100</v>
      </c>
      <c r="E3" s="5">
        <f t="shared" si="1"/>
        <v>4.1493775933609963E-8</v>
      </c>
      <c r="F3" s="2">
        <f t="shared" si="2"/>
        <v>41.49377593360996</v>
      </c>
      <c r="G3">
        <v>1.36</v>
      </c>
      <c r="H3">
        <v>274.71899999999999</v>
      </c>
      <c r="J3" s="2"/>
      <c r="K3" s="19"/>
    </row>
    <row r="4" spans="1:11" x14ac:dyDescent="0.2">
      <c r="A4" s="16">
        <v>44494</v>
      </c>
      <c r="B4">
        <v>24.1</v>
      </c>
      <c r="C4" s="4">
        <f t="shared" si="0"/>
        <v>0.01</v>
      </c>
      <c r="D4">
        <v>200</v>
      </c>
      <c r="E4" s="5">
        <f t="shared" si="1"/>
        <v>8.2987551867219927E-8</v>
      </c>
      <c r="F4" s="2">
        <f t="shared" si="2"/>
        <v>82.987551867219921</v>
      </c>
      <c r="G4">
        <v>1.363</v>
      </c>
      <c r="H4">
        <v>554.221</v>
      </c>
      <c r="J4" s="2"/>
      <c r="K4" s="19"/>
    </row>
    <row r="5" spans="1:11" x14ac:dyDescent="0.2">
      <c r="A5" s="16">
        <v>44494</v>
      </c>
      <c r="B5">
        <v>24.1</v>
      </c>
      <c r="C5" s="4">
        <f t="shared" si="0"/>
        <v>0.01</v>
      </c>
      <c r="D5">
        <v>300</v>
      </c>
      <c r="E5" s="5">
        <f t="shared" si="1"/>
        <v>1.2448132780082988E-7</v>
      </c>
      <c r="F5" s="2">
        <f t="shared" si="2"/>
        <v>124.48132780082987</v>
      </c>
      <c r="G5">
        <v>1.373</v>
      </c>
      <c r="H5">
        <v>823.80010000000004</v>
      </c>
      <c r="J5" s="2"/>
      <c r="K5" s="19"/>
    </row>
    <row r="6" spans="1:11" x14ac:dyDescent="0.2">
      <c r="A6" s="16">
        <v>44494</v>
      </c>
      <c r="B6">
        <v>24.1</v>
      </c>
      <c r="C6" s="4">
        <f t="shared" si="0"/>
        <v>0.01</v>
      </c>
      <c r="D6">
        <v>400</v>
      </c>
      <c r="E6" s="5">
        <f t="shared" si="1"/>
        <v>1.6597510373443985E-7</v>
      </c>
      <c r="F6" s="2">
        <f t="shared" si="2"/>
        <v>165.97510373443984</v>
      </c>
      <c r="G6">
        <v>1.38</v>
      </c>
      <c r="H6">
        <v>1107.2598</v>
      </c>
      <c r="J6" s="2"/>
      <c r="K6" s="19"/>
    </row>
    <row r="7" spans="1:11" x14ac:dyDescent="0.2">
      <c r="A7" s="16">
        <v>44495</v>
      </c>
      <c r="B7">
        <v>24.1</v>
      </c>
      <c r="C7" s="4">
        <f t="shared" si="0"/>
        <v>0.01</v>
      </c>
      <c r="D7">
        <v>50</v>
      </c>
      <c r="E7" s="5">
        <f t="shared" si="1"/>
        <v>2.0746887966804982E-8</v>
      </c>
      <c r="F7" s="2">
        <f t="shared" si="2"/>
        <v>20.74688796680498</v>
      </c>
      <c r="G7">
        <v>1.3560000000000001</v>
      </c>
      <c r="H7">
        <v>119.6148</v>
      </c>
      <c r="I7" s="3">
        <f>SLOPE(H7:H11,F7:F11)</f>
        <v>6.5640444060975618</v>
      </c>
      <c r="J7" s="8">
        <f>INTERCEPT(H7:H11,F7:F11)</f>
        <v>-10.044474390244091</v>
      </c>
    </row>
    <row r="8" spans="1:11" x14ac:dyDescent="0.2">
      <c r="A8" s="16">
        <v>44495</v>
      </c>
      <c r="B8">
        <v>24.1</v>
      </c>
      <c r="C8" s="4">
        <f t="shared" si="0"/>
        <v>0.01</v>
      </c>
      <c r="D8">
        <v>100</v>
      </c>
      <c r="E8" s="5">
        <f t="shared" si="1"/>
        <v>4.1493775933609963E-8</v>
      </c>
      <c r="F8" s="2">
        <f t="shared" si="2"/>
        <v>41.49377593360996</v>
      </c>
      <c r="G8">
        <v>1.3660000000000001</v>
      </c>
      <c r="H8">
        <v>269.92840000000001</v>
      </c>
      <c r="J8" s="2"/>
    </row>
    <row r="9" spans="1:11" x14ac:dyDescent="0.2">
      <c r="A9" s="16">
        <v>44495</v>
      </c>
      <c r="B9">
        <v>24.1</v>
      </c>
      <c r="C9" s="4">
        <f t="shared" si="0"/>
        <v>0.01</v>
      </c>
      <c r="D9">
        <v>200</v>
      </c>
      <c r="E9" s="5">
        <f t="shared" si="1"/>
        <v>8.2987551867219927E-8</v>
      </c>
      <c r="F9" s="2">
        <f t="shared" si="2"/>
        <v>82.987551867219921</v>
      </c>
      <c r="G9">
        <v>1.3660000000000001</v>
      </c>
      <c r="H9">
        <v>534.61659999999995</v>
      </c>
      <c r="J9" s="2"/>
    </row>
    <row r="10" spans="1:11" x14ac:dyDescent="0.2">
      <c r="A10" s="16">
        <v>44495</v>
      </c>
      <c r="B10">
        <v>24.1</v>
      </c>
      <c r="C10" s="4">
        <f t="shared" si="0"/>
        <v>0.01</v>
      </c>
      <c r="D10">
        <v>300</v>
      </c>
      <c r="E10" s="5">
        <f t="shared" si="1"/>
        <v>1.2448132780082988E-7</v>
      </c>
      <c r="F10" s="2">
        <f t="shared" si="2"/>
        <v>124.48132780082987</v>
      </c>
      <c r="G10">
        <v>1.393</v>
      </c>
      <c r="H10">
        <v>807.21939999999995</v>
      </c>
      <c r="J10" s="2"/>
    </row>
    <row r="11" spans="1:11" x14ac:dyDescent="0.2">
      <c r="A11" s="16">
        <v>44495</v>
      </c>
      <c r="B11">
        <v>24.1</v>
      </c>
      <c r="C11" s="4">
        <f t="shared" si="0"/>
        <v>0.01</v>
      </c>
      <c r="D11">
        <v>400</v>
      </c>
      <c r="E11" s="5">
        <f t="shared" si="1"/>
        <v>1.6597510373443985E-7</v>
      </c>
      <c r="F11" s="2">
        <f t="shared" si="2"/>
        <v>165.97510373443984</v>
      </c>
      <c r="G11">
        <v>1.373</v>
      </c>
      <c r="H11">
        <v>1078.2518</v>
      </c>
      <c r="J11" s="2"/>
    </row>
    <row r="12" spans="1:11" x14ac:dyDescent="0.2">
      <c r="A12" s="16">
        <v>44496</v>
      </c>
      <c r="B12">
        <v>24.1</v>
      </c>
      <c r="C12" s="4">
        <f t="shared" si="0"/>
        <v>0.01</v>
      </c>
      <c r="D12">
        <v>50</v>
      </c>
      <c r="E12" s="5">
        <f t="shared" si="1"/>
        <v>2.0746887966804982E-8</v>
      </c>
      <c r="F12" s="2">
        <f t="shared" si="2"/>
        <v>20.74688796680498</v>
      </c>
      <c r="G12">
        <v>1.3460000000000001</v>
      </c>
      <c r="H12">
        <v>119.06659999999999</v>
      </c>
      <c r="I12" s="3">
        <f>SLOPE(H12:H16,F12:F16)</f>
        <v>6.6385172268292685</v>
      </c>
      <c r="J12" s="8">
        <f>INTERCEPT(H12:H16,F12:F16)</f>
        <v>-8.0766073170732398</v>
      </c>
    </row>
    <row r="13" spans="1:11" x14ac:dyDescent="0.2">
      <c r="A13" s="16">
        <v>44496</v>
      </c>
      <c r="B13">
        <v>24.1</v>
      </c>
      <c r="C13" s="4">
        <f t="shared" si="0"/>
        <v>0.01</v>
      </c>
      <c r="D13">
        <v>100</v>
      </c>
      <c r="E13" s="5">
        <f t="shared" si="1"/>
        <v>4.1493775933609963E-8</v>
      </c>
      <c r="F13" s="2">
        <f t="shared" si="2"/>
        <v>41.49377593360996</v>
      </c>
      <c r="G13">
        <v>1.353</v>
      </c>
      <c r="H13">
        <v>277.1644</v>
      </c>
      <c r="J13" s="2"/>
    </row>
    <row r="14" spans="1:11" x14ac:dyDescent="0.2">
      <c r="A14" s="16">
        <v>44496</v>
      </c>
      <c r="B14">
        <v>24.1</v>
      </c>
      <c r="C14" s="4">
        <f t="shared" si="0"/>
        <v>0.01</v>
      </c>
      <c r="D14">
        <v>200</v>
      </c>
      <c r="E14" s="5">
        <f t="shared" si="1"/>
        <v>8.2987551867219927E-8</v>
      </c>
      <c r="F14" s="2">
        <f t="shared" si="2"/>
        <v>82.987551867219921</v>
      </c>
      <c r="G14">
        <v>1.3560000000000001</v>
      </c>
      <c r="H14">
        <v>545.60879999999997</v>
      </c>
      <c r="J14" s="2"/>
    </row>
    <row r="15" spans="1:11" x14ac:dyDescent="0.2">
      <c r="A15" s="16">
        <v>44496</v>
      </c>
      <c r="B15">
        <v>24.1</v>
      </c>
      <c r="C15" s="4">
        <f t="shared" si="0"/>
        <v>0.01</v>
      </c>
      <c r="D15">
        <v>300</v>
      </c>
      <c r="E15" s="5">
        <f t="shared" si="1"/>
        <v>1.2448132780082988E-7</v>
      </c>
      <c r="F15" s="2">
        <f t="shared" si="2"/>
        <v>124.48132780082987</v>
      </c>
      <c r="G15">
        <v>1.3560000000000001</v>
      </c>
      <c r="H15">
        <v>820.44979999999998</v>
      </c>
      <c r="J15" s="2"/>
    </row>
    <row r="16" spans="1:11" x14ac:dyDescent="0.2">
      <c r="A16" s="16">
        <v>44496</v>
      </c>
      <c r="B16">
        <v>24.1</v>
      </c>
      <c r="C16" s="4">
        <f t="shared" si="0"/>
        <v>0.01</v>
      </c>
      <c r="D16">
        <v>400</v>
      </c>
      <c r="E16" s="5">
        <f t="shared" si="1"/>
        <v>1.6597510373443985E-7</v>
      </c>
      <c r="F16" s="2">
        <f t="shared" si="2"/>
        <v>165.97510373443984</v>
      </c>
      <c r="G16">
        <v>1.37</v>
      </c>
      <c r="H16">
        <v>1089.6274000000001</v>
      </c>
      <c r="J16" s="2"/>
    </row>
    <row r="17" spans="1:10" x14ac:dyDescent="0.2">
      <c r="A17" s="16"/>
      <c r="B17">
        <v>24.1</v>
      </c>
      <c r="C17" s="4">
        <f t="shared" si="0"/>
        <v>0.01</v>
      </c>
      <c r="D17">
        <v>50</v>
      </c>
      <c r="E17" s="5">
        <f t="shared" ref="E17:E21" si="3">(D17/1000000)*(1/$B$2)*$C$2</f>
        <v>2.0746887966804982E-8</v>
      </c>
      <c r="F17" s="2">
        <f t="shared" ref="F17:F21" si="4">E17*(10^9)</f>
        <v>20.74688796680498</v>
      </c>
      <c r="G17" s="6"/>
      <c r="H17" s="7"/>
      <c r="I17" s="3" t="e">
        <f>SLOPE(H17:H21,F17:F21)</f>
        <v>#DIV/0!</v>
      </c>
      <c r="J17" s="8" t="e">
        <f>INTERCEPT(H17:H21,F17:F21)</f>
        <v>#DIV/0!</v>
      </c>
    </row>
    <row r="18" spans="1:10" x14ac:dyDescent="0.2">
      <c r="A18" s="16"/>
      <c r="B18">
        <v>24.1</v>
      </c>
      <c r="C18" s="4">
        <f t="shared" si="0"/>
        <v>0.01</v>
      </c>
      <c r="D18">
        <v>100</v>
      </c>
      <c r="E18" s="5">
        <f t="shared" si="3"/>
        <v>4.1493775933609963E-8</v>
      </c>
      <c r="F18" s="2">
        <f t="shared" si="4"/>
        <v>41.49377593360996</v>
      </c>
      <c r="G18" s="6"/>
      <c r="H18" s="7"/>
      <c r="J18" s="2"/>
    </row>
    <row r="19" spans="1:10" x14ac:dyDescent="0.2">
      <c r="A19" s="16"/>
      <c r="B19">
        <v>24.1</v>
      </c>
      <c r="C19" s="4">
        <f t="shared" si="0"/>
        <v>0.01</v>
      </c>
      <c r="D19">
        <v>200</v>
      </c>
      <c r="E19" s="5">
        <f t="shared" si="3"/>
        <v>8.2987551867219927E-8</v>
      </c>
      <c r="F19" s="2">
        <f t="shared" si="4"/>
        <v>82.987551867219921</v>
      </c>
      <c r="G19" s="6"/>
      <c r="H19" s="7"/>
      <c r="J19" s="2"/>
    </row>
    <row r="20" spans="1:10" x14ac:dyDescent="0.2">
      <c r="A20" s="16"/>
      <c r="B20">
        <v>24.1</v>
      </c>
      <c r="C20" s="4">
        <f t="shared" si="0"/>
        <v>0.01</v>
      </c>
      <c r="D20">
        <v>300</v>
      </c>
      <c r="E20" s="5">
        <f t="shared" si="3"/>
        <v>1.2448132780082988E-7</v>
      </c>
      <c r="F20" s="2">
        <f t="shared" si="4"/>
        <v>124.48132780082987</v>
      </c>
      <c r="G20" s="6"/>
      <c r="H20" s="7"/>
      <c r="J20" s="2"/>
    </row>
    <row r="21" spans="1:10" x14ac:dyDescent="0.2">
      <c r="A21" s="16"/>
      <c r="B21">
        <v>24.1</v>
      </c>
      <c r="C21" s="4">
        <f t="shared" si="0"/>
        <v>0.01</v>
      </c>
      <c r="D21">
        <v>400</v>
      </c>
      <c r="E21" s="5">
        <f t="shared" si="3"/>
        <v>1.6597510373443985E-7</v>
      </c>
      <c r="F21" s="2">
        <f t="shared" si="4"/>
        <v>165.97510373443984</v>
      </c>
      <c r="G21" s="6"/>
      <c r="H21" s="7"/>
      <c r="J21" s="2"/>
    </row>
    <row r="22" spans="1:10" x14ac:dyDescent="0.2">
      <c r="A22" s="16"/>
      <c r="B22">
        <v>24.1</v>
      </c>
      <c r="C22" s="4">
        <f t="shared" si="0"/>
        <v>0.01</v>
      </c>
      <c r="D22">
        <v>50</v>
      </c>
      <c r="E22" s="5">
        <f t="shared" ref="E22:E26" si="5">(D22/1000000)*(1/$B$2)*$C$2</f>
        <v>2.0746887966804982E-8</v>
      </c>
      <c r="F22" s="2">
        <f t="shared" ref="F22:F26" si="6">E22*(10^9)</f>
        <v>20.74688796680498</v>
      </c>
      <c r="G22" s="6"/>
      <c r="H22" s="7"/>
      <c r="I22" s="3" t="e">
        <f>SLOPE(H22:H26,F22:F26)</f>
        <v>#DIV/0!</v>
      </c>
      <c r="J22" s="8" t="e">
        <f>INTERCEPT(H22:H26,F22:F26)</f>
        <v>#DIV/0!</v>
      </c>
    </row>
    <row r="23" spans="1:10" x14ac:dyDescent="0.2">
      <c r="A23" s="16"/>
      <c r="B23">
        <v>24.1</v>
      </c>
      <c r="C23" s="4">
        <f t="shared" si="0"/>
        <v>0.01</v>
      </c>
      <c r="D23">
        <v>100</v>
      </c>
      <c r="E23" s="5">
        <f t="shared" si="5"/>
        <v>4.1493775933609963E-8</v>
      </c>
      <c r="F23" s="2">
        <f t="shared" si="6"/>
        <v>41.49377593360996</v>
      </c>
      <c r="G23" s="6"/>
      <c r="H23" s="7"/>
    </row>
    <row r="24" spans="1:10" x14ac:dyDescent="0.2">
      <c r="A24" s="16"/>
      <c r="B24">
        <v>24.1</v>
      </c>
      <c r="C24" s="4">
        <f t="shared" si="0"/>
        <v>0.01</v>
      </c>
      <c r="D24">
        <v>200</v>
      </c>
      <c r="E24" s="5">
        <f t="shared" si="5"/>
        <v>8.2987551867219927E-8</v>
      </c>
      <c r="F24" s="2">
        <f t="shared" si="6"/>
        <v>82.987551867219921</v>
      </c>
      <c r="G24" s="6"/>
      <c r="H24" s="7"/>
    </row>
    <row r="25" spans="1:10" x14ac:dyDescent="0.2">
      <c r="A25" s="16"/>
      <c r="B25">
        <v>24.1</v>
      </c>
      <c r="C25" s="4">
        <f t="shared" si="0"/>
        <v>0.01</v>
      </c>
      <c r="D25">
        <v>300</v>
      </c>
      <c r="E25" s="5">
        <f t="shared" si="5"/>
        <v>1.2448132780082988E-7</v>
      </c>
      <c r="F25" s="2">
        <f t="shared" si="6"/>
        <v>124.48132780082987</v>
      </c>
      <c r="G25" s="6"/>
      <c r="H25" s="7"/>
    </row>
    <row r="26" spans="1:10" x14ac:dyDescent="0.2">
      <c r="A26" s="16"/>
      <c r="B26">
        <v>24.1</v>
      </c>
      <c r="C26" s="4">
        <f t="shared" si="0"/>
        <v>0.01</v>
      </c>
      <c r="D26">
        <v>400</v>
      </c>
      <c r="E26" s="5">
        <f t="shared" si="5"/>
        <v>1.6597510373443985E-7</v>
      </c>
      <c r="F26" s="2">
        <f t="shared" si="6"/>
        <v>165.97510373443984</v>
      </c>
      <c r="G26" s="6"/>
      <c r="H26" s="7"/>
    </row>
    <row r="27" spans="1:10" x14ac:dyDescent="0.2">
      <c r="A27" s="16"/>
      <c r="B27">
        <v>24.1</v>
      </c>
      <c r="C27" s="4">
        <f t="shared" si="0"/>
        <v>0.01</v>
      </c>
      <c r="D27">
        <v>50</v>
      </c>
      <c r="E27" s="5">
        <f t="shared" ref="E27:E34" si="7">(D27/1000000)*(1/$B$2)*$C$2</f>
        <v>2.0746887966804982E-8</v>
      </c>
      <c r="F27" s="2">
        <f t="shared" ref="F27:F34" si="8">E27*(10^9)</f>
        <v>20.74688796680498</v>
      </c>
      <c r="G27" s="6"/>
      <c r="H27" s="7"/>
      <c r="I27" s="3" t="e">
        <f>SLOPE(H27:H29,F27:F29)</f>
        <v>#DIV/0!</v>
      </c>
      <c r="J27" s="8" t="e">
        <f>INTERCEPT(H27:H31,F27:F31)</f>
        <v>#DIV/0!</v>
      </c>
    </row>
    <row r="28" spans="1:10" x14ac:dyDescent="0.2">
      <c r="A28" s="16"/>
      <c r="B28">
        <v>24.1</v>
      </c>
      <c r="C28" s="4">
        <f t="shared" si="0"/>
        <v>0.01</v>
      </c>
      <c r="D28">
        <v>100</v>
      </c>
      <c r="E28" s="5">
        <f t="shared" si="7"/>
        <v>4.1493775933609963E-8</v>
      </c>
      <c r="F28" s="2">
        <f t="shared" si="8"/>
        <v>41.49377593360996</v>
      </c>
      <c r="G28" s="6"/>
      <c r="H28" s="7"/>
    </row>
    <row r="29" spans="1:10" x14ac:dyDescent="0.2">
      <c r="A29" s="16"/>
      <c r="B29">
        <v>24.1</v>
      </c>
      <c r="C29" s="4">
        <f t="shared" si="0"/>
        <v>0.01</v>
      </c>
      <c r="D29">
        <v>200</v>
      </c>
      <c r="E29" s="5">
        <f t="shared" si="7"/>
        <v>8.2987551867219927E-8</v>
      </c>
      <c r="F29" s="2">
        <f t="shared" si="8"/>
        <v>82.987551867219921</v>
      </c>
      <c r="G29" s="6"/>
      <c r="H29" s="7"/>
    </row>
    <row r="30" spans="1:10" x14ac:dyDescent="0.2">
      <c r="A30" s="16"/>
      <c r="B30">
        <v>24.1</v>
      </c>
      <c r="C30" s="4">
        <f t="shared" si="0"/>
        <v>0.01</v>
      </c>
      <c r="D30">
        <v>50</v>
      </c>
      <c r="E30" s="5">
        <f t="shared" si="7"/>
        <v>2.0746887966804982E-8</v>
      </c>
      <c r="F30" s="2">
        <f t="shared" si="8"/>
        <v>20.74688796680498</v>
      </c>
      <c r="G30" s="6"/>
      <c r="H30" s="7"/>
      <c r="I30" s="3" t="e">
        <f>SLOPE(H30:H34,F30:F34)</f>
        <v>#DIV/0!</v>
      </c>
      <c r="J30" s="8" t="e">
        <f>INTERCEPT(H30:H34,F30:F34)</f>
        <v>#DIV/0!</v>
      </c>
    </row>
    <row r="31" spans="1:10" x14ac:dyDescent="0.2">
      <c r="A31" s="16"/>
      <c r="B31">
        <v>24.1</v>
      </c>
      <c r="C31" s="4">
        <f t="shared" si="0"/>
        <v>0.01</v>
      </c>
      <c r="D31">
        <v>100</v>
      </c>
      <c r="E31" s="5">
        <f t="shared" si="7"/>
        <v>4.1493775933609963E-8</v>
      </c>
      <c r="F31" s="2">
        <f t="shared" si="8"/>
        <v>41.49377593360996</v>
      </c>
      <c r="G31" s="6"/>
      <c r="H31" s="7"/>
    </row>
    <row r="32" spans="1:10" x14ac:dyDescent="0.2">
      <c r="A32" s="16"/>
      <c r="B32">
        <v>24.1</v>
      </c>
      <c r="C32" s="4">
        <f t="shared" si="0"/>
        <v>0.01</v>
      </c>
      <c r="D32">
        <v>200</v>
      </c>
      <c r="E32" s="5">
        <f t="shared" si="7"/>
        <v>8.2987551867219927E-8</v>
      </c>
      <c r="F32" s="2">
        <f t="shared" si="8"/>
        <v>82.987551867219921</v>
      </c>
      <c r="G32" s="6"/>
      <c r="H32" s="7"/>
    </row>
    <row r="33" spans="1:8" x14ac:dyDescent="0.2">
      <c r="A33" s="16"/>
      <c r="B33">
        <v>24.1</v>
      </c>
      <c r="C33" s="4">
        <f t="shared" si="0"/>
        <v>0.01</v>
      </c>
      <c r="D33">
        <v>300</v>
      </c>
      <c r="E33" s="5">
        <f t="shared" si="7"/>
        <v>1.2448132780082988E-7</v>
      </c>
      <c r="F33" s="2">
        <f t="shared" si="8"/>
        <v>124.48132780082987</v>
      </c>
      <c r="G33" s="6"/>
      <c r="H33" s="7"/>
    </row>
    <row r="34" spans="1:8" x14ac:dyDescent="0.2">
      <c r="A34" s="16"/>
      <c r="B34">
        <v>24.1</v>
      </c>
      <c r="C34" s="4">
        <f t="shared" si="0"/>
        <v>0.01</v>
      </c>
      <c r="D34">
        <v>400</v>
      </c>
      <c r="E34" s="5">
        <f t="shared" si="7"/>
        <v>1.6597510373443985E-7</v>
      </c>
      <c r="F34" s="2">
        <f t="shared" si="8"/>
        <v>165.97510373443984</v>
      </c>
      <c r="G34" s="6"/>
      <c r="H34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91" zoomScaleNormal="91" workbookViewId="0">
      <selection activeCell="A11" sqref="A11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21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44495</v>
      </c>
      <c r="B2">
        <v>24.1</v>
      </c>
      <c r="C2" s="4">
        <f t="shared" ref="C2:C16" si="0">5/100</f>
        <v>0.05</v>
      </c>
      <c r="D2">
        <v>50</v>
      </c>
      <c r="E2" s="5">
        <f t="shared" ref="E2:E16" si="1">(D2/1000000)*(1/$B$2)*$C$2</f>
        <v>1.037344398340249E-7</v>
      </c>
      <c r="F2" s="2">
        <f t="shared" ref="F2:F16" si="2">E2*(10^9)</f>
        <v>103.7344398340249</v>
      </c>
      <c r="G2">
        <v>2.5129999999999999</v>
      </c>
      <c r="H2">
        <v>16.038799999999998</v>
      </c>
      <c r="I2" s="3">
        <f>SLOPE(H2:H6,F2:F6)</f>
        <v>0.19382101707317073</v>
      </c>
      <c r="J2" s="8">
        <f>INTERCEPT(H2:H6,F2:F6)</f>
        <v>-2.5326414634146204</v>
      </c>
      <c r="K2" s="19"/>
    </row>
    <row r="3" spans="1:11" x14ac:dyDescent="0.2">
      <c r="A3" s="16">
        <v>44495</v>
      </c>
      <c r="B3">
        <v>24.1</v>
      </c>
      <c r="C3" s="4">
        <f t="shared" si="0"/>
        <v>0.05</v>
      </c>
      <c r="D3">
        <v>100</v>
      </c>
      <c r="E3" s="5">
        <f t="shared" si="1"/>
        <v>2.074688796680498E-7</v>
      </c>
      <c r="F3" s="2">
        <f t="shared" si="2"/>
        <v>207.46887966804979</v>
      </c>
      <c r="G3">
        <v>2.5129999999999999</v>
      </c>
      <c r="H3">
        <v>39.380800000000001</v>
      </c>
      <c r="J3" s="2"/>
      <c r="K3" s="19"/>
    </row>
    <row r="4" spans="1:11" x14ac:dyDescent="0.2">
      <c r="A4" s="16">
        <v>44495</v>
      </c>
      <c r="B4">
        <v>24.1</v>
      </c>
      <c r="C4" s="4">
        <f t="shared" si="0"/>
        <v>0.05</v>
      </c>
      <c r="D4">
        <v>200</v>
      </c>
      <c r="E4" s="5">
        <f t="shared" si="1"/>
        <v>4.1493775933609961E-7</v>
      </c>
      <c r="F4" s="2">
        <f t="shared" si="2"/>
        <v>414.93775933609959</v>
      </c>
      <c r="G4">
        <v>2.5129999999999999</v>
      </c>
      <c r="H4">
        <v>78.537199999999999</v>
      </c>
      <c r="J4" s="2"/>
      <c r="K4" s="19"/>
    </row>
    <row r="5" spans="1:11" x14ac:dyDescent="0.2">
      <c r="A5" s="16">
        <v>44495</v>
      </c>
      <c r="B5">
        <v>24.1</v>
      </c>
      <c r="C5" s="4">
        <f t="shared" si="0"/>
        <v>0.05</v>
      </c>
      <c r="D5">
        <v>300</v>
      </c>
      <c r="E5" s="5">
        <f t="shared" si="1"/>
        <v>6.2240663900414941E-7</v>
      </c>
      <c r="F5" s="2">
        <f t="shared" si="2"/>
        <v>622.40663900414938</v>
      </c>
      <c r="G5">
        <v>2.516</v>
      </c>
      <c r="H5">
        <v>117.0763</v>
      </c>
      <c r="J5" s="2"/>
      <c r="K5" s="19"/>
    </row>
    <row r="6" spans="1:11" x14ac:dyDescent="0.2">
      <c r="A6" s="16">
        <v>44495</v>
      </c>
      <c r="B6">
        <v>24.1</v>
      </c>
      <c r="C6" s="4">
        <f t="shared" si="0"/>
        <v>0.05</v>
      </c>
      <c r="D6">
        <v>400</v>
      </c>
      <c r="E6" s="5">
        <f t="shared" si="1"/>
        <v>8.2987551867219922E-7</v>
      </c>
      <c r="F6" s="2">
        <f t="shared" si="2"/>
        <v>829.87551867219918</v>
      </c>
      <c r="G6">
        <v>2.5059999999999998</v>
      </c>
      <c r="H6">
        <v>158.52789999999999</v>
      </c>
      <c r="J6" s="2"/>
      <c r="K6" s="19"/>
    </row>
    <row r="7" spans="1:11" x14ac:dyDescent="0.2">
      <c r="A7" s="16">
        <v>44496</v>
      </c>
      <c r="B7">
        <v>24.1</v>
      </c>
      <c r="C7" s="4">
        <f t="shared" si="0"/>
        <v>0.05</v>
      </c>
      <c r="D7">
        <v>50</v>
      </c>
      <c r="E7" s="5">
        <f t="shared" si="1"/>
        <v>1.037344398340249E-7</v>
      </c>
      <c r="F7" s="2">
        <f t="shared" si="2"/>
        <v>103.7344398340249</v>
      </c>
      <c r="G7">
        <v>2.5099999999999998</v>
      </c>
      <c r="H7">
        <v>16.754000000000001</v>
      </c>
      <c r="I7" s="3">
        <f>SLOPE(H7:H11,F7:F11)</f>
        <v>0.19162360258536582</v>
      </c>
      <c r="J7" s="8">
        <f>INTERCEPT(H7:H11,F7:F11)</f>
        <v>-2.1055817073170573</v>
      </c>
    </row>
    <row r="8" spans="1:11" x14ac:dyDescent="0.2">
      <c r="A8" s="16">
        <v>44496</v>
      </c>
      <c r="B8">
        <v>24.1</v>
      </c>
      <c r="C8" s="4">
        <f t="shared" si="0"/>
        <v>0.05</v>
      </c>
      <c r="D8">
        <v>100</v>
      </c>
      <c r="E8" s="5">
        <f t="shared" si="1"/>
        <v>2.074688796680498E-7</v>
      </c>
      <c r="F8" s="2">
        <f t="shared" si="2"/>
        <v>207.46887966804979</v>
      </c>
      <c r="G8">
        <v>2.5129999999999999</v>
      </c>
      <c r="H8">
        <v>38.718200000000003</v>
      </c>
      <c r="J8" s="2"/>
    </row>
    <row r="9" spans="1:11" x14ac:dyDescent="0.2">
      <c r="A9" s="16">
        <v>44496</v>
      </c>
      <c r="B9">
        <v>24.1</v>
      </c>
      <c r="C9" s="4">
        <f t="shared" si="0"/>
        <v>0.05</v>
      </c>
      <c r="D9">
        <v>200</v>
      </c>
      <c r="E9" s="5">
        <f t="shared" si="1"/>
        <v>4.1493775933609961E-7</v>
      </c>
      <c r="F9" s="2">
        <f t="shared" si="2"/>
        <v>414.93775933609959</v>
      </c>
      <c r="G9">
        <v>2.5030000000000001</v>
      </c>
      <c r="H9">
        <v>77.901200000000003</v>
      </c>
      <c r="J9" s="2"/>
    </row>
    <row r="10" spans="1:11" x14ac:dyDescent="0.2">
      <c r="A10" s="16">
        <v>44496</v>
      </c>
      <c r="B10">
        <v>24.1</v>
      </c>
      <c r="C10" s="4">
        <f t="shared" si="0"/>
        <v>0.05</v>
      </c>
      <c r="D10">
        <v>300</v>
      </c>
      <c r="E10" s="5">
        <f t="shared" si="1"/>
        <v>6.2240663900414941E-7</v>
      </c>
      <c r="F10" s="2">
        <f t="shared" si="2"/>
        <v>622.40663900414938</v>
      </c>
      <c r="G10">
        <v>2.5</v>
      </c>
      <c r="H10">
        <v>116.53319999999999</v>
      </c>
      <c r="J10" s="2"/>
    </row>
    <row r="11" spans="1:11" x14ac:dyDescent="0.2">
      <c r="A11" s="16">
        <v>44496</v>
      </c>
      <c r="B11">
        <v>24.1</v>
      </c>
      <c r="C11" s="4">
        <f t="shared" si="0"/>
        <v>0.05</v>
      </c>
      <c r="D11">
        <v>400</v>
      </c>
      <c r="E11" s="5">
        <f t="shared" si="1"/>
        <v>8.2987551867219922E-7</v>
      </c>
      <c r="F11" s="2">
        <f t="shared" si="2"/>
        <v>829.87551867219918</v>
      </c>
      <c r="G11">
        <v>2.5099999999999998</v>
      </c>
      <c r="H11">
        <v>157.00280000000001</v>
      </c>
      <c r="J11" s="2"/>
    </row>
    <row r="12" spans="1:11" x14ac:dyDescent="0.2">
      <c r="A12" s="18"/>
      <c r="B12">
        <v>24.1</v>
      </c>
      <c r="C12" s="4">
        <f t="shared" si="0"/>
        <v>0.05</v>
      </c>
      <c r="D12">
        <v>50</v>
      </c>
      <c r="E12" s="5">
        <f t="shared" si="1"/>
        <v>1.037344398340249E-7</v>
      </c>
      <c r="F12" s="2">
        <f t="shared" si="2"/>
        <v>103.7344398340249</v>
      </c>
      <c r="G12" s="6"/>
      <c r="H12" s="7"/>
      <c r="I12" s="3" t="e">
        <f>SLOPE(H12:H16,F12:F16)</f>
        <v>#DIV/0!</v>
      </c>
      <c r="J12" s="8" t="e">
        <f>INTERCEPT(H12:H16,F12:F16)</f>
        <v>#DIV/0!</v>
      </c>
    </row>
    <row r="13" spans="1:11" x14ac:dyDescent="0.2">
      <c r="A13" s="18"/>
      <c r="B13">
        <v>24.1</v>
      </c>
      <c r="C13" s="4">
        <f t="shared" si="0"/>
        <v>0.05</v>
      </c>
      <c r="D13">
        <v>100</v>
      </c>
      <c r="E13" s="5">
        <f t="shared" si="1"/>
        <v>2.074688796680498E-7</v>
      </c>
      <c r="F13" s="2">
        <f t="shared" si="2"/>
        <v>207.46887966804979</v>
      </c>
      <c r="G13" s="6"/>
      <c r="H13" s="7"/>
      <c r="J13" s="2"/>
    </row>
    <row r="14" spans="1:11" x14ac:dyDescent="0.2">
      <c r="A14" s="18"/>
      <c r="B14">
        <v>24.1</v>
      </c>
      <c r="C14" s="4">
        <f t="shared" si="0"/>
        <v>0.05</v>
      </c>
      <c r="D14">
        <v>200</v>
      </c>
      <c r="E14" s="5">
        <f t="shared" si="1"/>
        <v>4.1493775933609961E-7</v>
      </c>
      <c r="F14" s="2">
        <f t="shared" si="2"/>
        <v>414.93775933609959</v>
      </c>
      <c r="G14" s="6"/>
      <c r="H14" s="7"/>
      <c r="J14" s="2"/>
    </row>
    <row r="15" spans="1:11" x14ac:dyDescent="0.2">
      <c r="A15" s="18"/>
      <c r="B15">
        <v>24.1</v>
      </c>
      <c r="C15" s="4">
        <f t="shared" si="0"/>
        <v>0.05</v>
      </c>
      <c r="D15">
        <v>300</v>
      </c>
      <c r="E15" s="5">
        <f t="shared" si="1"/>
        <v>6.2240663900414941E-7</v>
      </c>
      <c r="F15" s="2">
        <f t="shared" si="2"/>
        <v>622.40663900414938</v>
      </c>
      <c r="G15" s="6"/>
      <c r="H15" s="7"/>
      <c r="J15" s="2"/>
    </row>
    <row r="16" spans="1:11" x14ac:dyDescent="0.2">
      <c r="A16" s="18"/>
      <c r="B16">
        <v>24.1</v>
      </c>
      <c r="C16" s="4">
        <f t="shared" si="0"/>
        <v>0.05</v>
      </c>
      <c r="D16">
        <v>400</v>
      </c>
      <c r="E16" s="5">
        <f t="shared" si="1"/>
        <v>8.2987551867219922E-7</v>
      </c>
      <c r="F16" s="2">
        <f t="shared" si="2"/>
        <v>829.87551867219918</v>
      </c>
      <c r="G16" s="6"/>
      <c r="H16" s="7"/>
      <c r="J16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workbookViewId="0">
      <selection activeCell="C23" sqref="C23"/>
    </sheetView>
  </sheetViews>
  <sheetFormatPr baseColWidth="10" defaultColWidth="11" defaultRowHeight="16" x14ac:dyDescent="0.2"/>
  <sheetData>
    <row r="1" spans="1:1" x14ac:dyDescent="0.2">
      <c r="A1" s="1" t="s">
        <v>31</v>
      </c>
    </row>
    <row r="2" spans="1:1" x14ac:dyDescent="0.2">
      <c r="A2" s="1" t="s">
        <v>32</v>
      </c>
    </row>
    <row r="3" spans="1:1" x14ac:dyDescent="0.2">
      <c r="A3" s="1" t="s">
        <v>33</v>
      </c>
    </row>
    <row r="4" spans="1:1" x14ac:dyDescent="0.2">
      <c r="A4" s="1" t="s">
        <v>34</v>
      </c>
    </row>
    <row r="5" spans="1:1" x14ac:dyDescent="0.2">
      <c r="A5" s="1" t="s">
        <v>35</v>
      </c>
    </row>
    <row r="6" spans="1:1" x14ac:dyDescent="0.2">
      <c r="A6" s="1" t="s">
        <v>36</v>
      </c>
    </row>
    <row r="7" spans="1:1" x14ac:dyDescent="0.2">
      <c r="A7" s="1" t="s">
        <v>37</v>
      </c>
    </row>
    <row r="8" spans="1:1" x14ac:dyDescent="0.2">
      <c r="A8" s="1" t="s">
        <v>38</v>
      </c>
    </row>
    <row r="9" spans="1:1" x14ac:dyDescent="0.2">
      <c r="A9" s="1" t="s">
        <v>39</v>
      </c>
    </row>
    <row r="10" spans="1:1" x14ac:dyDescent="0.2">
      <c r="A10" s="1" t="s">
        <v>40</v>
      </c>
    </row>
    <row r="11" spans="1:1" x14ac:dyDescent="0.2">
      <c r="A11" s="1" t="s">
        <v>41</v>
      </c>
    </row>
    <row r="12" spans="1:1" x14ac:dyDescent="0.2">
      <c r="A12" s="1" t="s">
        <v>42</v>
      </c>
    </row>
    <row r="13" spans="1:1" x14ac:dyDescent="0.2">
      <c r="A13" s="1" t="s">
        <v>43</v>
      </c>
    </row>
    <row r="14" spans="1:1" x14ac:dyDescent="0.2">
      <c r="A14" s="1" t="s">
        <v>44</v>
      </c>
    </row>
    <row r="15" spans="1:1" x14ac:dyDescent="0.2">
      <c r="A15" s="1" t="s">
        <v>45</v>
      </c>
    </row>
    <row r="16" spans="1:1" x14ac:dyDescent="0.2">
      <c r="A16" s="1" t="s">
        <v>46</v>
      </c>
    </row>
    <row r="17" spans="1:1" x14ac:dyDescent="0.2">
      <c r="A17" s="1" t="s">
        <v>47</v>
      </c>
    </row>
    <row r="18" spans="1:1" x14ac:dyDescent="0.2">
      <c r="A18" s="1" t="s">
        <v>48</v>
      </c>
    </row>
    <row r="19" spans="1:1" x14ac:dyDescent="0.2">
      <c r="A19" s="1" t="s">
        <v>49</v>
      </c>
    </row>
    <row r="20" spans="1:1" x14ac:dyDescent="0.2">
      <c r="A20" s="1" t="s">
        <v>50</v>
      </c>
    </row>
    <row r="21" spans="1:1" x14ac:dyDescent="0.2">
      <c r="A21" s="1" t="s">
        <v>51</v>
      </c>
    </row>
    <row r="22" spans="1:1" x14ac:dyDescent="0.2">
      <c r="A22" s="1" t="s">
        <v>52</v>
      </c>
    </row>
    <row r="23" spans="1:1" x14ac:dyDescent="0.2">
      <c r="A23" s="1" t="s">
        <v>53</v>
      </c>
    </row>
    <row r="24" spans="1:1" x14ac:dyDescent="0.2">
      <c r="A24" s="1" t="s">
        <v>54</v>
      </c>
    </row>
    <row r="25" spans="1:1" x14ac:dyDescent="0.2">
      <c r="A25" s="1" t="s">
        <v>55</v>
      </c>
    </row>
    <row r="26" spans="1:1" x14ac:dyDescent="0.2">
      <c r="A26" s="1" t="s">
        <v>56</v>
      </c>
    </row>
    <row r="27" spans="1:1" x14ac:dyDescent="0.2">
      <c r="A27" s="1" t="s">
        <v>57</v>
      </c>
    </row>
    <row r="28" spans="1:1" x14ac:dyDescent="0.2">
      <c r="A28" s="1" t="s">
        <v>58</v>
      </c>
    </row>
    <row r="29" spans="1:1" x14ac:dyDescent="0.2">
      <c r="A29" s="1" t="s">
        <v>59</v>
      </c>
    </row>
    <row r="30" spans="1:1" x14ac:dyDescent="0.2">
      <c r="A30" s="1" t="s">
        <v>60</v>
      </c>
    </row>
    <row r="31" spans="1:1" x14ac:dyDescent="0.2">
      <c r="A31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SampleMeasurements</vt:lpstr>
      <vt:lpstr>CH4_std_curves</vt:lpstr>
      <vt:lpstr>CO2_std_curves</vt:lpstr>
      <vt:lpstr>SampleList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Jiawen Li</cp:lastModifiedBy>
  <dcterms:created xsi:type="dcterms:W3CDTF">2021-05-10T01:36:15Z</dcterms:created>
  <dcterms:modified xsi:type="dcterms:W3CDTF">2023-06-05T00:57:38Z</dcterms:modified>
</cp:coreProperties>
</file>