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f005cbk/Documents/Python/M caps/"/>
    </mc:Choice>
  </mc:AlternateContent>
  <xr:revisionPtr revIDLastSave="0" documentId="13_ncr:1_{9377A90C-FACC-EC4D-BC1E-95F5DDA7B2FC}" xr6:coauthVersionLast="47" xr6:coauthVersionMax="47" xr10:uidLastSave="{00000000-0000-0000-0000-000000000000}"/>
  <bookViews>
    <workbookView xWindow="0" yWindow="500" windowWidth="28800" windowHeight="16420" xr2:uid="{00000000-000D-0000-FFFF-FFFF00000000}"/>
  </bookViews>
  <sheets>
    <sheet name="Mcaps_clumped_data_Summary" sheetId="1" r:id="rId1"/>
    <sheet name="Regression for alphas" sheetId="4" r:id="rId2"/>
    <sheet name="Equilibrium" sheetId="2" r:id="rId3"/>
    <sheet name="Correction for solubility" sheetId="3"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iuYFUmJocI2eChTs6ZL+o+ycOrvw=="/>
    </ext>
  </extLst>
</workbook>
</file>

<file path=xl/calcChain.xml><?xml version="1.0" encoding="utf-8"?>
<calcChain xmlns="http://schemas.openxmlformats.org/spreadsheetml/2006/main">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2" i="1"/>
  <c r="Z34" i="1"/>
  <c r="AE37" i="1"/>
  <c r="AF38" i="1"/>
  <c r="AF39" i="1"/>
  <c r="AF40" i="1"/>
  <c r="AF37" i="1"/>
  <c r="AE38" i="1"/>
  <c r="AE39" i="1"/>
  <c r="AE40" i="1"/>
  <c r="AD37" i="1"/>
  <c r="AD38" i="1"/>
  <c r="AD39" i="1"/>
  <c r="AD40" i="1"/>
  <c r="AC37" i="1"/>
  <c r="AC38" i="1"/>
  <c r="AC39" i="1"/>
  <c r="AC40" i="1"/>
  <c r="AB38" i="1"/>
  <c r="AB39" i="1"/>
  <c r="AB40" i="1"/>
  <c r="AB37" i="1"/>
  <c r="Y32" i="1"/>
  <c r="AB32" i="1"/>
  <c r="Y38" i="1"/>
  <c r="Y37" i="1"/>
  <c r="Y39" i="1"/>
  <c r="Y40" i="1"/>
  <c r="Z37" i="1"/>
  <c r="Z38" i="1"/>
  <c r="Z39" i="1"/>
  <c r="Z40" i="1"/>
  <c r="Z36" i="1"/>
  <c r="Z20" i="1"/>
  <c r="Y36" i="1"/>
  <c r="Z9" i="1"/>
  <c r="X38" i="1"/>
  <c r="X37" i="1"/>
  <c r="X39" i="1"/>
  <c r="X40" i="1"/>
  <c r="X17" i="1"/>
  <c r="X26" i="1"/>
  <c r="J66" i="1"/>
  <c r="J67" i="1"/>
  <c r="J68" i="1"/>
  <c r="J69" i="1"/>
  <c r="J70" i="1"/>
  <c r="H66" i="1"/>
  <c r="H67" i="1"/>
  <c r="H68" i="1"/>
  <c r="H69" i="1"/>
  <c r="H70" i="1"/>
  <c r="H61" i="1"/>
  <c r="H62" i="1"/>
  <c r="H63" i="1"/>
  <c r="H64" i="1"/>
  <c r="H60" i="1"/>
  <c r="J61" i="1"/>
  <c r="J62" i="1"/>
  <c r="J63" i="1"/>
  <c r="J64" i="1"/>
  <c r="J60" i="1"/>
  <c r="AB27" i="1"/>
  <c r="AB18" i="1"/>
  <c r="Y2" i="1"/>
  <c r="E19" i="4"/>
  <c r="C19" i="4"/>
  <c r="B19" i="4"/>
  <c r="A19" i="4"/>
  <c r="AE28" i="1"/>
  <c r="AE29" i="1"/>
  <c r="AE30" i="1"/>
  <c r="AE31" i="1"/>
  <c r="AE32" i="1"/>
  <c r="AE33" i="1"/>
  <c r="AE34" i="1"/>
  <c r="AE27" i="1"/>
  <c r="AE18" i="1"/>
  <c r="AE19" i="1"/>
  <c r="AE20" i="1"/>
  <c r="AE21" i="1"/>
  <c r="AE22" i="1"/>
  <c r="AE17" i="1"/>
  <c r="AE13" i="1"/>
  <c r="AE14" i="1"/>
  <c r="AE15" i="1"/>
  <c r="AE16" i="1"/>
  <c r="AE12" i="1"/>
  <c r="AE24" i="1"/>
  <c r="AE25" i="1"/>
  <c r="AE26" i="1"/>
  <c r="AE23" i="1"/>
  <c r="AE6" i="1"/>
  <c r="AE7" i="1"/>
  <c r="AE8" i="1"/>
  <c r="AE9" i="1"/>
  <c r="AE10" i="1"/>
  <c r="AE11" i="1"/>
  <c r="AE5" i="1"/>
  <c r="AE4" i="1"/>
  <c r="AE3" i="1"/>
  <c r="AE2" i="1"/>
  <c r="AD2" i="1"/>
  <c r="AD28" i="1"/>
  <c r="AD29" i="1"/>
  <c r="AD30" i="1"/>
  <c r="AD31" i="1"/>
  <c r="AD32" i="1"/>
  <c r="AD33" i="1"/>
  <c r="AD34" i="1"/>
  <c r="AD27" i="1"/>
  <c r="AD23" i="1"/>
  <c r="AD24" i="1"/>
  <c r="AD25" i="1"/>
  <c r="AD26" i="1"/>
  <c r="AD18" i="1"/>
  <c r="AD19" i="1"/>
  <c r="AD20" i="1"/>
  <c r="AD21" i="1"/>
  <c r="AD22" i="1"/>
  <c r="AD17" i="1"/>
  <c r="AC17" i="1"/>
  <c r="AD16" i="1"/>
  <c r="AD13" i="1"/>
  <c r="AD14" i="1"/>
  <c r="AD15" i="1"/>
  <c r="AD12" i="1"/>
  <c r="AD6" i="1"/>
  <c r="AD7" i="1"/>
  <c r="AD8" i="1"/>
  <c r="AD9" i="1"/>
  <c r="AD10" i="1"/>
  <c r="AD11" i="1"/>
  <c r="AD5" i="1"/>
  <c r="AC5" i="1"/>
  <c r="AD4" i="1"/>
  <c r="AD3" i="1"/>
  <c r="AC28" i="1"/>
  <c r="AC29" i="1"/>
  <c r="AC30" i="1"/>
  <c r="AC31" i="1"/>
  <c r="AC32" i="1"/>
  <c r="AC33" i="1"/>
  <c r="AC34" i="1"/>
  <c r="AC27" i="1"/>
  <c r="AC18" i="1"/>
  <c r="AC19" i="1"/>
  <c r="AC20" i="1"/>
  <c r="AC21" i="1"/>
  <c r="AC22" i="1"/>
  <c r="AC13" i="1"/>
  <c r="AC14" i="1"/>
  <c r="AC15" i="1"/>
  <c r="AC16" i="1"/>
  <c r="AC12" i="1"/>
  <c r="AC25" i="1"/>
  <c r="AC24" i="1"/>
  <c r="AC26" i="1"/>
  <c r="AC23" i="1"/>
  <c r="AC6" i="1"/>
  <c r="AC7" i="1"/>
  <c r="AC8" i="1"/>
  <c r="AC9" i="1"/>
  <c r="AC10" i="1"/>
  <c r="AC11" i="1"/>
  <c r="AC4" i="1"/>
  <c r="AC3" i="1"/>
  <c r="AC2" i="1"/>
  <c r="AB29" i="1"/>
  <c r="AB28" i="1"/>
  <c r="AB30" i="1"/>
  <c r="AB31" i="1"/>
  <c r="AB33" i="1"/>
  <c r="AB34" i="1"/>
  <c r="AB19" i="1"/>
  <c r="AB20" i="1"/>
  <c r="AB21" i="1"/>
  <c r="AB22" i="1"/>
  <c r="AB17" i="1"/>
  <c r="AB13" i="1"/>
  <c r="AB14" i="1"/>
  <c r="AB15" i="1"/>
  <c r="AB16" i="1"/>
  <c r="AB12" i="1"/>
  <c r="AB36" i="1"/>
  <c r="AB35" i="1"/>
  <c r="AB24" i="1"/>
  <c r="AB25" i="1"/>
  <c r="AB26" i="1"/>
  <c r="AB23" i="1"/>
  <c r="AB6" i="1"/>
  <c r="AB7" i="1"/>
  <c r="AB8" i="1"/>
  <c r="AB9" i="1"/>
  <c r="AB10" i="1"/>
  <c r="AB11" i="1"/>
  <c r="AB5" i="1"/>
  <c r="AB4" i="1"/>
  <c r="AB3" i="1"/>
  <c r="AB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2" i="1"/>
  <c r="Y3" i="1"/>
  <c r="Z3" i="1"/>
  <c r="Z2" i="1"/>
  <c r="Z28" i="1"/>
  <c r="Z29" i="1"/>
  <c r="Z30" i="1"/>
  <c r="Z31" i="1"/>
  <c r="Z32" i="1"/>
  <c r="Z33" i="1"/>
  <c r="Z27" i="1"/>
  <c r="Y28" i="1"/>
  <c r="Y29" i="1"/>
  <c r="Y30" i="1"/>
  <c r="Y31" i="1"/>
  <c r="Y33" i="1"/>
  <c r="Y34" i="1"/>
  <c r="Y27" i="1"/>
  <c r="Z18" i="1"/>
  <c r="Z19" i="1"/>
  <c r="Z21" i="1"/>
  <c r="Z22" i="1"/>
  <c r="Z17" i="1"/>
  <c r="Y18" i="1"/>
  <c r="Y19" i="1"/>
  <c r="Y20" i="1"/>
  <c r="Y21" i="1"/>
  <c r="Y22" i="1"/>
  <c r="Y17" i="1"/>
  <c r="Y23" i="1"/>
  <c r="Z13" i="1"/>
  <c r="Z14" i="1"/>
  <c r="Z15" i="1"/>
  <c r="Z16" i="1"/>
  <c r="Z12" i="1"/>
  <c r="Y13" i="1"/>
  <c r="Y14" i="1"/>
  <c r="Y15" i="1"/>
  <c r="Y16" i="1"/>
  <c r="Y12" i="1"/>
  <c r="Z35" i="1"/>
  <c r="Y35" i="1"/>
  <c r="Z23" i="1"/>
  <c r="Z24" i="1"/>
  <c r="Z25" i="1"/>
  <c r="Z26" i="1"/>
  <c r="Y24" i="1"/>
  <c r="Y25" i="1"/>
  <c r="Y26" i="1"/>
  <c r="Z5" i="1"/>
  <c r="Z6" i="1"/>
  <c r="Z7" i="1"/>
  <c r="Z8" i="1"/>
  <c r="Z10" i="1"/>
  <c r="Z11" i="1"/>
  <c r="Z4" i="1"/>
  <c r="Y5" i="1"/>
  <c r="Y6" i="1"/>
  <c r="Y7" i="1"/>
  <c r="Y8" i="1"/>
  <c r="Y9" i="1"/>
  <c r="Y10" i="1"/>
  <c r="Y11" i="1"/>
  <c r="Y4" i="1"/>
  <c r="X6" i="1"/>
  <c r="X7" i="1"/>
  <c r="X8" i="1"/>
  <c r="X9" i="1"/>
  <c r="X10" i="1"/>
  <c r="X11" i="1"/>
  <c r="X12" i="1"/>
  <c r="X13" i="1"/>
  <c r="X14" i="1"/>
  <c r="X15" i="1"/>
  <c r="X16" i="1"/>
  <c r="X18" i="1"/>
  <c r="X19" i="1"/>
  <c r="X20" i="1"/>
  <c r="X21" i="1"/>
  <c r="X22" i="1"/>
  <c r="X23" i="1"/>
  <c r="X24" i="1"/>
  <c r="X25" i="1"/>
  <c r="X27" i="1"/>
  <c r="X28" i="1"/>
  <c r="X29" i="1"/>
  <c r="X30" i="1"/>
  <c r="X31" i="1"/>
  <c r="X32" i="1"/>
  <c r="X33" i="1"/>
  <c r="X34" i="1"/>
  <c r="X5" i="1"/>
  <c r="R4" i="4"/>
  <c r="R5" i="4"/>
  <c r="R11" i="4"/>
  <c r="Q4" i="4"/>
  <c r="Q5" i="4"/>
  <c r="Q11" i="4"/>
  <c r="P4" i="4"/>
  <c r="P5" i="4"/>
  <c r="P11" i="4"/>
  <c r="O4" i="4"/>
  <c r="O5" i="4"/>
  <c r="O11" i="4"/>
  <c r="N4" i="4"/>
  <c r="N5" i="4"/>
  <c r="N11" i="4"/>
  <c r="R10" i="4"/>
  <c r="R6" i="4"/>
  <c r="R7" i="4"/>
  <c r="R12" i="4"/>
  <c r="R3" i="4"/>
  <c r="Q6" i="4"/>
  <c r="Q7" i="4"/>
  <c r="Q10" i="4"/>
  <c r="Q12" i="4"/>
  <c r="Q3" i="4"/>
  <c r="P6" i="4"/>
  <c r="P7" i="4"/>
  <c r="P10" i="4"/>
  <c r="P12" i="4"/>
  <c r="P3" i="4"/>
  <c r="O6" i="4"/>
  <c r="O7" i="4"/>
  <c r="O10" i="4"/>
  <c r="O12" i="4"/>
  <c r="O3" i="4"/>
  <c r="N6" i="4"/>
  <c r="N7" i="4"/>
  <c r="N10" i="4"/>
  <c r="N12" i="4"/>
  <c r="N3" i="4"/>
  <c r="K2" i="3"/>
  <c r="B2" i="3"/>
  <c r="H2" i="3"/>
  <c r="C2" i="3"/>
  <c r="D2" i="3"/>
  <c r="E2" i="3"/>
  <c r="I2" i="3"/>
  <c r="J2" i="3"/>
</calcChain>
</file>

<file path=xl/sharedStrings.xml><?xml version="1.0" encoding="utf-8"?>
<sst xmlns="http://schemas.openxmlformats.org/spreadsheetml/2006/main" count="171" uniqueCount="127">
  <si>
    <t>f</t>
  </si>
  <si>
    <t>Mass spec run no.</t>
  </si>
  <si>
    <t>Sample no.</t>
  </si>
  <si>
    <t>Date</t>
  </si>
  <si>
    <t>Description</t>
  </si>
  <si>
    <t>d13C PDB</t>
  </si>
  <si>
    <t>d13C 1 se</t>
  </si>
  <si>
    <t>dD SMOW</t>
  </si>
  <si>
    <t>dD 1 se</t>
  </si>
  <si>
    <t>D13CH3D</t>
  </si>
  <si>
    <t>D13CH3D 1 se</t>
  </si>
  <si>
    <t>D12CH2D2</t>
  </si>
  <si>
    <t>D12CH2D2 1 se</t>
  </si>
  <si>
    <t>Notes (Labels 1 for 37C, 2 for 27 C, 3 for room temp; 4 for redone 37C; 5 for Cu free; 6 for 50uM Cu; 11, 21, 31... are outliers)</t>
  </si>
  <si>
    <t>Block # for D13CH3D</t>
  </si>
  <si>
    <t>Block # for D12CH2D2</t>
  </si>
  <si>
    <t>d13C meas.</t>
  </si>
  <si>
    <t>dD meas.</t>
  </si>
  <si>
    <t>d13CH3D meas.</t>
  </si>
  <si>
    <t>d13CH3D 1 se</t>
  </si>
  <si>
    <t>d12CH2D2 meas.</t>
  </si>
  <si>
    <t>d12CH2D2 1 se</t>
  </si>
  <si>
    <t>Labels</t>
  </si>
  <si>
    <t>Mcapsulatus_37C_nocell_control_Dartmouth_BC_wdl</t>
  </si>
  <si>
    <t>Bellows balance auto was unchecked for D12 somehow. Notices at block 22 and manually balanced till 30; re-checkd for analysis of d13C; Separately, may have leaked during remove from bottle onto vac line. Need independent replicate to validate</t>
  </si>
  <si>
    <t>used prior d13; rebalance and tried d12/d12CH2D2 again; as above, may have leaked during remove from bottle onto vac line. Need independent replicate to validate</t>
  </si>
  <si>
    <t>3326, 3328</t>
  </si>
  <si>
    <t>Mcaps_37C_t2_C2_20211025_BC_WDL</t>
  </si>
  <si>
    <t>Added more ref gas after D12 before D13, just from side (not fresh from tank) did the 2block run to compare to sample, looked good on D12, then switche dto D13.</t>
  </si>
  <si>
    <t>Mcaps_37C_t4_C2_20211025_BC_WDL</t>
  </si>
  <si>
    <t>D12 is WAY too enriched. Perhaps a contaminant/water in the line that was brought over to here?</t>
  </si>
  <si>
    <t>Mcaps_37C_t1_C2_20211025_BC_WDL</t>
  </si>
  <si>
    <t>Looks good</t>
  </si>
  <si>
    <t>Mcaps_37C_T1_C4_BC_JL_Dart</t>
  </si>
  <si>
    <t>Mcaps_37C_T3_C3_BC_JL_Dart</t>
  </si>
  <si>
    <t>Mcaps_37C_T4_C4_BC_JL_Dart</t>
  </si>
  <si>
    <t>Gas amount is too small, beam intensity low (below 2.0*10^10)</t>
  </si>
  <si>
    <t>Mcaps_27C_Control_BC_AP_Dart</t>
  </si>
  <si>
    <t>Mcaps_RT_t4_C2_20220114_JL_wdl</t>
  </si>
  <si>
    <t>D13 ran at 3.9e-10, a bit high; values look good</t>
  </si>
  <si>
    <t>CH4_tank_gas_for_Mcaps_1_JL</t>
  </si>
  <si>
    <t>Leaking at the right of D1, reference gas may not be reliable; kept the gas sample in the vial overnight until loaded on mass spec.</t>
  </si>
  <si>
    <t>Mcaps_room_temp_T3_C2_JL_BC_Dart</t>
  </si>
  <si>
    <t>Mcaps_room_temp_T5_C4_JL_BC_Dart</t>
  </si>
  <si>
    <t>Mcaps_room_temp_T4_C4_JL_BC_Dart</t>
  </si>
  <si>
    <t>Mcaps_RoomT_t5_C2_20220115_JL_WDL_Dart</t>
  </si>
  <si>
    <t>Mcaps_5uM_Cu_Ctrl2_Dartmouth</t>
  </si>
  <si>
    <t>Mcaps_5uM_Cu_T3_C1_Dartmouth</t>
  </si>
  <si>
    <t>Mcaps_Cu_free_T4_C1_Dartmouth</t>
  </si>
  <si>
    <t>Very low intensity run (1.6e-10)</t>
  </si>
  <si>
    <t>Mcaps_50uM_Cu_T4_C1_Dartmouth</t>
  </si>
  <si>
    <t>Had some He when freezing CH4 into the collection vial, pumped to base line while freezing</t>
  </si>
  <si>
    <t>Mcaps_5uM_Cu_T1_C3_Dartmouth</t>
  </si>
  <si>
    <t>Mcaps_Cu_free_T2_C2_Dartmouth</t>
  </si>
  <si>
    <t>Mcaps_50uM_Cu_T3_C2_Dartmouth</t>
  </si>
  <si>
    <t>Mcaps_5uM_Cu_T2_C1_Dartmouth</t>
  </si>
  <si>
    <t>Mcaps_50uM_Cu_T2_C2_Dartmouth</t>
  </si>
  <si>
    <t>pumped out the He gas when freezing at collecting vial</t>
  </si>
  <si>
    <t>Mcaps_27C_T4_C2_Dartmouth</t>
  </si>
  <si>
    <t>Gas amount too small, very low intensity 1.44e-10, collected two times on vacuum line</t>
  </si>
  <si>
    <t>-</t>
  </si>
  <si>
    <t>Mcaps_Cu_free_T3_C1_Dartmouth</t>
  </si>
  <si>
    <t>Mcaps_27C_T2_C2_BCAP_Dartmouth</t>
  </si>
  <si>
    <t>Mcaps_27C_T3_C3_BCAP_Dartmouth</t>
  </si>
  <si>
    <t>Reloaded Ref. before this sample</t>
  </si>
  <si>
    <t>Mcaps_37C_T2_C1_BCJL_Dartmouth</t>
  </si>
  <si>
    <t>may have fractioned when mixing new A1 for D13 due to open valve to cpillary; Ed does NOT think so</t>
  </si>
  <si>
    <t>Mcaps_37C_T3_C3_JL_Dartmouth</t>
  </si>
  <si>
    <t>Mcaps_37C_0uMCu_T3_C3_JL_Dartmouth</t>
  </si>
  <si>
    <t>Mcaps_37C_50uMCu_T4_C2_JL_Dartmouth</t>
  </si>
  <si>
    <t>Mcaps_27C_T3_C4_BCAP_Dartmouth</t>
  </si>
  <si>
    <t>Mcaps_27C_T4_C1_BCAP_Dartmouth</t>
  </si>
  <si>
    <t>Mcaps_21C_T5_C3_JL_Dartmouth</t>
  </si>
  <si>
    <t>refreshed standard before this sample</t>
  </si>
  <si>
    <t>Salinity (g/kg)</t>
  </si>
  <si>
    <t>Temperature (K)</t>
  </si>
  <si>
    <t>ln(beta)*</t>
  </si>
  <si>
    <t>beta</t>
  </si>
  <si>
    <t>Henry's law constant</t>
  </si>
  <si>
    <t>total volume in the headspace (mL)</t>
  </si>
  <si>
    <t>methane amount (umol)</t>
  </si>
  <si>
    <t>partial pressure of methane (Pa)</t>
  </si>
  <si>
    <t>concentration of methane in the solution (mol/L)</t>
  </si>
  <si>
    <t>amount of methane in the solution (umol)</t>
  </si>
  <si>
    <t>* from Yamamoto et al., 1976</t>
  </si>
  <si>
    <t>f 1 se</t>
  </si>
  <si>
    <t>Temperature/oC</t>
  </si>
  <si>
    <t>Data from Krause et al., 2022</t>
  </si>
  <si>
    <t>0k</t>
  </si>
  <si>
    <t>k</t>
  </si>
  <si>
    <t>37C</t>
  </si>
  <si>
    <t>lnf</t>
  </si>
  <si>
    <t>ln(d13C+1000)/(d0+1000)</t>
  </si>
  <si>
    <t>ln(dD+1000)/(d0+1000)</t>
  </si>
  <si>
    <t>a13C</t>
  </si>
  <si>
    <t>aD</t>
  </si>
  <si>
    <t>d13CH3D</t>
  </si>
  <si>
    <t>d12CH2D2</t>
  </si>
  <si>
    <t>ln(d13CD+1000)/(d0+1000)</t>
  </si>
  <si>
    <t>ln(dDD+1000)/(d0+1000)</t>
  </si>
  <si>
    <t>a13CD</t>
  </si>
  <si>
    <t>aDD</t>
  </si>
  <si>
    <t>gamma13CD</t>
  </si>
  <si>
    <t>gammaDD</t>
  </si>
  <si>
    <t>p</t>
  </si>
  <si>
    <t>ferr</t>
  </si>
  <si>
    <t>cerr</t>
  </si>
  <si>
    <t>herr</t>
  </si>
  <si>
    <t>rH 1 se</t>
  </si>
  <si>
    <t>r13CD 1 se</t>
  </si>
  <si>
    <t>rDD 1 se</t>
  </si>
  <si>
    <t>lnf 1 se</t>
  </si>
  <si>
    <t>rC 1 se</t>
  </si>
  <si>
    <t>linear reg</t>
  </si>
  <si>
    <t>NY reg</t>
  </si>
  <si>
    <t>Data from Wang et al., 2016</t>
  </si>
  <si>
    <t>0w30</t>
  </si>
  <si>
    <t>w30</t>
  </si>
  <si>
    <t>0w37</t>
  </si>
  <si>
    <t>w37</t>
  </si>
  <si>
    <t>dartmouth_spike_T2_C2_3000</t>
  </si>
  <si>
    <t>dartmouth_spike_T2_C3_1500</t>
  </si>
  <si>
    <t>dartmouth_mcaps_T1_C1_1500</t>
  </si>
  <si>
    <t>bellows were slightly unbalanced while running 13C</t>
  </si>
  <si>
    <t>D1</t>
  </si>
  <si>
    <t>D2</t>
  </si>
  <si>
    <t>dart_JL_MCaps_T1_C2_3000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</si>
</sst>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09]d\-mmm\-yy"/>
  </numFmts>
  <fonts count="22" x14ac:knownFonts="1">
    <font>
      <sz val="10"/>
      <color rgb="FF000000"/>
      <name val="Arial"/>
      <scheme val="minor"/>
    </font>
    <font>
      <sz val="10"/>
      <color rgb="FF000000"/>
      <name val="Arial"/>
      <family val="2"/>
    </font>
    <font>
      <b/>
      <sz val="10"/>
      <color rgb="FF000000"/>
      <name val="Calibri"/>
      <family val="2"/>
    </font>
    <font>
      <sz val="10"/>
      <color rgb="FF000000"/>
      <name val="Calibri"/>
      <family val="2"/>
    </font>
    <font>
      <sz val="10"/>
      <color rgb="FFFF0000"/>
      <name val="Calibri"/>
      <family val="2"/>
    </font>
    <font>
      <sz val="10"/>
      <color rgb="FFFFC000"/>
      <name val="Calibri"/>
      <family val="2"/>
    </font>
    <font>
      <sz val="10"/>
      <color theme="1"/>
      <name val="Arial"/>
      <family val="2"/>
    </font>
    <font>
      <sz val="10"/>
      <color theme="1"/>
      <name val="Calibri"/>
      <family val="2"/>
    </font>
    <font>
      <sz val="10"/>
      <color rgb="FFFF0000"/>
      <name val="Arial"/>
      <family val="2"/>
    </font>
    <font>
      <sz val="10"/>
      <color theme="1"/>
      <name val="Arial"/>
      <family val="2"/>
      <scheme val="minor"/>
    </font>
    <font>
      <sz val="10"/>
      <color rgb="FF000000"/>
      <name val="Arial"/>
      <family val="2"/>
      <scheme val="minor"/>
    </font>
    <font>
      <sz val="10"/>
      <color rgb="FFFF0000"/>
      <name val="Arial"/>
      <family val="2"/>
      <scheme val="minor"/>
    </font>
    <font>
      <sz val="10"/>
      <name val="Calibri"/>
      <family val="2"/>
    </font>
    <font>
      <sz val="10"/>
      <name val="Arial"/>
      <family val="2"/>
    </font>
    <font>
      <sz val="10"/>
      <name val="Arial"/>
      <family val="2"/>
      <scheme val="minor"/>
    </font>
    <font>
      <sz val="10"/>
      <color rgb="FFFF0000"/>
      <name val="Arial (Body)"/>
    </font>
    <font>
      <sz val="10"/>
      <name val="Arial (Body)"/>
    </font>
    <font>
      <sz val="10"/>
      <color rgb="FF000000"/>
      <name val="Helvetica"/>
      <family val="2"/>
    </font>
    <font>
      <sz val="12"/>
      <name val="Verdana"/>
      <family val="2"/>
    </font>
    <font>
      <sz val="10"/>
      <color theme="5"/>
      <name val="Calibri"/>
      <family val="2"/>
    </font>
    <font>
      <sz val="10"/>
      <color theme="5"/>
      <name val="Arial"/>
      <family val="2"/>
    </font>
    <font>
      <sz val="10"/>
      <color theme="5"/>
      <name val="Arial"/>
      <family val="2"/>
      <scheme val="minor"/>
    </font>
  </fonts>
  <fills count="12">
    <fill>
      <patternFill patternType="none"/>
    </fill>
    <fill>
      <patternFill patternType="gray125"/>
    </fill>
    <fill>
      <patternFill patternType="solid">
        <fgColor rgb="FFD9E6FC"/>
        <bgColor rgb="FFD9E6FC"/>
      </patternFill>
    </fill>
    <fill>
      <patternFill patternType="solid">
        <fgColor rgb="FFFFFF00"/>
        <bgColor rgb="FFFFFF00"/>
      </patternFill>
    </fill>
    <fill>
      <patternFill patternType="solid">
        <fgColor theme="7" tint="0.59999389629810485"/>
        <bgColor indexed="64"/>
      </patternFill>
    </fill>
    <fill>
      <patternFill patternType="solid">
        <fgColor theme="7"/>
        <bgColor indexed="64"/>
      </patternFill>
    </fill>
    <fill>
      <patternFill patternType="solid">
        <fgColor theme="7"/>
        <bgColor rgb="FFD9E6FC"/>
      </patternFill>
    </fill>
    <fill>
      <patternFill patternType="solid">
        <fgColor theme="4" tint="0.59999389629810485"/>
        <bgColor indexed="64"/>
      </patternFill>
    </fill>
    <fill>
      <patternFill patternType="solid">
        <fgColor theme="4" tint="0.59999389629810485"/>
        <bgColor rgb="FFD9E6FC"/>
      </patternFill>
    </fill>
    <fill>
      <patternFill patternType="solid">
        <fgColor theme="4" tint="0.59999389629810485"/>
        <bgColor rgb="FFD9D9D9"/>
      </patternFill>
    </fill>
    <fill>
      <patternFill patternType="solid">
        <fgColor theme="8" tint="0.59999389629810485"/>
        <bgColor indexed="64"/>
      </patternFill>
    </fill>
    <fill>
      <patternFill patternType="solid">
        <fgColor theme="0" tint="-0.14999847407452621"/>
        <bgColor indexed="64"/>
      </patternFill>
    </fill>
  </fills>
  <borders count="3">
    <border>
      <left/>
      <right/>
      <top/>
      <bottom/>
      <diagonal/>
    </border>
    <border>
      <left/>
      <right/>
      <top/>
      <bottom/>
      <diagonal/>
    </border>
    <border>
      <left style="thin">
        <color auto="1"/>
      </left>
      <right style="thin">
        <color auto="1"/>
      </right>
      <top/>
      <bottom/>
      <diagonal/>
    </border>
  </borders>
  <cellStyleXfs count="1">
    <xf numFmtId="0" fontId="0" fillId="0" borderId="0"/>
  </cellStyleXfs>
  <cellXfs count="127">
    <xf numFmtId="0" fontId="0" fillId="0" borderId="0" xfId="0"/>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wrapText="1"/>
    </xf>
    <xf numFmtId="0" fontId="1" fillId="2" borderId="1" xfId="0" applyFont="1" applyFill="1" applyBorder="1" applyAlignment="1">
      <alignment horizontal="center"/>
    </xf>
    <xf numFmtId="0" fontId="6" fillId="2" borderId="1" xfId="0" applyFont="1" applyFill="1" applyBorder="1" applyAlignment="1">
      <alignment horizontal="center"/>
    </xf>
    <xf numFmtId="164" fontId="6" fillId="2" borderId="1" xfId="0" applyNumberFormat="1" applyFont="1" applyFill="1" applyBorder="1" applyAlignment="1">
      <alignment horizontal="center"/>
    </xf>
    <xf numFmtId="0" fontId="1" fillId="0" borderId="0" xfId="0" applyFont="1" applyAlignment="1">
      <alignment horizontal="center"/>
    </xf>
    <xf numFmtId="0" fontId="6" fillId="0" borderId="0" xfId="0" applyFont="1" applyAlignment="1">
      <alignment horizontal="center"/>
    </xf>
    <xf numFmtId="164" fontId="6" fillId="0" borderId="0" xfId="0" applyNumberFormat="1" applyFont="1" applyAlignment="1">
      <alignment horizontal="center"/>
    </xf>
    <xf numFmtId="0" fontId="4" fillId="0" borderId="0" xfId="0" applyFont="1" applyAlignment="1">
      <alignment horizontal="center"/>
    </xf>
    <xf numFmtId="164" fontId="5" fillId="0" borderId="0" xfId="0" applyNumberFormat="1" applyFont="1" applyAlignment="1">
      <alignment horizontal="center"/>
    </xf>
    <xf numFmtId="0" fontId="5" fillId="0" borderId="0" xfId="0" applyFont="1" applyAlignment="1">
      <alignment horizontal="center"/>
    </xf>
    <xf numFmtId="164" fontId="4"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1" fontId="6" fillId="2" borderId="1" xfId="0" applyNumberFormat="1" applyFont="1" applyFill="1" applyBorder="1" applyAlignment="1">
      <alignment horizontal="center"/>
    </xf>
    <xf numFmtId="14" fontId="6" fillId="2" borderId="1" xfId="0" applyNumberFormat="1" applyFont="1" applyFill="1" applyBorder="1" applyAlignment="1">
      <alignment horizontal="center"/>
    </xf>
    <xf numFmtId="0" fontId="1" fillId="3" borderId="1" xfId="0" applyFont="1" applyFill="1" applyBorder="1" applyAlignment="1">
      <alignment horizontal="center"/>
    </xf>
    <xf numFmtId="14" fontId="1" fillId="0" borderId="0" xfId="0" applyNumberFormat="1" applyFont="1" applyAlignment="1">
      <alignment horizontal="center"/>
    </xf>
    <xf numFmtId="0" fontId="9" fillId="0" borderId="0" xfId="0" applyFont="1" applyAlignment="1">
      <alignment horizontal="center"/>
    </xf>
    <xf numFmtId="0" fontId="1" fillId="0" borderId="0" xfId="0" applyFont="1"/>
    <xf numFmtId="2" fontId="1" fillId="0" borderId="0" xfId="0" applyNumberFormat="1" applyFont="1" applyAlignment="1">
      <alignment horizontal="center"/>
    </xf>
    <xf numFmtId="0" fontId="9" fillId="0" borderId="0" xfId="0" applyFont="1"/>
    <xf numFmtId="0" fontId="10" fillId="0" borderId="0" xfId="0" applyFont="1" applyAlignment="1">
      <alignment horizontal="center"/>
    </xf>
    <xf numFmtId="0" fontId="1" fillId="0" borderId="1" xfId="0" applyFont="1" applyBorder="1" applyAlignment="1">
      <alignment horizontal="center"/>
    </xf>
    <xf numFmtId="0" fontId="1" fillId="2" borderId="0" xfId="0" applyFont="1" applyFill="1" applyAlignment="1">
      <alignment horizontal="center"/>
    </xf>
    <xf numFmtId="0" fontId="3" fillId="0" borderId="1" xfId="0" applyFont="1" applyBorder="1" applyAlignment="1">
      <alignment horizontal="center"/>
    </xf>
    <xf numFmtId="0" fontId="10" fillId="0" borderId="1" xfId="0" applyFont="1" applyBorder="1" applyAlignment="1">
      <alignment horizontal="center"/>
    </xf>
    <xf numFmtId="0" fontId="6" fillId="0" borderId="1" xfId="0" applyFont="1" applyBorder="1" applyAlignment="1">
      <alignment horizontal="center"/>
    </xf>
    <xf numFmtId="165" fontId="1" fillId="0" borderId="1" xfId="0" applyNumberFormat="1" applyFont="1" applyBorder="1" applyAlignment="1">
      <alignment horizontal="center"/>
    </xf>
    <xf numFmtId="15" fontId="3" fillId="0" borderId="1" xfId="0" applyNumberFormat="1" applyFont="1" applyBorder="1" applyAlignment="1">
      <alignment horizontal="center"/>
    </xf>
    <xf numFmtId="0" fontId="7" fillId="0" borderId="1" xfId="0" applyFont="1" applyBorder="1" applyAlignment="1">
      <alignment horizontal="center"/>
    </xf>
    <xf numFmtId="164" fontId="1" fillId="0" borderId="1" xfId="0" applyNumberFormat="1" applyFont="1" applyBorder="1" applyAlignment="1">
      <alignment horizontal="center"/>
    </xf>
    <xf numFmtId="164" fontId="1" fillId="2" borderId="0" xfId="0" applyNumberFormat="1" applyFont="1" applyFill="1" applyAlignment="1">
      <alignment horizontal="center"/>
    </xf>
    <xf numFmtId="164" fontId="3" fillId="0" borderId="1" xfId="0" applyNumberFormat="1" applyFont="1" applyBorder="1" applyAlignment="1">
      <alignment horizontal="center"/>
    </xf>
    <xf numFmtId="0" fontId="1" fillId="0" borderId="1" xfId="0" applyFont="1" applyBorder="1" applyAlignment="1">
      <alignment horizontal="left"/>
    </xf>
    <xf numFmtId="164" fontId="1" fillId="0" borderId="1" xfId="0" applyNumberFormat="1" applyFont="1" applyBorder="1" applyAlignment="1">
      <alignment horizontal="left"/>
    </xf>
    <xf numFmtId="0" fontId="10" fillId="0" borderId="0" xfId="0" applyFont="1"/>
    <xf numFmtId="0" fontId="8" fillId="4" borderId="0" xfId="0" applyFont="1" applyFill="1" applyAlignment="1">
      <alignment horizontal="left"/>
    </xf>
    <xf numFmtId="0" fontId="1" fillId="4" borderId="0" xfId="0" applyFont="1" applyFill="1" applyAlignment="1">
      <alignment horizontal="left"/>
    </xf>
    <xf numFmtId="164" fontId="1" fillId="4" borderId="1" xfId="0" applyNumberFormat="1" applyFont="1" applyFill="1" applyBorder="1" applyAlignment="1">
      <alignment horizontal="left"/>
    </xf>
    <xf numFmtId="0" fontId="0" fillId="4" borderId="0" xfId="0" applyFill="1"/>
    <xf numFmtId="0" fontId="1" fillId="4" borderId="0" xfId="0" applyFont="1" applyFill="1" applyAlignment="1">
      <alignment horizontal="center"/>
    </xf>
    <xf numFmtId="164" fontId="1" fillId="4" borderId="0" xfId="0" applyNumberFormat="1" applyFont="1" applyFill="1" applyAlignment="1">
      <alignment horizontal="center"/>
    </xf>
    <xf numFmtId="0" fontId="1" fillId="4" borderId="1" xfId="0" applyFont="1" applyFill="1" applyBorder="1" applyAlignment="1">
      <alignment horizontal="center"/>
    </xf>
    <xf numFmtId="0" fontId="2" fillId="0" borderId="1" xfId="0" applyFont="1" applyBorder="1" applyAlignment="1">
      <alignment horizontal="left"/>
    </xf>
    <xf numFmtId="0" fontId="3" fillId="4" borderId="1" xfId="0" applyFont="1" applyFill="1" applyBorder="1" applyAlignment="1">
      <alignment horizontal="center"/>
    </xf>
    <xf numFmtId="164" fontId="3" fillId="4" borderId="1" xfId="0" applyNumberFormat="1" applyFont="1" applyFill="1" applyBorder="1" applyAlignment="1">
      <alignment horizontal="center"/>
    </xf>
    <xf numFmtId="0" fontId="6" fillId="4" borderId="1" xfId="0" applyFont="1" applyFill="1" applyBorder="1" applyAlignment="1">
      <alignment horizontal="center"/>
    </xf>
    <xf numFmtId="0" fontId="11" fillId="0" borderId="0" xfId="0" applyFont="1"/>
    <xf numFmtId="0" fontId="12" fillId="5" borderId="0" xfId="0" applyFont="1" applyFill="1" applyAlignment="1">
      <alignment horizontal="center"/>
    </xf>
    <xf numFmtId="15" fontId="12" fillId="5" borderId="0" xfId="0" applyNumberFormat="1" applyFont="1" applyFill="1" applyAlignment="1">
      <alignment horizontal="center"/>
    </xf>
    <xf numFmtId="0" fontId="13" fillId="5" borderId="0" xfId="0" applyFont="1" applyFill="1" applyAlignment="1">
      <alignment horizontal="center"/>
    </xf>
    <xf numFmtId="0" fontId="14" fillId="5" borderId="0" xfId="0" applyFont="1" applyFill="1"/>
    <xf numFmtId="164" fontId="12" fillId="5" borderId="0" xfId="0" applyNumberFormat="1" applyFont="1" applyFill="1" applyAlignment="1">
      <alignment horizontal="center"/>
    </xf>
    <xf numFmtId="164" fontId="13" fillId="5" borderId="0" xfId="0" applyNumberFormat="1" applyFont="1" applyFill="1" applyAlignment="1">
      <alignment horizontal="center"/>
    </xf>
    <xf numFmtId="0" fontId="13" fillId="6" borderId="1" xfId="0" applyFont="1" applyFill="1" applyBorder="1" applyAlignment="1">
      <alignment horizontal="center"/>
    </xf>
    <xf numFmtId="0" fontId="3" fillId="5" borderId="0" xfId="0" applyFont="1" applyFill="1" applyAlignment="1">
      <alignment horizontal="center"/>
    </xf>
    <xf numFmtId="15" fontId="3" fillId="5" borderId="0" xfId="0" applyNumberFormat="1" applyFont="1" applyFill="1" applyAlignment="1">
      <alignment horizontal="center"/>
    </xf>
    <xf numFmtId="0" fontId="7" fillId="5" borderId="0" xfId="0" applyFont="1" applyFill="1" applyAlignment="1">
      <alignment horizontal="center"/>
    </xf>
    <xf numFmtId="0" fontId="1" fillId="5" borderId="0" xfId="0" applyFont="1" applyFill="1" applyAlignment="1">
      <alignment horizontal="center"/>
    </xf>
    <xf numFmtId="0" fontId="0" fillId="5" borderId="0" xfId="0" applyFill="1"/>
    <xf numFmtId="164" fontId="3" fillId="5" borderId="0" xfId="0" applyNumberFormat="1" applyFont="1" applyFill="1" applyAlignment="1">
      <alignment horizontal="center"/>
    </xf>
    <xf numFmtId="0" fontId="6" fillId="5" borderId="0" xfId="0" applyFont="1" applyFill="1" applyAlignment="1">
      <alignment horizontal="center"/>
    </xf>
    <xf numFmtId="164" fontId="6" fillId="5" borderId="0" xfId="0" applyNumberFormat="1" applyFont="1" applyFill="1" applyAlignment="1">
      <alignment horizontal="center"/>
    </xf>
    <xf numFmtId="0" fontId="1" fillId="6" borderId="1" xfId="0" applyFont="1" applyFill="1" applyBorder="1" applyAlignment="1">
      <alignment horizontal="center"/>
    </xf>
    <xf numFmtId="0" fontId="8" fillId="7" borderId="0" xfId="0" applyFont="1" applyFill="1" applyAlignment="1">
      <alignment horizontal="center"/>
    </xf>
    <xf numFmtId="0" fontId="0" fillId="7" borderId="0" xfId="0" applyFill="1"/>
    <xf numFmtId="164" fontId="8" fillId="7" borderId="0" xfId="0" applyNumberFormat="1" applyFont="1" applyFill="1" applyAlignment="1">
      <alignment horizontal="center"/>
    </xf>
    <xf numFmtId="0" fontId="6" fillId="7" borderId="0" xfId="0" applyFont="1" applyFill="1" applyAlignment="1">
      <alignment horizontal="center"/>
    </xf>
    <xf numFmtId="164" fontId="6" fillId="7" borderId="0" xfId="0" applyNumberFormat="1" applyFont="1" applyFill="1" applyAlignment="1">
      <alignment horizontal="center"/>
    </xf>
    <xf numFmtId="0" fontId="1" fillId="8" borderId="1" xfId="0" applyFont="1" applyFill="1" applyBorder="1" applyAlignment="1">
      <alignment horizontal="center"/>
    </xf>
    <xf numFmtId="0" fontId="6" fillId="9" borderId="0" xfId="0" applyFont="1" applyFill="1" applyAlignment="1">
      <alignment horizontal="center"/>
    </xf>
    <xf numFmtId="165" fontId="6" fillId="9" borderId="0" xfId="0" applyNumberFormat="1" applyFont="1" applyFill="1" applyAlignment="1">
      <alignment horizontal="center"/>
    </xf>
    <xf numFmtId="0" fontId="1" fillId="7" borderId="0" xfId="0" applyFont="1" applyFill="1" applyAlignment="1">
      <alignment horizontal="center"/>
    </xf>
    <xf numFmtId="0" fontId="1" fillId="7" borderId="1" xfId="0" applyFont="1" applyFill="1" applyBorder="1" applyAlignment="1">
      <alignment horizontal="center"/>
    </xf>
    <xf numFmtId="165" fontId="1" fillId="7" borderId="1" xfId="0" applyNumberFormat="1" applyFont="1" applyFill="1" applyBorder="1" applyAlignment="1">
      <alignment horizontal="center"/>
    </xf>
    <xf numFmtId="164" fontId="1" fillId="7" borderId="1" xfId="0" applyNumberFormat="1" applyFont="1" applyFill="1" applyBorder="1" applyAlignment="1">
      <alignment horizontal="center"/>
    </xf>
    <xf numFmtId="0" fontId="6" fillId="7" borderId="1" xfId="0" applyFont="1" applyFill="1" applyBorder="1" applyAlignment="1">
      <alignment horizontal="center"/>
    </xf>
    <xf numFmtId="0" fontId="4" fillId="7" borderId="0" xfId="0" applyFont="1" applyFill="1" applyAlignment="1">
      <alignment horizontal="center"/>
    </xf>
    <xf numFmtId="164" fontId="4" fillId="7" borderId="0" xfId="0" applyNumberFormat="1" applyFont="1" applyFill="1" applyAlignment="1">
      <alignment horizontal="center"/>
    </xf>
    <xf numFmtId="165" fontId="1" fillId="7" borderId="0" xfId="0" applyNumberFormat="1" applyFont="1" applyFill="1" applyAlignment="1">
      <alignment horizontal="center"/>
    </xf>
    <xf numFmtId="164" fontId="1" fillId="7" borderId="0" xfId="0" applyNumberFormat="1" applyFont="1" applyFill="1" applyAlignment="1">
      <alignment horizontal="center"/>
    </xf>
    <xf numFmtId="15" fontId="4" fillId="7" borderId="0" xfId="0" applyNumberFormat="1" applyFont="1" applyFill="1" applyAlignment="1">
      <alignment horizontal="center"/>
    </xf>
    <xf numFmtId="0" fontId="11" fillId="7" borderId="0" xfId="0" applyFont="1" applyFill="1"/>
    <xf numFmtId="0" fontId="8" fillId="8" borderId="1" xfId="0" applyFont="1" applyFill="1" applyBorder="1" applyAlignment="1">
      <alignment horizontal="center"/>
    </xf>
    <xf numFmtId="0" fontId="15" fillId="7" borderId="0" xfId="0" applyFont="1" applyFill="1" applyAlignment="1">
      <alignment horizontal="center"/>
    </xf>
    <xf numFmtId="0" fontId="15" fillId="7" borderId="0" xfId="0" applyFont="1" applyFill="1"/>
    <xf numFmtId="0" fontId="15" fillId="7" borderId="1" xfId="0" applyFont="1" applyFill="1" applyBorder="1" applyAlignment="1">
      <alignment horizontal="center"/>
    </xf>
    <xf numFmtId="164" fontId="15" fillId="7" borderId="0" xfId="0" applyNumberFormat="1" applyFont="1" applyFill="1" applyAlignment="1">
      <alignment horizontal="center"/>
    </xf>
    <xf numFmtId="0" fontId="15" fillId="8" borderId="1" xfId="0" applyFont="1" applyFill="1" applyBorder="1" applyAlignment="1">
      <alignment horizontal="center"/>
    </xf>
    <xf numFmtId="165" fontId="15" fillId="7" borderId="0" xfId="0" applyNumberFormat="1" applyFont="1" applyFill="1" applyAlignment="1">
      <alignment horizontal="center"/>
    </xf>
    <xf numFmtId="1" fontId="16" fillId="7" borderId="1" xfId="0" applyNumberFormat="1" applyFont="1" applyFill="1" applyBorder="1" applyAlignment="1">
      <alignment horizontal="center"/>
    </xf>
    <xf numFmtId="1" fontId="16" fillId="7" borderId="0" xfId="0" applyNumberFormat="1" applyFont="1" applyFill="1" applyAlignment="1">
      <alignment horizontal="center"/>
    </xf>
    <xf numFmtId="14" fontId="16" fillId="7" borderId="1" xfId="0" applyNumberFormat="1" applyFont="1" applyFill="1" applyBorder="1" applyAlignment="1">
      <alignment horizontal="center"/>
    </xf>
    <xf numFmtId="0" fontId="16" fillId="7" borderId="0" xfId="0" applyFont="1" applyFill="1" applyAlignment="1">
      <alignment horizontal="center"/>
    </xf>
    <xf numFmtId="0" fontId="16" fillId="7" borderId="0" xfId="0" applyFont="1" applyFill="1"/>
    <xf numFmtId="164" fontId="16" fillId="7" borderId="0" xfId="0" applyNumberFormat="1" applyFont="1" applyFill="1" applyAlignment="1">
      <alignment horizontal="center"/>
    </xf>
    <xf numFmtId="0" fontId="16" fillId="8" borderId="1" xfId="0" applyFont="1" applyFill="1" applyBorder="1" applyAlignment="1">
      <alignment horizontal="center"/>
    </xf>
    <xf numFmtId="0" fontId="4" fillId="3" borderId="0" xfId="0" applyFont="1" applyFill="1" applyAlignment="1">
      <alignment horizontal="center"/>
    </xf>
    <xf numFmtId="15" fontId="4" fillId="3" borderId="0" xfId="0" applyNumberFormat="1" applyFont="1" applyFill="1" applyAlignment="1">
      <alignment horizontal="center"/>
    </xf>
    <xf numFmtId="0" fontId="8" fillId="3" borderId="0" xfId="0" applyFont="1" applyFill="1" applyAlignment="1">
      <alignment horizontal="center"/>
    </xf>
    <xf numFmtId="164" fontId="4" fillId="3" borderId="0" xfId="0" applyNumberFormat="1" applyFont="1" applyFill="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0" fontId="8" fillId="2" borderId="1" xfId="0" applyFont="1" applyFill="1" applyBorder="1" applyAlignment="1">
      <alignment horizontal="center"/>
    </xf>
    <xf numFmtId="0" fontId="7" fillId="0" borderId="0" xfId="0" applyFont="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0" fontId="8" fillId="10" borderId="0" xfId="0" applyFont="1" applyFill="1" applyAlignment="1">
      <alignment horizontal="left"/>
    </xf>
    <xf numFmtId="0" fontId="1" fillId="10" borderId="0" xfId="0" applyFont="1" applyFill="1" applyAlignment="1">
      <alignment horizontal="left"/>
    </xf>
    <xf numFmtId="164" fontId="1" fillId="10" borderId="1" xfId="0" applyNumberFormat="1" applyFont="1" applyFill="1" applyBorder="1" applyAlignment="1">
      <alignment horizontal="left"/>
    </xf>
    <xf numFmtId="0" fontId="0" fillId="10" borderId="0" xfId="0" applyFill="1"/>
    <xf numFmtId="0" fontId="17" fillId="0" borderId="0" xfId="0" applyFont="1" applyAlignment="1">
      <alignment horizontal="center"/>
    </xf>
    <xf numFmtId="15" fontId="17" fillId="0" borderId="0" xfId="0" applyNumberFormat="1" applyFont="1" applyAlignment="1">
      <alignment horizontal="center"/>
    </xf>
    <xf numFmtId="0" fontId="0" fillId="0" borderId="0" xfId="0" applyAlignment="1">
      <alignment horizontal="center"/>
    </xf>
    <xf numFmtId="164" fontId="18" fillId="11" borderId="2" xfId="0" applyNumberFormat="1" applyFont="1" applyFill="1" applyBorder="1" applyAlignment="1">
      <alignment horizontal="center"/>
    </xf>
    <xf numFmtId="0" fontId="19" fillId="2" borderId="0" xfId="0" applyFont="1" applyFill="1" applyAlignment="1">
      <alignment horizontal="center"/>
    </xf>
    <xf numFmtId="15" fontId="19" fillId="2" borderId="0" xfId="0" applyNumberFormat="1" applyFont="1" applyFill="1" applyAlignment="1">
      <alignment horizontal="center"/>
    </xf>
    <xf numFmtId="0" fontId="20" fillId="2" borderId="0" xfId="0" applyFont="1" applyFill="1" applyAlignment="1">
      <alignment horizontal="center"/>
    </xf>
    <xf numFmtId="0" fontId="21" fillId="0" borderId="0" xfId="0" applyFont="1"/>
    <xf numFmtId="164" fontId="19" fillId="2" borderId="0" xfId="0" applyNumberFormat="1" applyFont="1" applyFill="1" applyAlignment="1">
      <alignment horizontal="center"/>
    </xf>
    <xf numFmtId="164" fontId="20" fillId="2" borderId="0" xfId="0" applyNumberFormat="1" applyFont="1" applyFill="1" applyAlignment="1">
      <alignment horizontal="center"/>
    </xf>
    <xf numFmtId="164" fontId="20" fillId="2" borderId="1" xfId="0" applyNumberFormat="1" applyFont="1" applyFill="1" applyBorder="1" applyAlignment="1">
      <alignment horizontal="center"/>
    </xf>
    <xf numFmtId="0" fontId="20" fillId="2" borderId="1" xfId="0" applyFont="1" applyFill="1" applyBorder="1" applyAlignment="1">
      <alignment horizontal="center"/>
    </xf>
    <xf numFmtId="0" fontId="20"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d13C (f&gt;0.</a:t>
            </a:r>
            <a:r>
              <a:rPr lang="en-US" altLang="zh-CN"/>
              <a:t>6</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alphas'!$N$3:$N$6</c:f>
              <c:numCache>
                <c:formatCode>General</c:formatCode>
                <c:ptCount val="4"/>
                <c:pt idx="0">
                  <c:v>0</c:v>
                </c:pt>
                <c:pt idx="1">
                  <c:v>8.5516827211300911E-2</c:v>
                </c:pt>
                <c:pt idx="2">
                  <c:v>0.14913739397282991</c:v>
                </c:pt>
                <c:pt idx="3">
                  <c:v>0.17527972557107346</c:v>
                </c:pt>
              </c:numCache>
            </c:numRef>
          </c:xVal>
          <c:yVal>
            <c:numRef>
              <c:f>'Regression for alphas'!$O$3:$O$6</c:f>
              <c:numCache>
                <c:formatCode>General</c:formatCode>
                <c:ptCount val="4"/>
                <c:pt idx="0">
                  <c:v>0</c:v>
                </c:pt>
                <c:pt idx="1">
                  <c:v>9.3555475174779943E-4</c:v>
                </c:pt>
                <c:pt idx="2">
                  <c:v>3.2931026434877431E-3</c:v>
                </c:pt>
                <c:pt idx="3">
                  <c:v>4.9220485392003207E-3</c:v>
                </c:pt>
              </c:numCache>
            </c:numRef>
          </c:yVal>
          <c:smooth val="0"/>
          <c:extLst>
            <c:ext xmlns:c16="http://schemas.microsoft.com/office/drawing/2014/chart" uri="{C3380CC4-5D6E-409C-BE32-E72D297353CC}">
              <c16:uniqueId val="{00000000-2AB0-9C4F-899A-3B3DC8B5D9AD}"/>
            </c:ext>
          </c:extLst>
        </c:ser>
        <c:dLbls>
          <c:showLegendKey val="0"/>
          <c:showVal val="0"/>
          <c:showCatName val="0"/>
          <c:showSerName val="0"/>
          <c:showPercent val="0"/>
          <c:showBubbleSize val="0"/>
        </c:dLbls>
        <c:axId val="1442113647"/>
        <c:axId val="1442012991"/>
      </c:scatterChart>
      <c:valAx>
        <c:axId val="144211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12991"/>
        <c:crosses val="autoZero"/>
        <c:crossBetween val="midCat"/>
      </c:valAx>
      <c:valAx>
        <c:axId val="144201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13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dD (f&gt;0.</a:t>
            </a:r>
            <a:r>
              <a:rPr lang="en-US" altLang="zh-CN"/>
              <a:t>6</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alphas'!$N$3:$N$6</c:f>
              <c:numCache>
                <c:formatCode>General</c:formatCode>
                <c:ptCount val="4"/>
                <c:pt idx="0">
                  <c:v>0</c:v>
                </c:pt>
                <c:pt idx="1">
                  <c:v>8.5516827211300911E-2</c:v>
                </c:pt>
                <c:pt idx="2">
                  <c:v>0.14913739397282991</c:v>
                </c:pt>
                <c:pt idx="3">
                  <c:v>0.17527972557107346</c:v>
                </c:pt>
              </c:numCache>
            </c:numRef>
          </c:xVal>
          <c:yVal>
            <c:numRef>
              <c:f>'Regression for alphas'!$P$3:$P$6</c:f>
              <c:numCache>
                <c:formatCode>General</c:formatCode>
                <c:ptCount val="4"/>
                <c:pt idx="0">
                  <c:v>0</c:v>
                </c:pt>
                <c:pt idx="1">
                  <c:v>1.0181255017050883E-2</c:v>
                </c:pt>
                <c:pt idx="2">
                  <c:v>3.067934646197007E-2</c:v>
                </c:pt>
                <c:pt idx="3">
                  <c:v>4.601043234536728E-2</c:v>
                </c:pt>
              </c:numCache>
            </c:numRef>
          </c:yVal>
          <c:smooth val="0"/>
          <c:extLst>
            <c:ext xmlns:c16="http://schemas.microsoft.com/office/drawing/2014/chart" uri="{C3380CC4-5D6E-409C-BE32-E72D297353CC}">
              <c16:uniqueId val="{00000000-4B70-334E-8960-69761E4FE388}"/>
            </c:ext>
          </c:extLst>
        </c:ser>
        <c:dLbls>
          <c:showLegendKey val="0"/>
          <c:showVal val="0"/>
          <c:showCatName val="0"/>
          <c:showSerName val="0"/>
          <c:showPercent val="0"/>
          <c:showBubbleSize val="0"/>
        </c:dLbls>
        <c:axId val="1744937680"/>
        <c:axId val="1744929280"/>
      </c:scatterChart>
      <c:valAx>
        <c:axId val="1744937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29280"/>
        <c:crosses val="autoZero"/>
        <c:crossBetween val="midCat"/>
      </c:valAx>
      <c:valAx>
        <c:axId val="17449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37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d13C (f&lt;0.</a:t>
            </a:r>
            <a:r>
              <a:rPr lang="en-US" altLang="zh-CN"/>
              <a:t>6</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alphas'!$N$7:$N$12</c:f>
              <c:numCache>
                <c:formatCode>General</c:formatCode>
                <c:ptCount val="6"/>
                <c:pt idx="0">
                  <c:v>0.25463607519828535</c:v>
                </c:pt>
                <c:pt idx="3">
                  <c:v>0.49794142642931044</c:v>
                </c:pt>
                <c:pt idx="4">
                  <c:v>0.54387016356794537</c:v>
                </c:pt>
                <c:pt idx="5">
                  <c:v>0.64388655615284307</c:v>
                </c:pt>
              </c:numCache>
            </c:numRef>
          </c:xVal>
          <c:yVal>
            <c:numRef>
              <c:f>'Regression for alphas'!$O$7:$O$12</c:f>
              <c:numCache>
                <c:formatCode>General</c:formatCode>
                <c:ptCount val="6"/>
                <c:pt idx="0">
                  <c:v>7.1186631758779787E-3</c:v>
                </c:pt>
                <c:pt idx="3">
                  <c:v>1.0119799726667348E-2</c:v>
                </c:pt>
                <c:pt idx="4">
                  <c:v>9.2644070429969243E-3</c:v>
                </c:pt>
                <c:pt idx="5">
                  <c:v>1.1395764398197774E-2</c:v>
                </c:pt>
              </c:numCache>
            </c:numRef>
          </c:yVal>
          <c:smooth val="0"/>
          <c:extLst>
            <c:ext xmlns:c16="http://schemas.microsoft.com/office/drawing/2014/chart" uri="{C3380CC4-5D6E-409C-BE32-E72D297353CC}">
              <c16:uniqueId val="{00000000-C968-A34D-BDCD-9280EB34ADBD}"/>
            </c:ext>
          </c:extLst>
        </c:ser>
        <c:dLbls>
          <c:showLegendKey val="0"/>
          <c:showVal val="0"/>
          <c:showCatName val="0"/>
          <c:showSerName val="0"/>
          <c:showPercent val="0"/>
          <c:showBubbleSize val="0"/>
        </c:dLbls>
        <c:axId val="1456991712"/>
        <c:axId val="1859835568"/>
      </c:scatterChart>
      <c:valAx>
        <c:axId val="145699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835568"/>
        <c:crosses val="autoZero"/>
        <c:crossBetween val="midCat"/>
      </c:valAx>
      <c:valAx>
        <c:axId val="18598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91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dD (f&lt;0.</a:t>
            </a:r>
            <a:r>
              <a:rPr lang="en-US" altLang="zh-CN"/>
              <a:t>6</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alphas'!$N$7:$N$12</c:f>
              <c:numCache>
                <c:formatCode>General</c:formatCode>
                <c:ptCount val="6"/>
                <c:pt idx="0">
                  <c:v>0.25463607519828535</c:v>
                </c:pt>
                <c:pt idx="3">
                  <c:v>0.49794142642931044</c:v>
                </c:pt>
                <c:pt idx="4">
                  <c:v>0.54387016356794537</c:v>
                </c:pt>
                <c:pt idx="5">
                  <c:v>0.64388655615284307</c:v>
                </c:pt>
              </c:numCache>
            </c:numRef>
          </c:xVal>
          <c:yVal>
            <c:numRef>
              <c:f>'Regression for alphas'!$P$7:$P$12</c:f>
              <c:numCache>
                <c:formatCode>General</c:formatCode>
                <c:ptCount val="6"/>
                <c:pt idx="0">
                  <c:v>6.6821322576953321E-2</c:v>
                </c:pt>
                <c:pt idx="3">
                  <c:v>9.6630082751346241E-2</c:v>
                </c:pt>
                <c:pt idx="4">
                  <c:v>8.9232616733746731E-2</c:v>
                </c:pt>
                <c:pt idx="5">
                  <c:v>0.10893469703736759</c:v>
                </c:pt>
              </c:numCache>
            </c:numRef>
          </c:yVal>
          <c:smooth val="0"/>
          <c:extLst>
            <c:ext xmlns:c16="http://schemas.microsoft.com/office/drawing/2014/chart" uri="{C3380CC4-5D6E-409C-BE32-E72D297353CC}">
              <c16:uniqueId val="{00000000-FCFB-404C-9F70-706E3FEC9D2F}"/>
            </c:ext>
          </c:extLst>
        </c:ser>
        <c:dLbls>
          <c:showLegendKey val="0"/>
          <c:showVal val="0"/>
          <c:showCatName val="0"/>
          <c:showSerName val="0"/>
          <c:showPercent val="0"/>
          <c:showBubbleSize val="0"/>
        </c:dLbls>
        <c:axId val="1653751888"/>
        <c:axId val="1562571472"/>
      </c:scatterChart>
      <c:valAx>
        <c:axId val="165375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571472"/>
        <c:crosses val="autoZero"/>
        <c:crossBetween val="midCat"/>
      </c:valAx>
      <c:valAx>
        <c:axId val="156257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751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d13CD (f&gt;0.6)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alphas'!$N$3:$N$6</c:f>
              <c:numCache>
                <c:formatCode>General</c:formatCode>
                <c:ptCount val="4"/>
                <c:pt idx="0">
                  <c:v>0</c:v>
                </c:pt>
                <c:pt idx="1">
                  <c:v>8.5516827211300911E-2</c:v>
                </c:pt>
                <c:pt idx="2">
                  <c:v>0.14913739397282991</c:v>
                </c:pt>
                <c:pt idx="3">
                  <c:v>0.17527972557107346</c:v>
                </c:pt>
              </c:numCache>
            </c:numRef>
          </c:xVal>
          <c:yVal>
            <c:numRef>
              <c:f>'Regression for alphas'!$Q$3:$Q$6</c:f>
              <c:numCache>
                <c:formatCode>General</c:formatCode>
                <c:ptCount val="4"/>
                <c:pt idx="0">
                  <c:v>0</c:v>
                </c:pt>
                <c:pt idx="1">
                  <c:v>1.091210635876692E-2</c:v>
                </c:pt>
                <c:pt idx="2">
                  <c:v>3.3134817086014651E-2</c:v>
                </c:pt>
                <c:pt idx="3">
                  <c:v>4.9775304322771108E-2</c:v>
                </c:pt>
              </c:numCache>
            </c:numRef>
          </c:yVal>
          <c:smooth val="0"/>
          <c:extLst>
            <c:ext xmlns:c16="http://schemas.microsoft.com/office/drawing/2014/chart" uri="{C3380CC4-5D6E-409C-BE32-E72D297353CC}">
              <c16:uniqueId val="{00000000-3732-4D49-A876-A93E5D06F80F}"/>
            </c:ext>
          </c:extLst>
        </c:ser>
        <c:dLbls>
          <c:showLegendKey val="0"/>
          <c:showVal val="0"/>
          <c:showCatName val="0"/>
          <c:showSerName val="0"/>
          <c:showPercent val="0"/>
          <c:showBubbleSize val="0"/>
        </c:dLbls>
        <c:axId val="1547241232"/>
        <c:axId val="1563328816"/>
      </c:scatterChart>
      <c:valAx>
        <c:axId val="154724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28816"/>
        <c:crosses val="autoZero"/>
        <c:crossBetween val="midCat"/>
      </c:valAx>
      <c:valAx>
        <c:axId val="156332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41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r>
              <a:rPr lang="en-US" baseline="0"/>
              <a:t> (f&gt;0.6)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alphas'!$N$3:$N$6</c:f>
              <c:numCache>
                <c:formatCode>General</c:formatCode>
                <c:ptCount val="4"/>
                <c:pt idx="0">
                  <c:v>0</c:v>
                </c:pt>
                <c:pt idx="1">
                  <c:v>8.5516827211300911E-2</c:v>
                </c:pt>
                <c:pt idx="2">
                  <c:v>0.14913739397282991</c:v>
                </c:pt>
                <c:pt idx="3">
                  <c:v>0.17527972557107346</c:v>
                </c:pt>
              </c:numCache>
            </c:numRef>
          </c:xVal>
          <c:yVal>
            <c:numRef>
              <c:f>'Regression for alphas'!$R$3:$R$6</c:f>
              <c:numCache>
                <c:formatCode>General</c:formatCode>
                <c:ptCount val="4"/>
                <c:pt idx="0">
                  <c:v>0</c:v>
                </c:pt>
                <c:pt idx="1">
                  <c:v>1.8392632960765071E-2</c:v>
                </c:pt>
                <c:pt idx="2">
                  <c:v>5.6960363479207785E-2</c:v>
                </c:pt>
                <c:pt idx="3">
                  <c:v>8.6636760052474129E-2</c:v>
                </c:pt>
              </c:numCache>
            </c:numRef>
          </c:yVal>
          <c:smooth val="0"/>
          <c:extLst>
            <c:ext xmlns:c16="http://schemas.microsoft.com/office/drawing/2014/chart" uri="{C3380CC4-5D6E-409C-BE32-E72D297353CC}">
              <c16:uniqueId val="{00000000-F275-C046-8163-4D4BE005FF22}"/>
            </c:ext>
          </c:extLst>
        </c:ser>
        <c:dLbls>
          <c:showLegendKey val="0"/>
          <c:showVal val="0"/>
          <c:showCatName val="0"/>
          <c:showSerName val="0"/>
          <c:showPercent val="0"/>
          <c:showBubbleSize val="0"/>
        </c:dLbls>
        <c:axId val="802885215"/>
        <c:axId val="1206582383"/>
      </c:scatterChart>
      <c:valAx>
        <c:axId val="802885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82383"/>
        <c:crosses val="autoZero"/>
        <c:crossBetween val="midCat"/>
      </c:valAx>
      <c:valAx>
        <c:axId val="120658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85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a13CD (f&lt;0.6)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alphas'!$N$9:$N$13</c:f>
              <c:numCache>
                <c:formatCode>General</c:formatCode>
                <c:ptCount val="5"/>
                <c:pt idx="1">
                  <c:v>0.49794142642931044</c:v>
                </c:pt>
                <c:pt idx="2">
                  <c:v>0.54387016356794537</c:v>
                </c:pt>
                <c:pt idx="3">
                  <c:v>0.64388655615284307</c:v>
                </c:pt>
              </c:numCache>
            </c:numRef>
          </c:xVal>
          <c:yVal>
            <c:numRef>
              <c:f>'Regression for alphas'!$Q$9:$Q$13</c:f>
              <c:numCache>
                <c:formatCode>General</c:formatCode>
                <c:ptCount val="5"/>
                <c:pt idx="1">
                  <c:v>0.10529821240206652</c:v>
                </c:pt>
                <c:pt idx="2">
                  <c:v>9.686008196312676E-2</c:v>
                </c:pt>
                <c:pt idx="3">
                  <c:v>0.11880709702851938</c:v>
                </c:pt>
              </c:numCache>
            </c:numRef>
          </c:yVal>
          <c:smooth val="0"/>
          <c:extLst>
            <c:ext xmlns:c16="http://schemas.microsoft.com/office/drawing/2014/chart" uri="{C3380CC4-5D6E-409C-BE32-E72D297353CC}">
              <c16:uniqueId val="{00000000-C46A-7C4D-AFCF-DACAC592E695}"/>
            </c:ext>
          </c:extLst>
        </c:ser>
        <c:dLbls>
          <c:showLegendKey val="0"/>
          <c:showVal val="0"/>
          <c:showCatName val="0"/>
          <c:showSerName val="0"/>
          <c:showPercent val="0"/>
          <c:showBubbleSize val="0"/>
        </c:dLbls>
        <c:axId val="1442821599"/>
        <c:axId val="1442281695"/>
      </c:scatterChart>
      <c:valAx>
        <c:axId val="144282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81695"/>
        <c:crosses val="autoZero"/>
        <c:crossBetween val="midCat"/>
      </c:valAx>
      <c:valAx>
        <c:axId val="144228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21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 (f&lt;0.6)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alphas'!$N$9:$N$13</c:f>
              <c:numCache>
                <c:formatCode>General</c:formatCode>
                <c:ptCount val="5"/>
                <c:pt idx="1">
                  <c:v>0.49794142642931044</c:v>
                </c:pt>
                <c:pt idx="2">
                  <c:v>0.54387016356794537</c:v>
                </c:pt>
                <c:pt idx="3">
                  <c:v>0.64388655615284307</c:v>
                </c:pt>
              </c:numCache>
            </c:numRef>
          </c:xVal>
          <c:yVal>
            <c:numRef>
              <c:f>'Regression for alphas'!$R$9:$R$13</c:f>
              <c:numCache>
                <c:formatCode>General</c:formatCode>
                <c:ptCount val="5"/>
                <c:pt idx="1">
                  <c:v>0.19534686015515834</c:v>
                </c:pt>
                <c:pt idx="2">
                  <c:v>0.18073304707452784</c:v>
                </c:pt>
                <c:pt idx="3">
                  <c:v>0.22263189659647339</c:v>
                </c:pt>
              </c:numCache>
            </c:numRef>
          </c:yVal>
          <c:smooth val="0"/>
          <c:extLst>
            <c:ext xmlns:c16="http://schemas.microsoft.com/office/drawing/2014/chart" uri="{C3380CC4-5D6E-409C-BE32-E72D297353CC}">
              <c16:uniqueId val="{00000000-7B79-A04D-B7F7-A9563AE05EE3}"/>
            </c:ext>
          </c:extLst>
        </c:ser>
        <c:dLbls>
          <c:showLegendKey val="0"/>
          <c:showVal val="0"/>
          <c:showCatName val="0"/>
          <c:showSerName val="0"/>
          <c:showPercent val="0"/>
          <c:showBubbleSize val="0"/>
        </c:dLbls>
        <c:axId val="803125455"/>
        <c:axId val="802389807"/>
      </c:scatterChart>
      <c:valAx>
        <c:axId val="803125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389807"/>
        <c:crosses val="autoZero"/>
        <c:crossBetween val="midCat"/>
      </c:valAx>
      <c:valAx>
        <c:axId val="80238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25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9.699473505434783E-2"/>
          <c:y val="5.46875E-2"/>
          <c:w val="0.82735309103260868"/>
          <c:h val="0.86501959167183207"/>
        </c:manualLayout>
      </c:layout>
      <c:scatterChart>
        <c:scatterStyle val="lineMarker"/>
        <c:varyColors val="0"/>
        <c:ser>
          <c:idx val="0"/>
          <c:order val="0"/>
          <c:tx>
            <c:v>equilibrium</c:v>
          </c:tx>
          <c:spPr>
            <a:ln>
              <a:noFill/>
            </a:ln>
          </c:spPr>
          <c:marker>
            <c:symbol val="circle"/>
            <c:size val="7"/>
            <c:spPr>
              <a:solidFill>
                <a:schemeClr val="accent1"/>
              </a:solidFill>
              <a:ln cmpd="sng">
                <a:solidFill>
                  <a:schemeClr val="accent1"/>
                </a:solidFill>
              </a:ln>
            </c:spPr>
          </c:marker>
          <c:xVal>
            <c:numRef>
              <c:f>Equilibrium!$A$2:$A$28</c:f>
              <c:numCache>
                <c:formatCode>0.00</c:formatCode>
                <c:ptCount val="27"/>
                <c:pt idx="0">
                  <c:v>6.6350133731108407</c:v>
                </c:pt>
                <c:pt idx="1">
                  <c:v>5.0369950798066423</c:v>
                </c:pt>
                <c:pt idx="2">
                  <c:v>3.9251663824950858</c:v>
                </c:pt>
                <c:pt idx="3">
                  <c:v>3.1129790947182072</c:v>
                </c:pt>
                <c:pt idx="4">
                  <c:v>2.4988450959630044</c:v>
                </c:pt>
                <c:pt idx="5">
                  <c:v>2.0253438154386147</c:v>
                </c:pt>
                <c:pt idx="6">
                  <c:v>1.6556307822198018</c:v>
                </c:pt>
                <c:pt idx="7">
                  <c:v>1.3640773866687821</c:v>
                </c:pt>
                <c:pt idx="8">
                  <c:v>1.1321256560183961</c:v>
                </c:pt>
                <c:pt idx="9">
                  <c:v>0.94606399402222185</c:v>
                </c:pt>
                <c:pt idx="10">
                  <c:v>0.79563917382072058</c:v>
                </c:pt>
                <c:pt idx="11">
                  <c:v>0.67311453093069085</c:v>
                </c:pt>
                <c:pt idx="12">
                  <c:v>0.5726052276910758</c:v>
                </c:pt>
                <c:pt idx="13">
                  <c:v>0.4896003352542565</c:v>
                </c:pt>
                <c:pt idx="14">
                  <c:v>0.42061573885610698</c:v>
                </c:pt>
                <c:pt idx="15">
                  <c:v>0.36294022694013867</c:v>
                </c:pt>
                <c:pt idx="16">
                  <c:v>0.31444854161794056</c:v>
                </c:pt>
                <c:pt idx="17">
                  <c:v>0.27346284180450203</c:v>
                </c:pt>
                <c:pt idx="18">
                  <c:v>0.23864936231050121</c:v>
                </c:pt>
                <c:pt idx="19">
                  <c:v>0.20894080566430237</c:v>
                </c:pt>
                <c:pt idx="20">
                  <c:v>0.1834776604589777</c:v>
                </c:pt>
                <c:pt idx="21">
                  <c:v>0.14263087973180089</c:v>
                </c:pt>
                <c:pt idx="22">
                  <c:v>0.11193169833347134</c:v>
                </c:pt>
                <c:pt idx="23">
                  <c:v>8.8550116705195567E-2</c:v>
                </c:pt>
                <c:pt idx="24">
                  <c:v>7.0530439571359765E-2</c:v>
                </c:pt>
                <c:pt idx="25">
                  <c:v>5.6496599155634937E-2</c:v>
                </c:pt>
                <c:pt idx="26">
                  <c:v>4.5464399594198762E-2</c:v>
                </c:pt>
              </c:numCache>
            </c:numRef>
          </c:xVal>
          <c:yVal>
            <c:numRef>
              <c:f>Equilibrium!$B$2:$B$28</c:f>
              <c:numCache>
                <c:formatCode>0.00</c:formatCode>
                <c:ptCount val="27"/>
                <c:pt idx="0">
                  <c:v>23.709665405754457</c:v>
                </c:pt>
                <c:pt idx="1">
                  <c:v>16.19575873973092</c:v>
                </c:pt>
                <c:pt idx="2">
                  <c:v>11.29045442506631</c:v>
                </c:pt>
                <c:pt idx="3">
                  <c:v>8.030051092927474</c:v>
                </c:pt>
                <c:pt idx="4">
                  <c:v>5.8261509132376874</c:v>
                </c:pt>
                <c:pt idx="5">
                  <c:v>4.3075348610023392</c:v>
                </c:pt>
                <c:pt idx="6">
                  <c:v>3.2402460283493344</c:v>
                </c:pt>
                <c:pt idx="7">
                  <c:v>2.4757241609561849</c:v>
                </c:pt>
                <c:pt idx="8">
                  <c:v>1.9182617013598311</c:v>
                </c:pt>
                <c:pt idx="9">
                  <c:v>1.5051008622291999</c:v>
                </c:pt>
                <c:pt idx="10">
                  <c:v>1.1943159213832091</c:v>
                </c:pt>
                <c:pt idx="11">
                  <c:v>0.95737809490751358</c:v>
                </c:pt>
                <c:pt idx="12">
                  <c:v>0.77453021215834517</c:v>
                </c:pt>
                <c:pt idx="13">
                  <c:v>0.63186164721080063</c:v>
                </c:pt>
                <c:pt idx="14">
                  <c:v>0.51942619395787015</c:v>
                </c:pt>
                <c:pt idx="15">
                  <c:v>0.43000994992064462</c:v>
                </c:pt>
                <c:pt idx="16">
                  <c:v>0.35831113637152967</c:v>
                </c:pt>
                <c:pt idx="17">
                  <c:v>0.30038536695739798</c:v>
                </c:pt>
                <c:pt idx="18">
                  <c:v>0.2532647642588528</c:v>
                </c:pt>
                <c:pt idx="19">
                  <c:v>0.21469271492755723</c:v>
                </c:pt>
                <c:pt idx="20">
                  <c:v>0.18293668730745388</c:v>
                </c:pt>
                <c:pt idx="21">
                  <c:v>0.13479756575591079</c:v>
                </c:pt>
                <c:pt idx="22">
                  <c:v>0.1012282102600798</c:v>
                </c:pt>
                <c:pt idx="23">
                  <c:v>7.7450502453490958E-2</c:v>
                </c:pt>
                <c:pt idx="24">
                  <c:v>6.0386658695981414E-2</c:v>
                </c:pt>
                <c:pt idx="25">
                  <c:v>4.8007114140476648E-2</c:v>
                </c:pt>
                <c:pt idx="26">
                  <c:v>3.8945619462472339E-2</c:v>
                </c:pt>
              </c:numCache>
            </c:numRef>
          </c:yVal>
          <c:smooth val="1"/>
          <c:extLst>
            <c:ext xmlns:c16="http://schemas.microsoft.com/office/drawing/2014/chart" uri="{C3380CC4-5D6E-409C-BE32-E72D297353CC}">
              <c16:uniqueId val="{00000000-733A-9843-99D9-165A7A17A88E}"/>
            </c:ext>
          </c:extLst>
        </c:ser>
        <c:dLbls>
          <c:showLegendKey val="0"/>
          <c:showVal val="0"/>
          <c:showCatName val="0"/>
          <c:showSerName val="0"/>
          <c:showPercent val="0"/>
          <c:showBubbleSize val="0"/>
        </c:dLbls>
        <c:axId val="868292487"/>
        <c:axId val="2086602577"/>
      </c:scatterChart>
      <c:valAx>
        <c:axId val="86829248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Arial"/>
              </a:defRPr>
            </a:pPr>
            <a:endParaRPr lang="en-US"/>
          </a:p>
        </c:txPr>
        <c:crossAx val="2086602577"/>
        <c:crosses val="autoZero"/>
        <c:crossBetween val="midCat"/>
      </c:valAx>
      <c:valAx>
        <c:axId val="208660257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Arial"/>
              </a:defRPr>
            </a:pPr>
            <a:endParaRPr lang="en-US"/>
          </a:p>
        </c:txPr>
        <c:crossAx val="868292487"/>
        <c:crosses val="autoZero"/>
        <c:crossBetween val="midCat"/>
      </c:valAx>
    </c:plotArea>
    <c:legend>
      <c:legendPos val="r"/>
      <c:overlay val="0"/>
      <c:txPr>
        <a:bodyPr/>
        <a:lstStyle/>
        <a:p>
          <a:pPr lvl="0">
            <a:defRPr sz="900" b="0" i="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19</xdr:col>
      <xdr:colOff>541293</xdr:colOff>
      <xdr:row>2</xdr:row>
      <xdr:rowOff>33434</xdr:rowOff>
    </xdr:from>
    <xdr:to>
      <xdr:col>25</xdr:col>
      <xdr:colOff>157837</xdr:colOff>
      <xdr:row>13</xdr:row>
      <xdr:rowOff>91250</xdr:rowOff>
    </xdr:to>
    <xdr:graphicFrame macro="">
      <xdr:nvGraphicFramePr>
        <xdr:cNvPr id="2" name="Chart 1">
          <a:extLst>
            <a:ext uri="{FF2B5EF4-FFF2-40B4-BE49-F238E27FC236}">
              <a16:creationId xmlns:a16="http://schemas.microsoft.com/office/drawing/2014/main" id="{39E11E9D-E141-31C9-0618-8725B3F7F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545644</xdr:colOff>
      <xdr:row>14</xdr:row>
      <xdr:rowOff>35118</xdr:rowOff>
    </xdr:from>
    <xdr:to>
      <xdr:col>25</xdr:col>
      <xdr:colOff>162188</xdr:colOff>
      <xdr:row>30</xdr:row>
      <xdr:rowOff>140017</xdr:rowOff>
    </xdr:to>
    <xdr:graphicFrame macro="">
      <xdr:nvGraphicFramePr>
        <xdr:cNvPr id="3" name="Chart 2">
          <a:extLst>
            <a:ext uri="{FF2B5EF4-FFF2-40B4-BE49-F238E27FC236}">
              <a16:creationId xmlns:a16="http://schemas.microsoft.com/office/drawing/2014/main" id="{B1E1A88B-1B26-E42B-4B44-1ADB7A91D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303116</xdr:colOff>
      <xdr:row>2</xdr:row>
      <xdr:rowOff>14176</xdr:rowOff>
    </xdr:from>
    <xdr:to>
      <xdr:col>30</xdr:col>
      <xdr:colOff>512210</xdr:colOff>
      <xdr:row>13</xdr:row>
      <xdr:rowOff>84200</xdr:rowOff>
    </xdr:to>
    <xdr:graphicFrame macro="">
      <xdr:nvGraphicFramePr>
        <xdr:cNvPr id="6" name="Chart 5">
          <a:extLst>
            <a:ext uri="{FF2B5EF4-FFF2-40B4-BE49-F238E27FC236}">
              <a16:creationId xmlns:a16="http://schemas.microsoft.com/office/drawing/2014/main" id="{CA8F2D45-227F-2304-9819-49C33C968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303116</xdr:colOff>
      <xdr:row>14</xdr:row>
      <xdr:rowOff>35225</xdr:rowOff>
    </xdr:from>
    <xdr:to>
      <xdr:col>30</xdr:col>
      <xdr:colOff>735337</xdr:colOff>
      <xdr:row>30</xdr:row>
      <xdr:rowOff>84061</xdr:rowOff>
    </xdr:to>
    <xdr:graphicFrame macro="">
      <xdr:nvGraphicFramePr>
        <xdr:cNvPr id="9" name="Chart 8">
          <a:extLst>
            <a:ext uri="{FF2B5EF4-FFF2-40B4-BE49-F238E27FC236}">
              <a16:creationId xmlns:a16="http://schemas.microsoft.com/office/drawing/2014/main" id="{47F67554-B9FB-B673-BC79-015BC8459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569746</xdr:colOff>
      <xdr:row>31</xdr:row>
      <xdr:rowOff>77322</xdr:rowOff>
    </xdr:from>
    <xdr:to>
      <xdr:col>25</xdr:col>
      <xdr:colOff>174011</xdr:colOff>
      <xdr:row>47</xdr:row>
      <xdr:rowOff>126158</xdr:rowOff>
    </xdr:to>
    <xdr:graphicFrame macro="">
      <xdr:nvGraphicFramePr>
        <xdr:cNvPr id="10" name="Chart 9">
          <a:extLst>
            <a:ext uri="{FF2B5EF4-FFF2-40B4-BE49-F238E27FC236}">
              <a16:creationId xmlns:a16="http://schemas.microsoft.com/office/drawing/2014/main" id="{890BFA5A-EA66-F6FE-1616-342A86767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562729</xdr:colOff>
      <xdr:row>48</xdr:row>
      <xdr:rowOff>140472</xdr:rowOff>
    </xdr:from>
    <xdr:to>
      <xdr:col>25</xdr:col>
      <xdr:colOff>166994</xdr:colOff>
      <xdr:row>65</xdr:row>
      <xdr:rowOff>20909</xdr:rowOff>
    </xdr:to>
    <xdr:graphicFrame macro="">
      <xdr:nvGraphicFramePr>
        <xdr:cNvPr id="11" name="Chart 10">
          <a:extLst>
            <a:ext uri="{FF2B5EF4-FFF2-40B4-BE49-F238E27FC236}">
              <a16:creationId xmlns:a16="http://schemas.microsoft.com/office/drawing/2014/main" id="{FE042EB6-441D-B03C-1502-823E6B468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289082</xdr:colOff>
      <xdr:row>31</xdr:row>
      <xdr:rowOff>70306</xdr:rowOff>
    </xdr:from>
    <xdr:to>
      <xdr:col>30</xdr:col>
      <xdr:colOff>721303</xdr:colOff>
      <xdr:row>47</xdr:row>
      <xdr:rowOff>119142</xdr:rowOff>
    </xdr:to>
    <xdr:graphicFrame macro="">
      <xdr:nvGraphicFramePr>
        <xdr:cNvPr id="12" name="Chart 11">
          <a:extLst>
            <a:ext uri="{FF2B5EF4-FFF2-40B4-BE49-F238E27FC236}">
              <a16:creationId xmlns:a16="http://schemas.microsoft.com/office/drawing/2014/main" id="{BB515A44-AFBE-33C6-9465-C7B90F75A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289083</xdr:colOff>
      <xdr:row>48</xdr:row>
      <xdr:rowOff>133455</xdr:rowOff>
    </xdr:from>
    <xdr:to>
      <xdr:col>30</xdr:col>
      <xdr:colOff>721304</xdr:colOff>
      <xdr:row>65</xdr:row>
      <xdr:rowOff>13892</xdr:rowOff>
    </xdr:to>
    <xdr:graphicFrame macro="">
      <xdr:nvGraphicFramePr>
        <xdr:cNvPr id="13" name="Chart 12">
          <a:extLst>
            <a:ext uri="{FF2B5EF4-FFF2-40B4-BE49-F238E27FC236}">
              <a16:creationId xmlns:a16="http://schemas.microsoft.com/office/drawing/2014/main" id="{8BB792FE-EBB7-5F31-9A41-56A954B3C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619125</xdr:colOff>
      <xdr:row>8</xdr:row>
      <xdr:rowOff>3175</xdr:rowOff>
    </xdr:from>
    <xdr:ext cx="5476875" cy="4476750"/>
    <xdr:graphicFrame macro="">
      <xdr:nvGraphicFramePr>
        <xdr:cNvPr id="1757991716" name="Chart 1" title="Chart">
          <a:extLst>
            <a:ext uri="{FF2B5EF4-FFF2-40B4-BE49-F238E27FC236}">
              <a16:creationId xmlns:a16="http://schemas.microsoft.com/office/drawing/2014/main" id="{00000000-0008-0000-0100-000024D3C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4"/>
  <sheetViews>
    <sheetView tabSelected="1" workbookViewId="0">
      <selection activeCell="D22" sqref="D22"/>
    </sheetView>
  </sheetViews>
  <sheetFormatPr baseColWidth="10" defaultColWidth="12.6640625" defaultRowHeight="15" customHeight="1" x14ac:dyDescent="0.15"/>
  <cols>
    <col min="1" max="3" width="14.5" customWidth="1"/>
    <col min="4" max="4" width="45.33203125" customWidth="1"/>
    <col min="5" max="6" width="12.1640625" bestFit="1" customWidth="1"/>
    <col min="7" max="7" width="12.83203125" customWidth="1"/>
    <col min="8" max="8" width="10" customWidth="1"/>
    <col min="9" max="9" width="13.33203125" customWidth="1"/>
    <col min="10" max="10" width="10.5" customWidth="1"/>
    <col min="11" max="11" width="11.5" customWidth="1"/>
    <col min="12" max="12" width="10" customWidth="1"/>
    <col min="13" max="13" width="11.5" customWidth="1"/>
    <col min="14" max="14" width="10.5" customWidth="1"/>
    <col min="15" max="15" width="46.6640625" customWidth="1"/>
    <col min="16" max="33" width="14.5" customWidth="1"/>
  </cols>
  <sheetData>
    <row r="1" spans="1:33" ht="31.5" customHeight="1" x14ac:dyDescent="0.2">
      <c r="A1" s="2" t="s">
        <v>1</v>
      </c>
      <c r="B1" s="2" t="s">
        <v>2</v>
      </c>
      <c r="C1" s="2" t="s">
        <v>3</v>
      </c>
      <c r="D1" s="2" t="s">
        <v>4</v>
      </c>
      <c r="E1" s="1" t="s">
        <v>0</v>
      </c>
      <c r="F1" s="38" t="s">
        <v>85</v>
      </c>
      <c r="G1" s="2" t="s">
        <v>5</v>
      </c>
      <c r="H1" s="2" t="s">
        <v>6</v>
      </c>
      <c r="I1" s="2" t="s">
        <v>7</v>
      </c>
      <c r="J1" s="2" t="s">
        <v>8</v>
      </c>
      <c r="K1" s="2" t="s">
        <v>9</v>
      </c>
      <c r="L1" s="2" t="s">
        <v>10</v>
      </c>
      <c r="M1" s="2" t="s">
        <v>11</v>
      </c>
      <c r="N1" s="2" t="s">
        <v>12</v>
      </c>
      <c r="O1" s="3" t="s">
        <v>13</v>
      </c>
      <c r="P1" s="3" t="s">
        <v>14</v>
      </c>
      <c r="Q1" s="3" t="s">
        <v>15</v>
      </c>
      <c r="R1" s="1" t="s">
        <v>16</v>
      </c>
      <c r="S1" s="1" t="s">
        <v>17</v>
      </c>
      <c r="T1" s="1" t="s">
        <v>18</v>
      </c>
      <c r="U1" s="1" t="s">
        <v>19</v>
      </c>
      <c r="V1" s="1" t="s">
        <v>20</v>
      </c>
      <c r="W1" s="1" t="s">
        <v>21</v>
      </c>
      <c r="X1" s="1" t="s">
        <v>105</v>
      </c>
      <c r="Y1" s="1" t="s">
        <v>106</v>
      </c>
      <c r="Z1" s="1" t="s">
        <v>107</v>
      </c>
      <c r="AA1" s="2" t="s">
        <v>22</v>
      </c>
      <c r="AB1" s="1" t="s">
        <v>112</v>
      </c>
      <c r="AC1" s="1" t="s">
        <v>108</v>
      </c>
      <c r="AD1" s="1" t="s">
        <v>109</v>
      </c>
      <c r="AE1" s="1" t="s">
        <v>110</v>
      </c>
      <c r="AF1" s="1" t="s">
        <v>111</v>
      </c>
      <c r="AG1" s="1" t="s">
        <v>91</v>
      </c>
    </row>
    <row r="2" spans="1:33" ht="15.75" customHeight="1" x14ac:dyDescent="0.15">
      <c r="A2" s="16">
        <v>3354</v>
      </c>
      <c r="B2" s="16">
        <v>1181</v>
      </c>
      <c r="C2" s="17">
        <v>44634</v>
      </c>
      <c r="D2" s="5" t="s">
        <v>37</v>
      </c>
      <c r="E2" s="4">
        <v>1</v>
      </c>
      <c r="F2">
        <v>0</v>
      </c>
      <c r="G2" s="6">
        <v>-39.005704585000004</v>
      </c>
      <c r="H2" s="6">
        <v>1.0999999999999999E-2</v>
      </c>
      <c r="I2" s="6">
        <v>-153.65487664599999</v>
      </c>
      <c r="J2" s="6">
        <v>0.02</v>
      </c>
      <c r="K2" s="6">
        <v>2.9917389994134069</v>
      </c>
      <c r="L2" s="6">
        <v>0.1932936843007626</v>
      </c>
      <c r="M2" s="6">
        <v>7.7151783485911452</v>
      </c>
      <c r="N2" s="6">
        <v>0.64298337465667155</v>
      </c>
      <c r="O2" s="5"/>
      <c r="P2" s="16">
        <v>10</v>
      </c>
      <c r="Q2" s="16">
        <v>30</v>
      </c>
      <c r="R2" s="5">
        <v>-2.4649999999999999</v>
      </c>
      <c r="S2" s="5">
        <v>-100.474</v>
      </c>
      <c r="T2" s="5">
        <v>-100.006</v>
      </c>
      <c r="U2" s="5">
        <v>0.17199999999999999</v>
      </c>
      <c r="V2" s="4">
        <v>-183.92500000000001</v>
      </c>
      <c r="W2" s="4">
        <v>0.52300000000000002</v>
      </c>
      <c r="X2" s="4">
        <v>0</v>
      </c>
      <c r="Y2" s="4">
        <f>SQRT((($G$2+1000)/(G2+1000)*1/($G$2+1000)*H2)^2+(($G$2+1000)/(G2+1000)*(G2+1000)/($G$2+1000)^2*$H$2)^2)</f>
        <v>1.6187764339835256E-5</v>
      </c>
      <c r="Z2" s="4">
        <f>SQRT((($I$2+1000)/(I2+1000)*1/($I$2+1000)*J2)^2+(($I$2+1000)/(I2+1000)*(I2+1000)/($I$2+1000)^2*$J$2)^2)</f>
        <v>3.3419311421531601E-5</v>
      </c>
      <c r="AA2" s="5">
        <v>0</v>
      </c>
      <c r="AB2" s="36">
        <f>SQRT((H2/(G2+1000))^2+($H$2/($G$2+1000))^2)</f>
        <v>1.6187764339835256E-5</v>
      </c>
      <c r="AC2" s="36">
        <f>SQRT((J2/(I2+1000))^2+($J$2/($I$2+1000))^2)</f>
        <v>3.3419311421531601E-5</v>
      </c>
      <c r="AD2" s="36">
        <f>SQRT((W2/(V2+1000))^2+($W$2/($V$2+1000))^2)</f>
        <v>9.063305371701481E-4</v>
      </c>
      <c r="AE2" s="36">
        <f>SQRT((W2/(V2+1000))^2+($W$2/($V$2+1000))^2)</f>
        <v>9.063305371701481E-4</v>
      </c>
      <c r="AF2" s="36">
        <f>F2/E2</f>
        <v>0</v>
      </c>
      <c r="AG2" s="36">
        <f>-LN(E2)</f>
        <v>0</v>
      </c>
    </row>
    <row r="3" spans="1:33" ht="15.75" customHeight="1" x14ac:dyDescent="0.15">
      <c r="A3" s="16">
        <v>3352</v>
      </c>
      <c r="B3" s="16">
        <v>1180</v>
      </c>
      <c r="C3" s="17">
        <v>44632</v>
      </c>
      <c r="D3" s="5" t="s">
        <v>40</v>
      </c>
      <c r="E3" s="4">
        <v>1</v>
      </c>
      <c r="F3">
        <v>0</v>
      </c>
      <c r="G3" s="6">
        <v>-37.544273812</v>
      </c>
      <c r="H3" s="6">
        <v>6.0000000000000001E-3</v>
      </c>
      <c r="I3" s="6">
        <v>-152.67824424400001</v>
      </c>
      <c r="J3" s="6">
        <v>1.9E-2</v>
      </c>
      <c r="K3" s="6">
        <v>2.8886124948197534</v>
      </c>
      <c r="L3" s="6">
        <v>0.1582535425781546</v>
      </c>
      <c r="M3" s="6">
        <v>7.6788450961815524</v>
      </c>
      <c r="N3" s="6">
        <v>0.67190310476884785</v>
      </c>
      <c r="O3" s="5" t="s">
        <v>41</v>
      </c>
      <c r="P3" s="16">
        <v>12</v>
      </c>
      <c r="Q3" s="16">
        <v>27</v>
      </c>
      <c r="R3" s="4">
        <v>-0.94799999999999995</v>
      </c>
      <c r="S3" s="4">
        <v>-99.436000000000007</v>
      </c>
      <c r="T3" s="4">
        <v>-97.69</v>
      </c>
      <c r="U3" s="4">
        <v>0.14099999999999999</v>
      </c>
      <c r="V3" s="4">
        <v>-182.07</v>
      </c>
      <c r="W3" s="4">
        <v>0.54800000000000004</v>
      </c>
      <c r="X3" s="4">
        <v>0</v>
      </c>
      <c r="Y3" s="4">
        <f>SQRT((($G$3+1000)/(G3+1000)*1/($G$3+1000)*H3)^2+(($G$3+1000)/(G3+1000)*(G3+1000)/($G$3+1000)^2*$H$3)^2)</f>
        <v>8.8162822905592125E-6</v>
      </c>
      <c r="Z3" s="4">
        <f>SQRT((($I$3+1000)/(I3+1000)*1/($I$3+1000)*J3)^2+(($I$3+1000)/(I3+1000)*(I3+1000)/($I$3+1000)^2*$J$3)^2)</f>
        <v>3.1711752356830165E-5</v>
      </c>
      <c r="AA3" s="5">
        <v>0</v>
      </c>
      <c r="AB3" s="36">
        <f>SQRT((H3/(G3+1000))^2+($H$3/($G$3+1000))^2)</f>
        <v>8.8162822905592125E-6</v>
      </c>
      <c r="AC3" s="36">
        <f>SQRT((J3/(I3+1000))^2+($J$3/($I$3+1000))^2)</f>
        <v>3.1711752356830158E-5</v>
      </c>
      <c r="AD3" s="36">
        <f>SQRT((U3/(T3+1000))^2+($U$3/($T$3+1000))^2)</f>
        <v>2.2099290963704981E-4</v>
      </c>
      <c r="AE3" s="36">
        <f>SQRT((W3/(V3+1000))^2+($W$3/($V$3+1000))^2)</f>
        <v>9.475004366882937E-4</v>
      </c>
      <c r="AF3" s="36">
        <f t="shared" ref="AF3:AF40" si="0">F3/E3</f>
        <v>0</v>
      </c>
      <c r="AG3" s="36">
        <f t="shared" ref="AG3:AG40" si="1">-LN(E3)</f>
        <v>0</v>
      </c>
    </row>
    <row r="4" spans="1:33" ht="15.75" customHeight="1" x14ac:dyDescent="0.15">
      <c r="A4" s="26">
        <v>3502</v>
      </c>
      <c r="B4" s="26">
        <v>1250</v>
      </c>
      <c r="C4" s="26">
        <v>44810</v>
      </c>
      <c r="D4" s="26" t="s">
        <v>46</v>
      </c>
      <c r="E4" s="26">
        <v>1</v>
      </c>
      <c r="F4">
        <v>0</v>
      </c>
      <c r="G4" s="34">
        <v>-39.095297901999999</v>
      </c>
      <c r="H4" s="26">
        <v>7.0000000000000001E-3</v>
      </c>
      <c r="I4" s="34">
        <v>-153.96818935299999</v>
      </c>
      <c r="J4" s="26">
        <v>2.4E-2</v>
      </c>
      <c r="K4" s="34">
        <v>2.8089396964641189</v>
      </c>
      <c r="L4" s="34">
        <v>0.19707083631056677</v>
      </c>
      <c r="M4" s="34">
        <v>7.4174893792759988</v>
      </c>
      <c r="N4" s="34">
        <v>0.70797040445457737</v>
      </c>
      <c r="O4" s="26"/>
      <c r="P4" s="26">
        <v>7</v>
      </c>
      <c r="Q4" s="26">
        <v>29</v>
      </c>
      <c r="R4" s="26">
        <v>-2.5579999999999998</v>
      </c>
      <c r="S4" s="26">
        <v>-100.807</v>
      </c>
      <c r="T4" s="26">
        <v>-100.587</v>
      </c>
      <c r="U4" s="26">
        <v>0.17499999999999999</v>
      </c>
      <c r="V4" s="26">
        <v>-184.77</v>
      </c>
      <c r="W4" s="26">
        <v>0.57499999999999996</v>
      </c>
      <c r="X4" s="4">
        <v>0</v>
      </c>
      <c r="Y4" s="4">
        <f>SQRT((($G$4+1000)/(G4+1000)*1/($G$4+1000)*H4)^2+(($G$4+1000)/(G4+1000)*(G4+1000)/($G$4+1000)^2*$H$4)^2)</f>
        <v>1.0302265058124403E-5</v>
      </c>
      <c r="Z4" s="4">
        <f>SQRT((($I$4+1000)/(I4+1000)*1/($I$4+1000)*J4)^2+(($I$4+1000)/(I4+1000)*(I4+1000)/($I$4+1000)^2*$J$4)^2)</f>
        <v>4.0118025196946103E-5</v>
      </c>
      <c r="AA4" s="26">
        <v>0</v>
      </c>
      <c r="AB4" s="36">
        <f>SQRT((H4/(G4+1000))^2+($H$4/($G$4+1000))^2)</f>
        <v>1.0302265058124404E-5</v>
      </c>
      <c r="AC4" s="36">
        <f>SQRT((J4/(I4+1000))^2+($J$4/($I$4+1000))^2)</f>
        <v>4.0118025196946103E-5</v>
      </c>
      <c r="AD4" s="36">
        <f>SQRT((U4/(T4+1000))^2+($U$4/($T$4+1000))^2)</f>
        <v>2.7516543947584879E-4</v>
      </c>
      <c r="AE4" s="36">
        <f>SQRT((W4/(V4+1000))^2+($W$4/($V$4+1000))^2)</f>
        <v>9.9747653835669642E-4</v>
      </c>
      <c r="AF4" s="36">
        <f t="shared" si="0"/>
        <v>0</v>
      </c>
      <c r="AG4" s="36">
        <f t="shared" si="1"/>
        <v>0</v>
      </c>
    </row>
    <row r="5" spans="1:33" s="62" customFormat="1" ht="15.75" customHeight="1" x14ac:dyDescent="0.2">
      <c r="A5" s="58" t="s">
        <v>26</v>
      </c>
      <c r="B5" s="58">
        <v>1170</v>
      </c>
      <c r="C5" s="59">
        <v>44621</v>
      </c>
      <c r="D5" s="60" t="s">
        <v>27</v>
      </c>
      <c r="E5" s="61">
        <v>0.55637028238064046</v>
      </c>
      <c r="F5" s="62">
        <v>9.002586151550267E-3</v>
      </c>
      <c r="G5" s="63">
        <v>-23.215</v>
      </c>
      <c r="H5" s="58">
        <v>3.0000000000000001E-3</v>
      </c>
      <c r="I5" s="63">
        <v>-13.247999999999999</v>
      </c>
      <c r="J5" s="58">
        <v>2.3E-2</v>
      </c>
      <c r="K5" s="63">
        <v>-0.94499999999999995</v>
      </c>
      <c r="L5" s="63">
        <v>0.127</v>
      </c>
      <c r="M5" s="63">
        <v>-3.0289999999999999</v>
      </c>
      <c r="N5" s="63">
        <v>0.65</v>
      </c>
      <c r="O5" s="58" t="s">
        <v>28</v>
      </c>
      <c r="P5" s="58">
        <v>18</v>
      </c>
      <c r="Q5" s="58">
        <v>20</v>
      </c>
      <c r="R5" s="64">
        <v>13.926</v>
      </c>
      <c r="S5" s="64">
        <v>48.756</v>
      </c>
      <c r="T5" s="64">
        <v>62.369</v>
      </c>
      <c r="U5" s="64">
        <v>0.13300000000000001</v>
      </c>
      <c r="V5" s="65">
        <v>97.478999999999999</v>
      </c>
      <c r="W5" s="65">
        <v>0.71099999999999997</v>
      </c>
      <c r="X5" s="65">
        <f>F5/E5</f>
        <v>1.6180925611320039E-2</v>
      </c>
      <c r="Y5" s="66">
        <f t="shared" ref="Y5:Y35" si="2">SQRT((($G$4+1000)/(G5+1000)*1/($G$4+1000)*H5)^2+(($G$4+1000)/(G5+1000)*(G5+1000)/($G$4+1000)^2*$H$4)^2)</f>
        <v>7.9057711703006484E-6</v>
      </c>
      <c r="Z5" s="66">
        <f t="shared" ref="Z5:Z35" si="3">SQRT((($I$4+1000)/(I5+1000)*1/($I$4+1000)*J5)^2+(($I$4+1000)/(I5+1000)*(I5+1000)/($I$4+1000)^2*$J$4)^2)</f>
        <v>3.6715499359841661E-5</v>
      </c>
      <c r="AA5" s="58">
        <v>1</v>
      </c>
      <c r="AB5" s="36">
        <f>SQRT((H5/(G5+1000))^2+($H$4/($G$4+1000))^2)</f>
        <v>7.9057711703006484E-6</v>
      </c>
      <c r="AC5" s="36">
        <f>SQRT((J5/(I5+1000))^2+($J$4/($I$4+1000))^2)</f>
        <v>3.6715499359841661E-5</v>
      </c>
      <c r="AD5" s="36">
        <f>SQRT((U5/(T5+1000))^2+($U$4/($T$4+1000))^2)</f>
        <v>2.3136772219206075E-4</v>
      </c>
      <c r="AE5" s="36">
        <f>SQRT((W5/(V5+1000))^2+($W$4/($V$4+1000))^2)</f>
        <v>9.5769893751808128E-4</v>
      </c>
      <c r="AF5" s="36">
        <f t="shared" si="0"/>
        <v>1.6180925611320039E-2</v>
      </c>
      <c r="AG5" s="36">
        <f t="shared" si="1"/>
        <v>0.5863212308900827</v>
      </c>
    </row>
    <row r="6" spans="1:33" s="85" customFormat="1" ht="15.75" customHeight="1" x14ac:dyDescent="0.2">
      <c r="A6" s="80">
        <v>3337</v>
      </c>
      <c r="B6" s="80">
        <v>1174</v>
      </c>
      <c r="C6" s="84">
        <v>44624</v>
      </c>
      <c r="D6" s="80" t="s">
        <v>29</v>
      </c>
      <c r="E6" s="67">
        <v>0.1578319196296257</v>
      </c>
      <c r="F6" s="85">
        <v>2.5538665506188163E-3</v>
      </c>
      <c r="G6" s="81">
        <v>-4.5330000000000004</v>
      </c>
      <c r="H6" s="80">
        <v>5.0000000000000001E-3</v>
      </c>
      <c r="I6" s="81">
        <v>186.28700000000001</v>
      </c>
      <c r="J6" s="80">
        <v>0.04</v>
      </c>
      <c r="K6" s="81">
        <v>-1.4670000000000001</v>
      </c>
      <c r="L6" s="81">
        <v>0.28699999999999998</v>
      </c>
      <c r="M6" s="81">
        <v>25.46</v>
      </c>
      <c r="N6" s="81">
        <v>0.81799999999999995</v>
      </c>
      <c r="O6" s="80" t="s">
        <v>30</v>
      </c>
      <c r="P6" s="80">
        <v>8</v>
      </c>
      <c r="Q6" s="80">
        <v>16</v>
      </c>
      <c r="R6" s="67">
        <v>33.319000000000003</v>
      </c>
      <c r="S6" s="67">
        <v>260.82799999999997</v>
      </c>
      <c r="T6" s="67">
        <v>300.92700000000002</v>
      </c>
      <c r="U6" s="67">
        <v>0.372</v>
      </c>
      <c r="V6" s="69">
        <v>631.53099999999995</v>
      </c>
      <c r="W6" s="69">
        <v>1.33</v>
      </c>
      <c r="X6" s="69">
        <f t="shared" ref="X6:X34" si="4">F6/E6</f>
        <v>1.6180925611320039E-2</v>
      </c>
      <c r="Y6" s="86">
        <f t="shared" si="2"/>
        <v>8.8485328240401457E-6</v>
      </c>
      <c r="Z6" s="86">
        <f t="shared" si="3"/>
        <v>4.4064447680543309E-5</v>
      </c>
      <c r="AA6" s="80">
        <v>11</v>
      </c>
      <c r="AB6" s="36">
        <f t="shared" ref="AB6:AB11" si="5">SQRT((H6/(G6+1000))^2+($H$4/($G$4+1000))^2)</f>
        <v>8.8485328240401457E-6</v>
      </c>
      <c r="AC6" s="36">
        <f t="shared" ref="AC6:AC11" si="6">SQRT((J6/(I6+1000))^2+($J$4/($I$4+1000))^2)</f>
        <v>4.4064447680543302E-5</v>
      </c>
      <c r="AD6" s="36">
        <f t="shared" ref="AD6:AD11" si="7">SQRT((U6/(T6+1000))^2+($U$4/($T$4+1000))^2)</f>
        <v>3.4586901969460278E-4</v>
      </c>
      <c r="AE6" s="36">
        <f t="shared" ref="AE6:AE11" si="8">SQRT((W6/(V6+1000))^2+($W$4/($V$4+1000))^2)</f>
        <v>1.0779641496776195E-3</v>
      </c>
      <c r="AF6" s="36">
        <f t="shared" si="0"/>
        <v>1.6180925611320039E-2</v>
      </c>
      <c r="AG6" s="36">
        <f t="shared" si="1"/>
        <v>1.8462246120042969</v>
      </c>
    </row>
    <row r="7" spans="1:33" s="54" customFormat="1" ht="15.75" customHeight="1" x14ac:dyDescent="0.2">
      <c r="A7" s="51">
        <v>3343</v>
      </c>
      <c r="B7" s="51">
        <v>1177</v>
      </c>
      <c r="C7" s="52">
        <v>44627</v>
      </c>
      <c r="D7" s="51" t="s">
        <v>31</v>
      </c>
      <c r="E7" s="53">
        <v>0.66791358124774158</v>
      </c>
      <c r="F7" s="54">
        <v>1.080745997296007E-2</v>
      </c>
      <c r="G7" s="55">
        <v>-28.143000000000001</v>
      </c>
      <c r="H7" s="51">
        <v>3.0000000000000001E-3</v>
      </c>
      <c r="I7" s="55">
        <v>-59.417000000000002</v>
      </c>
      <c r="J7" s="51">
        <v>1.7000000000000001E-2</v>
      </c>
      <c r="K7" s="55">
        <v>0.14099999999999999</v>
      </c>
      <c r="L7" s="55">
        <v>0.19700000000000001</v>
      </c>
      <c r="M7" s="55">
        <v>-4.9939999999999998</v>
      </c>
      <c r="N7" s="55">
        <v>0.57599999999999996</v>
      </c>
      <c r="O7" s="51" t="s">
        <v>32</v>
      </c>
      <c r="P7" s="51">
        <v>15</v>
      </c>
      <c r="Q7" s="51">
        <v>32</v>
      </c>
      <c r="R7" s="53">
        <v>8.8109999999999999</v>
      </c>
      <c r="S7" s="53">
        <v>-0.315</v>
      </c>
      <c r="T7" s="53">
        <v>8.6359999999999992</v>
      </c>
      <c r="U7" s="53">
        <v>0.19800000000000001</v>
      </c>
      <c r="V7" s="53">
        <v>-4.7850000000000001</v>
      </c>
      <c r="W7" s="53">
        <v>0.57199999999999995</v>
      </c>
      <c r="X7" s="56">
        <f t="shared" si="4"/>
        <v>1.6180925611320039E-2</v>
      </c>
      <c r="Y7" s="57">
        <f t="shared" si="2"/>
        <v>7.9118343693906929E-6</v>
      </c>
      <c r="Z7" s="57">
        <f t="shared" si="3"/>
        <v>3.3636196508388135E-5</v>
      </c>
      <c r="AA7" s="51">
        <v>1</v>
      </c>
      <c r="AB7" s="36">
        <f t="shared" si="5"/>
        <v>7.9118343693906929E-6</v>
      </c>
      <c r="AC7" s="36">
        <f t="shared" si="6"/>
        <v>3.3636196508388135E-5</v>
      </c>
      <c r="AD7" s="36">
        <f t="shared" si="7"/>
        <v>2.7639383077736291E-4</v>
      </c>
      <c r="AE7" s="36">
        <f t="shared" si="8"/>
        <v>9.0984476216940554E-4</v>
      </c>
      <c r="AF7" s="36">
        <f t="shared" si="0"/>
        <v>1.6180925611320039E-2</v>
      </c>
      <c r="AG7" s="36">
        <f t="shared" si="1"/>
        <v>0.40359648320404101</v>
      </c>
    </row>
    <row r="8" spans="1:33" s="97" customFormat="1" ht="15.75" customHeight="1" x14ac:dyDescent="0.15">
      <c r="A8" s="93">
        <v>3356</v>
      </c>
      <c r="B8" s="94">
        <v>1182</v>
      </c>
      <c r="C8" s="95">
        <v>44635</v>
      </c>
      <c r="D8" s="96" t="s">
        <v>33</v>
      </c>
      <c r="E8" s="96">
        <v>0.80189249147658503</v>
      </c>
      <c r="F8" s="97">
        <v>1.2975362752858712E-2</v>
      </c>
      <c r="G8" s="98">
        <v>-29.418256296999999</v>
      </c>
      <c r="H8" s="98">
        <v>1.4E-2</v>
      </c>
      <c r="I8" s="98">
        <v>-73.200313356000009</v>
      </c>
      <c r="J8" s="98">
        <v>0.02</v>
      </c>
      <c r="K8" s="98">
        <v>0.41427677914174232</v>
      </c>
      <c r="L8" s="98">
        <v>0.16508394947097216</v>
      </c>
      <c r="M8" s="98">
        <v>-4.3067848488490545</v>
      </c>
      <c r="N8" s="98">
        <v>0.56660125067402534</v>
      </c>
      <c r="O8" s="96"/>
      <c r="P8" s="94">
        <v>10</v>
      </c>
      <c r="Q8" s="94">
        <v>30</v>
      </c>
      <c r="R8" s="96">
        <v>7.4870000000000001</v>
      </c>
      <c r="S8" s="96">
        <v>-14.964</v>
      </c>
      <c r="T8" s="96">
        <v>-7.1769999999999996</v>
      </c>
      <c r="U8" s="96">
        <v>0.16200000000000001</v>
      </c>
      <c r="V8" s="96">
        <v>-33.070999999999998</v>
      </c>
      <c r="W8" s="96">
        <v>0.54600000000000004</v>
      </c>
      <c r="X8" s="98">
        <f t="shared" si="4"/>
        <v>1.6180925611320039E-2</v>
      </c>
      <c r="Y8" s="99">
        <f t="shared" si="2"/>
        <v>1.6159513771354486E-5</v>
      </c>
      <c r="Z8" s="99">
        <f t="shared" si="3"/>
        <v>3.5642792654430484E-5</v>
      </c>
      <c r="AA8" s="96">
        <v>1</v>
      </c>
      <c r="AB8" s="36">
        <f t="shared" si="5"/>
        <v>1.6159513771354486E-5</v>
      </c>
      <c r="AC8" s="36">
        <f t="shared" si="6"/>
        <v>3.5642792654430484E-5</v>
      </c>
      <c r="AD8" s="36">
        <f t="shared" si="7"/>
        <v>2.5393465795047111E-4</v>
      </c>
      <c r="AE8" s="36">
        <f t="shared" si="8"/>
        <v>9.0351360725501179E-4</v>
      </c>
      <c r="AF8" s="36">
        <f t="shared" si="0"/>
        <v>1.6180925611320039E-2</v>
      </c>
      <c r="AG8" s="36">
        <f t="shared" si="1"/>
        <v>0.22078073062914644</v>
      </c>
    </row>
    <row r="9" spans="1:33" s="68" customFormat="1" ht="15.75" customHeight="1" x14ac:dyDescent="0.15">
      <c r="A9" s="73">
        <v>3360</v>
      </c>
      <c r="B9" s="70">
        <v>1184</v>
      </c>
      <c r="C9" s="74">
        <v>44638</v>
      </c>
      <c r="D9" s="70" t="s">
        <v>34</v>
      </c>
      <c r="E9" s="75">
        <v>0.31773025665544824</v>
      </c>
      <c r="F9" s="68">
        <v>5.1411696474074325E-3</v>
      </c>
      <c r="G9" s="71">
        <v>-16.441675867000001</v>
      </c>
      <c r="H9" s="70">
        <v>6.0000000000000001E-3</v>
      </c>
      <c r="I9" s="71">
        <v>56.858331692999982</v>
      </c>
      <c r="J9" s="70">
        <v>2.4E-2</v>
      </c>
      <c r="K9" s="71">
        <v>-0.53744740272665403</v>
      </c>
      <c r="L9" s="71">
        <v>0.1697442589993545</v>
      </c>
      <c r="M9" s="71">
        <v>12.269568153348676</v>
      </c>
      <c r="N9" s="71">
        <v>0.59584474411175392</v>
      </c>
      <c r="O9" s="70"/>
      <c r="P9" s="70">
        <v>11</v>
      </c>
      <c r="Q9" s="70">
        <v>30</v>
      </c>
      <c r="R9" s="70">
        <v>20.957000000000001</v>
      </c>
      <c r="S9" s="70">
        <v>123.267</v>
      </c>
      <c r="T9" s="70">
        <v>146.19200000000001</v>
      </c>
      <c r="U9" s="70">
        <v>0.193</v>
      </c>
      <c r="V9" s="70">
        <v>278.28300000000002</v>
      </c>
      <c r="W9" s="70">
        <v>0.75900000000000001</v>
      </c>
      <c r="X9" s="71">
        <f t="shared" si="4"/>
        <v>1.6180925611320042E-2</v>
      </c>
      <c r="Y9" s="72">
        <f t="shared" si="2"/>
        <v>9.5016831285670409E-6</v>
      </c>
      <c r="Z9" s="72">
        <f>SQRT((($I$4+1000)/(I9+1000)*1/($I$4+1000)*J9)^2+(($I$4+1000)/(I9+1000)*(I9+1000)/($I$4+1000)^2*$J$4)^2)</f>
        <v>3.6337559592416426E-5</v>
      </c>
      <c r="AA9" s="75">
        <v>1</v>
      </c>
      <c r="AB9" s="36">
        <f t="shared" si="5"/>
        <v>9.5016831285670426E-6</v>
      </c>
      <c r="AC9" s="36">
        <f t="shared" si="6"/>
        <v>3.6337559592416426E-5</v>
      </c>
      <c r="AD9" s="36">
        <f t="shared" si="7"/>
        <v>2.5731510898902233E-4</v>
      </c>
      <c r="AE9" s="36">
        <f t="shared" si="8"/>
        <v>9.2197444167796785E-4</v>
      </c>
      <c r="AF9" s="36">
        <f t="shared" si="0"/>
        <v>1.6180925611320042E-2</v>
      </c>
      <c r="AG9" s="36">
        <f t="shared" si="1"/>
        <v>1.1465525056803216</v>
      </c>
    </row>
    <row r="10" spans="1:33" s="68" customFormat="1" ht="15.75" customHeight="1" x14ac:dyDescent="0.15">
      <c r="A10" s="76">
        <v>3368</v>
      </c>
      <c r="B10" s="76">
        <v>1188</v>
      </c>
      <c r="C10" s="77">
        <v>44643</v>
      </c>
      <c r="D10" s="76" t="s">
        <v>35</v>
      </c>
      <c r="E10" s="76">
        <v>0.22704578500603778</v>
      </c>
      <c r="F10" s="68">
        <v>3.6738109575464597E-3</v>
      </c>
      <c r="G10" s="78">
        <v>-13.547715391000002</v>
      </c>
      <c r="H10" s="76">
        <v>7.0000000000000001E-3</v>
      </c>
      <c r="I10" s="78">
        <v>87.229905812999988</v>
      </c>
      <c r="J10" s="76">
        <v>3.2000000000000001E-2</v>
      </c>
      <c r="K10" s="78">
        <v>-0.70242735970538206</v>
      </c>
      <c r="L10" s="78">
        <v>0.24170628798861232</v>
      </c>
      <c r="M10" s="78">
        <v>18.525692714218778</v>
      </c>
      <c r="N10" s="78">
        <v>0.7110610082421327</v>
      </c>
      <c r="O10" s="76" t="s">
        <v>36</v>
      </c>
      <c r="P10" s="76">
        <v>7</v>
      </c>
      <c r="Q10" s="76">
        <v>22</v>
      </c>
      <c r="R10" s="79">
        <v>23.960999999999999</v>
      </c>
      <c r="S10" s="79">
        <v>155.547</v>
      </c>
      <c r="T10" s="79">
        <v>182.405</v>
      </c>
      <c r="U10" s="79">
        <v>0.28399999999999997</v>
      </c>
      <c r="V10" s="79">
        <v>361.16899999999998</v>
      </c>
      <c r="W10" s="79">
        <v>0.96399999999999997</v>
      </c>
      <c r="X10" s="71">
        <f t="shared" si="4"/>
        <v>1.6180925611320039E-2</v>
      </c>
      <c r="Y10" s="72">
        <f t="shared" si="2"/>
        <v>1.0169733772027418E-5</v>
      </c>
      <c r="Z10" s="72">
        <f t="shared" si="3"/>
        <v>4.0877937291403977E-5</v>
      </c>
      <c r="AA10" s="76">
        <v>1</v>
      </c>
      <c r="AB10" s="36">
        <f t="shared" si="5"/>
        <v>1.016973377202742E-5</v>
      </c>
      <c r="AC10" s="36">
        <f t="shared" si="6"/>
        <v>4.0877937291403977E-5</v>
      </c>
      <c r="AD10" s="36">
        <f t="shared" si="7"/>
        <v>3.0910918979152479E-4</v>
      </c>
      <c r="AE10" s="36">
        <f t="shared" si="8"/>
        <v>9.9952383306313713E-4</v>
      </c>
      <c r="AF10" s="36">
        <f t="shared" si="0"/>
        <v>1.6180925611320039E-2</v>
      </c>
      <c r="AG10" s="36">
        <f t="shared" si="1"/>
        <v>1.4826035857768098</v>
      </c>
    </row>
    <row r="11" spans="1:33" s="88" customFormat="1" ht="15.75" customHeight="1" x14ac:dyDescent="0.15">
      <c r="A11" s="87">
        <v>3531</v>
      </c>
      <c r="B11" s="87">
        <v>1263</v>
      </c>
      <c r="C11" s="87" t="s">
        <v>60</v>
      </c>
      <c r="D11" s="87" t="s">
        <v>65</v>
      </c>
      <c r="E11" s="87">
        <v>0.53965765727132675</v>
      </c>
      <c r="F11" s="88">
        <v>8.7321604078865831E-3</v>
      </c>
      <c r="G11" s="87">
        <v>-21.856000000000002</v>
      </c>
      <c r="H11" s="87">
        <v>4.0000000000000001E-3</v>
      </c>
      <c r="I11" s="87">
        <v>-1.08</v>
      </c>
      <c r="J11" s="87">
        <v>2.1999999999999999E-2</v>
      </c>
      <c r="K11" s="87">
        <v>-1.379</v>
      </c>
      <c r="L11" s="87">
        <v>0.14499999999999999</v>
      </c>
      <c r="M11" s="87">
        <v>-5.109</v>
      </c>
      <c r="N11" s="87">
        <v>0.55400000000000005</v>
      </c>
      <c r="O11" s="87" t="s">
        <v>66</v>
      </c>
      <c r="P11" s="87">
        <v>11</v>
      </c>
      <c r="Q11" s="87">
        <v>30</v>
      </c>
      <c r="R11" s="87">
        <v>15.337</v>
      </c>
      <c r="S11" s="87">
        <v>61.688000000000002</v>
      </c>
      <c r="T11" s="89">
        <v>76.486000000000004</v>
      </c>
      <c r="U11" s="89">
        <v>0.155</v>
      </c>
      <c r="V11" s="89">
        <v>122.36499999999999</v>
      </c>
      <c r="W11" s="89">
        <v>0.61899999999999999</v>
      </c>
      <c r="X11" s="90">
        <f t="shared" si="4"/>
        <v>1.6180925611320039E-2</v>
      </c>
      <c r="Y11" s="91">
        <f t="shared" si="2"/>
        <v>8.3541211659230709E-6</v>
      </c>
      <c r="Z11" s="91">
        <f t="shared" si="3"/>
        <v>3.5913439112765301E-5</v>
      </c>
      <c r="AA11" s="87">
        <v>11</v>
      </c>
      <c r="AB11" s="36">
        <f t="shared" si="5"/>
        <v>8.3541211659230726E-6</v>
      </c>
      <c r="AC11" s="36">
        <f t="shared" si="6"/>
        <v>3.5913439112765294E-5</v>
      </c>
      <c r="AD11" s="36">
        <f t="shared" si="7"/>
        <v>2.4205426761403676E-4</v>
      </c>
      <c r="AE11" s="36">
        <f t="shared" si="8"/>
        <v>8.9534764424486352E-4</v>
      </c>
      <c r="AF11" s="36">
        <f t="shared" si="0"/>
        <v>1.6180925611320039E-2</v>
      </c>
      <c r="AG11" s="36">
        <f t="shared" si="1"/>
        <v>0.61682030848257552</v>
      </c>
    </row>
    <row r="12" spans="1:33" ht="15.75" customHeight="1" x14ac:dyDescent="0.15">
      <c r="A12" s="25">
        <v>3521</v>
      </c>
      <c r="B12" s="25">
        <v>1259</v>
      </c>
      <c r="C12" s="30">
        <v>44819</v>
      </c>
      <c r="D12" s="25" t="s">
        <v>58</v>
      </c>
      <c r="E12" s="25">
        <v>0.13400309013179659</v>
      </c>
      <c r="F12">
        <v>1.3880511606731099E-2</v>
      </c>
      <c r="G12" s="33">
        <v>25.835772698</v>
      </c>
      <c r="H12" s="25">
        <v>1.7000000000000001E-2</v>
      </c>
      <c r="I12" s="33">
        <v>543.31723754699999</v>
      </c>
      <c r="J12" s="25">
        <v>8.5000000000000006E-2</v>
      </c>
      <c r="K12" s="33">
        <v>-11.993480748493713</v>
      </c>
      <c r="L12" s="33">
        <v>0.23184856593038081</v>
      </c>
      <c r="M12" s="33">
        <v>-33.257783257627736</v>
      </c>
      <c r="N12" s="33">
        <v>0.76360580428310187</v>
      </c>
      <c r="O12" s="25" t="s">
        <v>59</v>
      </c>
      <c r="P12" s="25">
        <v>6</v>
      </c>
      <c r="Q12" s="25">
        <v>20</v>
      </c>
      <c r="R12" s="25">
        <v>64.841999999999999</v>
      </c>
      <c r="S12" s="25">
        <v>640.29300000000001</v>
      </c>
      <c r="T12" s="25">
        <v>725.70600000000002</v>
      </c>
      <c r="U12" s="25">
        <v>0.39400000000000002</v>
      </c>
      <c r="V12" s="25">
        <v>1603.2650000000001</v>
      </c>
      <c r="W12" s="25">
        <v>1.9690000000000001</v>
      </c>
      <c r="X12" s="9">
        <f t="shared" si="4"/>
        <v>0.10358351880601518</v>
      </c>
      <c r="Y12" s="4">
        <f>SQRT((($G$2+1000)/(G12+1000)*1/($G$2+1000)*H12)^2+(($G$2+1000)/(G12+1000)*(G12+1000)/($G$2+1000)^2*$H$2)^2)</f>
        <v>2.0140709546995192E-5</v>
      </c>
      <c r="Z12" s="4">
        <f>SQRT((($I$2+1000)/(I12+1000)*1/($I$2+1000)*J12)^2+(($I$2+1000)/(I12+1000)*(I12+1000)/($I$2+1000)^2*$J$2)^2)</f>
        <v>5.9931707038851185E-5</v>
      </c>
      <c r="AA12" s="25">
        <v>2</v>
      </c>
      <c r="AB12" s="36">
        <f>SQRT((H12/(G12+1000))^2+($H$2/($G$2+1000))^2)</f>
        <v>2.0140709546995192E-5</v>
      </c>
      <c r="AC12" s="36">
        <f>SQRT((J12/(I12+1000))^2+($J$2/($I$2+1000))^2)</f>
        <v>5.9931707038851185E-5</v>
      </c>
      <c r="AD12" s="36">
        <f>SQRT((U12/(T12+1000))^2+($U$2/($T$2+1000))^2)</f>
        <v>2.9774229626062328E-4</v>
      </c>
      <c r="AE12" s="36">
        <f>SQRT((W12/(V12+1000))^2+($W$2/($V$2+1000))^2)</f>
        <v>9.9136005870123739E-4</v>
      </c>
      <c r="AF12" s="36">
        <f t="shared" si="0"/>
        <v>0.10358351880601518</v>
      </c>
      <c r="AG12" s="36">
        <f t="shared" si="1"/>
        <v>2.0098924186120701</v>
      </c>
    </row>
    <row r="13" spans="1:33" ht="15.75" customHeight="1" x14ac:dyDescent="0.15">
      <c r="A13" s="7">
        <v>3527</v>
      </c>
      <c r="B13" s="7">
        <v>1261</v>
      </c>
      <c r="C13" s="7" t="s">
        <v>60</v>
      </c>
      <c r="D13" s="7" t="s">
        <v>62</v>
      </c>
      <c r="E13" s="7">
        <v>0.7263215962416153</v>
      </c>
      <c r="F13">
        <v>7.523494672350832E-2</v>
      </c>
      <c r="G13" s="7">
        <v>-30.591000000000001</v>
      </c>
      <c r="H13" s="7">
        <v>3.0000000000000001E-3</v>
      </c>
      <c r="I13" s="7">
        <v>-87.01</v>
      </c>
      <c r="J13" s="7">
        <v>0.02</v>
      </c>
      <c r="K13" s="7">
        <v>1.08</v>
      </c>
      <c r="L13" s="7">
        <v>0.12</v>
      </c>
      <c r="M13" s="7">
        <v>-3.99</v>
      </c>
      <c r="N13" s="7">
        <v>0.5</v>
      </c>
      <c r="O13" s="7"/>
      <c r="P13" s="20">
        <v>16</v>
      </c>
      <c r="Q13" s="20">
        <v>40</v>
      </c>
      <c r="R13" s="7">
        <v>6.27</v>
      </c>
      <c r="S13" s="7">
        <v>-29.637</v>
      </c>
      <c r="T13" s="7">
        <v>-22.495000000000001</v>
      </c>
      <c r="U13" s="7">
        <v>0.112</v>
      </c>
      <c r="V13" s="7">
        <v>-61.360999999999997</v>
      </c>
      <c r="W13" s="7">
        <v>0.47099999999999997</v>
      </c>
      <c r="X13" s="9">
        <f t="shared" si="4"/>
        <v>0.10358351880601517</v>
      </c>
      <c r="Y13" s="4">
        <f t="shared" ref="Y13:Y16" si="9">SQRT((($G$2+1000)/(G13+1000)*1/($G$2+1000)*H13)^2+(($G$2+1000)/(G13+1000)*(G13+1000)/($G$2+1000)^2*$H$2)^2)</f>
        <v>1.1857437897974002E-5</v>
      </c>
      <c r="Z13" s="4">
        <f t="shared" ref="Z13:Z16" si="10">SQRT((($I$2+1000)/(I13+1000)*1/($I$2+1000)*J13)^2+(($I$2+1000)/(I13+1000)*(I13+1000)/($I$2+1000)^2*$J$2)^2)</f>
        <v>3.2222662743922775E-5</v>
      </c>
      <c r="AA13" s="7">
        <v>2</v>
      </c>
      <c r="AB13" s="36">
        <f t="shared" ref="AB13:AB16" si="11">SQRT((H13/(G13+1000))^2+($H$2/($G$2+1000))^2)</f>
        <v>1.1857437897974002E-5</v>
      </c>
      <c r="AC13" s="36">
        <f t="shared" ref="AC13:AC16" si="12">SQRT((J13/(I13+1000))^2+($J$2/($I$2+1000))^2)</f>
        <v>3.2222662743922775E-5</v>
      </c>
      <c r="AD13" s="36">
        <f t="shared" ref="AD13:AD15" si="13">SQRT((U13/(T13+1000))^2+($U$2/($T$2+1000))^2)</f>
        <v>2.2282712745218163E-4</v>
      </c>
      <c r="AE13" s="36">
        <f t="shared" ref="AE13:AE16" si="14">SQRT((W13/(V13+1000))^2+($W$2/($V$2+1000))^2)</f>
        <v>8.1394783914784711E-4</v>
      </c>
      <c r="AF13" s="36">
        <f t="shared" si="0"/>
        <v>0.10358351880601517</v>
      </c>
      <c r="AG13" s="36">
        <f t="shared" si="1"/>
        <v>0.31976239220982755</v>
      </c>
    </row>
    <row r="14" spans="1:33" ht="15.75" customHeight="1" x14ac:dyDescent="0.15">
      <c r="A14" s="7">
        <v>3529</v>
      </c>
      <c r="B14" s="7">
        <v>1262</v>
      </c>
      <c r="C14" s="7" t="s">
        <v>60</v>
      </c>
      <c r="D14" s="7" t="s">
        <v>63</v>
      </c>
      <c r="E14" s="7">
        <v>0.48765111951462509</v>
      </c>
      <c r="F14">
        <v>5.0512618909017523E-2</v>
      </c>
      <c r="G14" s="7">
        <v>-19.954999999999998</v>
      </c>
      <c r="H14" s="7">
        <v>5.0000000000000001E-3</v>
      </c>
      <c r="I14" s="7">
        <v>6.9870000000000001</v>
      </c>
      <c r="J14" s="7">
        <v>0.02</v>
      </c>
      <c r="K14" s="7">
        <v>-2.8650000000000002</v>
      </c>
      <c r="L14" s="7">
        <v>0.14799999999999999</v>
      </c>
      <c r="M14" s="7">
        <v>-19.149999999999999</v>
      </c>
      <c r="N14" s="7">
        <v>0.502</v>
      </c>
      <c r="O14" s="7" t="s">
        <v>64</v>
      </c>
      <c r="P14" s="7">
        <v>10</v>
      </c>
      <c r="Q14" s="7">
        <v>33</v>
      </c>
      <c r="R14" s="7">
        <v>17.309999999999999</v>
      </c>
      <c r="S14" s="7">
        <v>70.262</v>
      </c>
      <c r="T14" s="7">
        <v>85.67</v>
      </c>
      <c r="U14" s="7">
        <v>0.16</v>
      </c>
      <c r="V14" s="7">
        <v>124.46899999999999</v>
      </c>
      <c r="W14" s="7">
        <v>0.56200000000000006</v>
      </c>
      <c r="X14" s="9">
        <f t="shared" si="4"/>
        <v>0.10358351880601518</v>
      </c>
      <c r="Y14" s="4">
        <f t="shared" si="9"/>
        <v>1.2531970604480971E-5</v>
      </c>
      <c r="Z14" s="4">
        <f t="shared" si="10"/>
        <v>3.0868975181015776E-5</v>
      </c>
      <c r="AA14" s="7">
        <v>2</v>
      </c>
      <c r="AB14" s="36">
        <f t="shared" si="11"/>
        <v>1.2531970604480971E-5</v>
      </c>
      <c r="AC14" s="36">
        <f t="shared" si="12"/>
        <v>3.0868975181015776E-5</v>
      </c>
      <c r="AD14" s="36">
        <f t="shared" si="13"/>
        <v>2.4133621173210378E-4</v>
      </c>
      <c r="AE14" s="36">
        <f t="shared" si="14"/>
        <v>8.127170614162187E-4</v>
      </c>
      <c r="AF14" s="36">
        <f t="shared" si="0"/>
        <v>0.10358351880601518</v>
      </c>
      <c r="AG14" s="36">
        <f t="shared" si="1"/>
        <v>0.71815504783287132</v>
      </c>
    </row>
    <row r="15" spans="1:33" ht="15.75" customHeight="1" x14ac:dyDescent="0.15">
      <c r="A15" s="7">
        <v>3539</v>
      </c>
      <c r="B15" s="7">
        <v>1267</v>
      </c>
      <c r="C15" s="7">
        <v>43365</v>
      </c>
      <c r="D15" s="7" t="s">
        <v>70</v>
      </c>
      <c r="E15" s="7">
        <v>0.26238605441414398</v>
      </c>
      <c r="F15">
        <v>2.7178870801843603E-2</v>
      </c>
      <c r="G15" s="7">
        <v>3.2029999999999998</v>
      </c>
      <c r="H15" s="7">
        <v>3.0000000000000001E-3</v>
      </c>
      <c r="I15" s="7">
        <v>249.23400000000001</v>
      </c>
      <c r="J15" s="7">
        <v>4.3999999999999997E-2</v>
      </c>
      <c r="K15" s="7">
        <v>-6.9429999999999996</v>
      </c>
      <c r="L15" s="7">
        <v>0.107</v>
      </c>
      <c r="M15" s="7">
        <v>-31.478999999999999</v>
      </c>
      <c r="N15" s="7">
        <v>0.61899999999999999</v>
      </c>
      <c r="O15" s="7"/>
      <c r="P15" s="7">
        <v>20</v>
      </c>
      <c r="Q15" s="7">
        <v>22</v>
      </c>
      <c r="R15" s="7">
        <v>41.348999999999997</v>
      </c>
      <c r="S15" s="7">
        <v>327.73099999999999</v>
      </c>
      <c r="T15" s="7">
        <v>373.03300000000002</v>
      </c>
      <c r="U15" s="7">
        <v>0.14000000000000001</v>
      </c>
      <c r="V15" s="7">
        <v>708.81100000000004</v>
      </c>
      <c r="W15" s="7">
        <v>1.0509999999999999</v>
      </c>
      <c r="X15" s="9">
        <f t="shared" si="4"/>
        <v>0.10358351880601517</v>
      </c>
      <c r="Y15" s="4">
        <f t="shared" si="9"/>
        <v>1.1830658433976247E-5</v>
      </c>
      <c r="Z15" s="4">
        <f t="shared" si="10"/>
        <v>4.241444509099728E-5</v>
      </c>
      <c r="AA15" s="24">
        <v>2</v>
      </c>
      <c r="AB15" s="36">
        <f t="shared" si="11"/>
        <v>1.1830658433976247E-5</v>
      </c>
      <c r="AC15" s="36">
        <f t="shared" si="12"/>
        <v>4.241444509099728E-5</v>
      </c>
      <c r="AD15" s="36">
        <f t="shared" si="13"/>
        <v>2.1661165817041687E-4</v>
      </c>
      <c r="AE15" s="36">
        <f t="shared" si="14"/>
        <v>8.8825728052965164E-4</v>
      </c>
      <c r="AF15" s="36">
        <f t="shared" si="0"/>
        <v>0.10358351880601517</v>
      </c>
      <c r="AG15" s="36">
        <f t="shared" si="1"/>
        <v>1.3379383696120781</v>
      </c>
    </row>
    <row r="16" spans="1:33" ht="15.75" customHeight="1" x14ac:dyDescent="0.15">
      <c r="A16" s="25">
        <v>3541</v>
      </c>
      <c r="B16" s="25">
        <v>1268</v>
      </c>
      <c r="C16" s="25">
        <v>43366</v>
      </c>
      <c r="D16" s="25" t="s">
        <v>71</v>
      </c>
      <c r="E16" s="25">
        <v>0.3737523855245497</v>
      </c>
      <c r="F16">
        <v>3.8714587254775223E-2</v>
      </c>
      <c r="G16" s="25">
        <v>-10.695</v>
      </c>
      <c r="H16" s="25">
        <v>5.0000000000000001E-3</v>
      </c>
      <c r="I16" s="25">
        <v>96.042000000000002</v>
      </c>
      <c r="J16" s="25">
        <v>2.7E-2</v>
      </c>
      <c r="K16" s="25">
        <v>-5.4729999999999999</v>
      </c>
      <c r="L16" s="25">
        <v>0.13800000000000001</v>
      </c>
      <c r="M16" s="25">
        <v>-30.568000000000001</v>
      </c>
      <c r="N16" s="25">
        <v>0.58199999999999996</v>
      </c>
      <c r="O16" s="25"/>
      <c r="P16" s="25">
        <v>11</v>
      </c>
      <c r="Q16" s="25">
        <v>30</v>
      </c>
      <c r="R16" s="7">
        <v>26.922000000000001</v>
      </c>
      <c r="S16" s="7">
        <v>164.91300000000001</v>
      </c>
      <c r="T16" s="7">
        <v>189.72900000000001</v>
      </c>
      <c r="U16" s="7">
        <v>0.16300000000000001</v>
      </c>
      <c r="V16" s="7">
        <v>316.64699999999999</v>
      </c>
      <c r="W16" s="7">
        <v>0.76300000000000001</v>
      </c>
      <c r="X16" s="9">
        <f t="shared" si="4"/>
        <v>0.10358351880601516</v>
      </c>
      <c r="Y16" s="4">
        <f t="shared" si="9"/>
        <v>1.2512606038600834E-5</v>
      </c>
      <c r="Z16" s="4">
        <f t="shared" si="10"/>
        <v>3.4135959056528208E-5</v>
      </c>
      <c r="AA16" s="28">
        <v>2</v>
      </c>
      <c r="AB16" s="36">
        <f t="shared" si="11"/>
        <v>1.2512606038600834E-5</v>
      </c>
      <c r="AC16" s="36">
        <f t="shared" si="12"/>
        <v>3.4135959056528208E-5</v>
      </c>
      <c r="AD16" s="36">
        <f>SQRT((U16/(T16+1000))^2+($U$2/($T$2+1000))^2)</f>
        <v>2.3514800698882946E-4</v>
      </c>
      <c r="AE16" s="36">
        <f t="shared" si="14"/>
        <v>8.6402573341586746E-4</v>
      </c>
      <c r="AF16" s="36">
        <f t="shared" si="0"/>
        <v>0.10358351880601516</v>
      </c>
      <c r="AG16" s="36">
        <f t="shared" si="1"/>
        <v>0.9841617716232296</v>
      </c>
    </row>
    <row r="17" spans="1:33" ht="15.75" customHeight="1" x14ac:dyDescent="0.2">
      <c r="A17" s="27">
        <v>3329</v>
      </c>
      <c r="B17" s="27">
        <v>1171</v>
      </c>
      <c r="C17" s="31">
        <v>44622</v>
      </c>
      <c r="D17" s="32" t="s">
        <v>38</v>
      </c>
      <c r="E17" s="29">
        <v>0.59275712014339632</v>
      </c>
      <c r="F17">
        <v>1.0863939411395122E-2</v>
      </c>
      <c r="G17" s="35">
        <v>-27.832999999999998</v>
      </c>
      <c r="H17" s="27">
        <v>3.0000000000000001E-3</v>
      </c>
      <c r="I17" s="35">
        <v>-63.89</v>
      </c>
      <c r="J17" s="27">
        <v>1.4999999999999999E-2</v>
      </c>
      <c r="K17" s="35">
        <v>-0.32900000000000001</v>
      </c>
      <c r="L17" s="35">
        <v>0.158</v>
      </c>
      <c r="M17" s="35">
        <v>-8.2889999999999997</v>
      </c>
      <c r="N17" s="35">
        <v>0.44400000000000001</v>
      </c>
      <c r="O17" s="27" t="s">
        <v>39</v>
      </c>
      <c r="P17" s="27">
        <v>10</v>
      </c>
      <c r="Q17" s="27">
        <v>40</v>
      </c>
      <c r="R17" s="18">
        <v>9.1329999999999991</v>
      </c>
      <c r="S17" s="18">
        <v>-5.069</v>
      </c>
      <c r="T17" s="18">
        <v>3.6880000000000002</v>
      </c>
      <c r="U17" s="18">
        <v>0.158</v>
      </c>
      <c r="V17" s="18">
        <v>-17.492000000000001</v>
      </c>
      <c r="W17" s="18">
        <v>0.435</v>
      </c>
      <c r="X17" s="9">
        <f>F17/E17</f>
        <v>1.8327809219342624E-2</v>
      </c>
      <c r="Y17" s="4">
        <f>SQRT((($G$3+1000)/(G17+1000)*1/($G$3+1000)*H17)^2+(($G$3+1000)/(G17+1000)*(G17+1000)/($G$3+1000)^2*$H$3)^2)</f>
        <v>6.9560140250080573E-6</v>
      </c>
      <c r="Z17" s="4">
        <f>SQRT((($I$3+1000)/(I17+1000)*1/($I$3+1000)*J17)^2+(($I$3+1000)/(I17+1000)*(I17+1000)/($I$3+1000)^2*$J$3)^2)</f>
        <v>2.7560450572193193E-5</v>
      </c>
      <c r="AA17" s="27">
        <v>3</v>
      </c>
      <c r="AB17" s="36">
        <f>SQRT((H17/(G17+1000))^2+($H$3/($G$3+1000))^2)</f>
        <v>6.9560140250080582E-6</v>
      </c>
      <c r="AC17" s="36">
        <f>SQRT((J17/(I17+1000))^2+($J$3/($I$3+1000))^2)</f>
        <v>2.7560450572193193E-5</v>
      </c>
      <c r="AD17" s="36">
        <f>SQRT((U17/(T17+1000))^2+($U$3/($T$3+1000))^2)</f>
        <v>2.2181030687688211E-4</v>
      </c>
      <c r="AE17" s="36">
        <f>SQRT((W17/(V17+1000))^2+($W$3/($V$3+1000))^2)</f>
        <v>8.0305741957879134E-4</v>
      </c>
      <c r="AF17" s="36">
        <f t="shared" si="0"/>
        <v>1.8327809219342624E-2</v>
      </c>
      <c r="AG17" s="36">
        <f t="shared" si="1"/>
        <v>0.52297054205748617</v>
      </c>
    </row>
    <row r="18" spans="1:33" ht="15.75" customHeight="1" x14ac:dyDescent="0.15">
      <c r="A18" s="7">
        <v>3358</v>
      </c>
      <c r="B18" s="7">
        <v>1183</v>
      </c>
      <c r="C18" s="19">
        <v>44637</v>
      </c>
      <c r="D18" s="7" t="s">
        <v>42</v>
      </c>
      <c r="E18" s="7">
        <v>0.75051492884114857</v>
      </c>
      <c r="F18">
        <v>1.3755294432069076E-2</v>
      </c>
      <c r="G18" s="15">
        <v>-31.718781469</v>
      </c>
      <c r="H18" s="7">
        <v>8.9999999999999993E-3</v>
      </c>
      <c r="I18" s="15">
        <v>-95.284625243999997</v>
      </c>
      <c r="J18" s="7">
        <v>1.9E-2</v>
      </c>
      <c r="K18" s="15">
        <v>0.52883958050164992</v>
      </c>
      <c r="L18" s="15">
        <v>0.12910516651166656</v>
      </c>
      <c r="M18" s="15">
        <v>-2.1443824161506697</v>
      </c>
      <c r="N18" s="15">
        <v>0.57040272549075266</v>
      </c>
      <c r="O18" s="7"/>
      <c r="P18" s="7">
        <v>11</v>
      </c>
      <c r="Q18" s="7">
        <v>30</v>
      </c>
      <c r="R18" s="7">
        <v>5.0990000000000002</v>
      </c>
      <c r="S18" s="7">
        <v>-38.436</v>
      </c>
      <c r="T18" s="7">
        <v>-33.021000000000001</v>
      </c>
      <c r="U18" s="7">
        <v>0.123</v>
      </c>
      <c r="V18" s="7">
        <v>-76.602000000000004</v>
      </c>
      <c r="W18" s="7">
        <v>0.52500000000000002</v>
      </c>
      <c r="X18" s="9">
        <f t="shared" si="4"/>
        <v>1.8327809219342624E-2</v>
      </c>
      <c r="Y18" s="4">
        <f t="shared" ref="Y18:Y22" si="15">SQRT((($G$3+1000)/(G18+1000)*1/($G$3+1000)*H18)^2+(($G$3+1000)/(G18+1000)*(G18+1000)/($G$3+1000)^2*$H$3)^2)</f>
        <v>1.1191831956443834E-5</v>
      </c>
      <c r="Z18" s="4">
        <f t="shared" ref="Z18:Z22" si="16">SQRT((($I$3+1000)/(I18+1000)*1/($I$3+1000)*J18)^2+(($I$3+1000)/(I18+1000)*(I18+1000)/($I$3+1000)^2*$J$3)^2)</f>
        <v>3.0722353127303327E-5</v>
      </c>
      <c r="AA18" s="7">
        <v>3</v>
      </c>
      <c r="AB18" s="36">
        <f>SQRT((H18/(G18+1000))^2+($H$3/($G$3+1000))^2)</f>
        <v>1.1191831956443834E-5</v>
      </c>
      <c r="AC18" s="36">
        <f t="shared" ref="AC18:AC22" si="17">SQRT((J18/(I18+1000))^2+($J$3/($I$3+1000))^2)</f>
        <v>3.0722353127303327E-5</v>
      </c>
      <c r="AD18" s="36">
        <f t="shared" ref="AD18:AD22" si="18">SQRT((U18/(T18+1000))^2+($U$3/($T$3+1000))^2)</f>
        <v>2.0149154921313375E-4</v>
      </c>
      <c r="AE18" s="36">
        <f t="shared" ref="AE18:AE22" si="19">SQRT((W18/(V18+1000))^2+($W$3/($V$3+1000))^2)</f>
        <v>8.7870938697399829E-4</v>
      </c>
      <c r="AF18" s="36">
        <f t="shared" si="0"/>
        <v>1.8327809219342624E-2</v>
      </c>
      <c r="AG18" s="36">
        <f t="shared" si="1"/>
        <v>0.28699573624616959</v>
      </c>
    </row>
    <row r="19" spans="1:33" ht="15.75" customHeight="1" x14ac:dyDescent="0.15">
      <c r="A19" s="7">
        <v>3362</v>
      </c>
      <c r="B19" s="7">
        <v>1185</v>
      </c>
      <c r="C19" s="14">
        <v>44639</v>
      </c>
      <c r="D19" s="7" t="s">
        <v>43</v>
      </c>
      <c r="E19" s="7">
        <v>0.34613515065861372</v>
      </c>
      <c r="F19">
        <v>6.3438990053794886E-3</v>
      </c>
      <c r="G19" s="15">
        <v>-11.449497709000001</v>
      </c>
      <c r="H19" s="7">
        <v>8.0000000000000002E-3</v>
      </c>
      <c r="I19" s="15">
        <v>82.803070118000008</v>
      </c>
      <c r="J19" s="7">
        <v>2.1999999999999999E-2</v>
      </c>
      <c r="K19" s="15">
        <v>-4.9181218422834627</v>
      </c>
      <c r="L19" s="15">
        <v>0.42896990242153327</v>
      </c>
      <c r="M19" s="15">
        <v>-30.119850584653829</v>
      </c>
      <c r="N19" s="15">
        <v>0.58815631655460032</v>
      </c>
      <c r="O19" s="7"/>
      <c r="P19" s="7">
        <v>10</v>
      </c>
      <c r="Q19" s="7">
        <v>30</v>
      </c>
      <c r="R19" s="7">
        <v>26.138999999999999</v>
      </c>
      <c r="S19" s="7">
        <v>150.84200000000001</v>
      </c>
      <c r="T19" s="7">
        <v>175.11699999999999</v>
      </c>
      <c r="U19" s="7">
        <v>0.50600000000000001</v>
      </c>
      <c r="V19" s="7">
        <v>285.625</v>
      </c>
      <c r="W19" s="7">
        <v>0.754</v>
      </c>
      <c r="X19" s="9">
        <f t="shared" si="4"/>
        <v>1.8327809219342624E-2</v>
      </c>
      <c r="Y19" s="4">
        <f t="shared" si="15"/>
        <v>1.0215405606462581E-5</v>
      </c>
      <c r="Z19" s="4">
        <f t="shared" si="16"/>
        <v>3.0259279609718608E-5</v>
      </c>
      <c r="AA19" s="7">
        <v>3</v>
      </c>
      <c r="AB19" s="36">
        <f t="shared" ref="AB19:AB22" si="20">SQRT((H19/(G19+1000))^2+($H$3/($G$3+1000))^2)</f>
        <v>1.0215405606462579E-5</v>
      </c>
      <c r="AC19" s="36">
        <f t="shared" si="17"/>
        <v>3.0259279609718608E-5</v>
      </c>
      <c r="AD19" s="36">
        <f t="shared" si="18"/>
        <v>4.5807352043675367E-4</v>
      </c>
      <c r="AE19" s="36">
        <f t="shared" si="19"/>
        <v>8.9041754049441464E-4</v>
      </c>
      <c r="AF19" s="36">
        <f t="shared" si="0"/>
        <v>1.8327809219342624E-2</v>
      </c>
      <c r="AG19" s="36">
        <f t="shared" si="1"/>
        <v>1.0609259713522616</v>
      </c>
    </row>
    <row r="20" spans="1:33" ht="15.75" customHeight="1" x14ac:dyDescent="0.15">
      <c r="A20" s="7">
        <v>3370</v>
      </c>
      <c r="B20" s="7">
        <v>1189</v>
      </c>
      <c r="C20" s="14">
        <v>44644</v>
      </c>
      <c r="D20" s="7" t="s">
        <v>44</v>
      </c>
      <c r="E20" s="7">
        <v>0.5289857941950048</v>
      </c>
      <c r="F20">
        <v>9.6951507157484896E-3</v>
      </c>
      <c r="G20" s="15">
        <v>-24.208356745</v>
      </c>
      <c r="H20" s="7">
        <v>5.0000000000000001E-3</v>
      </c>
      <c r="I20" s="15">
        <v>-32.559044951000004</v>
      </c>
      <c r="J20" s="7">
        <v>2.3E-2</v>
      </c>
      <c r="K20" s="15">
        <v>-1.610177779616806</v>
      </c>
      <c r="L20" s="15">
        <v>0.16672385198110851</v>
      </c>
      <c r="M20" s="15">
        <v>-14.776314382750066</v>
      </c>
      <c r="N20" s="15">
        <v>0.63036970137722315</v>
      </c>
      <c r="O20" s="7"/>
      <c r="P20" s="7">
        <v>7</v>
      </c>
      <c r="Q20" s="7">
        <v>30.5</v>
      </c>
      <c r="R20" s="7">
        <v>12.895</v>
      </c>
      <c r="S20" s="7">
        <v>28.231000000000002</v>
      </c>
      <c r="T20" s="7">
        <v>39.814</v>
      </c>
      <c r="U20" s="7">
        <v>0.17199999999999999</v>
      </c>
      <c r="V20" s="7">
        <v>42.512</v>
      </c>
      <c r="W20" s="7">
        <v>0.65500000000000003</v>
      </c>
      <c r="X20" s="9">
        <f t="shared" si="4"/>
        <v>1.8327809219342624E-2</v>
      </c>
      <c r="Y20" s="4">
        <f t="shared" si="15"/>
        <v>8.0696499814306474E-6</v>
      </c>
      <c r="Z20" s="4">
        <f>SQRT((($I$3+1000)/(I20+1000)*1/($I$3+1000)*J20)^2+(($I$3+1000)/(I20+1000)*(I20+1000)/($I$3+1000)^2*$J$3)^2)</f>
        <v>3.268063006550415E-5</v>
      </c>
      <c r="AA20" s="7">
        <v>3</v>
      </c>
      <c r="AB20" s="36">
        <f t="shared" si="20"/>
        <v>8.0696499814306474E-6</v>
      </c>
      <c r="AC20" s="36">
        <f t="shared" si="17"/>
        <v>3.268063006550415E-5</v>
      </c>
      <c r="AD20" s="36">
        <f t="shared" si="18"/>
        <v>2.275539283587777E-4</v>
      </c>
      <c r="AE20" s="36">
        <f t="shared" si="19"/>
        <v>9.1849171265165125E-4</v>
      </c>
      <c r="AF20" s="36">
        <f t="shared" si="0"/>
        <v>1.8327809219342624E-2</v>
      </c>
      <c r="AG20" s="36">
        <f t="shared" si="1"/>
        <v>0.63679370155812964</v>
      </c>
    </row>
    <row r="21" spans="1:33" s="50" customFormat="1" ht="15.75" customHeight="1" x14ac:dyDescent="0.2">
      <c r="A21" s="100">
        <v>3337</v>
      </c>
      <c r="B21" s="100">
        <v>1176</v>
      </c>
      <c r="C21" s="101">
        <v>44626</v>
      </c>
      <c r="D21" s="100" t="s">
        <v>45</v>
      </c>
      <c r="E21" s="102">
        <v>0.33610425870622179</v>
      </c>
      <c r="F21" s="50">
        <v>6.1600547313762103E-3</v>
      </c>
      <c r="G21" s="103">
        <v>-11.938000000000001</v>
      </c>
      <c r="H21" s="100">
        <v>4.0000000000000001E-3</v>
      </c>
      <c r="I21" s="103">
        <v>92.710999999999999</v>
      </c>
      <c r="J21" s="100">
        <v>2.3E-2</v>
      </c>
      <c r="K21" s="103">
        <v>-11.034000000000001</v>
      </c>
      <c r="L21" s="103">
        <v>0.17599999999999999</v>
      </c>
      <c r="M21" s="103">
        <v>-32.081000000000003</v>
      </c>
      <c r="N21" s="103">
        <v>0.496</v>
      </c>
      <c r="O21" s="100" t="s">
        <v>32</v>
      </c>
      <c r="P21" s="100">
        <v>13</v>
      </c>
      <c r="Q21" s="100">
        <v>31</v>
      </c>
      <c r="R21" s="104">
        <v>25.632000000000001</v>
      </c>
      <c r="S21" s="104">
        <v>161.37200000000001</v>
      </c>
      <c r="T21" s="104">
        <v>177.99799999999999</v>
      </c>
      <c r="U21" s="104">
        <v>0.20799999999999999</v>
      </c>
      <c r="V21" s="104">
        <v>306.61200000000002</v>
      </c>
      <c r="W21" s="104">
        <v>0.64600000000000002</v>
      </c>
      <c r="X21" s="105">
        <f t="shared" si="4"/>
        <v>1.8327809219342624E-2</v>
      </c>
      <c r="Y21" s="106">
        <f t="shared" si="15"/>
        <v>7.4331947377327853E-6</v>
      </c>
      <c r="Z21" s="106">
        <f t="shared" si="16"/>
        <v>3.0754833193231867E-5</v>
      </c>
      <c r="AA21" s="100">
        <v>31</v>
      </c>
      <c r="AB21" s="36">
        <f t="shared" si="20"/>
        <v>7.4331947377327853E-6</v>
      </c>
      <c r="AC21" s="36">
        <f t="shared" si="17"/>
        <v>3.0754833193231867E-5</v>
      </c>
      <c r="AD21" s="36">
        <f t="shared" si="18"/>
        <v>2.3578839178557193E-4</v>
      </c>
      <c r="AE21" s="36">
        <f t="shared" si="19"/>
        <v>8.3265733879395057E-4</v>
      </c>
      <c r="AF21" s="36">
        <f t="shared" si="0"/>
        <v>1.8327809219342624E-2</v>
      </c>
      <c r="AG21" s="36">
        <f t="shared" si="1"/>
        <v>1.0903338733815706</v>
      </c>
    </row>
    <row r="22" spans="1:33" ht="15.75" customHeight="1" x14ac:dyDescent="0.15">
      <c r="A22" s="7">
        <v>3543</v>
      </c>
      <c r="B22" s="7">
        <v>1269</v>
      </c>
      <c r="C22" s="7">
        <v>43367</v>
      </c>
      <c r="D22" s="7" t="s">
        <v>72</v>
      </c>
      <c r="E22" s="7">
        <v>0.28963113788375328</v>
      </c>
      <c r="F22">
        <v>5.3083042391145491E-3</v>
      </c>
      <c r="G22" s="7">
        <v>-7.2270000000000003</v>
      </c>
      <c r="H22" s="7">
        <v>4.0000000000000001E-3</v>
      </c>
      <c r="I22" s="7">
        <v>128.196</v>
      </c>
      <c r="J22" s="7">
        <v>3.2000000000000001E-2</v>
      </c>
      <c r="K22" s="7">
        <v>-8.1940000000000008</v>
      </c>
      <c r="L22" s="7">
        <v>0.13200000000000001</v>
      </c>
      <c r="M22" s="7">
        <v>-37.74</v>
      </c>
      <c r="N22" s="7">
        <v>0.58699999999999997</v>
      </c>
      <c r="O22" s="7" t="s">
        <v>73</v>
      </c>
      <c r="P22" s="7">
        <v>13</v>
      </c>
      <c r="Q22" s="7">
        <v>25</v>
      </c>
      <c r="R22" s="7">
        <v>30.521999999999998</v>
      </c>
      <c r="S22" s="7">
        <v>199.08699999999999</v>
      </c>
      <c r="T22" s="7">
        <v>225.56100000000001</v>
      </c>
      <c r="U22" s="7">
        <v>0.16</v>
      </c>
      <c r="V22" s="7">
        <v>384.709</v>
      </c>
      <c r="W22" s="7">
        <v>0.80900000000000005</v>
      </c>
      <c r="X22" s="9">
        <f t="shared" si="4"/>
        <v>1.8327809219342628E-2</v>
      </c>
      <c r="Y22" s="4">
        <f t="shared" si="15"/>
        <v>7.4227496326205276E-6</v>
      </c>
      <c r="Z22" s="4">
        <f t="shared" si="16"/>
        <v>3.6156970350167789E-5</v>
      </c>
      <c r="AA22" s="24">
        <v>3</v>
      </c>
      <c r="AB22" s="36">
        <f t="shared" si="20"/>
        <v>7.4227496326205276E-6</v>
      </c>
      <c r="AC22" s="36">
        <f t="shared" si="17"/>
        <v>3.6156970350167789E-5</v>
      </c>
      <c r="AD22" s="36">
        <f t="shared" si="18"/>
        <v>2.0362435300377098E-4</v>
      </c>
      <c r="AE22" s="36">
        <f t="shared" si="19"/>
        <v>8.8893920085438623E-4</v>
      </c>
      <c r="AF22" s="36">
        <f t="shared" si="0"/>
        <v>1.8327809219342628E-2</v>
      </c>
      <c r="AG22" s="36">
        <f t="shared" si="1"/>
        <v>1.239147103933643</v>
      </c>
    </row>
    <row r="23" spans="1:33" s="88" customFormat="1" ht="15.75" customHeight="1" x14ac:dyDescent="0.15">
      <c r="A23" s="87">
        <v>3505</v>
      </c>
      <c r="B23" s="87">
        <v>1251</v>
      </c>
      <c r="C23" s="92">
        <v>44811</v>
      </c>
      <c r="D23" s="87" t="s">
        <v>47</v>
      </c>
      <c r="E23" s="88">
        <v>0.35863366940002273</v>
      </c>
      <c r="F23" s="88">
        <v>1.5306294911806122E-2</v>
      </c>
      <c r="G23" s="90">
        <v>-18.961849171000001</v>
      </c>
      <c r="H23" s="87">
        <v>8.9999999999999993E-3</v>
      </c>
      <c r="I23" s="90">
        <v>29.727144848999995</v>
      </c>
      <c r="J23" s="87">
        <v>2.9000000000000001E-2</v>
      </c>
      <c r="K23" s="90">
        <v>-2.0089387728211561</v>
      </c>
      <c r="L23" s="90">
        <v>0.20113277405115976</v>
      </c>
      <c r="M23" s="90">
        <v>1.3189683396082064</v>
      </c>
      <c r="N23" s="90">
        <v>0.73398862370128148</v>
      </c>
      <c r="O23" s="87"/>
      <c r="P23" s="87">
        <v>6</v>
      </c>
      <c r="Q23" s="87">
        <v>23</v>
      </c>
      <c r="R23" s="87">
        <v>18.341000000000001</v>
      </c>
      <c r="S23" s="87">
        <v>94.430999999999997</v>
      </c>
      <c r="T23" s="87">
        <v>112.26600000000001</v>
      </c>
      <c r="U23" s="87">
        <v>0.222</v>
      </c>
      <c r="V23" s="87">
        <v>200.36699999999999</v>
      </c>
      <c r="W23" s="87">
        <v>0.878</v>
      </c>
      <c r="X23" s="90">
        <f t="shared" si="4"/>
        <v>4.2679469937702261E-2</v>
      </c>
      <c r="Y23" s="91">
        <f>SQRT((($G$4+1000)/(G23+1000)*1/($G$4+1000)*H23)^2+(($G$4+1000)/(G23+1000)*(G23+1000)/($G$4+1000)^2*$H$4)^2)</f>
        <v>1.1714511762350604E-5</v>
      </c>
      <c r="Z23" s="91">
        <f t="shared" si="3"/>
        <v>3.9973382352001201E-5</v>
      </c>
      <c r="AA23" s="87">
        <v>11</v>
      </c>
      <c r="AB23" s="36">
        <f t="shared" ref="AB23:AB26" si="21">SQRT((H23/(G23+1000))^2+($H$4/($G$4+1000))^2)</f>
        <v>1.1714511762350604E-5</v>
      </c>
      <c r="AC23" s="36">
        <f t="shared" ref="AC23:AC26" si="22">SQRT((J23/(I23+1000))^2+($J$4/($I$4+1000))^2)</f>
        <v>3.9973382352001201E-5</v>
      </c>
      <c r="AD23" s="36">
        <f>SQRT((U23/(T23+1000))^2+($U$4/($T$4+1000))^2)</f>
        <v>2.7873857459251972E-4</v>
      </c>
      <c r="AE23" s="36">
        <f t="shared" ref="AE23:AE26" si="23">SQRT((W23/(V23+1000))^2+($W$4/($V$4+1000))^2)</f>
        <v>1.0161144307102949E-3</v>
      </c>
      <c r="AF23" s="36">
        <f t="shared" si="0"/>
        <v>4.2679469937702261E-2</v>
      </c>
      <c r="AG23" s="36">
        <f t="shared" si="1"/>
        <v>1.0254538309748225</v>
      </c>
    </row>
    <row r="24" spans="1:33" s="68" customFormat="1" ht="15.75" customHeight="1" x14ac:dyDescent="0.15">
      <c r="A24" s="75">
        <v>3509</v>
      </c>
      <c r="B24" s="75">
        <v>1254</v>
      </c>
      <c r="C24" s="82">
        <v>44814</v>
      </c>
      <c r="D24" s="75" t="s">
        <v>52</v>
      </c>
      <c r="E24" s="75">
        <v>0.82126473142425194</v>
      </c>
      <c r="F24" s="68">
        <v>3.5051143415716482E-2</v>
      </c>
      <c r="G24" s="83">
        <v>-37.023091182999998</v>
      </c>
      <c r="H24" s="75">
        <v>8.0000000000000002E-3</v>
      </c>
      <c r="I24" s="83">
        <v>-133.900181162</v>
      </c>
      <c r="J24" s="75">
        <v>2.3E-2</v>
      </c>
      <c r="K24" s="83">
        <v>2.3363800692186576</v>
      </c>
      <c r="L24" s="83">
        <v>0.18338782270229351</v>
      </c>
      <c r="M24" s="83">
        <v>2.8583829115909065</v>
      </c>
      <c r="N24" s="83">
        <v>0.6491704385616951</v>
      </c>
      <c r="O24" s="75"/>
      <c r="P24" s="75">
        <v>10</v>
      </c>
      <c r="Q24" s="75">
        <v>30</v>
      </c>
      <c r="R24" s="75">
        <v>-0.40699999999999997</v>
      </c>
      <c r="S24" s="75">
        <v>-79.477999999999994</v>
      </c>
      <c r="T24" s="75">
        <v>-77.701999999999998</v>
      </c>
      <c r="U24" s="75">
        <v>0.16700000000000001</v>
      </c>
      <c r="V24" s="75">
        <v>-149.50299999999999</v>
      </c>
      <c r="W24" s="75">
        <v>0.55000000000000004</v>
      </c>
      <c r="X24" s="71">
        <f t="shared" si="4"/>
        <v>4.2679469937702261E-2</v>
      </c>
      <c r="Y24" s="72">
        <f t="shared" si="2"/>
        <v>1.1049166716287682E-5</v>
      </c>
      <c r="Z24" s="72">
        <f t="shared" si="3"/>
        <v>3.8857947801025554E-5</v>
      </c>
      <c r="AA24" s="75">
        <v>1</v>
      </c>
      <c r="AB24" s="36">
        <f t="shared" si="21"/>
        <v>1.1049166716287682E-5</v>
      </c>
      <c r="AC24" s="36">
        <f t="shared" si="22"/>
        <v>3.8857947801025554E-5</v>
      </c>
      <c r="AD24" s="36">
        <f t="shared" ref="AD24:AD26" si="24">SQRT((U24/(T24+1000))^2+($U$4/($T$4+1000))^2)</f>
        <v>2.6578968859617108E-4</v>
      </c>
      <c r="AE24" s="36">
        <f t="shared" si="23"/>
        <v>9.5690942997435976E-4</v>
      </c>
      <c r="AF24" s="36">
        <f t="shared" si="0"/>
        <v>4.2679469937702261E-2</v>
      </c>
      <c r="AG24" s="36">
        <f t="shared" si="1"/>
        <v>0.19690977153688904</v>
      </c>
    </row>
    <row r="25" spans="1:33" s="68" customFormat="1" ht="15.75" customHeight="1" x14ac:dyDescent="0.15">
      <c r="A25" s="75">
        <v>3517</v>
      </c>
      <c r="B25" s="75">
        <v>1257</v>
      </c>
      <c r="C25" s="82">
        <v>44817</v>
      </c>
      <c r="D25" s="75" t="s">
        <v>55</v>
      </c>
      <c r="E25" s="75">
        <v>0.70935332051365674</v>
      </c>
      <c r="F25" s="68">
        <v>3.0274823718071886E-2</v>
      </c>
      <c r="G25" s="83">
        <v>-31.781400454</v>
      </c>
      <c r="H25" s="75">
        <v>8.0000000000000002E-3</v>
      </c>
      <c r="I25" s="83">
        <v>-92.041415330999996</v>
      </c>
      <c r="J25" s="75">
        <v>2.4E-2</v>
      </c>
      <c r="K25" s="83">
        <v>0.87666704420108488</v>
      </c>
      <c r="L25" s="83">
        <v>0.16499167648966417</v>
      </c>
      <c r="M25" s="83">
        <v>-2.7336694284627594</v>
      </c>
      <c r="N25" s="83">
        <v>0.63509172307504447</v>
      </c>
      <c r="O25" s="75"/>
      <c r="P25" s="75">
        <v>10</v>
      </c>
      <c r="Q25" s="75">
        <v>30</v>
      </c>
      <c r="R25" s="75">
        <v>5.0339999999999998</v>
      </c>
      <c r="S25" s="75">
        <v>-34.988999999999997</v>
      </c>
      <c r="T25" s="75">
        <v>-29.28</v>
      </c>
      <c r="U25" s="75">
        <v>0.158</v>
      </c>
      <c r="V25" s="75">
        <v>-70.519000000000005</v>
      </c>
      <c r="W25" s="75">
        <v>0.58799999999999997</v>
      </c>
      <c r="X25" s="71">
        <f t="shared" si="4"/>
        <v>4.2679469937702254E-2</v>
      </c>
      <c r="Y25" s="72">
        <f t="shared" si="2"/>
        <v>1.1015391060268574E-5</v>
      </c>
      <c r="Z25" s="72">
        <f t="shared" si="3"/>
        <v>3.8774056128899744E-5</v>
      </c>
      <c r="AA25" s="75">
        <v>1</v>
      </c>
      <c r="AB25" s="36">
        <f t="shared" si="21"/>
        <v>1.1015391060268574E-5</v>
      </c>
      <c r="AC25" s="36">
        <f>SQRT((J25/(I25+1000))^2+($J$4/($I$4+1000))^2)</f>
        <v>3.8774056128899744E-5</v>
      </c>
      <c r="AD25" s="36">
        <f t="shared" si="24"/>
        <v>2.5367441606034228E-4</v>
      </c>
      <c r="AE25" s="36">
        <f t="shared" si="23"/>
        <v>9.4745792997403611E-4</v>
      </c>
      <c r="AF25" s="36">
        <f t="shared" si="0"/>
        <v>4.2679469937702254E-2</v>
      </c>
      <c r="AG25" s="36">
        <f t="shared" si="1"/>
        <v>0.34340154016981822</v>
      </c>
    </row>
    <row r="26" spans="1:33" s="68" customFormat="1" ht="15.75" customHeight="1" x14ac:dyDescent="0.15">
      <c r="A26" s="75">
        <v>3533</v>
      </c>
      <c r="B26" s="75">
        <v>1264</v>
      </c>
      <c r="C26" s="75" t="s">
        <v>60</v>
      </c>
      <c r="D26" s="75" t="s">
        <v>67</v>
      </c>
      <c r="E26" s="75">
        <v>0.28584449747372676</v>
      </c>
      <c r="F26" s="68">
        <v>1.2199691636787531E-2</v>
      </c>
      <c r="G26" s="75">
        <v>-18.376999999999999</v>
      </c>
      <c r="H26" s="75">
        <v>5.0000000000000001E-3</v>
      </c>
      <c r="I26" s="75">
        <v>39.009</v>
      </c>
      <c r="J26" s="75">
        <v>2.9000000000000001E-2</v>
      </c>
      <c r="K26" s="75">
        <v>-0.96399999999999997</v>
      </c>
      <c r="L26" s="75">
        <v>0.161</v>
      </c>
      <c r="M26" s="75">
        <v>12.692</v>
      </c>
      <c r="N26" s="75">
        <v>0.65600000000000003</v>
      </c>
      <c r="O26" s="75"/>
      <c r="P26" s="75">
        <v>10</v>
      </c>
      <c r="Q26" s="75">
        <v>26</v>
      </c>
      <c r="R26" s="75">
        <v>18.948</v>
      </c>
      <c r="S26" s="75">
        <v>104.29600000000001</v>
      </c>
      <c r="T26" s="75">
        <v>124.137</v>
      </c>
      <c r="U26" s="75">
        <v>0.17899999999999999</v>
      </c>
      <c r="V26" s="75">
        <v>235.98500000000001</v>
      </c>
      <c r="W26" s="75">
        <v>0.80700000000000005</v>
      </c>
      <c r="X26" s="71">
        <f>F26/E26</f>
        <v>4.2679469937702261E-2</v>
      </c>
      <c r="Y26" s="72">
        <f t="shared" si="2"/>
        <v>8.8889339303698991E-6</v>
      </c>
      <c r="Z26" s="72">
        <f t="shared" si="3"/>
        <v>3.9796528780378713E-5</v>
      </c>
      <c r="AA26" s="75">
        <v>1</v>
      </c>
      <c r="AB26" s="36">
        <f t="shared" si="21"/>
        <v>8.8889339303698991E-6</v>
      </c>
      <c r="AC26" s="36">
        <f t="shared" si="22"/>
        <v>3.9796528780378719E-5</v>
      </c>
      <c r="AD26" s="36">
        <f t="shared" si="24"/>
        <v>2.5142243507450285E-4</v>
      </c>
      <c r="AE26" s="36">
        <f t="shared" si="23"/>
        <v>9.611373265917501E-4</v>
      </c>
      <c r="AF26" s="36">
        <f t="shared" si="0"/>
        <v>4.2679469937702261E-2</v>
      </c>
      <c r="AG26" s="36">
        <f t="shared" si="1"/>
        <v>1.2523073311557842</v>
      </c>
    </row>
    <row r="27" spans="1:33" ht="15.75" customHeight="1" x14ac:dyDescent="0.15">
      <c r="A27" s="7">
        <v>3507</v>
      </c>
      <c r="B27" s="7">
        <v>1252</v>
      </c>
      <c r="C27" s="14">
        <v>44812</v>
      </c>
      <c r="D27" s="7" t="s">
        <v>48</v>
      </c>
      <c r="E27" s="7">
        <v>0.18580428631003534</v>
      </c>
      <c r="F27">
        <v>8.5012292540000631E-3</v>
      </c>
      <c r="G27" s="15">
        <v>-18.744127776999999</v>
      </c>
      <c r="H27" s="7">
        <v>8.9999999999999993E-3</v>
      </c>
      <c r="I27" s="15">
        <v>190.05480820700001</v>
      </c>
      <c r="J27" s="7">
        <v>5.2999999999999999E-2</v>
      </c>
      <c r="K27" s="15">
        <v>-2.314898079722294</v>
      </c>
      <c r="L27" s="15">
        <v>0.24056715465642259</v>
      </c>
      <c r="M27" s="15">
        <v>6.5496746825095542</v>
      </c>
      <c r="N27" s="15">
        <v>0.8562027121967718</v>
      </c>
      <c r="O27" s="7" t="s">
        <v>49</v>
      </c>
      <c r="P27" s="7">
        <v>6</v>
      </c>
      <c r="Q27" s="7">
        <v>18.5</v>
      </c>
      <c r="R27" s="7">
        <v>18.567</v>
      </c>
      <c r="S27" s="7">
        <v>264.83300000000003</v>
      </c>
      <c r="T27" s="7">
        <v>285.33600000000001</v>
      </c>
      <c r="U27" s="7">
        <v>0.30499999999999999</v>
      </c>
      <c r="V27" s="7">
        <v>611.63400000000001</v>
      </c>
      <c r="W27" s="7">
        <v>1.3720000000000001</v>
      </c>
      <c r="X27" s="9">
        <f t="shared" si="4"/>
        <v>4.5753676746804466E-2</v>
      </c>
      <c r="Y27" s="4">
        <f>SQRT((($G$3+1000)/(G27+1000)*1/($G$3+1000)*H27)^2+(($G$3+1000)/(G27+1000)*(G27+1000)/($G$3+1000)^2*$H$3)^2)</f>
        <v>1.1089974142355718E-5</v>
      </c>
      <c r="Z27" s="4">
        <f>SQRT((($I$3+1000)/(I27+1000)*1/($I$3+1000)*J27)^2+(($I$3+1000)/(I27+1000)*(I27+1000)/($I$3+1000)^2*$J$3)^2)</f>
        <v>4.9862329342343597E-5</v>
      </c>
      <c r="AA27" s="7">
        <v>5</v>
      </c>
      <c r="AB27" s="36">
        <f>SQRT((H27/(G27+1000))^2+($H$4/($G$4+1000))^2)</f>
        <v>1.1712917758980038E-5</v>
      </c>
      <c r="AC27" s="36">
        <f>SQRT((J27/(I27+1000))^2+($J$4/($I$4+1000))^2)</f>
        <v>5.2803051441420306E-5</v>
      </c>
      <c r="AD27" s="36">
        <f>SQRT((U27/(T27+1000))^2+($U$4/($T$4+1000))^2)</f>
        <v>3.0686401096429101E-4</v>
      </c>
      <c r="AE27" s="36">
        <f>SQRT((W27/(V27+1000))^2+($W$4/($V$4+1000))^2)</f>
        <v>1.1055352956426791E-3</v>
      </c>
      <c r="AF27" s="36">
        <f t="shared" si="0"/>
        <v>4.5753676746804466E-2</v>
      </c>
      <c r="AG27" s="36">
        <f t="shared" si="1"/>
        <v>1.6830613833849897</v>
      </c>
    </row>
    <row r="28" spans="1:33" ht="15.75" customHeight="1" x14ac:dyDescent="0.15">
      <c r="A28" s="7">
        <v>3513</v>
      </c>
      <c r="B28" s="7">
        <v>1255</v>
      </c>
      <c r="C28" s="14">
        <v>44815</v>
      </c>
      <c r="D28" s="7" t="s">
        <v>53</v>
      </c>
      <c r="E28" s="7">
        <v>0.57365219317280025</v>
      </c>
      <c r="F28">
        <v>2.6246697011523702E-2</v>
      </c>
      <c r="G28" s="15">
        <v>-28.585905481000001</v>
      </c>
      <c r="H28" s="7">
        <v>7.0000000000000001E-3</v>
      </c>
      <c r="I28" s="15">
        <v>-18.548415762000001</v>
      </c>
      <c r="J28" s="7">
        <v>1.9E-2</v>
      </c>
      <c r="K28" s="15">
        <v>-0.35563415824202416</v>
      </c>
      <c r="L28" s="15">
        <v>0.14110775510645002</v>
      </c>
      <c r="M28" s="15">
        <v>-2.9888946828814378</v>
      </c>
      <c r="N28" s="15">
        <v>0.51012719556716946</v>
      </c>
      <c r="O28" s="7"/>
      <c r="P28" s="7">
        <v>10</v>
      </c>
      <c r="Q28" s="7">
        <v>30</v>
      </c>
      <c r="R28" s="7">
        <v>8.3510000000000009</v>
      </c>
      <c r="S28" s="7">
        <v>43.122</v>
      </c>
      <c r="T28" s="7">
        <v>51.46</v>
      </c>
      <c r="U28" s="7">
        <v>0.14699999999999999</v>
      </c>
      <c r="V28" s="7">
        <v>85.763000000000005</v>
      </c>
      <c r="W28" s="7">
        <v>0.55200000000000005</v>
      </c>
      <c r="X28" s="9">
        <f t="shared" si="4"/>
        <v>4.575367674680441E-2</v>
      </c>
      <c r="Y28" s="4">
        <f t="shared" ref="Y28:Y34" si="25">SQRT((($G$3+1000)/(G28+1000)*1/($G$3+1000)*H28)^2+(($G$3+1000)/(G28+1000)*(G28+1000)/($G$3+1000)^2*$H$3)^2)</f>
        <v>9.5283631789624109E-6</v>
      </c>
      <c r="Z28" s="4">
        <f t="shared" ref="Z28:Z33" si="26">SQRT((($I$3+1000)/(I28+1000)*1/($I$3+1000)*J28)^2+(($I$3+1000)/(I28+1000)*(I28+1000)/($I$3+1000)^2*$J$3)^2)</f>
        <v>2.9624172691497918E-5</v>
      </c>
      <c r="AA28" s="7">
        <v>5</v>
      </c>
      <c r="AB28" s="36">
        <f t="shared" ref="AB28:AB34" si="27">SQRT((H28/(G28+1000))^2+($H$4/($G$4+1000))^2)</f>
        <v>1.0246688285525144E-5</v>
      </c>
      <c r="AC28" s="36">
        <f t="shared" ref="AC28:AC40" si="28">SQRT((J28/(I28+1000))^2+($J$4/($I$4+1000))^2)</f>
        <v>3.4343878082369063E-5</v>
      </c>
      <c r="AD28" s="36">
        <f t="shared" ref="AD28:AD40" si="29">SQRT((U28/(T28+1000))^2+($U$4/($T$4+1000))^2)</f>
        <v>2.3959051807037751E-4</v>
      </c>
      <c r="AE28" s="36">
        <f t="shared" ref="AE28:AE40" si="30">SQRT((W28/(V28+1000))^2+($W$4/($V$4+1000))^2)</f>
        <v>8.6945298570612821E-4</v>
      </c>
      <c r="AF28" s="36">
        <f t="shared" si="0"/>
        <v>4.575367674680441E-2</v>
      </c>
      <c r="AG28" s="36">
        <f t="shared" si="1"/>
        <v>0.55573200155454316</v>
      </c>
    </row>
    <row r="29" spans="1:33" ht="15.75" customHeight="1" x14ac:dyDescent="0.15">
      <c r="A29" s="7">
        <v>3525</v>
      </c>
      <c r="B29" s="7">
        <v>1260</v>
      </c>
      <c r="C29" s="7" t="s">
        <v>60</v>
      </c>
      <c r="D29" s="7" t="s">
        <v>61</v>
      </c>
      <c r="E29" s="20">
        <v>0.41178516525396819</v>
      </c>
      <c r="F29">
        <v>1.8840685340159515E-2</v>
      </c>
      <c r="G29" s="7">
        <v>-25.687999999999999</v>
      </c>
      <c r="H29" s="7">
        <v>6.0000000000000001E-3</v>
      </c>
      <c r="I29" s="7">
        <v>39.622999999999998</v>
      </c>
      <c r="J29" s="7">
        <v>1.7000000000000001E-2</v>
      </c>
      <c r="K29" s="7">
        <v>-6.5000000000000002E-2</v>
      </c>
      <c r="L29" s="7">
        <v>0.157</v>
      </c>
      <c r="M29" s="7">
        <v>0.56699999999999995</v>
      </c>
      <c r="N29" s="7">
        <v>0.441</v>
      </c>
      <c r="O29" s="7"/>
      <c r="P29" s="7">
        <v>9</v>
      </c>
      <c r="Q29" s="7">
        <v>34</v>
      </c>
      <c r="R29" s="7">
        <v>11.359</v>
      </c>
      <c r="S29" s="7">
        <v>104.949</v>
      </c>
      <c r="T29" s="7">
        <v>117.428</v>
      </c>
      <c r="U29" s="7">
        <v>0.17499999999999999</v>
      </c>
      <c r="V29" s="7">
        <v>222.631</v>
      </c>
      <c r="W29" s="7">
        <v>0.53800000000000003</v>
      </c>
      <c r="X29" s="9">
        <f t="shared" si="4"/>
        <v>4.5753676746804459E-2</v>
      </c>
      <c r="Y29" s="4">
        <f t="shared" si="25"/>
        <v>8.7628043925519691E-6</v>
      </c>
      <c r="Z29" s="4">
        <f t="shared" si="26"/>
        <v>2.7752624873298492E-5</v>
      </c>
      <c r="AA29" s="20">
        <v>5</v>
      </c>
      <c r="AB29" s="36">
        <f>SQRT((H29/(G29+1000))^2+($H$4/($G$4+1000))^2)</f>
        <v>9.5389547002090122E-6</v>
      </c>
      <c r="AC29" s="36">
        <f t="shared" si="28"/>
        <v>3.27432213051643E-5</v>
      </c>
      <c r="AD29" s="36">
        <f t="shared" si="29"/>
        <v>2.4976907289977031E-4</v>
      </c>
      <c r="AE29" s="36">
        <f t="shared" si="30"/>
        <v>8.3133038708399802E-4</v>
      </c>
      <c r="AF29" s="36">
        <f t="shared" si="0"/>
        <v>4.5753676746804459E-2</v>
      </c>
      <c r="AG29" s="36">
        <f t="shared" si="1"/>
        <v>0.88725350918991186</v>
      </c>
    </row>
    <row r="30" spans="1:33" ht="15.75" customHeight="1" x14ac:dyDescent="0.15">
      <c r="A30" s="7">
        <v>3533</v>
      </c>
      <c r="B30" s="7">
        <v>1265</v>
      </c>
      <c r="C30" s="7">
        <v>43363</v>
      </c>
      <c r="D30" s="7" t="s">
        <v>68</v>
      </c>
      <c r="E30" s="7">
        <v>0.41638094231439043</v>
      </c>
      <c r="F30">
        <v>1.9050959038182456E-2</v>
      </c>
      <c r="G30" s="7">
        <v>-24.896999999999998</v>
      </c>
      <c r="H30" s="7">
        <v>4.0000000000000001E-3</v>
      </c>
      <c r="I30" s="7">
        <v>46.795000000000002</v>
      </c>
      <c r="J30" s="7">
        <v>2.7E-2</v>
      </c>
      <c r="K30" s="7">
        <v>-1.1850000000000001</v>
      </c>
      <c r="L30" s="7">
        <v>0.152</v>
      </c>
      <c r="M30" s="7">
        <v>0.88300000000000001</v>
      </c>
      <c r="N30" s="7">
        <v>0.58399999999999996</v>
      </c>
      <c r="O30" s="7"/>
      <c r="P30" s="7">
        <v>11.5</v>
      </c>
      <c r="Q30" s="7">
        <v>30</v>
      </c>
      <c r="R30" s="7">
        <v>12.18</v>
      </c>
      <c r="S30" s="7">
        <v>112.571</v>
      </c>
      <c r="T30" s="7">
        <v>124.789</v>
      </c>
      <c r="U30" s="7">
        <v>0.16900000000000001</v>
      </c>
      <c r="V30" s="7">
        <v>239.94900000000001</v>
      </c>
      <c r="W30" s="7">
        <v>0.72099999999999997</v>
      </c>
      <c r="X30" s="9">
        <f t="shared" si="4"/>
        <v>4.5753676746804466E-2</v>
      </c>
      <c r="Y30" s="4">
        <f t="shared" si="25"/>
        <v>7.4626331410216597E-6</v>
      </c>
      <c r="Z30" s="4">
        <f t="shared" si="26"/>
        <v>3.4177438231865775E-5</v>
      </c>
      <c r="AA30" s="24">
        <v>5</v>
      </c>
      <c r="AB30" s="36">
        <f t="shared" si="27"/>
        <v>8.3603713642389305E-6</v>
      </c>
      <c r="AC30" s="36">
        <f t="shared" si="28"/>
        <v>3.8340678634759975E-5</v>
      </c>
      <c r="AD30" s="36">
        <f t="shared" si="29"/>
        <v>2.458316354710522E-4</v>
      </c>
      <c r="AE30" s="36">
        <f t="shared" si="30"/>
        <v>9.1410804199930557E-4</v>
      </c>
      <c r="AF30" s="36">
        <f t="shared" si="0"/>
        <v>4.5753676746804466E-2</v>
      </c>
      <c r="AG30" s="36">
        <f t="shared" si="1"/>
        <v>0.87615471102551257</v>
      </c>
    </row>
    <row r="31" spans="1:33" ht="15.75" customHeight="1" x14ac:dyDescent="0.15">
      <c r="A31" s="7">
        <v>3509</v>
      </c>
      <c r="B31" s="7">
        <v>1253</v>
      </c>
      <c r="C31" s="14">
        <v>44813</v>
      </c>
      <c r="D31" s="7" t="s">
        <v>50</v>
      </c>
      <c r="E31" s="7">
        <v>0.32761885205002556</v>
      </c>
      <c r="F31">
        <v>6.0825909849164988E-3</v>
      </c>
      <c r="G31" s="15">
        <v>-12.783763773999999</v>
      </c>
      <c r="H31" s="7">
        <v>8.0000000000000002E-3</v>
      </c>
      <c r="I31" s="15">
        <v>95.454129152000007</v>
      </c>
      <c r="J31" s="7">
        <v>2.5999999999999999E-2</v>
      </c>
      <c r="K31" s="15">
        <v>-3.439641227870216</v>
      </c>
      <c r="L31" s="15">
        <v>0.15849637711113262</v>
      </c>
      <c r="M31" s="15">
        <v>-8.5963949268429438</v>
      </c>
      <c r="N31" s="15">
        <v>0.53090891117083305</v>
      </c>
      <c r="O31" s="7" t="s">
        <v>51</v>
      </c>
      <c r="P31" s="7">
        <v>10</v>
      </c>
      <c r="Q31" s="7">
        <v>30</v>
      </c>
      <c r="R31" s="7">
        <v>24.754000000000001</v>
      </c>
      <c r="S31" s="7">
        <v>164.28800000000001</v>
      </c>
      <c r="T31" s="7">
        <v>189.006</v>
      </c>
      <c r="U31" s="7">
        <v>0.187</v>
      </c>
      <c r="V31" s="7">
        <v>345.04300000000001</v>
      </c>
      <c r="W31" s="7">
        <v>0.71099999999999997</v>
      </c>
      <c r="X31" s="9">
        <f t="shared" si="4"/>
        <v>1.8566059147254815E-2</v>
      </c>
      <c r="Y31" s="4">
        <f t="shared" si="25"/>
        <v>1.0224072550253109E-5</v>
      </c>
      <c r="Z31" s="4">
        <f t="shared" si="26"/>
        <v>3.2651825081644096E-5</v>
      </c>
      <c r="AA31" s="7">
        <v>6</v>
      </c>
      <c r="AB31" s="36">
        <f t="shared" si="27"/>
        <v>1.0896631381456868E-5</v>
      </c>
      <c r="AC31" s="36">
        <f t="shared" si="28"/>
        <v>3.698718744705012E-5</v>
      </c>
      <c r="AD31" s="36">
        <f t="shared" si="29"/>
        <v>2.5018631485134373E-4</v>
      </c>
      <c r="AE31" s="36">
        <f t="shared" si="30"/>
        <v>8.8142257441736261E-4</v>
      </c>
      <c r="AF31" s="36">
        <f t="shared" si="0"/>
        <v>1.8566059147254815E-2</v>
      </c>
      <c r="AG31" s="36">
        <f t="shared" si="1"/>
        <v>1.1159043827186779</v>
      </c>
    </row>
    <row r="32" spans="1:33" ht="15.75" customHeight="1" x14ac:dyDescent="0.15">
      <c r="A32" s="7">
        <v>3515</v>
      </c>
      <c r="B32" s="7">
        <v>1256</v>
      </c>
      <c r="C32" s="14">
        <v>44816</v>
      </c>
      <c r="D32" s="7" t="s">
        <v>54</v>
      </c>
      <c r="E32" s="7">
        <v>0.74317570363554042</v>
      </c>
      <c r="F32">
        <v>1.3797844070500156E-2</v>
      </c>
      <c r="G32" s="15">
        <v>-29.541567528999998</v>
      </c>
      <c r="H32" s="7">
        <v>8.0000000000000002E-3</v>
      </c>
      <c r="I32" s="15">
        <v>-74.579641969999997</v>
      </c>
      <c r="J32" s="7">
        <v>2.1000000000000001E-2</v>
      </c>
      <c r="K32" s="15">
        <v>5.3499263188871993E-2</v>
      </c>
      <c r="L32" s="15">
        <v>0.14611338265558499</v>
      </c>
      <c r="M32" s="15">
        <v>-5.1940163604077272</v>
      </c>
      <c r="N32" s="15">
        <v>0.5875896262545337</v>
      </c>
      <c r="O32" s="7"/>
      <c r="P32" s="7">
        <v>10</v>
      </c>
      <c r="Q32" s="7">
        <v>30</v>
      </c>
      <c r="R32" s="7">
        <v>7.359</v>
      </c>
      <c r="S32" s="7">
        <v>-16.43</v>
      </c>
      <c r="T32" s="7">
        <v>-9.1379999999999999</v>
      </c>
      <c r="U32" s="7">
        <v>0.14299999999999999</v>
      </c>
      <c r="V32" s="7">
        <v>-36.805999999999997</v>
      </c>
      <c r="W32" s="7">
        <v>0.56399999999999995</v>
      </c>
      <c r="X32" s="9">
        <f t="shared" si="4"/>
        <v>1.8566059147254812E-2</v>
      </c>
      <c r="Y32" s="4">
        <f>SQRT((($G$3+1000)/(G32+1000)*1/($G$3+1000)*H32)^2+(($G$3+1000)/(G32+1000)*(G32+1000)/($G$3+1000)^2*$H$3)^2)</f>
        <v>1.0335334981444342E-5</v>
      </c>
      <c r="Z32" s="4">
        <f t="shared" si="26"/>
        <v>3.1902385466555899E-5</v>
      </c>
      <c r="AA32" s="7">
        <v>6</v>
      </c>
      <c r="AB32" s="36">
        <f>SQRT((H32/(G32+1000))^2+($H$4/($G$4+1000))^2)</f>
        <v>1.1001093815124867E-5</v>
      </c>
      <c r="AC32" s="36">
        <f t="shared" si="28"/>
        <v>3.6327297622279265E-5</v>
      </c>
      <c r="AD32" s="36">
        <f t="shared" si="29"/>
        <v>2.4225177246316469E-4</v>
      </c>
      <c r="AE32" s="36">
        <f t="shared" si="30"/>
        <v>9.1670641785698999E-4</v>
      </c>
      <c r="AF32" s="36">
        <f t="shared" si="0"/>
        <v>1.8566059147254812E-2</v>
      </c>
      <c r="AG32" s="36">
        <f t="shared" si="1"/>
        <v>0.29682278357294317</v>
      </c>
    </row>
    <row r="33" spans="1:33" ht="15.75" customHeight="1" x14ac:dyDescent="0.15">
      <c r="A33" s="7">
        <v>3519</v>
      </c>
      <c r="B33" s="7">
        <v>1258</v>
      </c>
      <c r="C33" s="14">
        <v>44818</v>
      </c>
      <c r="D33" s="7" t="s">
        <v>56</v>
      </c>
      <c r="E33" s="7">
        <v>0.84037922878762494</v>
      </c>
      <c r="F33">
        <v>1.5602530467795427E-2</v>
      </c>
      <c r="G33" s="15">
        <v>-33.746673213999998</v>
      </c>
      <c r="H33" s="7">
        <v>7.0000000000000001E-3</v>
      </c>
      <c r="I33" s="15">
        <v>-110.412077806</v>
      </c>
      <c r="J33" s="7">
        <v>2.5999999999999999E-2</v>
      </c>
      <c r="K33" s="15">
        <v>1.3944196155568633</v>
      </c>
      <c r="L33" s="15">
        <v>0.14413068173549481</v>
      </c>
      <c r="M33" s="15">
        <v>-0.90539844960824123</v>
      </c>
      <c r="N33" s="15">
        <v>0.65395929655461049</v>
      </c>
      <c r="O33" s="7" t="s">
        <v>57</v>
      </c>
      <c r="P33" s="7">
        <v>10</v>
      </c>
      <c r="Q33" s="7">
        <v>30</v>
      </c>
      <c r="R33" s="7">
        <v>2.9940000000000002</v>
      </c>
      <c r="S33" s="7">
        <v>-54.514000000000003</v>
      </c>
      <c r="T33" s="7">
        <v>-50.36</v>
      </c>
      <c r="U33" s="7">
        <v>0.13400000000000001</v>
      </c>
      <c r="V33" s="7">
        <v>-106.11499999999999</v>
      </c>
      <c r="W33" s="7">
        <v>0.58199999999999996</v>
      </c>
      <c r="X33" s="9">
        <f t="shared" si="4"/>
        <v>1.8566059147254812E-2</v>
      </c>
      <c r="Y33" s="4">
        <f t="shared" si="25"/>
        <v>9.5575030047514765E-6</v>
      </c>
      <c r="Z33" s="4">
        <f t="shared" si="26"/>
        <v>3.6837970281041405E-5</v>
      </c>
      <c r="AA33" s="7">
        <v>6</v>
      </c>
      <c r="AB33" s="36">
        <f t="shared" si="27"/>
        <v>1.0273790908732034E-5</v>
      </c>
      <c r="AC33" s="36">
        <f t="shared" si="28"/>
        <v>4.0730165829613677E-5</v>
      </c>
      <c r="AD33" s="36">
        <f t="shared" si="29"/>
        <v>2.4035170469118727E-4</v>
      </c>
      <c r="AE33" s="36">
        <f t="shared" si="30"/>
        <v>9.5989505439574485E-4</v>
      </c>
      <c r="AF33" s="36">
        <f t="shared" si="0"/>
        <v>1.8566059147254812E-2</v>
      </c>
      <c r="AG33" s="36">
        <f t="shared" si="1"/>
        <v>0.17390202618105433</v>
      </c>
    </row>
    <row r="34" spans="1:33" ht="15.75" customHeight="1" x14ac:dyDescent="0.15">
      <c r="A34" s="7">
        <v>3537</v>
      </c>
      <c r="B34" s="7">
        <v>1266</v>
      </c>
      <c r="C34" s="7">
        <v>43364</v>
      </c>
      <c r="D34" s="7" t="s">
        <v>69</v>
      </c>
      <c r="E34" s="7">
        <v>0.25585553039271025</v>
      </c>
      <c r="F34">
        <v>4.7502289104233092E-3</v>
      </c>
      <c r="G34" s="7">
        <v>-8.5960000000000001</v>
      </c>
      <c r="H34" s="7">
        <v>5.0000000000000001E-3</v>
      </c>
      <c r="I34" s="7">
        <v>130.494</v>
      </c>
      <c r="J34" s="7">
        <v>2.8000000000000001E-2</v>
      </c>
      <c r="K34" s="7">
        <v>-0.28100000000000003</v>
      </c>
      <c r="L34" s="7">
        <v>0.14899999999999999</v>
      </c>
      <c r="M34" s="7">
        <v>1.413</v>
      </c>
      <c r="N34" s="7">
        <v>0.52400000000000002</v>
      </c>
      <c r="O34" s="7"/>
      <c r="P34" s="7">
        <v>10</v>
      </c>
      <c r="Q34" s="7">
        <v>33</v>
      </c>
      <c r="R34" s="7">
        <v>29.100999999999999</v>
      </c>
      <c r="S34" s="7">
        <v>201.53</v>
      </c>
      <c r="T34" s="7">
        <v>236.15</v>
      </c>
      <c r="U34" s="7">
        <v>0.182</v>
      </c>
      <c r="V34" s="7">
        <v>446.92899999999997</v>
      </c>
      <c r="W34" s="7">
        <v>0.754</v>
      </c>
      <c r="X34" s="9">
        <f t="shared" si="4"/>
        <v>1.8566059147254808E-2</v>
      </c>
      <c r="Y34" s="4">
        <f t="shared" si="25"/>
        <v>8.0186546727679674E-6</v>
      </c>
      <c r="Z34" s="4">
        <f>SQRT((($I$3+1000)/(I34+1000)*1/($I$3+1000)*J34)^2+(($I$3+1000)/(I34+1000)*(I34+1000)/($I$3+1000)^2*$J$3)^2)</f>
        <v>3.3410599205152334E-5</v>
      </c>
      <c r="AA34" s="24">
        <v>6</v>
      </c>
      <c r="AB34" s="36">
        <f t="shared" si="27"/>
        <v>8.8602335585251404E-6</v>
      </c>
      <c r="AC34" s="36">
        <f t="shared" si="28"/>
        <v>3.7658710723128392E-5</v>
      </c>
      <c r="AD34" s="36">
        <f t="shared" si="29"/>
        <v>2.4399809841639983E-4</v>
      </c>
      <c r="AE34" s="36">
        <f t="shared" si="30"/>
        <v>8.7694284217205423E-4</v>
      </c>
      <c r="AF34" s="36">
        <f t="shared" si="0"/>
        <v>1.8566059147254808E-2</v>
      </c>
      <c r="AG34" s="36">
        <f t="shared" si="1"/>
        <v>1.3631423282026436</v>
      </c>
    </row>
    <row r="35" spans="1:33" s="121" customFormat="1" ht="15.75" customHeight="1" x14ac:dyDescent="0.2">
      <c r="A35" s="118">
        <v>3321</v>
      </c>
      <c r="B35" s="118">
        <v>1168</v>
      </c>
      <c r="C35" s="119">
        <v>44619</v>
      </c>
      <c r="D35" s="118" t="s">
        <v>23</v>
      </c>
      <c r="E35" s="120">
        <v>1</v>
      </c>
      <c r="F35" s="121">
        <v>0</v>
      </c>
      <c r="G35" s="122">
        <v>-39.027999999999999</v>
      </c>
      <c r="H35" s="118">
        <v>4.0000000000000001E-3</v>
      </c>
      <c r="I35" s="122">
        <v>-154.012</v>
      </c>
      <c r="J35" s="118">
        <v>2.1999999999999999E-2</v>
      </c>
      <c r="K35" s="122">
        <v>3.2919999999999998</v>
      </c>
      <c r="L35" s="122">
        <v>0.17699999999999999</v>
      </c>
      <c r="M35" s="122">
        <v>6.9089999999999998</v>
      </c>
      <c r="N35" s="122">
        <v>0.626</v>
      </c>
      <c r="O35" s="118" t="s">
        <v>24</v>
      </c>
      <c r="P35" s="118">
        <v>9</v>
      </c>
      <c r="Q35" s="118">
        <v>30</v>
      </c>
      <c r="R35" s="120">
        <v>-2.488</v>
      </c>
      <c r="S35" s="120">
        <v>-100.854</v>
      </c>
      <c r="T35" s="120">
        <v>-100.13800000000001</v>
      </c>
      <c r="U35" s="120">
        <v>0.157</v>
      </c>
      <c r="V35" s="123">
        <v>-185.267</v>
      </c>
      <c r="W35" s="123">
        <v>0.50800000000000001</v>
      </c>
      <c r="X35" s="124">
        <v>0</v>
      </c>
      <c r="Y35" s="125">
        <f t="shared" si="2"/>
        <v>8.3901335416428937E-6</v>
      </c>
      <c r="Z35" s="125">
        <f t="shared" si="3"/>
        <v>3.8483672418045212E-5</v>
      </c>
      <c r="AA35" s="120">
        <v>11</v>
      </c>
      <c r="AB35" s="126">
        <f>SQRT((H35/(G35+1000))^2+($H$35/($G$35+1000))^2)</f>
        <v>5.8865963311026545E-6</v>
      </c>
      <c r="AC35" s="126"/>
      <c r="AD35" s="126"/>
      <c r="AE35" s="126"/>
      <c r="AF35" s="126">
        <f t="shared" si="0"/>
        <v>0</v>
      </c>
      <c r="AG35" s="126">
        <f t="shared" si="1"/>
        <v>0</v>
      </c>
    </row>
    <row r="36" spans="1:33" s="121" customFormat="1" ht="15.75" customHeight="1" x14ac:dyDescent="0.2">
      <c r="A36" s="118">
        <v>3323</v>
      </c>
      <c r="B36" s="118">
        <v>1168</v>
      </c>
      <c r="C36" s="119">
        <v>44620</v>
      </c>
      <c r="D36" s="118" t="s">
        <v>23</v>
      </c>
      <c r="E36" s="120">
        <v>1</v>
      </c>
      <c r="F36" s="121">
        <v>0</v>
      </c>
      <c r="G36" s="122">
        <v>-39.027999999999999</v>
      </c>
      <c r="H36" s="118">
        <v>4.0000000000000001E-3</v>
      </c>
      <c r="I36" s="122">
        <v>-153.91900000000001</v>
      </c>
      <c r="J36" s="118">
        <v>2.8000000000000001E-2</v>
      </c>
      <c r="K36" s="122">
        <v>3.181</v>
      </c>
      <c r="L36" s="122">
        <v>0.17799999999999999</v>
      </c>
      <c r="M36" s="122">
        <v>6.1109999999999998</v>
      </c>
      <c r="N36" s="122">
        <v>0.78900000000000003</v>
      </c>
      <c r="O36" s="118" t="s">
        <v>25</v>
      </c>
      <c r="P36" s="118">
        <v>9</v>
      </c>
      <c r="Q36" s="118">
        <v>21</v>
      </c>
      <c r="R36" s="120">
        <v>-2.488</v>
      </c>
      <c r="S36" s="120">
        <v>-100.755</v>
      </c>
      <c r="T36" s="120">
        <v>-100.13800000000001</v>
      </c>
      <c r="U36" s="120">
        <v>0.157</v>
      </c>
      <c r="V36" s="123">
        <v>-185.733</v>
      </c>
      <c r="W36" s="123">
        <v>0.64</v>
      </c>
      <c r="X36" s="124">
        <v>0</v>
      </c>
      <c r="Y36" s="125">
        <f>SQRT((($G$4+1000)/(G36+1000)*1/($G$4+1000)*H36)^2+(($G$4+1000)/(G36+1000)*(G36+1000)/($G$4+1000)^2*$H$4)^2)</f>
        <v>8.3901335416428937E-6</v>
      </c>
      <c r="Z36" s="125">
        <f>SQRT((($I$4+1000)/(I36+1000)*1/($I$4+1000)*J36)^2+(($I$4+1000)/(I36+1000)*(I36+1000)/($I$4+1000)^2*$J$4)^2)</f>
        <v>4.3588126848699767E-5</v>
      </c>
      <c r="AA36" s="120">
        <v>11</v>
      </c>
      <c r="AB36" s="126">
        <f>SQRT((H36/(G36+1000))^2+($H$36/($G$36+1000))^2)</f>
        <v>5.8865963311026545E-6</v>
      </c>
      <c r="AC36" s="126"/>
      <c r="AD36" s="126"/>
      <c r="AE36" s="126"/>
      <c r="AF36" s="126">
        <f t="shared" si="0"/>
        <v>0</v>
      </c>
      <c r="AG36" s="126">
        <f t="shared" si="1"/>
        <v>0</v>
      </c>
    </row>
    <row r="37" spans="1:33" ht="15.75" customHeight="1" x14ac:dyDescent="0.15">
      <c r="A37" s="114">
        <v>3726</v>
      </c>
      <c r="B37" s="114">
        <v>1347</v>
      </c>
      <c r="C37" s="115">
        <v>45063</v>
      </c>
      <c r="D37" s="114" t="s">
        <v>122</v>
      </c>
      <c r="E37">
        <v>0.7262941488908099</v>
      </c>
      <c r="F37">
        <v>3.0013909290500185E-2</v>
      </c>
      <c r="G37" s="116">
        <v>-31.253474241999999</v>
      </c>
      <c r="H37" s="116">
        <v>5.1999999999999998E-2</v>
      </c>
      <c r="I37" s="114">
        <v>-74.02828687600001</v>
      </c>
      <c r="J37" s="114">
        <v>1.9E-2</v>
      </c>
      <c r="K37" s="114">
        <v>-1.1483433850868474</v>
      </c>
      <c r="L37" s="114">
        <v>0.36092752817039303</v>
      </c>
      <c r="M37" s="114">
        <v>-2.4191025509545661</v>
      </c>
      <c r="N37" s="114">
        <v>0.65317123091296614</v>
      </c>
      <c r="O37" s="114" t="s">
        <v>123</v>
      </c>
      <c r="P37" s="114">
        <v>15</v>
      </c>
      <c r="Q37" s="7">
        <v>35</v>
      </c>
      <c r="R37" s="7">
        <v>5.5819999999999999</v>
      </c>
      <c r="S37" s="7">
        <v>-15.843999999999999</v>
      </c>
      <c r="T37" s="7">
        <v>-11.486000000000001</v>
      </c>
      <c r="U37" s="116">
        <v>0.35299999999999998</v>
      </c>
      <c r="V37" s="7">
        <v>-32.968000000000004</v>
      </c>
      <c r="W37" s="7">
        <v>0.63</v>
      </c>
      <c r="X37" s="9">
        <f>F37/E37</f>
        <v>4.1324729569055689E-2</v>
      </c>
      <c r="Y37" s="4">
        <f t="shared" ref="Y37:Y40" si="31">SQRT((($G$4+1000)/(G37+1000)*1/($G$4+1000)*H37)^2+(($G$4+1000)/(G37+1000)*(G37+1000)/($G$4+1000)^2*$H$4)^2)</f>
        <v>5.4169681073610604E-5</v>
      </c>
      <c r="Z37" s="4">
        <f t="shared" ref="Z37:Z40" si="32">SQRT((($I$4+1000)/(I37+1000)*1/($I$4+1000)*J37)^2+(($I$4+1000)/(I37+1000)*(I37+1000)/($I$4+1000)^2*$J$4)^2)</f>
        <v>3.5010808787160683E-5</v>
      </c>
      <c r="AA37" s="7" t="s">
        <v>124</v>
      </c>
      <c r="AB37" s="36">
        <f>SQRT((H37/(G37+1000))^2+($H$4/($G$4+1000))^2)</f>
        <v>5.4169681073610604E-5</v>
      </c>
      <c r="AC37" s="36">
        <f t="shared" si="28"/>
        <v>3.5010808787160676E-5</v>
      </c>
      <c r="AD37" s="36">
        <f t="shared" si="29"/>
        <v>4.0666892197459276E-4</v>
      </c>
      <c r="AE37" s="36">
        <f>SQRT((W37/(V37+1000))^2+($W$4/($V$4+1000))^2)</f>
        <v>9.6015790785304752E-4</v>
      </c>
      <c r="AF37" s="36">
        <f t="shared" si="0"/>
        <v>4.1324729569055689E-2</v>
      </c>
      <c r="AG37" s="36">
        <f t="shared" si="1"/>
        <v>0.31980018245256808</v>
      </c>
    </row>
    <row r="38" spans="1:33" ht="15.75" customHeight="1" x14ac:dyDescent="0.15">
      <c r="A38" s="114">
        <v>3726</v>
      </c>
      <c r="B38" s="114">
        <v>1347</v>
      </c>
      <c r="C38" s="115">
        <v>45063</v>
      </c>
      <c r="D38" s="114" t="s">
        <v>121</v>
      </c>
      <c r="E38">
        <v>0.27266334059980896</v>
      </c>
      <c r="F38">
        <v>1.1267738813682425E-2</v>
      </c>
      <c r="G38" s="116">
        <v>-19.096720830999999</v>
      </c>
      <c r="H38" s="116">
        <v>4.2000000000000003E-2</v>
      </c>
      <c r="I38" s="114">
        <v>31.170453235</v>
      </c>
      <c r="J38" s="114">
        <v>3.1E-2</v>
      </c>
      <c r="K38" s="114">
        <v>-0.61624258428571999</v>
      </c>
      <c r="L38" s="114">
        <v>0.38323145568891881</v>
      </c>
      <c r="M38" s="114">
        <v>16.983147548943258</v>
      </c>
      <c r="N38" s="114">
        <v>0.64521131805518772</v>
      </c>
      <c r="O38" s="114"/>
      <c r="P38" s="114">
        <v>3</v>
      </c>
      <c r="Q38" s="116">
        <v>34</v>
      </c>
      <c r="R38" s="116">
        <v>18.201000000000001</v>
      </c>
      <c r="S38" s="116">
        <v>95.965000000000003</v>
      </c>
      <c r="T38" s="116">
        <v>115.226</v>
      </c>
      <c r="U38" s="7">
        <v>0.42399999999999999</v>
      </c>
      <c r="V38" s="7">
        <v>222.565</v>
      </c>
      <c r="W38" s="7">
        <v>0.78500000000000003</v>
      </c>
      <c r="X38" s="9">
        <f>F38/E38</f>
        <v>4.1324729569055675E-2</v>
      </c>
      <c r="Y38" s="4">
        <f>SQRT((($G$4+1000)/(G38+1000)*1/($G$4+1000)*H38)^2+(($G$4+1000)/(G38+1000)*(G38+1000)/($G$4+1000)^2*$H$4)^2)</f>
        <v>4.343295771556776E-5</v>
      </c>
      <c r="Z38" s="4">
        <f t="shared" si="32"/>
        <v>4.1334095279008459E-5</v>
      </c>
      <c r="AA38" s="7" t="s">
        <v>124</v>
      </c>
      <c r="AB38" s="36">
        <f t="shared" ref="AB38:AB40" si="33">SQRT((H38/(G38+1000))^2+($H$4/($G$4+1000))^2)</f>
        <v>4.343295771556776E-5</v>
      </c>
      <c r="AC38" s="36">
        <f t="shared" si="28"/>
        <v>4.1334095279008459E-5</v>
      </c>
      <c r="AD38" s="36">
        <f t="shared" si="29"/>
        <v>4.2708777094671439E-4</v>
      </c>
      <c r="AE38" s="36">
        <f t="shared" si="30"/>
        <v>9.5381481053199134E-4</v>
      </c>
      <c r="AF38" s="36">
        <f t="shared" si="0"/>
        <v>4.1324729569055675E-2</v>
      </c>
      <c r="AG38" s="36">
        <f t="shared" si="1"/>
        <v>1.2995174294111087</v>
      </c>
    </row>
    <row r="39" spans="1:33" ht="15.75" customHeight="1" x14ac:dyDescent="0.2">
      <c r="A39" s="114">
        <v>3752</v>
      </c>
      <c r="B39" s="114">
        <v>1355</v>
      </c>
      <c r="C39" s="115">
        <v>45074</v>
      </c>
      <c r="D39" s="114" t="s">
        <v>126</v>
      </c>
      <c r="E39">
        <v>0.69736127281110161</v>
      </c>
      <c r="F39">
        <v>2.8818266010851239E-2</v>
      </c>
      <c r="G39" s="116">
        <v>-26.547416677000001</v>
      </c>
      <c r="H39" s="116">
        <v>0.28299999999999997</v>
      </c>
      <c r="I39" s="114">
        <v>-63.940182237999998</v>
      </c>
      <c r="J39" s="114">
        <v>0.03</v>
      </c>
      <c r="K39" s="114">
        <v>1.1267349654653369</v>
      </c>
      <c r="L39" s="114">
        <v>0.74020261549228228</v>
      </c>
      <c r="M39" s="114">
        <v>-5.8873158124357339</v>
      </c>
      <c r="N39" s="114">
        <v>0.83655044528725242</v>
      </c>
      <c r="O39" s="114"/>
      <c r="P39" s="114">
        <v>13</v>
      </c>
      <c r="Q39" s="7">
        <v>24</v>
      </c>
      <c r="R39" s="116">
        <v>10.467000000000001</v>
      </c>
      <c r="S39" s="116">
        <v>-5.1219999999999999</v>
      </c>
      <c r="T39" s="116">
        <v>6.4249999999999998</v>
      </c>
      <c r="U39" s="117">
        <v>0.68799999999999994</v>
      </c>
      <c r="V39" s="116">
        <v>-15.218</v>
      </c>
      <c r="W39" s="117">
        <v>0.82099999999999995</v>
      </c>
      <c r="X39" s="9">
        <f t="shared" ref="X39:X40" si="34">F39/E39</f>
        <v>4.1324729569055682E-2</v>
      </c>
      <c r="Y39" s="4">
        <f t="shared" si="31"/>
        <v>2.9080906363956481E-4</v>
      </c>
      <c r="Z39" s="4">
        <f t="shared" si="32"/>
        <v>4.280048321486444E-5</v>
      </c>
      <c r="AA39" s="7" t="s">
        <v>125</v>
      </c>
      <c r="AB39" s="36">
        <f t="shared" si="33"/>
        <v>2.9080906363956481E-4</v>
      </c>
      <c r="AC39" s="36">
        <f t="shared" si="28"/>
        <v>4.2800483214864433E-5</v>
      </c>
      <c r="AD39" s="36">
        <f t="shared" si="29"/>
        <v>7.1075851087083666E-4</v>
      </c>
      <c r="AE39" s="36">
        <f t="shared" si="30"/>
        <v>1.0920228105780147E-3</v>
      </c>
      <c r="AF39" s="36">
        <f t="shared" si="0"/>
        <v>4.1324729569055682E-2</v>
      </c>
      <c r="AG39" s="36">
        <f t="shared" si="1"/>
        <v>0.36045167709535303</v>
      </c>
    </row>
    <row r="40" spans="1:33" ht="15.75" customHeight="1" x14ac:dyDescent="0.15">
      <c r="A40" s="114">
        <v>3726</v>
      </c>
      <c r="B40" s="114">
        <v>1346</v>
      </c>
      <c r="C40" s="115">
        <v>45063</v>
      </c>
      <c r="D40" s="114" t="s">
        <v>120</v>
      </c>
      <c r="E40">
        <v>0.17593064482683932</v>
      </c>
      <c r="F40">
        <v>7.27028632037872E-3</v>
      </c>
      <c r="G40" s="116">
        <v>-15.083325577</v>
      </c>
      <c r="H40" s="116">
        <v>1.7000000000000001E-2</v>
      </c>
      <c r="I40" s="114">
        <v>74.13663364899999</v>
      </c>
      <c r="J40" s="114">
        <v>2.5999999999999999E-2</v>
      </c>
      <c r="K40" s="114">
        <v>-0.95952148346467592</v>
      </c>
      <c r="L40" s="114">
        <v>0.27305498060211114</v>
      </c>
      <c r="M40" s="114">
        <v>20.223856551453643</v>
      </c>
      <c r="N40" s="114">
        <v>0.7520044135246462</v>
      </c>
      <c r="O40" s="114"/>
      <c r="P40" s="114">
        <v>16</v>
      </c>
      <c r="Q40" s="7">
        <v>25</v>
      </c>
      <c r="R40" s="116">
        <v>22.367000000000001</v>
      </c>
      <c r="S40" s="116">
        <v>141.631</v>
      </c>
      <c r="T40" s="116">
        <v>166.047</v>
      </c>
      <c r="U40" s="116">
        <v>0.317</v>
      </c>
      <c r="V40" s="116">
        <v>330.79700000000003</v>
      </c>
      <c r="W40" s="7">
        <v>0.998</v>
      </c>
      <c r="X40" s="9">
        <f t="shared" si="34"/>
        <v>4.1324729569055682E-2</v>
      </c>
      <c r="Y40" s="4">
        <f t="shared" si="31"/>
        <v>1.8734668030588963E-5</v>
      </c>
      <c r="Z40" s="4">
        <f t="shared" si="32"/>
        <v>3.7291199487888284E-5</v>
      </c>
      <c r="AA40" s="7" t="s">
        <v>125</v>
      </c>
      <c r="AB40" s="36">
        <f t="shared" si="33"/>
        <v>1.8734668030588966E-5</v>
      </c>
      <c r="AC40" s="36">
        <f t="shared" si="28"/>
        <v>3.7291199487888284E-5</v>
      </c>
      <c r="AD40" s="36">
        <f t="shared" si="29"/>
        <v>3.3431295555801381E-4</v>
      </c>
      <c r="AE40" s="36">
        <f t="shared" si="30"/>
        <v>1.0294996597107341E-3</v>
      </c>
      <c r="AF40" s="36">
        <f t="shared" si="0"/>
        <v>4.1324729569055682E-2</v>
      </c>
      <c r="AG40" s="36">
        <f t="shared" si="1"/>
        <v>1.7376654250912711</v>
      </c>
    </row>
    <row r="41" spans="1:33" ht="15.75" customHeight="1" x14ac:dyDescent="0.15">
      <c r="A41" s="114"/>
      <c r="B41" s="114"/>
      <c r="C41" s="115"/>
      <c r="D41" s="114"/>
      <c r="E41" s="116"/>
      <c r="F41" s="116"/>
      <c r="G41" s="114"/>
      <c r="H41" s="114"/>
      <c r="I41" s="114"/>
      <c r="J41" s="114"/>
      <c r="K41" s="114"/>
      <c r="L41" s="114"/>
      <c r="M41" s="114"/>
      <c r="N41" s="114"/>
      <c r="O41" s="1"/>
      <c r="P41" s="1"/>
      <c r="Q41" s="1"/>
      <c r="S41" s="1"/>
      <c r="V41" s="1"/>
      <c r="W41" s="1"/>
      <c r="X41" s="1"/>
      <c r="Y41" s="1"/>
      <c r="Z41" s="1"/>
      <c r="AA41" s="1"/>
      <c r="AB41" s="1"/>
      <c r="AC41" s="1"/>
      <c r="AD41" s="37"/>
      <c r="AE41" s="1"/>
      <c r="AF41" s="1"/>
      <c r="AG41" s="1"/>
    </row>
    <row r="42" spans="1:33" ht="15.75" customHeight="1" x14ac:dyDescent="0.15">
      <c r="A42" s="114"/>
      <c r="B42" s="114"/>
      <c r="C42" s="115"/>
      <c r="D42" s="114"/>
      <c r="E42" s="116"/>
      <c r="F42" s="116"/>
      <c r="G42" s="114"/>
      <c r="H42" s="114"/>
      <c r="I42" s="114"/>
      <c r="J42" s="114"/>
      <c r="K42" s="114"/>
      <c r="L42" s="114"/>
      <c r="M42" s="114"/>
      <c r="N42" s="114"/>
      <c r="O42" s="1"/>
      <c r="P42" s="1"/>
      <c r="Q42" s="1"/>
      <c r="R42" s="1"/>
      <c r="S42" s="1"/>
      <c r="T42" s="1"/>
      <c r="U42" s="1"/>
      <c r="V42" s="1"/>
      <c r="W42" s="1"/>
      <c r="X42" s="1"/>
      <c r="Y42" s="1"/>
      <c r="Z42" s="1"/>
      <c r="AA42" s="1"/>
      <c r="AB42" s="1"/>
      <c r="AC42" s="1"/>
      <c r="AD42" s="37"/>
      <c r="AE42" s="1"/>
      <c r="AF42" s="1"/>
      <c r="AG42" s="1"/>
    </row>
    <row r="43" spans="1:33" ht="15.75" customHeight="1" x14ac:dyDescent="0.15">
      <c r="A43" s="114"/>
      <c r="B43" s="114"/>
      <c r="C43" s="115"/>
      <c r="D43" s="114"/>
      <c r="E43" s="116"/>
      <c r="F43" s="116"/>
      <c r="G43" s="114"/>
      <c r="H43" s="114"/>
      <c r="I43" s="114"/>
      <c r="J43" s="114"/>
      <c r="K43" s="114"/>
      <c r="L43" s="114"/>
      <c r="M43" s="114"/>
      <c r="N43" s="114"/>
      <c r="O43" s="1"/>
      <c r="P43" s="1"/>
      <c r="Q43" s="1"/>
      <c r="R43" s="1"/>
      <c r="S43" s="1"/>
      <c r="T43" s="1"/>
      <c r="U43" s="1"/>
      <c r="V43" s="1"/>
      <c r="W43" s="1"/>
      <c r="X43" s="1"/>
      <c r="Y43" s="1"/>
      <c r="Z43" s="1"/>
      <c r="AA43" s="1"/>
      <c r="AB43" s="1"/>
      <c r="AC43" s="1"/>
      <c r="AD43" s="37"/>
      <c r="AE43" s="1"/>
      <c r="AF43" s="1"/>
      <c r="AG43" s="1"/>
    </row>
    <row r="44" spans="1:33"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37"/>
      <c r="AE44" s="1"/>
      <c r="AF44" s="1"/>
      <c r="AG44" s="1"/>
    </row>
    <row r="45" spans="1:33"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37"/>
      <c r="AE45" s="1"/>
      <c r="AF45" s="1"/>
      <c r="AG45" s="1"/>
    </row>
    <row r="46" spans="1:33"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37"/>
      <c r="AE46" s="1"/>
      <c r="AF46" s="1"/>
      <c r="AG46" s="1"/>
    </row>
    <row r="47" spans="1:33" s="42" customFormat="1" ht="15.75" customHeight="1" x14ac:dyDescent="0.15">
      <c r="A47" s="39" t="s">
        <v>87</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1"/>
      <c r="AE47" s="40"/>
      <c r="AF47" s="40"/>
      <c r="AG47" s="40"/>
    </row>
    <row r="48" spans="1:33" ht="15.75" customHeight="1" x14ac:dyDescent="0.15">
      <c r="A48" s="1"/>
      <c r="B48" s="1"/>
      <c r="C48" s="1"/>
      <c r="D48" s="1"/>
      <c r="E48" s="1">
        <v>1</v>
      </c>
      <c r="F48" s="1"/>
      <c r="G48" s="1">
        <v>-39.93</v>
      </c>
      <c r="H48" s="1">
        <v>6.0000000000000001E-3</v>
      </c>
      <c r="I48" s="1">
        <v>-147.79</v>
      </c>
      <c r="J48" s="1">
        <v>3.7999999999999999E-2</v>
      </c>
      <c r="K48" s="1">
        <v>2.27</v>
      </c>
      <c r="L48" s="1">
        <v>0.22</v>
      </c>
      <c r="M48" s="1">
        <v>6.11</v>
      </c>
      <c r="N48" s="1">
        <v>1</v>
      </c>
      <c r="O48" s="1"/>
      <c r="P48" s="1"/>
      <c r="Q48" s="1"/>
      <c r="R48" s="1"/>
      <c r="S48" s="1"/>
      <c r="T48" s="1">
        <v>-95.28</v>
      </c>
      <c r="U48" s="1">
        <v>0.19</v>
      </c>
      <c r="V48" s="1">
        <v>-173.88</v>
      </c>
      <c r="W48" s="1">
        <v>0.83</v>
      </c>
      <c r="X48" s="1"/>
      <c r="Y48" s="1"/>
      <c r="Z48" s="1"/>
      <c r="AA48" s="1" t="s">
        <v>88</v>
      </c>
      <c r="AB48" s="1"/>
      <c r="AC48" s="1"/>
      <c r="AD48" s="37"/>
      <c r="AE48" s="1"/>
      <c r="AF48" s="1"/>
      <c r="AG48" s="1"/>
    </row>
    <row r="49" spans="1:33" ht="15.75" customHeight="1" x14ac:dyDescent="0.15">
      <c r="A49" s="1"/>
      <c r="B49" s="1"/>
      <c r="C49" s="1"/>
      <c r="D49" s="1"/>
      <c r="E49" s="1">
        <v>0.51680000000000004</v>
      </c>
      <c r="F49" s="1"/>
      <c r="G49" s="1">
        <v>-30.11</v>
      </c>
      <c r="H49" s="1">
        <v>4.0000000000000001E-3</v>
      </c>
      <c r="I49" s="1">
        <v>21.37</v>
      </c>
      <c r="J49" s="1">
        <v>2.8000000000000001E-2</v>
      </c>
      <c r="K49" s="1">
        <v>1.1000000000000001</v>
      </c>
      <c r="L49" s="1">
        <v>0.15</v>
      </c>
      <c r="M49" s="1">
        <v>-6.14</v>
      </c>
      <c r="N49" s="1">
        <v>0.77</v>
      </c>
      <c r="O49" s="1"/>
      <c r="P49" s="1"/>
      <c r="Q49" s="1"/>
      <c r="R49" s="1"/>
      <c r="S49" s="1"/>
      <c r="T49" s="1">
        <v>94.11</v>
      </c>
      <c r="U49" s="1">
        <v>0.16</v>
      </c>
      <c r="V49" s="1">
        <v>172.17</v>
      </c>
      <c r="W49" s="1">
        <v>0.89</v>
      </c>
      <c r="X49" s="1"/>
      <c r="Y49" s="1"/>
      <c r="Z49" s="1"/>
      <c r="AA49" s="1" t="s">
        <v>89</v>
      </c>
      <c r="AB49" s="1"/>
      <c r="AC49" s="1"/>
      <c r="AD49" s="37"/>
      <c r="AE49" s="1"/>
      <c r="AF49" s="1"/>
      <c r="AG49" s="1"/>
    </row>
    <row r="50" spans="1:33" ht="15.75" customHeight="1" x14ac:dyDescent="0.15">
      <c r="A50" s="1"/>
      <c r="B50" s="1"/>
      <c r="C50" s="1"/>
      <c r="D50" s="1"/>
      <c r="E50" s="1">
        <v>0.51959999999999995</v>
      </c>
      <c r="F50" s="1"/>
      <c r="G50" s="1">
        <v>-30.07</v>
      </c>
      <c r="H50" s="1">
        <v>6.0000000000000001E-3</v>
      </c>
      <c r="I50" s="1">
        <v>21.31</v>
      </c>
      <c r="J50" s="1">
        <v>2.9000000000000001E-2</v>
      </c>
      <c r="K50" s="1">
        <v>1.1000000000000001</v>
      </c>
      <c r="L50" s="1">
        <v>0.15</v>
      </c>
      <c r="M50" s="1">
        <v>-4.28</v>
      </c>
      <c r="N50" s="1">
        <v>0.98</v>
      </c>
      <c r="O50" s="1"/>
      <c r="P50" s="1"/>
      <c r="Q50" s="1"/>
      <c r="R50" s="1"/>
      <c r="S50" s="1"/>
      <c r="T50" s="1">
        <v>94.09</v>
      </c>
      <c r="U50" s="1">
        <v>0.16</v>
      </c>
      <c r="V50" s="1">
        <v>174.23</v>
      </c>
      <c r="W50" s="1">
        <v>1.1499999999999999</v>
      </c>
      <c r="X50" s="1"/>
      <c r="Y50" s="1"/>
      <c r="Z50" s="1"/>
      <c r="AA50" s="1" t="s">
        <v>89</v>
      </c>
      <c r="AB50" s="1"/>
      <c r="AC50" s="1"/>
      <c r="AD50" s="37"/>
      <c r="AE50" s="1"/>
      <c r="AF50" s="1"/>
      <c r="AG50" s="1"/>
    </row>
    <row r="51" spans="1:33" ht="15.75" customHeight="1" x14ac:dyDescent="0.15">
      <c r="A51" s="1"/>
      <c r="B51" s="1"/>
      <c r="C51" s="1"/>
      <c r="D51" s="1"/>
      <c r="E51" s="1">
        <v>0.51559999999999995</v>
      </c>
      <c r="F51" s="1"/>
      <c r="G51" s="1">
        <v>-30.37</v>
      </c>
      <c r="H51" s="1">
        <v>1.4E-2</v>
      </c>
      <c r="I51" s="1">
        <v>21.04</v>
      </c>
      <c r="J51" s="1">
        <v>0.02</v>
      </c>
      <c r="K51" s="1">
        <v>1.46</v>
      </c>
      <c r="L51" s="1">
        <v>0.4</v>
      </c>
      <c r="M51" s="1">
        <v>5.79</v>
      </c>
      <c r="N51" s="1">
        <v>0.56000000000000005</v>
      </c>
      <c r="O51" s="1"/>
      <c r="P51" s="1"/>
      <c r="Q51" s="1"/>
      <c r="R51" s="1"/>
      <c r="S51" s="1"/>
      <c r="T51" s="1">
        <v>93.84</v>
      </c>
      <c r="U51" s="1">
        <v>0.43</v>
      </c>
      <c r="V51" s="1">
        <v>171.81</v>
      </c>
      <c r="W51" s="1">
        <v>0.65</v>
      </c>
      <c r="X51" s="1"/>
      <c r="Y51" s="1"/>
      <c r="Z51" s="1"/>
      <c r="AA51" s="1" t="s">
        <v>89</v>
      </c>
      <c r="AB51" s="1"/>
      <c r="AC51" s="1"/>
      <c r="AD51" s="37"/>
      <c r="AE51" s="1"/>
      <c r="AF51" s="1"/>
      <c r="AG51" s="1"/>
    </row>
    <row r="52" spans="1:33" ht="15.75" customHeight="1" x14ac:dyDescent="0.15">
      <c r="A52" s="1"/>
      <c r="B52" s="1"/>
      <c r="C52" s="1"/>
      <c r="D52" s="1"/>
      <c r="E52" s="1">
        <v>1</v>
      </c>
      <c r="F52" s="1"/>
      <c r="G52" s="1">
        <v>-37.409999999999997</v>
      </c>
      <c r="H52" s="1">
        <v>4.0000000000000001E-3</v>
      </c>
      <c r="I52" s="1">
        <v>-145.01</v>
      </c>
      <c r="J52" s="1">
        <v>2.1000000000000001E-2</v>
      </c>
      <c r="K52" s="1">
        <v>3.08</v>
      </c>
      <c r="L52" s="1">
        <v>0.13</v>
      </c>
      <c r="M52" s="1">
        <v>6.42</v>
      </c>
      <c r="N52" s="1">
        <v>0.7</v>
      </c>
      <c r="O52" s="1"/>
      <c r="P52" s="1"/>
      <c r="Q52" s="1"/>
      <c r="R52" s="1"/>
      <c r="S52" s="1"/>
      <c r="T52" s="1">
        <v>-89.22</v>
      </c>
      <c r="U52" s="1">
        <v>0.12</v>
      </c>
      <c r="V52" s="1">
        <v>-168.24</v>
      </c>
      <c r="W52" s="1">
        <v>0.57999999999999996</v>
      </c>
      <c r="X52" s="1"/>
      <c r="Y52" s="1"/>
      <c r="Z52" s="1"/>
      <c r="AA52" s="1" t="s">
        <v>88</v>
      </c>
      <c r="AB52" s="1"/>
      <c r="AC52" s="1"/>
      <c r="AD52" s="37"/>
      <c r="AE52" s="1"/>
      <c r="AF52" s="1"/>
      <c r="AG52" s="1"/>
    </row>
    <row r="53" spans="1:33" ht="15.75" customHeight="1" x14ac:dyDescent="0.15">
      <c r="A53" s="1"/>
      <c r="B53" s="1"/>
      <c r="C53" s="1"/>
      <c r="D53" s="1"/>
      <c r="E53" s="1">
        <v>0.96879999999999999</v>
      </c>
      <c r="F53" s="1"/>
      <c r="G53" s="1">
        <v>-36.47</v>
      </c>
      <c r="H53" s="1">
        <v>6.0000000000000001E-3</v>
      </c>
      <c r="I53" s="1">
        <v>-123.23</v>
      </c>
      <c r="J53" s="1">
        <v>2.1000000000000001E-2</v>
      </c>
      <c r="K53" s="1">
        <v>2.33</v>
      </c>
      <c r="L53" s="1">
        <v>0.13</v>
      </c>
      <c r="M53" s="1">
        <v>7.14</v>
      </c>
      <c r="N53" s="1">
        <v>0.76</v>
      </c>
      <c r="O53" s="1"/>
      <c r="P53" s="1"/>
      <c r="Q53" s="1"/>
      <c r="R53" s="1"/>
      <c r="S53" s="1"/>
      <c r="T53" s="1">
        <v>-65.81</v>
      </c>
      <c r="U53" s="1">
        <v>0.12</v>
      </c>
      <c r="V53" s="1">
        <v>-124.69</v>
      </c>
      <c r="W53" s="1">
        <v>0.67</v>
      </c>
      <c r="X53" s="1"/>
      <c r="Y53" s="1"/>
      <c r="Z53" s="1"/>
      <c r="AA53" s="1" t="s">
        <v>89</v>
      </c>
      <c r="AB53" s="1"/>
      <c r="AC53" s="1"/>
      <c r="AD53" s="37"/>
      <c r="AE53" s="1"/>
      <c r="AF53" s="1"/>
      <c r="AG53" s="1"/>
    </row>
    <row r="54" spans="1:33" ht="15.75" customHeight="1" x14ac:dyDescent="0.15">
      <c r="A54" s="1"/>
      <c r="B54" s="1"/>
      <c r="C54" s="1"/>
      <c r="D54" s="1"/>
      <c r="E54" s="1">
        <v>0.73560000000000003</v>
      </c>
      <c r="F54" s="1"/>
      <c r="G54" s="1">
        <v>-34.590000000000003</v>
      </c>
      <c r="H54" s="1">
        <v>5.0000000000000001E-3</v>
      </c>
      <c r="I54" s="1">
        <v>-76.739999999999995</v>
      </c>
      <c r="J54" s="1">
        <v>2.5000000000000001E-2</v>
      </c>
      <c r="K54" s="1">
        <v>1.97</v>
      </c>
      <c r="L54" s="1">
        <v>0.2</v>
      </c>
      <c r="M54" s="1">
        <v>3.9</v>
      </c>
      <c r="N54" s="1">
        <v>0.89</v>
      </c>
      <c r="O54" s="1"/>
      <c r="P54" s="1"/>
      <c r="Q54" s="1"/>
      <c r="R54" s="1"/>
      <c r="S54" s="1"/>
      <c r="T54" s="1">
        <v>-14.71</v>
      </c>
      <c r="U54" s="1">
        <v>0.19</v>
      </c>
      <c r="V54" s="1">
        <v>-32.53</v>
      </c>
      <c r="W54" s="1">
        <v>0.86</v>
      </c>
      <c r="X54" s="1"/>
      <c r="Y54" s="1"/>
      <c r="Z54" s="1"/>
      <c r="AA54" s="1" t="s">
        <v>89</v>
      </c>
      <c r="AB54" s="1"/>
      <c r="AC54" s="1"/>
      <c r="AD54" s="37"/>
      <c r="AE54" s="1"/>
      <c r="AF54" s="1"/>
      <c r="AG54" s="1"/>
    </row>
    <row r="55" spans="1:33" ht="15.75" customHeight="1" x14ac:dyDescent="0.15">
      <c r="A55" s="1"/>
      <c r="B55" s="1"/>
      <c r="C55" s="1"/>
      <c r="D55" s="1"/>
      <c r="E55" s="1">
        <v>0.67330000000000001</v>
      </c>
      <c r="F55" s="1"/>
      <c r="G55" s="1">
        <v>-33.29</v>
      </c>
      <c r="H55" s="1">
        <v>5.0000000000000001E-3</v>
      </c>
      <c r="I55" s="1">
        <v>-51.79</v>
      </c>
      <c r="J55" s="1">
        <v>2.1999999999999999E-2</v>
      </c>
      <c r="K55" s="1">
        <v>1.67</v>
      </c>
      <c r="L55" s="1">
        <v>0.18</v>
      </c>
      <c r="M55" s="1">
        <v>2.5299999999999998</v>
      </c>
      <c r="N55" s="1">
        <v>0.6</v>
      </c>
      <c r="O55" s="1"/>
      <c r="P55" s="1"/>
      <c r="Q55" s="1"/>
      <c r="R55" s="1"/>
      <c r="S55" s="1"/>
      <c r="T55" s="1">
        <v>12.97</v>
      </c>
      <c r="U55" s="1">
        <v>0.18</v>
      </c>
      <c r="V55" s="1">
        <v>19.059999999999999</v>
      </c>
      <c r="W55" s="1">
        <v>0.61</v>
      </c>
      <c r="X55" s="1"/>
      <c r="Y55" s="1"/>
      <c r="Z55" s="1"/>
      <c r="AA55" s="1" t="s">
        <v>89</v>
      </c>
      <c r="AB55" s="1"/>
      <c r="AC55" s="1"/>
      <c r="AD55" s="37"/>
      <c r="AE55" s="1"/>
      <c r="AF55" s="1"/>
      <c r="AG55" s="1"/>
    </row>
    <row r="56" spans="1:33" ht="15.75" customHeight="1" x14ac:dyDescent="0.15">
      <c r="A56" s="1"/>
      <c r="B56" s="1"/>
      <c r="C56" s="1"/>
      <c r="D56" s="1"/>
      <c r="E56" s="1">
        <v>0.61140000000000005</v>
      </c>
      <c r="F56" s="1"/>
      <c r="G56" s="1">
        <v>-31.22</v>
      </c>
      <c r="H56" s="1">
        <v>4.0000000000000001E-3</v>
      </c>
      <c r="I56" s="1">
        <v>-3.17</v>
      </c>
      <c r="J56" s="1">
        <v>2.1000000000000001E-2</v>
      </c>
      <c r="K56" s="1">
        <v>0.7</v>
      </c>
      <c r="L56" s="1">
        <v>0.12</v>
      </c>
      <c r="M56" s="1">
        <v>-5.35</v>
      </c>
      <c r="N56" s="1">
        <v>0.67</v>
      </c>
      <c r="O56" s="1"/>
      <c r="P56" s="1"/>
      <c r="Q56" s="1"/>
      <c r="R56" s="1"/>
      <c r="S56" s="1"/>
      <c r="T56" s="1">
        <v>66.16</v>
      </c>
      <c r="U56" s="1">
        <v>0.13</v>
      </c>
      <c r="V56" s="1">
        <v>117.41</v>
      </c>
      <c r="W56" s="1">
        <v>0.75</v>
      </c>
      <c r="X56" s="1"/>
      <c r="Y56" s="1"/>
      <c r="Z56" s="1"/>
      <c r="AA56" s="1" t="s">
        <v>89</v>
      </c>
      <c r="AB56" s="1"/>
      <c r="AC56" s="1"/>
      <c r="AD56" s="37"/>
      <c r="AE56" s="1"/>
      <c r="AF56" s="1"/>
      <c r="AG56" s="1"/>
    </row>
    <row r="57" spans="1:33" ht="15.75" customHeight="1" x14ac:dyDescent="0.15">
      <c r="A57" s="1"/>
      <c r="B57" s="1"/>
      <c r="C57" s="1"/>
      <c r="D57" s="1"/>
      <c r="E57" s="1">
        <v>0.57010000000000005</v>
      </c>
      <c r="F57" s="1"/>
      <c r="G57" s="1">
        <v>-31.15</v>
      </c>
      <c r="H57" s="1">
        <v>4.0000000000000001E-3</v>
      </c>
      <c r="I57" s="1">
        <v>-2.14</v>
      </c>
      <c r="J57" s="1">
        <v>2.3E-2</v>
      </c>
      <c r="K57" s="1">
        <v>1.4</v>
      </c>
      <c r="L57" s="1">
        <v>0.12</v>
      </c>
      <c r="M57" s="1">
        <v>-6.65</v>
      </c>
      <c r="N57" s="1">
        <v>0.67</v>
      </c>
      <c r="O57" s="1"/>
      <c r="P57" s="1"/>
      <c r="Q57" s="1"/>
      <c r="R57" s="1"/>
      <c r="S57" s="1"/>
      <c r="T57" s="1">
        <v>68.099999999999994</v>
      </c>
      <c r="U57" s="1">
        <v>0.13</v>
      </c>
      <c r="V57" s="1">
        <v>118.25</v>
      </c>
      <c r="W57" s="1">
        <v>0.74</v>
      </c>
      <c r="X57" s="1"/>
      <c r="Y57" s="1"/>
      <c r="Z57" s="1"/>
      <c r="AA57" s="1" t="s">
        <v>89</v>
      </c>
      <c r="AB57" s="1"/>
      <c r="AC57" s="1"/>
      <c r="AD57" s="37"/>
      <c r="AE57" s="1"/>
      <c r="AF57" s="1"/>
      <c r="AG57" s="1"/>
    </row>
    <row r="58" spans="1:33"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37"/>
      <c r="AE58" s="1"/>
      <c r="AF58" s="1"/>
      <c r="AG58" s="1"/>
    </row>
    <row r="59" spans="1:33" s="113" customFormat="1" ht="15.75" customHeight="1" x14ac:dyDescent="0.15">
      <c r="A59" s="110" t="s">
        <v>115</v>
      </c>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2"/>
      <c r="AE59" s="111"/>
      <c r="AF59" s="111"/>
      <c r="AG59" s="111"/>
    </row>
    <row r="60" spans="1:33" ht="15.75" customHeight="1" x14ac:dyDescent="0.15">
      <c r="A60" s="1"/>
      <c r="B60" s="1"/>
      <c r="C60" s="1"/>
      <c r="D60" s="1"/>
      <c r="E60" s="1">
        <v>1</v>
      </c>
      <c r="F60" s="1">
        <v>0.05</v>
      </c>
      <c r="G60" s="1">
        <v>-38.270000000000003</v>
      </c>
      <c r="H60" s="1">
        <f>ABS(0.001*G60)</f>
        <v>3.8270000000000005E-2</v>
      </c>
      <c r="I60" s="1">
        <v>-150.12</v>
      </c>
      <c r="J60" s="1">
        <f>ABS(I60/1000)</f>
        <v>0.15012</v>
      </c>
      <c r="K60" s="1">
        <v>2.61</v>
      </c>
      <c r="L60" s="1">
        <v>0.43</v>
      </c>
      <c r="M60" s="1"/>
      <c r="N60" s="1"/>
      <c r="O60" s="1"/>
      <c r="P60" s="1"/>
      <c r="Q60" s="1"/>
      <c r="R60" s="1"/>
      <c r="S60" s="1"/>
      <c r="T60" s="1"/>
      <c r="U60" s="1"/>
      <c r="V60" s="1"/>
      <c r="W60" s="1"/>
      <c r="X60" s="1"/>
      <c r="Y60" s="1"/>
      <c r="Z60" s="1"/>
      <c r="AA60" s="1" t="s">
        <v>116</v>
      </c>
      <c r="AB60" s="1"/>
      <c r="AC60" s="1"/>
      <c r="AD60" s="37"/>
      <c r="AE60" s="1"/>
      <c r="AF60" s="1"/>
      <c r="AG60" s="1"/>
    </row>
    <row r="61" spans="1:33" ht="15.75" customHeight="1" x14ac:dyDescent="0.15">
      <c r="A61" s="1"/>
      <c r="B61" s="1"/>
      <c r="C61" s="1"/>
      <c r="D61" s="1"/>
      <c r="E61" s="1">
        <v>0.95</v>
      </c>
      <c r="F61" s="1">
        <v>7.0000000000000007E-2</v>
      </c>
      <c r="G61" s="1">
        <v>-37.94</v>
      </c>
      <c r="H61" s="1">
        <f t="shared" ref="H61:H70" si="35">ABS(0.001*G61)</f>
        <v>3.7940000000000002E-2</v>
      </c>
      <c r="I61" s="1">
        <v>-147.19999999999999</v>
      </c>
      <c r="J61" s="1">
        <f t="shared" ref="J61:J70" si="36">ABS(I61/1000)</f>
        <v>0.1472</v>
      </c>
      <c r="K61" s="1">
        <v>2.66</v>
      </c>
      <c r="L61" s="1">
        <v>0.34</v>
      </c>
      <c r="M61" s="1"/>
      <c r="N61" s="1"/>
      <c r="O61" s="1"/>
      <c r="P61" s="1"/>
      <c r="Q61" s="1"/>
      <c r="R61" s="1"/>
      <c r="S61" s="1"/>
      <c r="T61" s="1"/>
      <c r="U61" s="1"/>
      <c r="V61" s="1"/>
      <c r="W61" s="1"/>
      <c r="X61" s="1"/>
      <c r="Y61" s="1"/>
      <c r="Z61" s="1"/>
      <c r="AA61" s="1" t="s">
        <v>117</v>
      </c>
      <c r="AB61" s="1"/>
      <c r="AC61" s="1"/>
      <c r="AD61" s="37"/>
      <c r="AE61" s="1"/>
      <c r="AF61" s="1"/>
      <c r="AG61" s="1"/>
    </row>
    <row r="62" spans="1:33" ht="15.75" customHeight="1" x14ac:dyDescent="0.15">
      <c r="A62" s="1"/>
      <c r="B62" s="1"/>
      <c r="C62" s="1"/>
      <c r="D62" s="1"/>
      <c r="E62" s="1">
        <v>0.84</v>
      </c>
      <c r="F62" s="1">
        <v>0.06</v>
      </c>
      <c r="G62" s="1">
        <v>-33.31</v>
      </c>
      <c r="H62" s="1">
        <f t="shared" si="35"/>
        <v>3.3310000000000006E-2</v>
      </c>
      <c r="I62" s="1">
        <v>-111.79</v>
      </c>
      <c r="J62" s="1">
        <f t="shared" si="36"/>
        <v>0.11179</v>
      </c>
      <c r="K62" s="1">
        <v>1.36</v>
      </c>
      <c r="L62" s="1">
        <v>0.34</v>
      </c>
      <c r="M62" s="1"/>
      <c r="N62" s="1"/>
      <c r="O62" s="1"/>
      <c r="P62" s="1"/>
      <c r="Q62" s="1"/>
      <c r="R62" s="1"/>
      <c r="S62" s="1"/>
      <c r="T62" s="1"/>
      <c r="U62" s="1"/>
      <c r="V62" s="1"/>
      <c r="W62" s="1"/>
      <c r="X62" s="1"/>
      <c r="Y62" s="1"/>
      <c r="Z62" s="1"/>
      <c r="AA62" s="1" t="s">
        <v>117</v>
      </c>
      <c r="AB62" s="1"/>
      <c r="AC62" s="1"/>
      <c r="AD62" s="37"/>
      <c r="AE62" s="1"/>
      <c r="AF62" s="1"/>
      <c r="AG62" s="1"/>
    </row>
    <row r="63" spans="1:33" ht="15.75" customHeight="1" x14ac:dyDescent="0.15">
      <c r="A63" s="1"/>
      <c r="B63" s="1"/>
      <c r="C63" s="1"/>
      <c r="D63" s="1"/>
      <c r="E63" s="1">
        <v>0.22</v>
      </c>
      <c r="F63" s="1">
        <v>0.02</v>
      </c>
      <c r="G63" s="1">
        <v>-24</v>
      </c>
      <c r="H63" s="1">
        <f t="shared" si="35"/>
        <v>2.4E-2</v>
      </c>
      <c r="I63" s="1">
        <v>-33.36</v>
      </c>
      <c r="J63" s="1">
        <f t="shared" si="36"/>
        <v>3.3360000000000001E-2</v>
      </c>
      <c r="K63" s="1">
        <v>-0.01</v>
      </c>
      <c r="L63" s="1">
        <v>0.6</v>
      </c>
      <c r="M63" s="1"/>
      <c r="N63" s="1"/>
      <c r="O63" s="1"/>
      <c r="P63" s="1"/>
      <c r="Q63" s="1"/>
      <c r="R63" s="1"/>
      <c r="S63" s="1"/>
      <c r="T63" s="1"/>
      <c r="U63" s="1"/>
      <c r="V63" s="1"/>
      <c r="W63" s="1"/>
      <c r="X63" s="1"/>
      <c r="Y63" s="1"/>
      <c r="Z63" s="1"/>
      <c r="AA63" s="1" t="s">
        <v>117</v>
      </c>
      <c r="AB63" s="1"/>
      <c r="AC63" s="1"/>
      <c r="AD63" s="37"/>
      <c r="AE63" s="1"/>
      <c r="AF63" s="1"/>
      <c r="AG63" s="1"/>
    </row>
    <row r="64" spans="1:33" ht="15.75" customHeight="1" x14ac:dyDescent="0.15">
      <c r="A64" s="1"/>
      <c r="B64" s="1"/>
      <c r="C64" s="1"/>
      <c r="D64" s="1"/>
      <c r="E64" s="1">
        <v>0.1</v>
      </c>
      <c r="F64" s="1">
        <v>0.01</v>
      </c>
      <c r="G64" s="1">
        <v>-8.81</v>
      </c>
      <c r="H64" s="1">
        <f t="shared" si="35"/>
        <v>8.8100000000000001E-3</v>
      </c>
      <c r="I64" s="1">
        <v>123.9</v>
      </c>
      <c r="J64" s="1">
        <f t="shared" si="36"/>
        <v>0.12390000000000001</v>
      </c>
      <c r="K64" s="1">
        <v>-1.48</v>
      </c>
      <c r="L64" s="1">
        <v>0.6</v>
      </c>
      <c r="M64" s="1"/>
      <c r="N64" s="1"/>
      <c r="O64" s="1"/>
      <c r="P64" s="1"/>
      <c r="Q64" s="1"/>
      <c r="R64" s="1"/>
      <c r="S64" s="1"/>
      <c r="T64" s="1"/>
      <c r="U64" s="1"/>
      <c r="V64" s="1"/>
      <c r="W64" s="1"/>
      <c r="X64" s="1"/>
      <c r="Y64" s="1"/>
      <c r="Z64" s="1"/>
      <c r="AA64" s="1" t="s">
        <v>117</v>
      </c>
      <c r="AB64" s="1"/>
      <c r="AC64" s="1"/>
      <c r="AD64" s="37"/>
      <c r="AE64" s="1"/>
      <c r="AF64" s="1"/>
      <c r="AG64" s="1"/>
    </row>
    <row r="65" spans="1:33"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37"/>
      <c r="AE65" s="1"/>
      <c r="AF65" s="1"/>
      <c r="AG65" s="1"/>
    </row>
    <row r="66" spans="1:33" ht="15.75" customHeight="1" x14ac:dyDescent="0.15">
      <c r="A66" s="1"/>
      <c r="B66" s="1"/>
      <c r="C66" s="1"/>
      <c r="D66" s="1"/>
      <c r="E66" s="1">
        <v>1</v>
      </c>
      <c r="F66" s="1">
        <v>0.05</v>
      </c>
      <c r="G66" s="1">
        <v>-39.06</v>
      </c>
      <c r="H66" s="1">
        <f t="shared" si="35"/>
        <v>3.9060000000000004E-2</v>
      </c>
      <c r="I66" s="1">
        <v>-163.57</v>
      </c>
      <c r="J66" s="1">
        <f t="shared" si="36"/>
        <v>0.16356999999999999</v>
      </c>
      <c r="K66" s="1">
        <v>2.17</v>
      </c>
      <c r="L66" s="1">
        <v>0.59</v>
      </c>
      <c r="M66" s="1"/>
      <c r="N66" s="1"/>
      <c r="O66" s="1"/>
      <c r="P66" s="1"/>
      <c r="Q66" s="1"/>
      <c r="R66" s="1"/>
      <c r="S66" s="1"/>
      <c r="T66" s="1"/>
      <c r="U66" s="1"/>
      <c r="V66" s="1"/>
      <c r="W66" s="1"/>
      <c r="X66" s="1"/>
      <c r="Y66" s="1"/>
      <c r="Z66" s="1"/>
      <c r="AA66" s="1" t="s">
        <v>118</v>
      </c>
      <c r="AB66" s="1"/>
      <c r="AC66" s="1"/>
      <c r="AD66" s="37"/>
      <c r="AE66" s="1"/>
      <c r="AF66" s="1"/>
      <c r="AG66" s="1"/>
    </row>
    <row r="67" spans="1:33" ht="15.75" customHeight="1" x14ac:dyDescent="0.15">
      <c r="A67" s="1"/>
      <c r="B67" s="1"/>
      <c r="C67" s="1"/>
      <c r="D67" s="1"/>
      <c r="E67" s="1">
        <v>0.95</v>
      </c>
      <c r="F67" s="1">
        <v>7.0000000000000007E-2</v>
      </c>
      <c r="G67" s="1">
        <v>-36.450000000000003</v>
      </c>
      <c r="H67" s="1">
        <f t="shared" si="35"/>
        <v>3.6450000000000003E-2</v>
      </c>
      <c r="I67" s="1">
        <v>-144.22999999999999</v>
      </c>
      <c r="J67" s="1">
        <f t="shared" si="36"/>
        <v>0.14423</v>
      </c>
      <c r="K67" s="1">
        <v>1.82</v>
      </c>
      <c r="L67" s="1">
        <v>0.53</v>
      </c>
      <c r="M67" s="1"/>
      <c r="N67" s="1"/>
      <c r="O67" s="1"/>
      <c r="P67" s="1"/>
      <c r="Q67" s="1"/>
      <c r="R67" s="1"/>
      <c r="S67" s="1"/>
      <c r="T67" s="1"/>
      <c r="U67" s="1"/>
      <c r="V67" s="1"/>
      <c r="W67" s="1"/>
      <c r="X67" s="1"/>
      <c r="Y67" s="1"/>
      <c r="Z67" s="1"/>
      <c r="AA67" s="1" t="s">
        <v>119</v>
      </c>
      <c r="AB67" s="1"/>
      <c r="AC67" s="1"/>
      <c r="AD67" s="37"/>
      <c r="AE67" s="1"/>
      <c r="AF67" s="1"/>
      <c r="AG67" s="1"/>
    </row>
    <row r="68" spans="1:33" ht="15.75" customHeight="1" x14ac:dyDescent="0.15">
      <c r="A68" s="1"/>
      <c r="B68" s="1"/>
      <c r="C68" s="1"/>
      <c r="D68" s="1"/>
      <c r="E68" s="1">
        <v>0.57999999999999996</v>
      </c>
      <c r="F68" s="1">
        <v>0.04</v>
      </c>
      <c r="G68" s="1">
        <v>-29.68</v>
      </c>
      <c r="H68" s="1">
        <f t="shared" si="35"/>
        <v>2.9680000000000002E-2</v>
      </c>
      <c r="I68" s="1">
        <v>-88.51</v>
      </c>
      <c r="J68" s="1">
        <f t="shared" si="36"/>
        <v>8.8510000000000005E-2</v>
      </c>
      <c r="K68" s="1">
        <v>-0.48</v>
      </c>
      <c r="L68" s="1">
        <v>0.3</v>
      </c>
      <c r="M68" s="1"/>
      <c r="N68" s="1"/>
      <c r="O68" s="1"/>
      <c r="P68" s="1"/>
      <c r="Q68" s="1"/>
      <c r="R68" s="1"/>
      <c r="S68" s="1"/>
      <c r="T68" s="1"/>
      <c r="U68" s="1"/>
      <c r="V68" s="1"/>
      <c r="W68" s="1"/>
      <c r="X68" s="1"/>
      <c r="Y68" s="1"/>
      <c r="Z68" s="1"/>
      <c r="AA68" s="1" t="s">
        <v>119</v>
      </c>
      <c r="AB68" s="1"/>
      <c r="AC68" s="1"/>
      <c r="AD68" s="37"/>
      <c r="AE68" s="1"/>
      <c r="AF68" s="1"/>
      <c r="AG68" s="1"/>
    </row>
    <row r="69" spans="1:33" ht="15.75" customHeight="1" x14ac:dyDescent="0.15">
      <c r="A69" s="1"/>
      <c r="B69" s="1"/>
      <c r="C69" s="1"/>
      <c r="D69" s="1"/>
      <c r="E69" s="1">
        <v>0.47</v>
      </c>
      <c r="F69" s="1">
        <v>0.03</v>
      </c>
      <c r="G69" s="1">
        <v>-20.95</v>
      </c>
      <c r="H69" s="1">
        <f t="shared" si="35"/>
        <v>2.095E-2</v>
      </c>
      <c r="I69" s="1">
        <v>-9.1999999999999993</v>
      </c>
      <c r="J69" s="1">
        <f t="shared" si="36"/>
        <v>9.1999999999999998E-3</v>
      </c>
      <c r="K69" s="1">
        <v>-1.82</v>
      </c>
      <c r="L69" s="1">
        <v>0.36</v>
      </c>
      <c r="M69" s="1"/>
      <c r="N69" s="1"/>
      <c r="O69" s="1"/>
      <c r="P69" s="1"/>
      <c r="Q69" s="1"/>
      <c r="R69" s="1"/>
      <c r="S69" s="1"/>
      <c r="T69" s="1"/>
      <c r="U69" s="1"/>
      <c r="V69" s="1"/>
      <c r="W69" s="1"/>
      <c r="X69" s="1"/>
      <c r="Y69" s="1"/>
      <c r="Z69" s="1"/>
      <c r="AA69" s="1" t="s">
        <v>119</v>
      </c>
      <c r="AB69" s="1"/>
      <c r="AC69" s="1"/>
      <c r="AD69" s="37"/>
      <c r="AE69" s="1"/>
      <c r="AF69" s="1"/>
      <c r="AG69" s="1"/>
    </row>
    <row r="70" spans="1:33" ht="15.75" customHeight="1" x14ac:dyDescent="0.15">
      <c r="A70" s="1"/>
      <c r="B70" s="1"/>
      <c r="C70" s="1"/>
      <c r="D70" s="1"/>
      <c r="E70" s="1">
        <v>0.36</v>
      </c>
      <c r="F70" s="1">
        <v>0.03</v>
      </c>
      <c r="G70" s="1">
        <v>-16.39</v>
      </c>
      <c r="H70" s="1">
        <f t="shared" si="35"/>
        <v>1.6390000000000002E-2</v>
      </c>
      <c r="I70" s="1">
        <v>36.83</v>
      </c>
      <c r="J70" s="1">
        <f t="shared" si="36"/>
        <v>3.6830000000000002E-2</v>
      </c>
      <c r="K70" s="1">
        <v>-1.87</v>
      </c>
      <c r="L70" s="1">
        <v>0.38</v>
      </c>
      <c r="M70" s="1"/>
      <c r="N70" s="1"/>
      <c r="O70" s="1"/>
      <c r="P70" s="1"/>
      <c r="Q70" s="1"/>
      <c r="R70" s="1"/>
      <c r="S70" s="1"/>
      <c r="T70" s="1"/>
      <c r="U70" s="1"/>
      <c r="V70" s="1"/>
      <c r="W70" s="1"/>
      <c r="X70" s="1"/>
      <c r="Y70" s="1"/>
      <c r="Z70" s="1"/>
      <c r="AA70" s="1" t="s">
        <v>119</v>
      </c>
      <c r="AB70" s="1"/>
      <c r="AC70" s="1"/>
      <c r="AD70" s="37"/>
      <c r="AE70" s="1"/>
      <c r="AF70" s="1"/>
      <c r="AG70" s="1"/>
    </row>
    <row r="71" spans="1:33"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37"/>
      <c r="AE71" s="1"/>
      <c r="AF71" s="1"/>
      <c r="AG71" s="1"/>
    </row>
    <row r="72" spans="1:33"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37"/>
      <c r="AE72" s="1"/>
      <c r="AF72" s="1"/>
      <c r="AG72" s="1"/>
    </row>
    <row r="73" spans="1:33"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37"/>
      <c r="AE73" s="1"/>
      <c r="AF73" s="1"/>
      <c r="AG73" s="1"/>
    </row>
    <row r="74" spans="1:33"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37"/>
      <c r="AE74" s="1"/>
      <c r="AF74" s="1"/>
      <c r="AG74" s="1"/>
    </row>
    <row r="75" spans="1:33"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37"/>
      <c r="AE75" s="1"/>
      <c r="AF75" s="1"/>
      <c r="AG75" s="1"/>
    </row>
    <row r="76" spans="1:33"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37"/>
      <c r="AE76" s="1"/>
      <c r="AF76" s="1"/>
      <c r="AG76" s="1"/>
    </row>
    <row r="77" spans="1:33"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37"/>
      <c r="AE77" s="1"/>
      <c r="AF77" s="1"/>
      <c r="AG77" s="1"/>
    </row>
    <row r="78" spans="1:33"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37"/>
      <c r="AE78" s="1"/>
      <c r="AF78" s="1"/>
      <c r="AG78" s="1"/>
    </row>
    <row r="79" spans="1:33"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37"/>
      <c r="AE79" s="1"/>
      <c r="AF79" s="1"/>
      <c r="AG79" s="1"/>
    </row>
    <row r="80" spans="1:33"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37"/>
      <c r="AE80" s="1"/>
      <c r="AF80" s="1"/>
      <c r="AG80" s="1"/>
    </row>
    <row r="81" spans="1:33"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37"/>
      <c r="AE81" s="1"/>
      <c r="AF81" s="1"/>
      <c r="AG81" s="1"/>
    </row>
    <row r="82" spans="1:33"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37"/>
      <c r="AE82" s="1"/>
      <c r="AF82" s="1"/>
      <c r="AG82" s="1"/>
    </row>
    <row r="83" spans="1:33"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37"/>
      <c r="AE83" s="1"/>
      <c r="AF83" s="1"/>
      <c r="AG83" s="1"/>
    </row>
    <row r="84" spans="1:33"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37"/>
      <c r="AE84" s="1"/>
      <c r="AF84" s="1"/>
      <c r="AG84" s="1"/>
    </row>
    <row r="85" spans="1:33"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37"/>
      <c r="AE85" s="1"/>
      <c r="AF85" s="1"/>
      <c r="AG85" s="1"/>
    </row>
    <row r="86" spans="1:33"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37"/>
      <c r="AE86" s="1"/>
      <c r="AF86" s="1"/>
      <c r="AG86" s="1"/>
    </row>
    <row r="87" spans="1:33"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37"/>
      <c r="AE87" s="1"/>
      <c r="AF87" s="1"/>
      <c r="AG87" s="1"/>
    </row>
    <row r="88" spans="1:33"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37"/>
      <c r="AE88" s="1"/>
      <c r="AF88" s="1"/>
      <c r="AG88" s="1"/>
    </row>
    <row r="89" spans="1:33"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37"/>
      <c r="AE89" s="1"/>
      <c r="AF89" s="1"/>
      <c r="AG89" s="1"/>
    </row>
    <row r="90" spans="1:33"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37"/>
      <c r="AE90" s="1"/>
      <c r="AF90" s="1"/>
      <c r="AG90" s="1"/>
    </row>
    <row r="91" spans="1:33"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37"/>
      <c r="AE91" s="1"/>
      <c r="AF91" s="1"/>
      <c r="AG91" s="1"/>
    </row>
    <row r="92" spans="1:33" ht="15.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5.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5.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5.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5.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5.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ht="15.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ht="15.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ht="15.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ht="15.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ht="15.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ht="15.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ht="15.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ht="15.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ht="15.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ht="15.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ht="15.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ht="15.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ht="15.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5.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15.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5.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5.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5.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5.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5.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5.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5.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5.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5.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5.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5.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5.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5.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5.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5.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5.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5.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5.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5.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5.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5.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5.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5.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5.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5.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5.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5.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5.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5.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5.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5.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5.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5.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5.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5.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5.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5.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5.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5.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5.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5.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5.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5.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5.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5.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5.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5.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5.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5.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5.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5.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5.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5.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5.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5.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5.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5.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5.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5.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5.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5.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5.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5.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5.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5.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5.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5.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5.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5.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5.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5.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5.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5.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5.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5.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5.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5.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5.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5.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5.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5.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5.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5.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5.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5.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5.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5.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5.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5.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5.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5.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5.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5.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5.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5.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5.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5.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5.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5.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5.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5.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5.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5.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5.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5.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5.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5.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5.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5.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5.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5.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5.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5.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5.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5.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5.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5.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5.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5.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5.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5.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5.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5.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5.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5.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5.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5.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5.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5.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5.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5.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5.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5.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5.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5.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5.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5.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5.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5.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5.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5.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5.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5.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5.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5.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5.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5.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5.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5.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5.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5.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5.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5.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5.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5.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5.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5.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5.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5.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5.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5.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5.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5.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5.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5.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5.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5.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5.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5.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5.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5.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5.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5.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5.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5.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5.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5.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5.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5.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5.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5.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5.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5.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5.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5.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5.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5.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5.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5.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5.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5.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5.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5.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5.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5.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5.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5.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5.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5.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5.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5.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5.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5.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5.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5.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5.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5.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5.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5.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5.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5.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5.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5.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5.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5.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5.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5.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5.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5.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5.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5.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5.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5.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5.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5.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5.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5.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5.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5.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5.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5.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5.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5.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5.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5.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5.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5.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5.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5.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5.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5.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5.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5.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5.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5.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5.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5.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5.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5.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5.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5.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5.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5.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5.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5.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5.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5.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5.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5.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5.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5.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5.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5.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5.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5.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5.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5.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5.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5.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5.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5.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5.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5.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5.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5.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5.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5.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5.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5.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5.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5.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5.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5.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5.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5.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5.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5.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5.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5.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5.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5.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5.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5.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5.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5.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5.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5.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5.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5.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5.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5.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5.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5.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5.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5.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5.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5.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5.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5.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5.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5.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5.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5.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5.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5.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5.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5.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5.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5.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5.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5.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5.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5.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5.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5.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5.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5.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5.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5.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5.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5.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5.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5.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5.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5.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5.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5.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5.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5.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5.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5.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5.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5.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5.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5.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5.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5.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5.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5.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5.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5.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5.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5.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5.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5.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5.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5.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5.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5.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5.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5.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5.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5.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5.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5.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5.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5.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5.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5.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5.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5.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5.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5.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5.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5.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5.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5.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5.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5.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5.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5.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5.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5.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5.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5.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5.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5.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5.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5.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5.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5.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5.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5.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5.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5.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5.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5.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5.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5.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5.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5.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5.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5.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5.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5.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5.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5.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5.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5.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5.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5.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5.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5.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5.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5.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5.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5.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5.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5.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5.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5.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5.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5.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5.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5.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5.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5.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5.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5.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5.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5.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5.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5.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5.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5.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5.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5.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5.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5.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5.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5.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5.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5.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5.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5.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5.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5.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5.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5.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5.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5.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5.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5.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5.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5.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5.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5.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5.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5.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5.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5.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5.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5.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5.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5.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5.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5.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5.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5.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5.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5.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5.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5.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5.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5.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5.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5.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5.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5.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5.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5.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5.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5.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5.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5.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5.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5.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5.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5.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5.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5.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5.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5.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5.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5.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5.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5.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5.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5.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5.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5.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5.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5.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5.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5.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5.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5.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5.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5.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5.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5.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5.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5.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5.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5.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5.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5.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5.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5.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5.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5.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5.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5.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5.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row>
  </sheetData>
  <sortState xmlns:xlrd2="http://schemas.microsoft.com/office/spreadsheetml/2017/richdata2" ref="A2:AA36">
    <sortCondition ref="AA2:AA36"/>
  </sortState>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B33D0-53D1-474F-944A-8B0C6ED59DAB}">
  <dimension ref="A1:T21"/>
  <sheetViews>
    <sheetView zoomScale="172" workbookViewId="0">
      <selection activeCell="C20" sqref="C20"/>
    </sheetView>
  </sheetViews>
  <sheetFormatPr baseColWidth="10" defaultRowHeight="13" x14ac:dyDescent="0.15"/>
  <cols>
    <col min="1" max="1" width="31.1640625" bestFit="1" customWidth="1"/>
    <col min="2" max="3" width="12.1640625" bestFit="1" customWidth="1"/>
    <col min="4" max="4" width="7.6640625" bestFit="1" customWidth="1"/>
    <col min="5" max="5" width="7.5" bestFit="1" customWidth="1"/>
    <col min="6" max="6" width="8.33203125" bestFit="1" customWidth="1"/>
    <col min="7" max="7" width="6.1640625" bestFit="1" customWidth="1"/>
    <col min="8" max="8" width="7.5" bestFit="1" customWidth="1"/>
    <col min="9" max="9" width="10.5" bestFit="1" customWidth="1"/>
    <col min="10" max="10" width="8.33203125" bestFit="1" customWidth="1"/>
    <col min="11" max="11" width="11.33203125" bestFit="1" customWidth="1"/>
  </cols>
  <sheetData>
    <row r="1" spans="1:20" x14ac:dyDescent="0.15">
      <c r="A1" s="38" t="s">
        <v>90</v>
      </c>
    </row>
    <row r="2" spans="1:20" ht="14" x14ac:dyDescent="0.2">
      <c r="A2" s="2" t="s">
        <v>4</v>
      </c>
      <c r="B2" s="1" t="s">
        <v>0</v>
      </c>
      <c r="C2" s="38" t="s">
        <v>85</v>
      </c>
      <c r="D2" s="2" t="s">
        <v>5</v>
      </c>
      <c r="E2" s="2" t="s">
        <v>6</v>
      </c>
      <c r="F2" s="2" t="s">
        <v>7</v>
      </c>
      <c r="G2" s="2" t="s">
        <v>8</v>
      </c>
      <c r="H2" s="2" t="s">
        <v>9</v>
      </c>
      <c r="I2" s="2" t="s">
        <v>10</v>
      </c>
      <c r="J2" s="2" t="s">
        <v>11</v>
      </c>
      <c r="K2" s="2" t="s">
        <v>12</v>
      </c>
      <c r="L2" s="2" t="s">
        <v>96</v>
      </c>
      <c r="M2" s="2" t="s">
        <v>97</v>
      </c>
      <c r="N2" s="2" t="s">
        <v>91</v>
      </c>
      <c r="O2" s="2" t="s">
        <v>92</v>
      </c>
      <c r="P2" s="2" t="s">
        <v>93</v>
      </c>
      <c r="Q2" s="2" t="s">
        <v>98</v>
      </c>
      <c r="R2" s="46" t="s">
        <v>99</v>
      </c>
    </row>
    <row r="3" spans="1:20" x14ac:dyDescent="0.15">
      <c r="A3" s="26" t="s">
        <v>46</v>
      </c>
      <c r="B3" s="26">
        <v>1</v>
      </c>
      <c r="C3">
        <v>0</v>
      </c>
      <c r="D3" s="34">
        <v>-39.095297901999999</v>
      </c>
      <c r="E3" s="26">
        <v>7.0000000000000001E-3</v>
      </c>
      <c r="F3" s="34">
        <v>-153.96818935299999</v>
      </c>
      <c r="G3" s="26">
        <v>2.4E-2</v>
      </c>
      <c r="H3" s="34">
        <v>2.8089396964641189</v>
      </c>
      <c r="I3" s="34">
        <v>0.19707083631056677</v>
      </c>
      <c r="J3" s="34">
        <v>7.4174893792759988</v>
      </c>
      <c r="K3" s="34">
        <v>0.70797040445457737</v>
      </c>
      <c r="L3" s="26">
        <v>-100.587</v>
      </c>
      <c r="M3" s="26">
        <v>-184.77</v>
      </c>
      <c r="N3">
        <f t="shared" ref="N3:N12" si="0">-LOG(B3)</f>
        <v>0</v>
      </c>
      <c r="O3">
        <f t="shared" ref="O3:O12" si="1">LOG((D3+1000)/($D$3+1000))</f>
        <v>0</v>
      </c>
      <c r="P3">
        <f t="shared" ref="P3:P12" si="2">LOG((F3+1000)/($F$3+1000))</f>
        <v>0</v>
      </c>
      <c r="Q3">
        <f t="shared" ref="Q3:Q12" si="3">LOG((L3+1000)/($L$3+1000))</f>
        <v>0</v>
      </c>
      <c r="R3">
        <f t="shared" ref="R3:R12" si="4">LOG((M3+1000)/($M$3+1000))</f>
        <v>0</v>
      </c>
    </row>
    <row r="4" spans="1:20" s="42" customFormat="1" ht="14" customHeight="1" x14ac:dyDescent="0.15">
      <c r="A4" s="43" t="s">
        <v>52</v>
      </c>
      <c r="B4" s="43">
        <v>0.82126473142425194</v>
      </c>
      <c r="C4" s="42">
        <v>3.5051143415716482E-2</v>
      </c>
      <c r="D4" s="44">
        <v>-37.023091182999998</v>
      </c>
      <c r="E4" s="43">
        <v>8.0000000000000002E-3</v>
      </c>
      <c r="F4" s="44">
        <v>-133.900181162</v>
      </c>
      <c r="G4" s="43">
        <v>2.3E-2</v>
      </c>
      <c r="H4" s="44">
        <v>2.3363800692186576</v>
      </c>
      <c r="I4" s="44">
        <v>0.18338782270229351</v>
      </c>
      <c r="J4" s="44">
        <v>2.8583829115909065</v>
      </c>
      <c r="K4" s="44">
        <v>0.6491704385616951</v>
      </c>
      <c r="L4" s="43">
        <v>-77.701999999999998</v>
      </c>
      <c r="M4" s="43">
        <v>-149.50299999999999</v>
      </c>
      <c r="N4" s="42">
        <f t="shared" si="0"/>
        <v>8.5516827211300911E-2</v>
      </c>
      <c r="O4" s="42">
        <f t="shared" si="1"/>
        <v>9.3555475174779943E-4</v>
      </c>
      <c r="P4" s="42">
        <f t="shared" si="2"/>
        <v>1.0181255017050883E-2</v>
      </c>
      <c r="Q4" s="42">
        <f t="shared" si="3"/>
        <v>1.091210635876692E-2</v>
      </c>
      <c r="R4" s="42">
        <f t="shared" si="4"/>
        <v>1.8392632960765071E-2</v>
      </c>
    </row>
    <row r="5" spans="1:20" s="42" customFormat="1" ht="14" customHeight="1" x14ac:dyDescent="0.15">
      <c r="A5" s="43" t="s">
        <v>55</v>
      </c>
      <c r="B5" s="43">
        <v>0.70935332051365674</v>
      </c>
      <c r="C5" s="42">
        <v>3.0274823718071886E-2</v>
      </c>
      <c r="D5" s="44">
        <v>-31.781400454</v>
      </c>
      <c r="E5" s="43">
        <v>8.0000000000000002E-3</v>
      </c>
      <c r="F5" s="44">
        <v>-92.041415330999996</v>
      </c>
      <c r="G5" s="43">
        <v>2.4E-2</v>
      </c>
      <c r="H5" s="44">
        <v>0.87666704420108488</v>
      </c>
      <c r="I5" s="44">
        <v>0.16499167648966417</v>
      </c>
      <c r="J5" s="44">
        <v>-2.7336694284627594</v>
      </c>
      <c r="K5" s="44">
        <v>0.63509172307504447</v>
      </c>
      <c r="L5" s="43">
        <v>-29.28</v>
      </c>
      <c r="M5" s="43">
        <v>-70.519000000000005</v>
      </c>
      <c r="N5" s="42">
        <f t="shared" si="0"/>
        <v>0.14913739397282991</v>
      </c>
      <c r="O5" s="42">
        <f t="shared" si="1"/>
        <v>3.2931026434877431E-3</v>
      </c>
      <c r="P5" s="42">
        <f t="shared" si="2"/>
        <v>3.067934646197007E-2</v>
      </c>
      <c r="Q5" s="42">
        <f t="shared" si="3"/>
        <v>3.3134817086014651E-2</v>
      </c>
      <c r="R5" s="42">
        <f t="shared" si="4"/>
        <v>5.6960363479207785E-2</v>
      </c>
    </row>
    <row r="6" spans="1:20" s="42" customFormat="1" ht="13" customHeight="1" x14ac:dyDescent="0.2">
      <c r="A6" s="47" t="s">
        <v>31</v>
      </c>
      <c r="B6" s="45">
        <v>0.66791358124774158</v>
      </c>
      <c r="C6" s="42">
        <v>1.080745997296007E-2</v>
      </c>
      <c r="D6" s="48">
        <v>-28.143000000000001</v>
      </c>
      <c r="E6" s="47">
        <v>3.0000000000000001E-3</v>
      </c>
      <c r="F6" s="48">
        <v>-59.417000000000002</v>
      </c>
      <c r="G6" s="47">
        <v>1.7000000000000001E-2</v>
      </c>
      <c r="H6" s="48">
        <v>0.14099999999999999</v>
      </c>
      <c r="I6" s="48">
        <v>0.19700000000000001</v>
      </c>
      <c r="J6" s="48">
        <v>-4.9939999999999998</v>
      </c>
      <c r="K6" s="48">
        <v>0.57599999999999996</v>
      </c>
      <c r="L6" s="49">
        <v>8.6359999999999992</v>
      </c>
      <c r="M6" s="49">
        <v>-4.7850000000000001</v>
      </c>
      <c r="N6" s="42">
        <f t="shared" si="0"/>
        <v>0.17527972557107346</v>
      </c>
      <c r="O6" s="42">
        <f t="shared" si="1"/>
        <v>4.9220485392003207E-3</v>
      </c>
      <c r="P6" s="42">
        <f t="shared" si="2"/>
        <v>4.601043234536728E-2</v>
      </c>
      <c r="Q6" s="42">
        <f t="shared" si="3"/>
        <v>4.9775304322771108E-2</v>
      </c>
      <c r="R6" s="42">
        <f t="shared" si="4"/>
        <v>8.6636760052474129E-2</v>
      </c>
    </row>
    <row r="7" spans="1:20" s="42" customFormat="1" ht="13" customHeight="1" x14ac:dyDescent="0.2">
      <c r="A7" s="107" t="s">
        <v>27</v>
      </c>
      <c r="B7" s="7">
        <v>0.55637028238064046</v>
      </c>
      <c r="C7">
        <v>9.002586151550267E-3</v>
      </c>
      <c r="D7" s="108">
        <v>-23.215</v>
      </c>
      <c r="E7" s="109">
        <v>3.0000000000000001E-3</v>
      </c>
      <c r="F7" s="108">
        <v>-13.247999999999999</v>
      </c>
      <c r="G7" s="109">
        <v>2.3E-2</v>
      </c>
      <c r="H7" s="108">
        <v>-0.94499999999999995</v>
      </c>
      <c r="I7" s="108">
        <v>0.127</v>
      </c>
      <c r="J7" s="108">
        <v>-3.0289999999999999</v>
      </c>
      <c r="K7" s="108">
        <v>0.65</v>
      </c>
      <c r="L7" s="8">
        <v>62.369</v>
      </c>
      <c r="M7" s="9">
        <v>97.478999999999999</v>
      </c>
      <c r="N7">
        <f t="shared" si="0"/>
        <v>0.25463607519828535</v>
      </c>
      <c r="O7">
        <f t="shared" si="1"/>
        <v>7.1186631758779787E-3</v>
      </c>
      <c r="P7">
        <f t="shared" si="2"/>
        <v>6.6821322576953321E-2</v>
      </c>
      <c r="Q7">
        <f t="shared" si="3"/>
        <v>7.231622895222356E-2</v>
      </c>
      <c r="R7">
        <f t="shared" si="4"/>
        <v>0.12911606578971663</v>
      </c>
      <c r="S7"/>
      <c r="T7"/>
    </row>
    <row r="8" spans="1:20" s="42" customFormat="1" x14ac:dyDescent="0.15">
      <c r="A8" s="7"/>
      <c r="B8" s="7"/>
      <c r="C8"/>
      <c r="D8" s="7"/>
      <c r="E8" s="7"/>
      <c r="F8" s="7"/>
      <c r="G8" s="7"/>
      <c r="H8" s="7"/>
      <c r="I8" s="7"/>
      <c r="J8" s="7"/>
      <c r="K8" s="7"/>
      <c r="L8" s="25"/>
      <c r="M8" s="25"/>
      <c r="N8"/>
      <c r="O8"/>
      <c r="P8"/>
      <c r="Q8"/>
      <c r="R8"/>
      <c r="S8"/>
      <c r="T8"/>
    </row>
    <row r="9" spans="1:20" ht="14" customHeight="1" x14ac:dyDescent="0.15">
      <c r="A9" s="7"/>
      <c r="D9" s="15"/>
      <c r="E9" s="7"/>
      <c r="F9" s="15"/>
      <c r="G9" s="7"/>
      <c r="H9" s="15"/>
      <c r="I9" s="15"/>
      <c r="J9" s="15"/>
      <c r="K9" s="15"/>
      <c r="L9" s="7"/>
      <c r="M9" s="7"/>
    </row>
    <row r="10" spans="1:20" x14ac:dyDescent="0.15">
      <c r="A10" s="8" t="s">
        <v>34</v>
      </c>
      <c r="B10" s="7">
        <v>0.31773025665544824</v>
      </c>
      <c r="C10">
        <v>5.1411696474074325E-3</v>
      </c>
      <c r="D10" s="9">
        <v>-16.441675867000001</v>
      </c>
      <c r="E10" s="8">
        <v>6.0000000000000001E-3</v>
      </c>
      <c r="F10" s="9">
        <v>56.858331692999982</v>
      </c>
      <c r="G10" s="8">
        <v>2.4E-2</v>
      </c>
      <c r="H10" s="9">
        <v>-0.53744740272665403</v>
      </c>
      <c r="I10" s="9">
        <v>0.1697442589993545</v>
      </c>
      <c r="J10" s="9">
        <v>12.269568153348676</v>
      </c>
      <c r="K10" s="9">
        <v>0.59584474411175392</v>
      </c>
      <c r="L10" s="8">
        <v>146.19200000000001</v>
      </c>
      <c r="M10" s="8">
        <v>278.28300000000002</v>
      </c>
      <c r="N10">
        <f t="shared" si="0"/>
        <v>0.49794142642931044</v>
      </c>
      <c r="O10">
        <f t="shared" si="1"/>
        <v>1.0119799726667348E-2</v>
      </c>
      <c r="P10">
        <f t="shared" si="2"/>
        <v>9.6630082751346241E-2</v>
      </c>
      <c r="Q10">
        <f t="shared" si="3"/>
        <v>0.10529821240206652</v>
      </c>
      <c r="R10">
        <f t="shared" si="4"/>
        <v>0.19534686015515834</v>
      </c>
    </row>
    <row r="11" spans="1:20" x14ac:dyDescent="0.15">
      <c r="A11" s="7" t="s">
        <v>67</v>
      </c>
      <c r="B11" s="7">
        <v>0.28584449747372676</v>
      </c>
      <c r="C11">
        <v>1.2199691636787531E-2</v>
      </c>
      <c r="D11" s="7">
        <v>-18.376999999999999</v>
      </c>
      <c r="E11" s="7">
        <v>5.0000000000000001E-3</v>
      </c>
      <c r="F11" s="7">
        <v>39.009</v>
      </c>
      <c r="G11" s="7">
        <v>2.9000000000000001E-2</v>
      </c>
      <c r="H11" s="7">
        <v>-0.96399999999999997</v>
      </c>
      <c r="I11" s="7">
        <v>0.161</v>
      </c>
      <c r="J11" s="7">
        <v>12.692</v>
      </c>
      <c r="K11" s="7">
        <v>0.65600000000000003</v>
      </c>
      <c r="L11" s="7">
        <v>124.137</v>
      </c>
      <c r="M11" s="7">
        <v>235.98500000000001</v>
      </c>
      <c r="N11">
        <f t="shared" si="0"/>
        <v>0.54387016356794537</v>
      </c>
      <c r="O11">
        <f t="shared" si="1"/>
        <v>9.2644070429969243E-3</v>
      </c>
      <c r="P11">
        <f t="shared" si="2"/>
        <v>8.9232616733746731E-2</v>
      </c>
      <c r="Q11">
        <f t="shared" si="3"/>
        <v>9.686008196312676E-2</v>
      </c>
      <c r="R11">
        <f t="shared" si="4"/>
        <v>0.18073304707452784</v>
      </c>
    </row>
    <row r="12" spans="1:20" x14ac:dyDescent="0.15">
      <c r="A12" s="7" t="s">
        <v>35</v>
      </c>
      <c r="B12" s="7">
        <v>0.22704578500603778</v>
      </c>
      <c r="C12">
        <v>3.6738109575464597E-3</v>
      </c>
      <c r="D12" s="15">
        <v>-13.547715391000002</v>
      </c>
      <c r="E12" s="7">
        <v>7.0000000000000001E-3</v>
      </c>
      <c r="F12" s="15">
        <v>87.229905812999988</v>
      </c>
      <c r="G12" s="7">
        <v>3.2000000000000001E-2</v>
      </c>
      <c r="H12" s="15">
        <v>-0.70242735970538206</v>
      </c>
      <c r="I12" s="15">
        <v>0.24170628798861232</v>
      </c>
      <c r="J12" s="15">
        <v>18.525692714218778</v>
      </c>
      <c r="K12" s="15">
        <v>0.7110610082421327</v>
      </c>
      <c r="L12" s="8">
        <v>182.405</v>
      </c>
      <c r="M12" s="8">
        <v>361.16899999999998</v>
      </c>
      <c r="N12">
        <f t="shared" si="0"/>
        <v>0.64388655615284307</v>
      </c>
      <c r="O12">
        <f t="shared" si="1"/>
        <v>1.1395764398197774E-2</v>
      </c>
      <c r="P12">
        <f t="shared" si="2"/>
        <v>0.10893469703736759</v>
      </c>
      <c r="Q12">
        <f t="shared" si="3"/>
        <v>0.11880709702851938</v>
      </c>
      <c r="R12">
        <f t="shared" si="4"/>
        <v>0.22263189659647339</v>
      </c>
    </row>
    <row r="13" spans="1:20" ht="13" customHeight="1" x14ac:dyDescent="0.2">
      <c r="A13" s="10"/>
      <c r="B13" s="7"/>
      <c r="D13" s="11"/>
      <c r="E13" s="12"/>
      <c r="F13" s="11"/>
      <c r="G13" s="12"/>
      <c r="H13" s="11"/>
      <c r="I13" s="11"/>
      <c r="J13" s="13"/>
      <c r="K13" s="13"/>
      <c r="L13" s="8"/>
      <c r="M13" s="9"/>
    </row>
    <row r="15" spans="1:20" x14ac:dyDescent="0.15">
      <c r="E15" s="38"/>
    </row>
    <row r="16" spans="1:20" x14ac:dyDescent="0.15">
      <c r="E16" s="38"/>
    </row>
    <row r="18" spans="1:7" x14ac:dyDescent="0.15">
      <c r="A18" s="38" t="s">
        <v>94</v>
      </c>
      <c r="B18" s="38" t="s">
        <v>95</v>
      </c>
      <c r="C18" s="38" t="s">
        <v>100</v>
      </c>
      <c r="D18" s="38" t="s">
        <v>102</v>
      </c>
      <c r="E18" s="38" t="s">
        <v>101</v>
      </c>
      <c r="F18" s="38" t="s">
        <v>103</v>
      </c>
    </row>
    <row r="19" spans="1:7" x14ac:dyDescent="0.15">
      <c r="A19">
        <f>1-0.0272</f>
        <v>0.9728</v>
      </c>
      <c r="B19">
        <f>1-0.2523</f>
        <v>0.74770000000000003</v>
      </c>
      <c r="C19" s="38">
        <f>1-0.2729</f>
        <v>0.72710000000000008</v>
      </c>
      <c r="E19" s="38">
        <f>1-0.4737</f>
        <v>0.52629999999999999</v>
      </c>
      <c r="G19" s="38" t="s">
        <v>113</v>
      </c>
    </row>
    <row r="20" spans="1:7" x14ac:dyDescent="0.15">
      <c r="A20">
        <v>0.9829</v>
      </c>
      <c r="B20">
        <v>0.81630000000000003</v>
      </c>
      <c r="G20" s="38" t="s">
        <v>114</v>
      </c>
    </row>
    <row r="21" spans="1:7" x14ac:dyDescent="0.15">
      <c r="A21" s="50"/>
      <c r="B21" s="50"/>
      <c r="C21" s="50"/>
      <c r="D21" s="50"/>
      <c r="E21" s="50"/>
      <c r="F21" s="50"/>
      <c r="G21" s="38"/>
    </row>
  </sheetData>
  <sortState xmlns:xlrd2="http://schemas.microsoft.com/office/spreadsheetml/2017/richdata2" ref="A3:R13">
    <sortCondition descending="1" ref="B3:B13"/>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D8" sqref="D8"/>
    </sheetView>
  </sheetViews>
  <sheetFormatPr baseColWidth="10" defaultColWidth="12.6640625" defaultRowHeight="15" customHeight="1" x14ac:dyDescent="0.15"/>
  <cols>
    <col min="1" max="26" width="10.6640625" customWidth="1"/>
  </cols>
  <sheetData>
    <row r="1" spans="1:4" ht="12.75" customHeight="1" x14ac:dyDescent="0.15">
      <c r="A1" s="21" t="s">
        <v>9</v>
      </c>
      <c r="B1" s="21" t="s">
        <v>11</v>
      </c>
      <c r="C1" s="38" t="s">
        <v>86</v>
      </c>
      <c r="D1" s="38" t="s">
        <v>104</v>
      </c>
    </row>
    <row r="2" spans="1:4" ht="12.75" customHeight="1" x14ac:dyDescent="0.15">
      <c r="A2" s="22">
        <v>6.6350133731108407</v>
      </c>
      <c r="B2" s="22">
        <v>23.709665405754457</v>
      </c>
      <c r="C2">
        <v>0</v>
      </c>
      <c r="D2">
        <v>0</v>
      </c>
    </row>
    <row r="3" spans="1:4" ht="12.75" customHeight="1" x14ac:dyDescent="0.15">
      <c r="A3" s="22">
        <v>5.0369950798066423</v>
      </c>
      <c r="B3" s="22">
        <v>16.19575873973092</v>
      </c>
      <c r="C3">
        <v>50</v>
      </c>
      <c r="D3">
        <v>0</v>
      </c>
    </row>
    <row r="4" spans="1:4" ht="12.75" customHeight="1" x14ac:dyDescent="0.15">
      <c r="A4" s="22">
        <v>3.9251663824950858</v>
      </c>
      <c r="B4" s="22">
        <v>11.29045442506631</v>
      </c>
      <c r="C4">
        <v>100</v>
      </c>
      <c r="D4">
        <v>0</v>
      </c>
    </row>
    <row r="5" spans="1:4" ht="12.75" customHeight="1" x14ac:dyDescent="0.15">
      <c r="A5" s="22">
        <v>3.1129790947182072</v>
      </c>
      <c r="B5" s="22">
        <v>8.030051092927474</v>
      </c>
      <c r="C5">
        <v>150</v>
      </c>
      <c r="D5">
        <v>1</v>
      </c>
    </row>
    <row r="6" spans="1:4" ht="12.75" customHeight="1" x14ac:dyDescent="0.15">
      <c r="A6" s="22">
        <v>2.4988450959630044</v>
      </c>
      <c r="B6" s="22">
        <v>5.8261509132376874</v>
      </c>
      <c r="C6">
        <v>200</v>
      </c>
      <c r="D6">
        <v>0</v>
      </c>
    </row>
    <row r="7" spans="1:4" ht="12.75" customHeight="1" x14ac:dyDescent="0.15">
      <c r="A7" s="22">
        <v>2.0253438154386147</v>
      </c>
      <c r="B7" s="22">
        <v>4.3075348610023392</v>
      </c>
      <c r="C7">
        <v>250</v>
      </c>
      <c r="D7">
        <v>0</v>
      </c>
    </row>
    <row r="8" spans="1:4" ht="12.75" customHeight="1" x14ac:dyDescent="0.15">
      <c r="A8" s="22">
        <v>1.6556307822198018</v>
      </c>
      <c r="B8" s="22">
        <v>3.2402460283493344</v>
      </c>
      <c r="C8">
        <v>300</v>
      </c>
      <c r="D8">
        <v>1</v>
      </c>
    </row>
    <row r="9" spans="1:4" ht="12.75" customHeight="1" x14ac:dyDescent="0.15">
      <c r="A9" s="22">
        <v>1.3640773866687821</v>
      </c>
      <c r="B9" s="22">
        <v>2.4757241609561849</v>
      </c>
      <c r="C9">
        <v>350</v>
      </c>
      <c r="D9">
        <v>0</v>
      </c>
    </row>
    <row r="10" spans="1:4" ht="12.75" customHeight="1" x14ac:dyDescent="0.15">
      <c r="A10" s="22">
        <v>1.1321256560183961</v>
      </c>
      <c r="B10" s="22">
        <v>1.9182617013598311</v>
      </c>
      <c r="C10">
        <v>400</v>
      </c>
      <c r="D10">
        <v>0</v>
      </c>
    </row>
    <row r="11" spans="1:4" ht="12.75" customHeight="1" x14ac:dyDescent="0.15">
      <c r="A11" s="22">
        <v>0.94606399402222185</v>
      </c>
      <c r="B11" s="22">
        <v>1.5051008622291999</v>
      </c>
      <c r="C11">
        <v>450</v>
      </c>
      <c r="D11">
        <v>1</v>
      </c>
    </row>
    <row r="12" spans="1:4" ht="12.75" customHeight="1" x14ac:dyDescent="0.15">
      <c r="A12" s="22">
        <v>0.79563917382072058</v>
      </c>
      <c r="B12" s="22">
        <v>1.1943159213832091</v>
      </c>
      <c r="C12">
        <v>500</v>
      </c>
      <c r="D12">
        <v>0</v>
      </c>
    </row>
    <row r="13" spans="1:4" ht="12.75" customHeight="1" x14ac:dyDescent="0.15">
      <c r="A13" s="22">
        <v>0.67311453093069085</v>
      </c>
      <c r="B13" s="22">
        <v>0.95737809490751358</v>
      </c>
      <c r="C13">
        <v>550</v>
      </c>
      <c r="D13">
        <v>0</v>
      </c>
    </row>
    <row r="14" spans="1:4" ht="12.75" customHeight="1" x14ac:dyDescent="0.15">
      <c r="A14" s="22">
        <v>0.5726052276910758</v>
      </c>
      <c r="B14" s="22">
        <v>0.77453021215834517</v>
      </c>
      <c r="C14">
        <v>600</v>
      </c>
      <c r="D14">
        <v>1</v>
      </c>
    </row>
    <row r="15" spans="1:4" ht="12.75" customHeight="1" x14ac:dyDescent="0.15">
      <c r="A15" s="22">
        <v>0.4896003352542565</v>
      </c>
      <c r="B15" s="22">
        <v>0.63186164721080063</v>
      </c>
      <c r="C15">
        <v>650</v>
      </c>
      <c r="D15">
        <v>0</v>
      </c>
    </row>
    <row r="16" spans="1:4" ht="12.75" customHeight="1" x14ac:dyDescent="0.15">
      <c r="A16" s="22">
        <v>0.42061573885610698</v>
      </c>
      <c r="B16" s="22">
        <v>0.51942619395787015</v>
      </c>
      <c r="C16">
        <v>700</v>
      </c>
      <c r="D16">
        <v>0</v>
      </c>
    </row>
    <row r="17" spans="1:4" ht="12.75" customHeight="1" x14ac:dyDescent="0.15">
      <c r="A17" s="22">
        <v>0.36294022694013867</v>
      </c>
      <c r="B17" s="22">
        <v>0.43000994992064462</v>
      </c>
      <c r="C17">
        <v>750</v>
      </c>
      <c r="D17">
        <v>1</v>
      </c>
    </row>
    <row r="18" spans="1:4" ht="12.75" customHeight="1" x14ac:dyDescent="0.15">
      <c r="A18" s="22">
        <v>0.31444854161794056</v>
      </c>
      <c r="B18" s="22">
        <v>0.35831113637152967</v>
      </c>
      <c r="C18">
        <v>800</v>
      </c>
      <c r="D18">
        <v>0</v>
      </c>
    </row>
    <row r="19" spans="1:4" ht="12.75" customHeight="1" x14ac:dyDescent="0.15">
      <c r="A19" s="22">
        <v>0.27346284180450203</v>
      </c>
      <c r="B19" s="22">
        <v>0.30038536695739798</v>
      </c>
      <c r="C19">
        <v>850</v>
      </c>
      <c r="D19">
        <v>0</v>
      </c>
    </row>
    <row r="20" spans="1:4" ht="12.75" customHeight="1" x14ac:dyDescent="0.15">
      <c r="A20" s="22">
        <v>0.23864936231050121</v>
      </c>
      <c r="B20" s="22">
        <v>0.2532647642588528</v>
      </c>
      <c r="C20">
        <v>900</v>
      </c>
      <c r="D20">
        <v>1</v>
      </c>
    </row>
    <row r="21" spans="1:4" ht="12.75" customHeight="1" x14ac:dyDescent="0.15">
      <c r="A21" s="22">
        <v>0.20894080566430237</v>
      </c>
      <c r="B21" s="22">
        <v>0.21469271492755723</v>
      </c>
      <c r="C21">
        <v>950</v>
      </c>
      <c r="D21">
        <v>0</v>
      </c>
    </row>
    <row r="22" spans="1:4" ht="12.75" customHeight="1" x14ac:dyDescent="0.15">
      <c r="A22" s="22">
        <v>0.1834776604589777</v>
      </c>
      <c r="B22" s="22">
        <v>0.18293668730745388</v>
      </c>
      <c r="C22">
        <v>1000</v>
      </c>
      <c r="D22">
        <v>0</v>
      </c>
    </row>
    <row r="23" spans="1:4" ht="12.75" customHeight="1" x14ac:dyDescent="0.15">
      <c r="A23" s="22">
        <v>0.14263087973180089</v>
      </c>
      <c r="B23" s="22">
        <v>0.13479756575591079</v>
      </c>
      <c r="C23">
        <v>1050</v>
      </c>
      <c r="D23">
        <v>1</v>
      </c>
    </row>
    <row r="24" spans="1:4" ht="12.75" customHeight="1" x14ac:dyDescent="0.15">
      <c r="A24" s="22">
        <v>0.11193169833347134</v>
      </c>
      <c r="B24" s="22">
        <v>0.1012282102600798</v>
      </c>
      <c r="C24">
        <v>1100</v>
      </c>
      <c r="D24">
        <v>0</v>
      </c>
    </row>
    <row r="25" spans="1:4" ht="12.75" customHeight="1" x14ac:dyDescent="0.15">
      <c r="A25" s="22">
        <v>8.8550116705195567E-2</v>
      </c>
      <c r="B25" s="22">
        <v>7.7450502453490958E-2</v>
      </c>
      <c r="C25">
        <v>1150</v>
      </c>
      <c r="D25">
        <v>0</v>
      </c>
    </row>
    <row r="26" spans="1:4" ht="12.75" customHeight="1" x14ac:dyDescent="0.15">
      <c r="A26" s="22">
        <v>7.0530439571359765E-2</v>
      </c>
      <c r="B26" s="22">
        <v>6.0386658695981414E-2</v>
      </c>
      <c r="C26">
        <v>1200</v>
      </c>
      <c r="D26">
        <v>1</v>
      </c>
    </row>
    <row r="27" spans="1:4" ht="12.75" customHeight="1" x14ac:dyDescent="0.15">
      <c r="A27" s="22">
        <v>5.6496599155634937E-2</v>
      </c>
      <c r="B27" s="22">
        <v>4.8007114140476648E-2</v>
      </c>
      <c r="C27">
        <v>1250</v>
      </c>
      <c r="D27">
        <v>0</v>
      </c>
    </row>
    <row r="28" spans="1:4" ht="12.75" customHeight="1" x14ac:dyDescent="0.15">
      <c r="A28" s="22">
        <v>4.5464399594198762E-2</v>
      </c>
      <c r="B28" s="22">
        <v>3.8945619462472339E-2</v>
      </c>
      <c r="C28">
        <v>1300</v>
      </c>
      <c r="D28">
        <v>0</v>
      </c>
    </row>
    <row r="29" spans="1:4" ht="12.75" customHeight="1" x14ac:dyDescent="0.15"/>
    <row r="30" spans="1:4" ht="12.75" customHeight="1" x14ac:dyDescent="0.15"/>
    <row r="31" spans="1:4" ht="12.75" customHeight="1" x14ac:dyDescent="0.15"/>
    <row r="32" spans="1:4"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election activeCell="K3" sqref="K3"/>
    </sheetView>
  </sheetViews>
  <sheetFormatPr baseColWidth="10" defaultColWidth="12.6640625" defaultRowHeight="15" customHeight="1" x14ac:dyDescent="0.15"/>
  <cols>
    <col min="1" max="4" width="10.6640625" customWidth="1"/>
    <col min="5" max="5" width="12.33203125" customWidth="1"/>
    <col min="6" max="8" width="10.6640625" customWidth="1"/>
    <col min="9" max="9" width="12.33203125" customWidth="1"/>
    <col min="10" max="26" width="10.6640625" customWidth="1"/>
  </cols>
  <sheetData>
    <row r="1" spans="1:11" ht="12.75" customHeight="1" x14ac:dyDescent="0.15">
      <c r="A1" s="21" t="s">
        <v>74</v>
      </c>
      <c r="B1" s="21" t="s">
        <v>75</v>
      </c>
      <c r="C1" s="21" t="s">
        <v>76</v>
      </c>
      <c r="D1" s="21" t="s">
        <v>77</v>
      </c>
      <c r="E1" s="21" t="s">
        <v>78</v>
      </c>
      <c r="F1" s="21" t="s">
        <v>79</v>
      </c>
      <c r="G1" s="21" t="s">
        <v>80</v>
      </c>
      <c r="H1" s="21" t="s">
        <v>81</v>
      </c>
      <c r="I1" s="21" t="s">
        <v>82</v>
      </c>
      <c r="J1" s="21" t="s">
        <v>83</v>
      </c>
    </row>
    <row r="2" spans="1:11" ht="12.75" customHeight="1" x14ac:dyDescent="0.15">
      <c r="A2" s="21">
        <v>3.2</v>
      </c>
      <c r="B2" s="23">
        <f>273.15+37</f>
        <v>310.14999999999998</v>
      </c>
      <c r="C2" s="23">
        <f>-67.1962+99.1624*(100/B2)+27.9015*LN(B2/100)+A2*(-0.072909+0.041674*(B2/100)-0.064603*(B2/100)^2)</f>
        <v>-5.4507832655030892</v>
      </c>
      <c r="D2" s="23">
        <f>EXP(C2)</f>
        <v>4.292940861055171E-3</v>
      </c>
      <c r="E2" s="23">
        <f>D2*(1/8.314/273.15)</f>
        <v>1.8903563509759649E-6</v>
      </c>
      <c r="F2" s="23">
        <v>130</v>
      </c>
      <c r="G2" s="23">
        <v>800</v>
      </c>
      <c r="H2" s="23">
        <f>G2/1000*22.4/130*(101325*(G2/1000*22.4+130)/130)</f>
        <v>15892.594821301773</v>
      </c>
      <c r="I2" s="23">
        <f>H2*E2/1000</f>
        <v>3.0042667553935535E-5</v>
      </c>
      <c r="J2" s="23">
        <f>I2*30/1000*10^6</f>
        <v>0.90128002661806594</v>
      </c>
      <c r="K2">
        <f>J2/G2*100</f>
        <v>0.11266000332725823</v>
      </c>
    </row>
    <row r="3" spans="1:11" ht="12.75" customHeight="1" x14ac:dyDescent="0.15"/>
    <row r="4" spans="1:11" ht="12.75" customHeight="1" x14ac:dyDescent="0.15">
      <c r="A4" s="21" t="s">
        <v>84</v>
      </c>
    </row>
    <row r="5" spans="1:11" ht="12.75" customHeight="1" x14ac:dyDescent="0.15"/>
    <row r="6" spans="1:11" ht="12.75" customHeight="1" x14ac:dyDescent="0.15"/>
    <row r="7" spans="1:11" ht="12.75" customHeight="1" x14ac:dyDescent="0.15"/>
    <row r="8" spans="1:11" ht="12.75" customHeight="1" x14ac:dyDescent="0.15"/>
    <row r="9" spans="1:11" ht="12.75" customHeight="1" x14ac:dyDescent="0.15"/>
    <row r="10" spans="1:11" ht="12.75" customHeight="1" x14ac:dyDescent="0.15"/>
    <row r="11" spans="1:11" ht="12.75" customHeight="1" x14ac:dyDescent="0.15"/>
    <row r="12" spans="1:11" ht="12.75" customHeight="1" x14ac:dyDescent="0.15"/>
    <row r="13" spans="1:11" ht="12.75" customHeight="1" x14ac:dyDescent="0.15"/>
    <row r="14" spans="1:11" ht="12.75" customHeight="1" x14ac:dyDescent="0.15"/>
    <row r="15" spans="1:11" ht="12.75" customHeight="1" x14ac:dyDescent="0.15"/>
    <row r="16" spans="1: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Mcaps_clumped_data_Summary</vt:lpstr>
      <vt:lpstr>Regression for alphas</vt:lpstr>
      <vt:lpstr>Equilibrium</vt:lpstr>
      <vt:lpstr>Correction for solubility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Jiawen Li</cp:lastModifiedBy>
  <dcterms:created xsi:type="dcterms:W3CDTF">2022-03-17T03:51:17Z</dcterms:created>
  <dcterms:modified xsi:type="dcterms:W3CDTF">2023-06-15T15:35:40Z</dcterms:modified>
</cp:coreProperties>
</file>