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5cbk/Documents/lab/Mcaps/27C/"/>
    </mc:Choice>
  </mc:AlternateContent>
  <xr:revisionPtr revIDLastSave="0" documentId="13_ncr:1_{239CBE60-6B50-D447-89DD-C49728DC27DF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ampleMeasurements" sheetId="1" r:id="rId1"/>
    <sheet name="CH4_std_curves" sheetId="4" r:id="rId2"/>
    <sheet name="CO2_std_curves" sheetId="5" r:id="rId3"/>
    <sheet name="SampleLi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5" i="1" l="1"/>
  <c r="Z41" i="1"/>
  <c r="Z37" i="1"/>
  <c r="Z33" i="1"/>
  <c r="Z29" i="1"/>
  <c r="Y12" i="1"/>
  <c r="Z12" i="1"/>
  <c r="Y45" i="1"/>
  <c r="Y41" i="1"/>
  <c r="Y37" i="1"/>
  <c r="Y33" i="1"/>
  <c r="Y29" i="1"/>
  <c r="V12" i="1"/>
  <c r="V16" i="1" s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X26" i="1" s="1"/>
  <c r="U27" i="1"/>
  <c r="U28" i="1"/>
  <c r="W26" i="1" s="1"/>
  <c r="U29" i="1"/>
  <c r="U30" i="1"/>
  <c r="X30" i="1" s="1"/>
  <c r="U31" i="1"/>
  <c r="U32" i="1"/>
  <c r="U33" i="1"/>
  <c r="U34" i="1"/>
  <c r="W34" i="1" s="1"/>
  <c r="U35" i="1"/>
  <c r="U36" i="1"/>
  <c r="U37" i="1"/>
  <c r="U38" i="1"/>
  <c r="W38" i="1" s="1"/>
  <c r="U39" i="1"/>
  <c r="U40" i="1"/>
  <c r="U41" i="1"/>
  <c r="U42" i="1"/>
  <c r="W42" i="1" s="1"/>
  <c r="U43" i="1"/>
  <c r="U44" i="1"/>
  <c r="U45" i="1"/>
  <c r="U13" i="1"/>
  <c r="V14" i="1"/>
  <c r="V15" i="1"/>
  <c r="V18" i="1"/>
  <c r="V19" i="1"/>
  <c r="V20" i="1"/>
  <c r="V21" i="1"/>
  <c r="V22" i="1"/>
  <c r="V23" i="1"/>
  <c r="V26" i="1"/>
  <c r="V27" i="1"/>
  <c r="V28" i="1"/>
  <c r="V29" i="1"/>
  <c r="V30" i="1"/>
  <c r="V31" i="1"/>
  <c r="V34" i="1"/>
  <c r="V35" i="1"/>
  <c r="V36" i="1"/>
  <c r="V37" i="1"/>
  <c r="V38" i="1"/>
  <c r="V39" i="1"/>
  <c r="V42" i="1"/>
  <c r="V43" i="1"/>
  <c r="V44" i="1"/>
  <c r="V45" i="1"/>
  <c r="V13" i="1"/>
  <c r="R42" i="1"/>
  <c r="R43" i="1"/>
  <c r="R44" i="1"/>
  <c r="R45" i="1"/>
  <c r="R36" i="1"/>
  <c r="R37" i="1"/>
  <c r="R38" i="1"/>
  <c r="R39" i="1"/>
  <c r="R40" i="1"/>
  <c r="R41" i="1"/>
  <c r="C22" i="5"/>
  <c r="C23" i="5"/>
  <c r="C24" i="5"/>
  <c r="C25" i="5"/>
  <c r="C26" i="5"/>
  <c r="C2" i="5"/>
  <c r="E26" i="5"/>
  <c r="F26" i="5"/>
  <c r="E25" i="5"/>
  <c r="F25" i="5"/>
  <c r="E24" i="5"/>
  <c r="F24" i="5"/>
  <c r="E23" i="5"/>
  <c r="F23" i="5"/>
  <c r="E22" i="5"/>
  <c r="F22" i="5"/>
  <c r="C2" i="4"/>
  <c r="E47" i="4"/>
  <c r="F47" i="4"/>
  <c r="E46" i="4"/>
  <c r="F46" i="4"/>
  <c r="E45" i="4"/>
  <c r="F45" i="4"/>
  <c r="E44" i="4"/>
  <c r="F44" i="4"/>
  <c r="E43" i="4"/>
  <c r="F43" i="4"/>
  <c r="C43" i="4"/>
  <c r="C44" i="4"/>
  <c r="C45" i="4"/>
  <c r="C46" i="4"/>
  <c r="C47" i="4"/>
  <c r="R35" i="1"/>
  <c r="R34" i="1"/>
  <c r="R33" i="1"/>
  <c r="R32" i="1"/>
  <c r="R31" i="1"/>
  <c r="R30" i="1"/>
  <c r="R29" i="1"/>
  <c r="R28" i="1"/>
  <c r="R27" i="1"/>
  <c r="R26" i="1"/>
  <c r="E21" i="5"/>
  <c r="F21" i="5"/>
  <c r="C21" i="5"/>
  <c r="E20" i="5"/>
  <c r="F20" i="5"/>
  <c r="C20" i="5"/>
  <c r="E19" i="5"/>
  <c r="F19" i="5"/>
  <c r="C19" i="5"/>
  <c r="E18" i="5"/>
  <c r="F18" i="5"/>
  <c r="C18" i="5"/>
  <c r="E17" i="5"/>
  <c r="F17" i="5"/>
  <c r="C17" i="5"/>
  <c r="E42" i="4"/>
  <c r="F42" i="4"/>
  <c r="C42" i="4"/>
  <c r="E41" i="4"/>
  <c r="F41" i="4"/>
  <c r="C41" i="4"/>
  <c r="E40" i="4"/>
  <c r="F40" i="4"/>
  <c r="C40" i="4"/>
  <c r="E39" i="4"/>
  <c r="F39" i="4"/>
  <c r="C39" i="4"/>
  <c r="E38" i="4"/>
  <c r="F38" i="4"/>
  <c r="C38" i="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C16" i="5"/>
  <c r="C15" i="5"/>
  <c r="C14" i="5"/>
  <c r="C13" i="5"/>
  <c r="C12" i="5"/>
  <c r="C37" i="4"/>
  <c r="C36" i="4"/>
  <c r="C35" i="4"/>
  <c r="C34" i="4"/>
  <c r="C33" i="4"/>
  <c r="C32" i="4"/>
  <c r="C31" i="4"/>
  <c r="C30" i="4"/>
  <c r="C11" i="5"/>
  <c r="C10" i="5"/>
  <c r="C9" i="5"/>
  <c r="C8" i="5"/>
  <c r="C7" i="5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3" i="5"/>
  <c r="C4" i="5"/>
  <c r="C5" i="5"/>
  <c r="C6" i="5"/>
  <c r="C3" i="4"/>
  <c r="C4" i="4"/>
  <c r="C5" i="4"/>
  <c r="C6" i="4"/>
  <c r="E37" i="4"/>
  <c r="F37" i="4"/>
  <c r="E21" i="4"/>
  <c r="F21" i="4"/>
  <c r="E35" i="4"/>
  <c r="F35" i="4"/>
  <c r="E24" i="4"/>
  <c r="F24" i="4"/>
  <c r="E29" i="4"/>
  <c r="F29" i="4"/>
  <c r="E31" i="4"/>
  <c r="F31" i="4"/>
  <c r="E26" i="4"/>
  <c r="F26" i="4"/>
  <c r="E27" i="4"/>
  <c r="F27" i="4"/>
  <c r="E36" i="4"/>
  <c r="F36" i="4"/>
  <c r="E20" i="4"/>
  <c r="F20" i="4"/>
  <c r="E30" i="4"/>
  <c r="F30" i="4"/>
  <c r="E25" i="4"/>
  <c r="F25" i="4"/>
  <c r="E34" i="4"/>
  <c r="F34" i="4"/>
  <c r="E33" i="4"/>
  <c r="F33" i="4"/>
  <c r="E22" i="4"/>
  <c r="F22" i="4"/>
  <c r="E23" i="4"/>
  <c r="F23" i="4"/>
  <c r="E32" i="4"/>
  <c r="F32" i="4"/>
  <c r="E28" i="4"/>
  <c r="F28" i="4"/>
  <c r="E4" i="5"/>
  <c r="F4" i="5"/>
  <c r="E16" i="5"/>
  <c r="F16" i="5"/>
  <c r="E15" i="5"/>
  <c r="F15" i="5"/>
  <c r="E8" i="5"/>
  <c r="F8" i="5"/>
  <c r="E12" i="5"/>
  <c r="F12" i="5"/>
  <c r="E14" i="5"/>
  <c r="F14" i="5"/>
  <c r="E7" i="5"/>
  <c r="F7" i="5"/>
  <c r="E13" i="5"/>
  <c r="F13" i="5"/>
  <c r="E11" i="5"/>
  <c r="F11" i="5"/>
  <c r="E10" i="5"/>
  <c r="F10" i="5"/>
  <c r="E9" i="5"/>
  <c r="F9" i="5"/>
  <c r="E19" i="4"/>
  <c r="F19" i="4"/>
  <c r="E17" i="4"/>
  <c r="F17" i="4"/>
  <c r="E18" i="4"/>
  <c r="F18" i="4"/>
  <c r="E15" i="4"/>
  <c r="F15" i="4"/>
  <c r="E16" i="4"/>
  <c r="F16" i="4"/>
  <c r="E6" i="4"/>
  <c r="F6" i="4"/>
  <c r="E14" i="4"/>
  <c r="F14" i="4"/>
  <c r="E12" i="4"/>
  <c r="F12" i="4"/>
  <c r="E10" i="4"/>
  <c r="F10" i="4"/>
  <c r="E7" i="4"/>
  <c r="F7" i="4"/>
  <c r="E8" i="4"/>
  <c r="F8" i="4"/>
  <c r="E13" i="4"/>
  <c r="F13" i="4"/>
  <c r="E11" i="4"/>
  <c r="F11" i="4"/>
  <c r="E9" i="4"/>
  <c r="F9" i="4"/>
  <c r="E3" i="5"/>
  <c r="F3" i="5"/>
  <c r="E6" i="5"/>
  <c r="F6" i="5"/>
  <c r="E5" i="5"/>
  <c r="F5" i="5"/>
  <c r="E2" i="5"/>
  <c r="F2" i="5"/>
  <c r="E2" i="4"/>
  <c r="F2" i="4"/>
  <c r="E3" i="4"/>
  <c r="F3" i="4"/>
  <c r="E5" i="4"/>
  <c r="F5" i="4"/>
  <c r="E4" i="4"/>
  <c r="F4" i="4"/>
  <c r="I25" i="4"/>
  <c r="I30" i="4"/>
  <c r="J30" i="4"/>
  <c r="I20" i="4"/>
  <c r="I12" i="5"/>
  <c r="J12" i="5"/>
  <c r="I33" i="4"/>
  <c r="J7" i="5"/>
  <c r="I7" i="5"/>
  <c r="I15" i="4"/>
  <c r="I7" i="4"/>
  <c r="I12" i="4"/>
  <c r="J2" i="5"/>
  <c r="I2" i="5"/>
  <c r="I2" i="4"/>
  <c r="J2" i="4"/>
  <c r="S2" i="1"/>
  <c r="T2" i="1"/>
  <c r="S12" i="1"/>
  <c r="T12" i="1"/>
  <c r="S11" i="1"/>
  <c r="T11" i="1"/>
  <c r="S10" i="1"/>
  <c r="T10" i="1"/>
  <c r="S8" i="1"/>
  <c r="T8" i="1"/>
  <c r="S7" i="1"/>
  <c r="T7" i="1"/>
  <c r="S6" i="1"/>
  <c r="T6" i="1"/>
  <c r="S4" i="1"/>
  <c r="T4" i="1"/>
  <c r="S3" i="1"/>
  <c r="T3" i="1"/>
  <c r="J33" i="4"/>
  <c r="S24" i="1"/>
  <c r="T24" i="1"/>
  <c r="J7" i="4"/>
  <c r="S13" i="1"/>
  <c r="T13" i="1"/>
  <c r="S9" i="1"/>
  <c r="T9" i="1"/>
  <c r="S5" i="1"/>
  <c r="T5" i="1"/>
  <c r="S14" i="1"/>
  <c r="T14" i="1"/>
  <c r="J12" i="4"/>
  <c r="S15" i="1"/>
  <c r="T15" i="1"/>
  <c r="S16" i="1"/>
  <c r="T16" i="1"/>
  <c r="J20" i="4"/>
  <c r="S18" i="1"/>
  <c r="T18" i="1"/>
  <c r="J15" i="4"/>
  <c r="S17" i="1"/>
  <c r="T17" i="1"/>
  <c r="S20" i="1"/>
  <c r="T20" i="1"/>
  <c r="S19" i="1"/>
  <c r="T19" i="1"/>
  <c r="J25" i="4"/>
  <c r="S21" i="1"/>
  <c r="T21" i="1"/>
  <c r="S22" i="1"/>
  <c r="T22" i="1"/>
  <c r="S23" i="1"/>
  <c r="T23" i="1"/>
  <c r="S25" i="1"/>
  <c r="T25" i="1"/>
  <c r="I17" i="5"/>
  <c r="J17" i="5"/>
  <c r="J38" i="4"/>
  <c r="I38" i="4"/>
  <c r="S26" i="1"/>
  <c r="T26" i="1"/>
  <c r="S28" i="1"/>
  <c r="T28" i="1"/>
  <c r="S27" i="1"/>
  <c r="T27" i="1"/>
  <c r="S34" i="1"/>
  <c r="T34" i="1"/>
  <c r="S33" i="1"/>
  <c r="T33" i="1"/>
  <c r="S31" i="1"/>
  <c r="T31" i="1"/>
  <c r="S30" i="1"/>
  <c r="T30" i="1"/>
  <c r="S29" i="1"/>
  <c r="T29" i="1"/>
  <c r="S35" i="1"/>
  <c r="T35" i="1"/>
  <c r="S32" i="1"/>
  <c r="T32" i="1"/>
  <c r="I43" i="4"/>
  <c r="I22" i="5"/>
  <c r="J22" i="5"/>
  <c r="J43" i="4"/>
  <c r="S41" i="1"/>
  <c r="T41" i="1"/>
  <c r="S40" i="1"/>
  <c r="T40" i="1"/>
  <c r="S39" i="1"/>
  <c r="T39" i="1"/>
  <c r="S38" i="1"/>
  <c r="T38" i="1"/>
  <c r="S37" i="1"/>
  <c r="T37" i="1"/>
  <c r="S42" i="1"/>
  <c r="T42" i="1"/>
  <c r="S43" i="1"/>
  <c r="T43" i="1"/>
  <c r="S36" i="1"/>
  <c r="T36" i="1"/>
  <c r="S45" i="1"/>
  <c r="T45" i="1"/>
  <c r="S44" i="1"/>
  <c r="T44" i="1"/>
  <c r="V41" i="1" l="1"/>
  <c r="V33" i="1"/>
  <c r="V25" i="1"/>
  <c r="V17" i="1"/>
  <c r="V40" i="1"/>
  <c r="V32" i="1"/>
  <c r="V24" i="1"/>
  <c r="X34" i="1"/>
  <c r="X38" i="1"/>
  <c r="X42" i="1"/>
  <c r="W30" i="1"/>
</calcChain>
</file>

<file path=xl/sharedStrings.xml><?xml version="1.0" encoding="utf-8"?>
<sst xmlns="http://schemas.openxmlformats.org/spreadsheetml/2006/main" count="217" uniqueCount="70">
  <si>
    <t>Date time</t>
  </si>
  <si>
    <t>Bottle</t>
  </si>
  <si>
    <t>FID_CH4_retention_time</t>
  </si>
  <si>
    <t>FID_CH4_peak_area</t>
  </si>
  <si>
    <t>TCD_CH4_retention_time</t>
  </si>
  <si>
    <t>TCD_CH4_peak_area</t>
  </si>
  <si>
    <t>TCD_CO2_retention_time</t>
  </si>
  <si>
    <t>TCD_CO2_peak_area</t>
  </si>
  <si>
    <t>Notes</t>
  </si>
  <si>
    <t>Vol (L) of 1 mol ideal gas at 20C (ideal gas law)</t>
  </si>
  <si>
    <t>CH4 1% std concentration</t>
  </si>
  <si>
    <t>Inj. Vol. (uL)</t>
  </si>
  <si>
    <t>moles</t>
  </si>
  <si>
    <t>nanomoles</t>
  </si>
  <si>
    <t>RT</t>
  </si>
  <si>
    <t>Area</t>
  </si>
  <si>
    <t>slope</t>
  </si>
  <si>
    <t>y-intercept</t>
  </si>
  <si>
    <t>Date</t>
  </si>
  <si>
    <t>Injection volume (µL)</t>
  </si>
  <si>
    <t>2021-06-09_Uninoculated-control_27C</t>
  </si>
  <si>
    <t>2021-06-09_Mcaps_27C_T1_M1</t>
  </si>
  <si>
    <t>2021-06-09_Mcaps_27C_T1_M2</t>
  </si>
  <si>
    <t>2021-06-09_Mcaps_27C_T2_M1</t>
  </si>
  <si>
    <t>2021-06-09_Mcaps_27C_T2_M2</t>
  </si>
  <si>
    <t>2021-06-09_Mcaps_27C_T3_M1</t>
  </si>
  <si>
    <t>2021-06-09_Mcaps_27C_T3_M2</t>
  </si>
  <si>
    <t>2021-06-09_Mcaps_27C_T4_M1</t>
  </si>
  <si>
    <t>2021-06-09_Mcaps_27C_T4_M2</t>
  </si>
  <si>
    <t>2021-06-09_Mcaps_27C_T5_M1</t>
  </si>
  <si>
    <t>2021-06-09_Mcaps_27C_T5_M2</t>
  </si>
  <si>
    <t>No TCD</t>
  </si>
  <si>
    <t>Timepoint</t>
  </si>
  <si>
    <t>ND</t>
  </si>
  <si>
    <t>Total capacity volume of culture vessel (mL); Constant</t>
  </si>
  <si>
    <t>Initial media volume (mL); Constant</t>
  </si>
  <si>
    <t>Volume of inoculum added prior to GC measurement (mL); Constant after initial addition</t>
  </si>
  <si>
    <t>OD sampling volume (mL); Constant</t>
  </si>
  <si>
    <t>Number of OD samplings taken prior to GC measurement</t>
  </si>
  <si>
    <t>Volume of 1M HCl added prior to GC measurement (mL)</t>
  </si>
  <si>
    <t>Headspace volume at time of GC measurement (mL)</t>
  </si>
  <si>
    <t>Methane concentration in sample injection (nanomols/uL)</t>
  </si>
  <si>
    <t>Total methane concentration in bottle (umols)</t>
  </si>
  <si>
    <t>2021-06-09_Mcaps_27C_T1_C1</t>
  </si>
  <si>
    <t>2021-06-09_Mcaps_27C_T1_C2</t>
  </si>
  <si>
    <t>2021-06-09_Mcaps_27C_T1_C3</t>
  </si>
  <si>
    <t>2021-06-09_Mcaps_27C_T1_C4</t>
  </si>
  <si>
    <t>2021-06-09_Mcaps_27C_T2_C1</t>
  </si>
  <si>
    <t>2021-06-09_Mcaps_27C_T2_C2</t>
  </si>
  <si>
    <t>2021-06-09_Mcaps_27C_T2_C3</t>
  </si>
  <si>
    <t>2021-06-09_Mcaps_27C_T2_C4</t>
  </si>
  <si>
    <t>2021-06-09_Mcaps_27C_T3_C1</t>
  </si>
  <si>
    <t>2021-06-09_Mcaps_27C_T3_C2</t>
  </si>
  <si>
    <t>2021-06-09_Mcaps_27C_T3_C3</t>
  </si>
  <si>
    <t>2021-06-09_Mcaps_27C_T3_C4</t>
  </si>
  <si>
    <t>2021-06-09_Mcaps_27C_T4_C1</t>
  </si>
  <si>
    <t>2021-06-09_Mcaps_27C_T4_C2</t>
  </si>
  <si>
    <t>2021-06-09_Mcaps_27C_T4_C3</t>
  </si>
  <si>
    <t>2021-06-09_Mcaps_27C_T4_C4</t>
  </si>
  <si>
    <t>2021-06-09_Mcaps_27C_T5_C1</t>
  </si>
  <si>
    <t>2021-06-09_Mcaps_27C_T5_C2</t>
  </si>
  <si>
    <t>2021-06-09_Mcaps_27C_T5_C3</t>
  </si>
  <si>
    <t>2021-06-09_Mcaps_27C_T5_C4</t>
  </si>
  <si>
    <t>Room temp at time of measurement = 23C</t>
  </si>
  <si>
    <t>Room temp at time of measurement = 23.5 C</t>
  </si>
  <si>
    <t>The methane peak is getting too low, for the next 3 samples, will use 40 uL instead of 30 uL</t>
  </si>
  <si>
    <t>Stdev of f</t>
  </si>
  <si>
    <t>avgf</t>
  </si>
  <si>
    <t>stdevf</t>
  </si>
  <si>
    <t>avg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</si>
</sst>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1" fontId="0" fillId="3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22" fontId="0" fillId="0" borderId="0" xfId="0" applyNumberFormat="1"/>
    <xf numFmtId="16" fontId="0" fillId="0" borderId="0" xfId="0" applyNumberFormat="1"/>
    <xf numFmtId="0" fontId="3" fillId="3" borderId="0" xfId="0" applyFont="1" applyFill="1" applyAlignment="1">
      <alignment wrapText="1"/>
    </xf>
    <xf numFmtId="0" fontId="4" fillId="3" borderId="0" xfId="0" applyFont="1" applyFill="1"/>
    <xf numFmtId="0" fontId="4" fillId="0" borderId="0" xfId="0" applyFont="1"/>
    <xf numFmtId="0" fontId="0" fillId="3" borderId="0" xfId="0" applyFill="1"/>
    <xf numFmtId="0" fontId="5" fillId="0" borderId="0" xfId="0" applyFont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98293963254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CH4_std_curves!$F$2:$F$6</c:f>
              <c:numCache>
                <c:formatCode>0.00</c:formatCode>
                <c:ptCount val="5"/>
                <c:pt idx="0">
                  <c:v>20.74688796680498</c:v>
                </c:pt>
                <c:pt idx="1">
                  <c:v>41.49377593360996</c:v>
                </c:pt>
                <c:pt idx="2">
                  <c:v>82.987551867219921</c:v>
                </c:pt>
                <c:pt idx="3">
                  <c:v>124.48132780082987</c:v>
                </c:pt>
                <c:pt idx="4">
                  <c:v>165.97510373443984</c:v>
                </c:pt>
              </c:numCache>
            </c:numRef>
          </c:xVal>
          <c:yVal>
            <c:numRef>
              <c:f>CH4_std_curves!$H$2:$H$6</c:f>
              <c:numCache>
                <c:formatCode>0.0000</c:formatCode>
                <c:ptCount val="5"/>
                <c:pt idx="0">
                  <c:v>111.5412</c:v>
                </c:pt>
                <c:pt idx="1">
                  <c:v>360.57279999999997</c:v>
                </c:pt>
                <c:pt idx="2">
                  <c:v>528.6771</c:v>
                </c:pt>
                <c:pt idx="3">
                  <c:v>772.63890000000004</c:v>
                </c:pt>
                <c:pt idx="4">
                  <c:v>1027.8208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E-C549-9E5B-2A270356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5/24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98293963254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CH4_std_curves!$F$7:$F$11</c:f>
              <c:numCache>
                <c:formatCode>0.00</c:formatCode>
                <c:ptCount val="5"/>
                <c:pt idx="0">
                  <c:v>20.74688796680498</c:v>
                </c:pt>
                <c:pt idx="1">
                  <c:v>41.49377593360996</c:v>
                </c:pt>
                <c:pt idx="2">
                  <c:v>82.987551867219921</c:v>
                </c:pt>
                <c:pt idx="3">
                  <c:v>124.48132780082987</c:v>
                </c:pt>
                <c:pt idx="4">
                  <c:v>165.97510373443984</c:v>
                </c:pt>
              </c:numCache>
            </c:numRef>
          </c:xVal>
          <c:yVal>
            <c:numRef>
              <c:f>CH4_std_curves!$H$7:$H$11</c:f>
              <c:numCache>
                <c:formatCode>0.0000</c:formatCode>
                <c:ptCount val="5"/>
                <c:pt idx="0">
                  <c:v>110.26439999999999</c:v>
                </c:pt>
                <c:pt idx="1">
                  <c:v>244.93940000000001</c:v>
                </c:pt>
                <c:pt idx="2">
                  <c:v>543.97709999999995</c:v>
                </c:pt>
                <c:pt idx="3">
                  <c:v>809.02819999999997</c:v>
                </c:pt>
                <c:pt idx="4">
                  <c:v>1078.3222000000001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6-4672-BB7F-F5DEC3AC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5/25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98293963254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CH4_std_curves!$F$12:$F$14</c:f>
              <c:numCache>
                <c:formatCode>0.00</c:formatCode>
                <c:ptCount val="3"/>
                <c:pt idx="0">
                  <c:v>20.74688796680498</c:v>
                </c:pt>
                <c:pt idx="1">
                  <c:v>41.49377593360996</c:v>
                </c:pt>
                <c:pt idx="2">
                  <c:v>165.97510373443984</c:v>
                </c:pt>
              </c:numCache>
            </c:numRef>
          </c:xVal>
          <c:yVal>
            <c:numRef>
              <c:f>CH4_std_curves!$H$12:$H$14</c:f>
              <c:numCache>
                <c:formatCode>0.0000</c:formatCode>
                <c:ptCount val="3"/>
                <c:pt idx="0">
                  <c:v>112.5784</c:v>
                </c:pt>
                <c:pt idx="1">
                  <c:v>253.9288</c:v>
                </c:pt>
                <c:pt idx="2">
                  <c:v>1053.643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7-447E-AF75-04D9C3D56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5/28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98293963254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CH4_std_curves!$F$15:$F$19</c:f>
              <c:numCache>
                <c:formatCode>0.00</c:formatCode>
                <c:ptCount val="5"/>
                <c:pt idx="0">
                  <c:v>20.74688796680498</c:v>
                </c:pt>
                <c:pt idx="1">
                  <c:v>41.49377593360996</c:v>
                </c:pt>
                <c:pt idx="2">
                  <c:v>82.987551867219921</c:v>
                </c:pt>
                <c:pt idx="3">
                  <c:v>124.48132780082987</c:v>
                </c:pt>
                <c:pt idx="4">
                  <c:v>165.97510373443984</c:v>
                </c:pt>
              </c:numCache>
            </c:numRef>
          </c:xVal>
          <c:yVal>
            <c:numRef>
              <c:f>CH4_std_curves!$H$15:$H$19</c:f>
              <c:numCache>
                <c:formatCode>0.0000</c:formatCode>
                <c:ptCount val="5"/>
                <c:pt idx="0">
                  <c:v>110.43259999999999</c:v>
                </c:pt>
                <c:pt idx="1">
                  <c:v>253.2407</c:v>
                </c:pt>
                <c:pt idx="2">
                  <c:v>522.85680000000002</c:v>
                </c:pt>
                <c:pt idx="3">
                  <c:v>783.6748</c:v>
                </c:pt>
                <c:pt idx="4">
                  <c:v>1049.1349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0-426D-81C4-333B56F7D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11/03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98293963254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CH4_std_curves!$F$43:$F$47</c:f>
              <c:numCache>
                <c:formatCode>0.00</c:formatCode>
                <c:ptCount val="5"/>
                <c:pt idx="0">
                  <c:v>20.74688796680498</c:v>
                </c:pt>
                <c:pt idx="1">
                  <c:v>41.49377593360996</c:v>
                </c:pt>
                <c:pt idx="2">
                  <c:v>82.987551867219921</c:v>
                </c:pt>
                <c:pt idx="3">
                  <c:v>124.48132780082987</c:v>
                </c:pt>
                <c:pt idx="4">
                  <c:v>165.97510373443984</c:v>
                </c:pt>
              </c:numCache>
            </c:numRef>
          </c:xVal>
          <c:yVal>
            <c:numRef>
              <c:f>CH4_std_curves!$H$43:$H$47</c:f>
              <c:numCache>
                <c:formatCode>General</c:formatCode>
                <c:ptCount val="5"/>
                <c:pt idx="0">
                  <c:v>135.87950000000001</c:v>
                </c:pt>
                <c:pt idx="1">
                  <c:v>275.40789999999998</c:v>
                </c:pt>
                <c:pt idx="2">
                  <c:v>544.57330000000002</c:v>
                </c:pt>
                <c:pt idx="3">
                  <c:v>809.76959999999997</c:v>
                </c:pt>
                <c:pt idx="4">
                  <c:v>1079.8492000000001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9-4847-9DEB-A73073C53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98293963254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CO2_std_curves!$F$2:$F$6</c:f>
              <c:numCache>
                <c:formatCode>0.00</c:formatCode>
                <c:ptCount val="5"/>
                <c:pt idx="0">
                  <c:v>103.7344398340249</c:v>
                </c:pt>
                <c:pt idx="1">
                  <c:v>207.46887966804979</c:v>
                </c:pt>
                <c:pt idx="2">
                  <c:v>414.93775933609959</c:v>
                </c:pt>
                <c:pt idx="3">
                  <c:v>622.40663900414938</c:v>
                </c:pt>
                <c:pt idx="4">
                  <c:v>829.87551867219918</c:v>
                </c:pt>
              </c:numCache>
            </c:numRef>
          </c:xVal>
          <c:yVal>
            <c:numRef>
              <c:f>CO2_std_curves!$H$2:$H$6</c:f>
              <c:numCache>
                <c:formatCode>0.0000</c:formatCode>
                <c:ptCount val="5"/>
                <c:pt idx="0">
                  <c:v>15.959199999999999</c:v>
                </c:pt>
                <c:pt idx="1">
                  <c:v>37.764099999999999</c:v>
                </c:pt>
                <c:pt idx="2">
                  <c:v>75.640600000000006</c:v>
                </c:pt>
                <c:pt idx="3">
                  <c:v>115.7321</c:v>
                </c:pt>
                <c:pt idx="4">
                  <c:v>153.8741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F-1D42-9EEA-E52EB2DF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98293963254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CO2_std_curves!$F$22:$F$26</c:f>
              <c:numCache>
                <c:formatCode>0.00</c:formatCode>
                <c:ptCount val="5"/>
                <c:pt idx="0">
                  <c:v>103.7344398340249</c:v>
                </c:pt>
                <c:pt idx="1">
                  <c:v>207.46887966804979</c:v>
                </c:pt>
                <c:pt idx="2">
                  <c:v>414.93775933609959</c:v>
                </c:pt>
                <c:pt idx="3">
                  <c:v>622.40663900414938</c:v>
                </c:pt>
                <c:pt idx="4">
                  <c:v>829.87551867219918</c:v>
                </c:pt>
              </c:numCache>
            </c:numRef>
          </c:xVal>
          <c:yVal>
            <c:numRef>
              <c:f>CO2_std_curves!$H$22:$H$26</c:f>
              <c:numCache>
                <c:formatCode>General</c:formatCode>
                <c:ptCount val="5"/>
                <c:pt idx="0">
                  <c:v>18.5914</c:v>
                </c:pt>
                <c:pt idx="1">
                  <c:v>38.619999999999997</c:v>
                </c:pt>
                <c:pt idx="2">
                  <c:v>76.695999999999998</c:v>
                </c:pt>
                <c:pt idx="3">
                  <c:v>115.8892</c:v>
                </c:pt>
                <c:pt idx="4">
                  <c:v>155.13929999999999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5-4869-8DDC-FAA7AE6F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CO2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835024</xdr:colOff>
      <xdr:row>1</xdr:row>
      <xdr:rowOff>17463</xdr:rowOff>
    </xdr:from>
    <xdr:to>
      <xdr:col>18</xdr:col>
      <xdr:colOff>14287</xdr:colOff>
      <xdr:row>10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101600</xdr:colOff>
      <xdr:row>0</xdr:row>
      <xdr:rowOff>177800</xdr:rowOff>
    </xdr:from>
    <xdr:ext cx="7391400" cy="330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8750300" y="1778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𝑚𝑜𝑙𝑠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𝑖𝑛𝑗𝑒𝑐𝑡𝑖𝑜𝑛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𝑣𝑜𝑙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  <m:r>
                        <m:rPr>
                          <m:sty m:val="p"/>
                        </m:rPr>
                        <a:rPr lang="el-G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Ε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+6 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𝑚𝑜𝑙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𝑔𝑎𝑠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𝑣𝑜𝑙𝑢𝑚𝑒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d>
                        <m:d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</m:d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𝑎𝑡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𝑐h𝑜𝑠𝑒𝑛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𝑡𝑒𝑚𝑝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𝑓𝑟𝑎𝑐𝑡𝑖𝑜𝑛𝑎𝑙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𝑐𝑜𝑛𝑐𝑒𝑛𝑡𝑟𝑎𝑡𝑖𝑜𝑛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𝑠𝑡𝑑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</m:oMath>
              </a14:m>
              <a:r>
                <a:rPr lang="en-US" sz="12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DC6A321-7955-2E40-8C8B-E62D75784DF6}"/>
                </a:ext>
              </a:extLst>
            </xdr:cNvPr>
            <xdr:cNvSpPr txBox="1"/>
          </xdr:nvSpPr>
          <xdr:spPr>
            <a:xfrm>
              <a:off x="8750300" y="1778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𝑚𝑜𝑙𝑠 𝑜𝑓 𝑔𝑎𝑠</a:t>
              </a:r>
              <a:r>
                <a:rPr lang="en-US" sz="1200" b="0" i="0">
                  <a:latin typeface="Cambria Math" panose="02040503050406030204" pitchFamily="18" charset="0"/>
                </a:rPr>
                <a:t>=𝑖𝑛𝑗𝑒𝑐𝑡𝑖𝑜𝑛 𝑣𝑜𝑙 𝑖𝑛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𝜇𝐿 ×  (1 𝐿)/(1</a:t>
              </a:r>
              <a:r>
                <a:rPr lang="el-G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Ε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+6 𝜇𝐿)  ×  (1 𝑚𝑜𝑙 𝑔𝑎𝑠)/(𝑣𝑜𝑙𝑢𝑚𝑒 (𝐿)  𝑎𝑡 𝑐ℎ𝑜𝑠𝑒𝑛 𝑡𝑒𝑚𝑝 )  × 𝑓𝑟𝑎𝑐𝑡𝑖𝑜𝑛𝑎𝑙 𝑐𝑜𝑛𝑐𝑒𝑛𝑡𝑟𝑎𝑡𝑖𝑜𝑛 𝑜𝑓 𝑠𝑡𝑑 𝑔𝑎𝑠</a:t>
              </a:r>
              <a:r>
                <a:rPr lang="en-US" sz="1200"/>
                <a:t> </a:t>
              </a:r>
            </a:p>
          </xdr:txBody>
        </xdr:sp>
      </mc:Fallback>
    </mc:AlternateContent>
    <xdr:clientData/>
  </xdr:oneCellAnchor>
  <xdr:twoCellAnchor>
    <xdr:from>
      <xdr:col>10</xdr:col>
      <xdr:colOff>0</xdr:colOff>
      <xdr:row>1</xdr:row>
      <xdr:rowOff>0</xdr:rowOff>
    </xdr:from>
    <xdr:to>
      <xdr:col>13</xdr:col>
      <xdr:colOff>819150</xdr:colOff>
      <xdr:row>10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261937</xdr:colOff>
      <xdr:row>11</xdr:row>
      <xdr:rowOff>66675</xdr:rowOff>
    </xdr:from>
    <xdr:to>
      <xdr:col>18</xdr:col>
      <xdr:colOff>242886</xdr:colOff>
      <xdr:row>18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13</xdr:col>
      <xdr:colOff>819149</xdr:colOff>
      <xdr:row>17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13</xdr:col>
      <xdr:colOff>819149</xdr:colOff>
      <xdr:row>26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1</xdr:row>
      <xdr:rowOff>69850</xdr:rowOff>
    </xdr:from>
    <xdr:to>
      <xdr:col>15</xdr:col>
      <xdr:colOff>660400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266700</xdr:colOff>
      <xdr:row>0</xdr:row>
      <xdr:rowOff>254000</xdr:rowOff>
    </xdr:from>
    <xdr:ext cx="7391400" cy="330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8915400" y="2540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𝑚𝑜𝑙𝑠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𝑖𝑛𝑗𝑒𝑐𝑡𝑖𝑜𝑛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𝑣𝑜𝑙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  <m:r>
                        <m:rPr>
                          <m:sty m:val="p"/>
                        </m:rPr>
                        <a:rPr lang="el-G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Ε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+6 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𝑚𝑜𝑙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𝑔𝑎𝑠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𝑣𝑜𝑙𝑢𝑚𝑒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d>
                        <m:d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</m:d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𝑎𝑡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𝑐h𝑜𝑠𝑒𝑛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𝑡𝑒𝑚𝑝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𝑓𝑟𝑎𝑐𝑡𝑖𝑜𝑛𝑎𝑙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𝑐𝑜𝑛𝑐𝑒𝑛𝑡𝑟𝑎𝑡𝑖𝑜𝑛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𝑠𝑡𝑑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</m:oMath>
              </a14:m>
              <a:r>
                <a:rPr lang="en-US" sz="12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15F1677-5944-7F46-807F-9438CC8D4887}"/>
                </a:ext>
              </a:extLst>
            </xdr:cNvPr>
            <xdr:cNvSpPr txBox="1"/>
          </xdr:nvSpPr>
          <xdr:spPr>
            <a:xfrm>
              <a:off x="8915400" y="2540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𝑚𝑜𝑙𝑠 𝑜𝑓 𝑔𝑎𝑠</a:t>
              </a:r>
              <a:r>
                <a:rPr lang="en-US" sz="1200" b="0" i="0">
                  <a:latin typeface="Cambria Math" panose="02040503050406030204" pitchFamily="18" charset="0"/>
                </a:rPr>
                <a:t>=𝑖𝑛𝑗𝑒𝑐𝑡𝑖𝑜𝑛 𝑣𝑜𝑙 𝑖𝑛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𝜇𝐿 ×  (1 𝐿)/(1</a:t>
              </a:r>
              <a:r>
                <a:rPr lang="el-G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Ε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+6 𝜇𝐿)  ×  (1 𝑚𝑜𝑙 𝑔𝑎𝑠)/(𝑣𝑜𝑙𝑢𝑚𝑒 (𝐿)  𝑎𝑡 𝑐ℎ𝑜𝑠𝑒𝑛 𝑡𝑒𝑚𝑝 )  × 𝑓𝑟𝑎𝑐𝑡𝑖𝑜𝑛𝑎𝑙 𝑐𝑜𝑛𝑐𝑒𝑛𝑡𝑟𝑎𝑡𝑖𝑜𝑛 𝑜𝑓 𝑠𝑡𝑑 𝑔𝑎𝑠</a:t>
              </a:r>
              <a:r>
                <a:rPr lang="en-US" sz="1200"/>
                <a:t> </a:t>
              </a:r>
            </a:p>
          </xdr:txBody>
        </xdr:sp>
      </mc:Fallback>
    </mc:AlternateContent>
    <xdr:clientData/>
  </xdr:oneCellAnchor>
  <xdr:twoCellAnchor>
    <xdr:from>
      <xdr:col>10</xdr:col>
      <xdr:colOff>0</xdr:colOff>
      <xdr:row>17</xdr:row>
      <xdr:rowOff>0</xdr:rowOff>
    </xdr:from>
    <xdr:to>
      <xdr:col>15</xdr:col>
      <xdr:colOff>444500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"/>
  <sheetViews>
    <sheetView tabSelected="1" zoomScale="85" zoomScaleNormal="85" workbookViewId="0">
      <pane ySplit="1" topLeftCell="A2" activePane="bottomLeft" state="frozen"/>
      <selection pane="bottomLeft" activeCell="Z45" activeCellId="5" sqref="Z12 Z29 Z33 Z37 Z41 Z45"/>
    </sheetView>
  </sheetViews>
  <sheetFormatPr baseColWidth="10" defaultColWidth="11" defaultRowHeight="16" x14ac:dyDescent="0.2"/>
  <cols>
    <col min="1" max="1" width="19.33203125" customWidth="1"/>
    <col min="2" max="2" width="28.6640625" customWidth="1"/>
    <col min="3" max="3" width="9" customWidth="1"/>
    <col min="4" max="4" width="9.6640625" customWidth="1"/>
    <col min="5" max="5" width="9.33203125" customWidth="1"/>
    <col min="6" max="6" width="10" customWidth="1"/>
    <col min="7" max="7" width="9.5" customWidth="1"/>
    <col min="8" max="8" width="9.6640625" customWidth="1"/>
  </cols>
  <sheetData>
    <row r="1" spans="1:26" ht="127" x14ac:dyDescent="0.2">
      <c r="A1" s="14" t="s">
        <v>0</v>
      </c>
      <c r="B1" s="14" t="s">
        <v>1</v>
      </c>
      <c r="C1" s="14" t="s">
        <v>19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32</v>
      </c>
      <c r="K1" s="14" t="s">
        <v>8</v>
      </c>
      <c r="L1" s="19" t="s">
        <v>34</v>
      </c>
      <c r="M1" s="19" t="s">
        <v>35</v>
      </c>
      <c r="N1" s="19" t="s">
        <v>36</v>
      </c>
      <c r="O1" s="19" t="s">
        <v>37</v>
      </c>
      <c r="P1" s="19" t="s">
        <v>38</v>
      </c>
      <c r="Q1" s="19" t="s">
        <v>39</v>
      </c>
      <c r="R1" s="19" t="s">
        <v>40</v>
      </c>
      <c r="S1" s="15" t="s">
        <v>41</v>
      </c>
      <c r="T1" s="15" t="s">
        <v>42</v>
      </c>
      <c r="V1" t="s">
        <v>66</v>
      </c>
      <c r="W1" t="s">
        <v>67</v>
      </c>
      <c r="X1" t="s">
        <v>68</v>
      </c>
      <c r="Y1" t="s">
        <v>69</v>
      </c>
    </row>
    <row r="2" spans="1:26" x14ac:dyDescent="0.2">
      <c r="A2" s="17">
        <v>44356.613194444442</v>
      </c>
      <c r="B2" t="s">
        <v>22</v>
      </c>
      <c r="C2" s="1">
        <v>50</v>
      </c>
      <c r="D2" s="1">
        <v>1.36</v>
      </c>
      <c r="E2" s="1">
        <v>1609.7862</v>
      </c>
      <c r="F2" s="1" t="s">
        <v>31</v>
      </c>
      <c r="G2" s="1" t="s">
        <v>31</v>
      </c>
      <c r="H2" s="1" t="s">
        <v>31</v>
      </c>
      <c r="I2" s="1" t="s">
        <v>31</v>
      </c>
      <c r="J2" s="1">
        <v>0</v>
      </c>
      <c r="L2" s="20">
        <v>160</v>
      </c>
      <c r="M2" s="20">
        <v>30</v>
      </c>
      <c r="N2" s="20">
        <v>0</v>
      </c>
      <c r="O2" s="20">
        <v>0.8</v>
      </c>
      <c r="P2" s="20">
        <v>0</v>
      </c>
      <c r="Q2" s="20">
        <v>0</v>
      </c>
      <c r="R2" s="20">
        <f>L2-M2-N2+(O2*P2)-Q2</f>
        <v>130</v>
      </c>
      <c r="S2" s="21">
        <f>((E2-CH4_std_curves!$J$2)/CH4_std_curves!$I$2)/C2</f>
        <v>5.2779433285412498</v>
      </c>
      <c r="T2">
        <f t="shared" ref="T2:T25" si="0">S2*1000/1000*R2</f>
        <v>686.13263271036249</v>
      </c>
    </row>
    <row r="3" spans="1:26" x14ac:dyDescent="0.2">
      <c r="A3" s="17">
        <v>44356.629861111112</v>
      </c>
      <c r="B3" t="s">
        <v>21</v>
      </c>
      <c r="C3">
        <v>50</v>
      </c>
      <c r="D3">
        <v>1.343</v>
      </c>
      <c r="E3">
        <v>1709.8685</v>
      </c>
      <c r="F3" s="1" t="s">
        <v>31</v>
      </c>
      <c r="G3" s="1" t="s">
        <v>31</v>
      </c>
      <c r="H3" s="1" t="s">
        <v>31</v>
      </c>
      <c r="I3" s="1" t="s">
        <v>31</v>
      </c>
      <c r="J3">
        <v>0</v>
      </c>
      <c r="L3" s="20">
        <v>160</v>
      </c>
      <c r="M3" s="20">
        <v>30</v>
      </c>
      <c r="N3" s="22">
        <v>0</v>
      </c>
      <c r="O3" s="20">
        <v>0.8</v>
      </c>
      <c r="P3" s="20">
        <v>0</v>
      </c>
      <c r="Q3" s="20">
        <v>0</v>
      </c>
      <c r="R3" s="20">
        <f t="shared" ref="R3:R26" si="1">L3-M3-N3+(O3*P3)-Q3</f>
        <v>130</v>
      </c>
      <c r="S3" s="21">
        <f>((E3-CH4_std_curves!$J$2)/CH4_std_curves!$I$2)/C3</f>
        <v>5.615055545557647</v>
      </c>
      <c r="T3">
        <f t="shared" si="0"/>
        <v>729.95722092249412</v>
      </c>
    </row>
    <row r="4" spans="1:26" x14ac:dyDescent="0.2">
      <c r="A4" s="17">
        <v>44356.642361111109</v>
      </c>
      <c r="B4" t="s">
        <v>23</v>
      </c>
      <c r="C4">
        <v>50</v>
      </c>
      <c r="D4">
        <v>1.353</v>
      </c>
      <c r="E4">
        <v>1674.0594000000001</v>
      </c>
      <c r="F4" s="1" t="s">
        <v>31</v>
      </c>
      <c r="G4" s="1" t="s">
        <v>31</v>
      </c>
      <c r="H4" s="1" t="s">
        <v>31</v>
      </c>
      <c r="I4" s="1" t="s">
        <v>31</v>
      </c>
      <c r="J4">
        <v>0</v>
      </c>
      <c r="L4" s="20">
        <v>160</v>
      </c>
      <c r="M4" s="20">
        <v>30</v>
      </c>
      <c r="N4" s="22">
        <v>0</v>
      </c>
      <c r="O4" s="20">
        <v>0.8</v>
      </c>
      <c r="P4" s="20">
        <v>0</v>
      </c>
      <c r="Q4" s="20">
        <v>0</v>
      </c>
      <c r="R4" s="20">
        <f t="shared" si="1"/>
        <v>130</v>
      </c>
      <c r="S4" s="21">
        <f>((E4-CH4_std_curves!$J$2)/CH4_std_curves!$I$2)/C4</f>
        <v>5.4944379629245352</v>
      </c>
      <c r="T4">
        <f t="shared" si="0"/>
        <v>714.27693518018953</v>
      </c>
    </row>
    <row r="5" spans="1:26" x14ac:dyDescent="0.2">
      <c r="A5" s="17">
        <v>44356.654861111114</v>
      </c>
      <c r="B5" t="s">
        <v>24</v>
      </c>
      <c r="C5">
        <v>50</v>
      </c>
      <c r="D5">
        <v>1.3360000000000001</v>
      </c>
      <c r="E5">
        <v>1706.1572000000001</v>
      </c>
      <c r="F5" s="1" t="s">
        <v>31</v>
      </c>
      <c r="G5" s="1" t="s">
        <v>31</v>
      </c>
      <c r="H5" s="1" t="s">
        <v>31</v>
      </c>
      <c r="I5" s="1" t="s">
        <v>31</v>
      </c>
      <c r="J5">
        <v>0</v>
      </c>
      <c r="L5" s="20">
        <v>160</v>
      </c>
      <c r="M5" s="20">
        <v>30</v>
      </c>
      <c r="N5" s="22">
        <v>0</v>
      </c>
      <c r="O5" s="20">
        <v>0.8</v>
      </c>
      <c r="P5" s="20">
        <v>0</v>
      </c>
      <c r="Q5" s="20">
        <v>0</v>
      </c>
      <c r="R5" s="20">
        <f t="shared" si="1"/>
        <v>130</v>
      </c>
      <c r="S5" s="21">
        <f>((E5-CH4_std_curves!$J$2)/CH4_std_curves!$I$2)/C5</f>
        <v>5.6025545881354768</v>
      </c>
      <c r="T5">
        <f t="shared" si="0"/>
        <v>728.33209645761201</v>
      </c>
    </row>
    <row r="6" spans="1:26" x14ac:dyDescent="0.2">
      <c r="A6" s="17">
        <v>44356.729166666664</v>
      </c>
      <c r="B6" t="s">
        <v>25</v>
      </c>
      <c r="C6">
        <v>30</v>
      </c>
      <c r="D6">
        <v>1.35</v>
      </c>
      <c r="E6">
        <v>840.18539999999996</v>
      </c>
      <c r="F6" s="1" t="s">
        <v>31</v>
      </c>
      <c r="G6" s="1" t="s">
        <v>31</v>
      </c>
      <c r="H6" s="1" t="s">
        <v>31</v>
      </c>
      <c r="I6" s="1" t="s">
        <v>31</v>
      </c>
      <c r="J6">
        <v>0</v>
      </c>
      <c r="L6" s="20">
        <v>160</v>
      </c>
      <c r="M6" s="20">
        <v>30</v>
      </c>
      <c r="N6" s="22">
        <v>0</v>
      </c>
      <c r="O6" s="20">
        <v>0.8</v>
      </c>
      <c r="P6" s="20">
        <v>0</v>
      </c>
      <c r="Q6" s="20">
        <v>0</v>
      </c>
      <c r="R6" s="20">
        <f t="shared" si="1"/>
        <v>130</v>
      </c>
      <c r="S6" s="21">
        <f>((E6-CH4_std_curves!$J$2)/CH4_std_curves!$I$2)/C6</f>
        <v>4.4760974332203132</v>
      </c>
      <c r="T6">
        <f t="shared" si="0"/>
        <v>581.89266631864075</v>
      </c>
    </row>
    <row r="7" spans="1:26" x14ac:dyDescent="0.2">
      <c r="A7" s="17">
        <v>44356.737500000003</v>
      </c>
      <c r="B7" t="s">
        <v>26</v>
      </c>
      <c r="C7">
        <v>30</v>
      </c>
      <c r="D7">
        <v>1.3360000000000001</v>
      </c>
      <c r="E7">
        <v>896.54280000000006</v>
      </c>
      <c r="F7" s="1" t="s">
        <v>31</v>
      </c>
      <c r="G7" s="1" t="s">
        <v>31</v>
      </c>
      <c r="H7" s="1" t="s">
        <v>31</v>
      </c>
      <c r="I7" s="1" t="s">
        <v>31</v>
      </c>
      <c r="J7">
        <v>0</v>
      </c>
      <c r="L7" s="20">
        <v>160</v>
      </c>
      <c r="M7" s="20">
        <v>30</v>
      </c>
      <c r="N7" s="22">
        <v>0</v>
      </c>
      <c r="O7" s="20">
        <v>0.8</v>
      </c>
      <c r="P7" s="20">
        <v>0</v>
      </c>
      <c r="Q7" s="20">
        <v>0</v>
      </c>
      <c r="R7" s="20">
        <f t="shared" si="1"/>
        <v>130</v>
      </c>
      <c r="S7" s="21">
        <f>((E7-CH4_std_curves!$J$2)/CH4_std_curves!$I$2)/C7</f>
        <v>4.7924831820703409</v>
      </c>
      <c r="T7">
        <f t="shared" si="0"/>
        <v>623.02281366914428</v>
      </c>
    </row>
    <row r="8" spans="1:26" x14ac:dyDescent="0.2">
      <c r="A8" s="16">
        <v>44356.779166666667</v>
      </c>
      <c r="B8" t="s">
        <v>27</v>
      </c>
      <c r="C8">
        <v>30</v>
      </c>
      <c r="D8">
        <v>1.35</v>
      </c>
      <c r="E8">
        <v>881.3442</v>
      </c>
      <c r="F8" s="1" t="s">
        <v>31</v>
      </c>
      <c r="G8" s="1" t="s">
        <v>31</v>
      </c>
      <c r="H8" s="1" t="s">
        <v>31</v>
      </c>
      <c r="I8" s="1" t="s">
        <v>31</v>
      </c>
      <c r="J8">
        <v>0</v>
      </c>
      <c r="L8" s="20">
        <v>160</v>
      </c>
      <c r="M8" s="20">
        <v>30</v>
      </c>
      <c r="N8" s="22">
        <v>2.5</v>
      </c>
      <c r="O8" s="20">
        <v>0.8</v>
      </c>
      <c r="P8" s="20">
        <v>0</v>
      </c>
      <c r="Q8" s="20">
        <v>0</v>
      </c>
      <c r="R8" s="20">
        <f t="shared" si="1"/>
        <v>127.5</v>
      </c>
      <c r="S8" s="21">
        <f>((E8-CH4_std_curves!$J$2)/CH4_std_curves!$I$2)/C8</f>
        <v>4.7071595077618733</v>
      </c>
      <c r="T8">
        <f t="shared" si="0"/>
        <v>600.16283723963886</v>
      </c>
    </row>
    <row r="9" spans="1:26" x14ac:dyDescent="0.2">
      <c r="A9" s="17">
        <v>44356.795138888891</v>
      </c>
      <c r="B9" t="s">
        <v>28</v>
      </c>
      <c r="C9">
        <v>30</v>
      </c>
      <c r="D9">
        <v>1.35</v>
      </c>
      <c r="E9">
        <v>848.88779999999997</v>
      </c>
      <c r="F9" s="1" t="s">
        <v>31</v>
      </c>
      <c r="G9" s="1" t="s">
        <v>31</v>
      </c>
      <c r="H9" s="1" t="s">
        <v>31</v>
      </c>
      <c r="I9" s="1" t="s">
        <v>31</v>
      </c>
      <c r="J9">
        <v>0</v>
      </c>
      <c r="L9" s="20">
        <v>160</v>
      </c>
      <c r="M9" s="20">
        <v>30</v>
      </c>
      <c r="N9" s="22">
        <v>2.5</v>
      </c>
      <c r="O9" s="20">
        <v>0.8</v>
      </c>
      <c r="P9" s="20">
        <v>0</v>
      </c>
      <c r="Q9" s="20">
        <v>0</v>
      </c>
      <c r="R9" s="20">
        <f t="shared" si="1"/>
        <v>127.5</v>
      </c>
      <c r="S9" s="21">
        <f>((E9-CH4_std_curves!$J$2)/CH4_std_curves!$I$2)/C9</f>
        <v>4.5249519818828219</v>
      </c>
      <c r="T9">
        <f t="shared" si="0"/>
        <v>576.93137769005978</v>
      </c>
    </row>
    <row r="10" spans="1:26" x14ac:dyDescent="0.2">
      <c r="A10" s="17">
        <v>44356.805555555555</v>
      </c>
      <c r="B10" t="s">
        <v>29</v>
      </c>
      <c r="C10">
        <v>30</v>
      </c>
      <c r="D10">
        <v>1.35</v>
      </c>
      <c r="E10">
        <v>886.46389999999997</v>
      </c>
      <c r="F10" s="1" t="s">
        <v>31</v>
      </c>
      <c r="G10" s="1" t="s">
        <v>31</v>
      </c>
      <c r="H10" s="1" t="s">
        <v>31</v>
      </c>
      <c r="I10" s="1" t="s">
        <v>31</v>
      </c>
      <c r="J10">
        <v>0</v>
      </c>
      <c r="L10" s="20">
        <v>160</v>
      </c>
      <c r="M10" s="20">
        <v>30</v>
      </c>
      <c r="N10" s="22">
        <v>2.5</v>
      </c>
      <c r="O10" s="20">
        <v>0.8</v>
      </c>
      <c r="P10" s="20">
        <v>0</v>
      </c>
      <c r="Q10" s="20">
        <v>0</v>
      </c>
      <c r="R10" s="20">
        <f t="shared" si="1"/>
        <v>127.5</v>
      </c>
      <c r="S10" s="21">
        <f>((E10-CH4_std_curves!$J$2)/CH4_std_curves!$I$2)/C10</f>
        <v>4.7359010770746428</v>
      </c>
      <c r="T10">
        <f t="shared" si="0"/>
        <v>603.82738732701694</v>
      </c>
    </row>
    <row r="11" spans="1:26" x14ac:dyDescent="0.2">
      <c r="A11" s="16">
        <v>44356.824999999997</v>
      </c>
      <c r="B11" t="s">
        <v>30</v>
      </c>
      <c r="C11">
        <v>30</v>
      </c>
      <c r="D11">
        <v>1.3460000000000001</v>
      </c>
      <c r="E11">
        <v>841.86</v>
      </c>
      <c r="F11" s="1" t="s">
        <v>31</v>
      </c>
      <c r="G11" s="1" t="s">
        <v>31</v>
      </c>
      <c r="H11" s="1" t="s">
        <v>31</v>
      </c>
      <c r="I11" s="1" t="s">
        <v>31</v>
      </c>
      <c r="J11">
        <v>0</v>
      </c>
      <c r="L11" s="20">
        <v>160</v>
      </c>
      <c r="M11" s="20">
        <v>30</v>
      </c>
      <c r="N11" s="22">
        <v>2.5</v>
      </c>
      <c r="O11" s="20">
        <v>0.8</v>
      </c>
      <c r="P11" s="20">
        <v>0</v>
      </c>
      <c r="Q11" s="20">
        <v>0</v>
      </c>
      <c r="R11" s="20">
        <f t="shared" si="1"/>
        <v>127.5</v>
      </c>
      <c r="S11" s="21">
        <f>((E11-CH4_std_curves!$J$2)/CH4_std_curves!$I$2)/C11</f>
        <v>4.4854984981208279</v>
      </c>
      <c r="T11">
        <f t="shared" si="0"/>
        <v>571.90105851040551</v>
      </c>
    </row>
    <row r="12" spans="1:26" x14ac:dyDescent="0.2">
      <c r="A12" s="16">
        <v>44356.824999999997</v>
      </c>
      <c r="B12" t="s">
        <v>20</v>
      </c>
      <c r="C12">
        <v>30</v>
      </c>
      <c r="D12">
        <v>1.343</v>
      </c>
      <c r="E12">
        <v>824.58920000000001</v>
      </c>
      <c r="F12" s="1" t="s">
        <v>31</v>
      </c>
      <c r="G12" s="1" t="s">
        <v>31</v>
      </c>
      <c r="H12" s="1" t="s">
        <v>31</v>
      </c>
      <c r="I12" s="1" t="s">
        <v>31</v>
      </c>
      <c r="J12">
        <v>0</v>
      </c>
      <c r="L12" s="20">
        <v>160</v>
      </c>
      <c r="M12" s="20">
        <v>30</v>
      </c>
      <c r="N12" s="22">
        <v>0</v>
      </c>
      <c r="O12" s="20">
        <v>0.8</v>
      </c>
      <c r="P12" s="20">
        <v>0</v>
      </c>
      <c r="Q12" s="20">
        <v>0</v>
      </c>
      <c r="R12" s="20">
        <f t="shared" si="1"/>
        <v>130</v>
      </c>
      <c r="S12" s="21">
        <f>((E12-CH4_std_curves!$J$2)/CH4_std_curves!$I$2)/C12</f>
        <v>4.388541665633185</v>
      </c>
      <c r="T12">
        <f t="shared" si="0"/>
        <v>570.51041653231403</v>
      </c>
      <c r="U12">
        <f>AVERAGE(T2:T12)</f>
        <v>635.17704023253441</v>
      </c>
      <c r="V12">
        <f>STDEV(T2:T12)</f>
        <v>65.793872892075782</v>
      </c>
      <c r="Y12">
        <f>AVERAGE(T2:T12)</f>
        <v>635.17704023253441</v>
      </c>
      <c r="Z12">
        <f>STDEV(T2:T12)</f>
        <v>65.793872892075782</v>
      </c>
    </row>
    <row r="13" spans="1:26" x14ac:dyDescent="0.2">
      <c r="A13" s="17">
        <v>44358.62777777778</v>
      </c>
      <c r="B13" t="s">
        <v>21</v>
      </c>
      <c r="C13">
        <v>50</v>
      </c>
      <c r="D13">
        <v>1.343</v>
      </c>
      <c r="E13">
        <v>1297.8920000000001</v>
      </c>
      <c r="F13" s="1" t="s">
        <v>31</v>
      </c>
      <c r="G13" s="1" t="s">
        <v>31</v>
      </c>
      <c r="H13" s="1" t="s">
        <v>31</v>
      </c>
      <c r="I13" s="1" t="s">
        <v>31</v>
      </c>
      <c r="J13">
        <v>1</v>
      </c>
      <c r="L13" s="20">
        <v>160</v>
      </c>
      <c r="M13" s="20">
        <v>30</v>
      </c>
      <c r="N13" s="22">
        <v>2.5</v>
      </c>
      <c r="O13" s="20">
        <v>0.8</v>
      </c>
      <c r="P13" s="20">
        <v>3</v>
      </c>
      <c r="Q13" s="20">
        <v>1</v>
      </c>
      <c r="R13" s="20">
        <f t="shared" si="1"/>
        <v>128.9</v>
      </c>
      <c r="S13" s="21">
        <f>((E13-CH4_std_curves!$J$7)/CH4_std_curves!$I$7)/C13</f>
        <v>3.9563403754320903</v>
      </c>
      <c r="T13">
        <f t="shared" si="0"/>
        <v>509.97227439319647</v>
      </c>
      <c r="U13" s="24">
        <f>T13/$U$12</f>
        <v>0.80288209757471518</v>
      </c>
      <c r="V13">
        <f>$V$12*T13/$U$12^2</f>
        <v>8.3165352853143415E-2</v>
      </c>
    </row>
    <row r="14" spans="1:26" x14ac:dyDescent="0.2">
      <c r="A14" s="17">
        <v>44358.642361111109</v>
      </c>
      <c r="B14" t="s">
        <v>22</v>
      </c>
      <c r="C14">
        <v>50</v>
      </c>
      <c r="D14">
        <v>1.343</v>
      </c>
      <c r="E14">
        <v>1318.0669</v>
      </c>
      <c r="F14" s="1" t="s">
        <v>31</v>
      </c>
      <c r="G14" s="1" t="s">
        <v>31</v>
      </c>
      <c r="H14" s="1" t="s">
        <v>31</v>
      </c>
      <c r="I14" s="1" t="s">
        <v>31</v>
      </c>
      <c r="J14">
        <v>1</v>
      </c>
      <c r="L14" s="20">
        <v>160</v>
      </c>
      <c r="M14" s="20">
        <v>30</v>
      </c>
      <c r="N14" s="22">
        <v>2.5</v>
      </c>
      <c r="O14" s="20">
        <v>0.8</v>
      </c>
      <c r="P14" s="20">
        <v>3</v>
      </c>
      <c r="Q14" s="20">
        <v>1</v>
      </c>
      <c r="R14" s="20">
        <f t="shared" si="1"/>
        <v>128.9</v>
      </c>
      <c r="S14" s="21">
        <f>((E14-CH4_std_curves!$J$7)/CH4_std_curves!$I$7)/C14</f>
        <v>4.0166429066107483</v>
      </c>
      <c r="T14">
        <f t="shared" si="0"/>
        <v>517.74527066212545</v>
      </c>
      <c r="U14" s="24">
        <f t="shared" ref="U14:U45" si="2">T14/$U$12</f>
        <v>0.81511962471531096</v>
      </c>
      <c r="V14">
        <f t="shared" ref="V14:V45" si="3">$V$12*T14/$U$12^2</f>
        <v>8.4432958975850445E-2</v>
      </c>
    </row>
    <row r="15" spans="1:26" x14ac:dyDescent="0.2">
      <c r="A15" s="17">
        <v>44360.878472222219</v>
      </c>
      <c r="B15" t="s">
        <v>23</v>
      </c>
      <c r="C15">
        <v>50</v>
      </c>
      <c r="D15">
        <v>1.35</v>
      </c>
      <c r="E15">
        <v>1206.53</v>
      </c>
      <c r="F15">
        <v>1.3160000000000001</v>
      </c>
      <c r="G15">
        <v>24.247699999999998</v>
      </c>
      <c r="H15">
        <v>2.5129999999999999</v>
      </c>
      <c r="I15">
        <v>5.4067999999999996</v>
      </c>
      <c r="J15">
        <v>2</v>
      </c>
      <c r="L15" s="20">
        <v>160</v>
      </c>
      <c r="M15" s="20">
        <v>30</v>
      </c>
      <c r="N15" s="22">
        <v>2.5</v>
      </c>
      <c r="O15" s="20">
        <v>0.8</v>
      </c>
      <c r="P15" s="20">
        <v>2</v>
      </c>
      <c r="Q15" s="20">
        <v>1</v>
      </c>
      <c r="R15" s="20">
        <f t="shared" si="1"/>
        <v>128.1</v>
      </c>
      <c r="S15" s="21">
        <f>((E15-CH4_std_curves!$J$12)/CH4_std_curves!$I$12)/C15</f>
        <v>3.7910557468064718</v>
      </c>
      <c r="T15">
        <f t="shared" si="0"/>
        <v>485.63424116590903</v>
      </c>
      <c r="U15" s="24">
        <f t="shared" si="2"/>
        <v>0.76456516908753713</v>
      </c>
      <c r="V15">
        <f t="shared" si="3"/>
        <v>7.9196350570603063E-2</v>
      </c>
    </row>
    <row r="16" spans="1:26" x14ac:dyDescent="0.2">
      <c r="A16" s="17">
        <v>44360.895833333336</v>
      </c>
      <c r="B16" t="s">
        <v>24</v>
      </c>
      <c r="C16">
        <v>50</v>
      </c>
      <c r="D16">
        <v>1.3560000000000001</v>
      </c>
      <c r="E16">
        <v>1084.4076</v>
      </c>
      <c r="F16">
        <v>1.32</v>
      </c>
      <c r="G16">
        <v>21.663599999999999</v>
      </c>
      <c r="H16">
        <v>2.5230000000000001</v>
      </c>
      <c r="I16">
        <v>7.5884</v>
      </c>
      <c r="J16">
        <v>2</v>
      </c>
      <c r="L16" s="20">
        <v>160</v>
      </c>
      <c r="M16" s="20">
        <v>30</v>
      </c>
      <c r="N16" s="22">
        <v>2.5</v>
      </c>
      <c r="O16" s="20">
        <v>0.8</v>
      </c>
      <c r="P16" s="20">
        <v>2</v>
      </c>
      <c r="Q16" s="20">
        <v>1</v>
      </c>
      <c r="R16" s="20">
        <f t="shared" si="1"/>
        <v>128.1</v>
      </c>
      <c r="S16" s="21">
        <f>((E16-CH4_std_curves!$J$12)/CH4_std_curves!$I$12)/C16</f>
        <v>3.4129988735184735</v>
      </c>
      <c r="T16">
        <f t="shared" si="0"/>
        <v>437.20515569771646</v>
      </c>
      <c r="U16" s="24">
        <f t="shared" si="2"/>
        <v>0.68832015013902004</v>
      </c>
      <c r="V16">
        <f t="shared" si="3"/>
        <v>7.1298623216484364E-2</v>
      </c>
    </row>
    <row r="17" spans="1:26" x14ac:dyDescent="0.2">
      <c r="A17" s="17">
        <v>44361.452777777777</v>
      </c>
      <c r="B17" s="1" t="s">
        <v>20</v>
      </c>
      <c r="C17">
        <v>30</v>
      </c>
      <c r="D17">
        <v>1.343</v>
      </c>
      <c r="E17">
        <v>812.88819999999998</v>
      </c>
      <c r="F17" s="1"/>
      <c r="J17">
        <v>2</v>
      </c>
      <c r="L17" s="20">
        <v>160</v>
      </c>
      <c r="M17" s="20">
        <v>30</v>
      </c>
      <c r="N17" s="22">
        <v>0</v>
      </c>
      <c r="O17" s="20">
        <v>0.8</v>
      </c>
      <c r="P17" s="20">
        <v>3</v>
      </c>
      <c r="Q17" s="20">
        <v>0</v>
      </c>
      <c r="R17" s="20">
        <f t="shared" si="1"/>
        <v>132.4</v>
      </c>
      <c r="S17" s="21">
        <f>((E17-CH4_std_curves!$J$15)/CH4_std_curves!$I$15)/C17</f>
        <v>4.2970609226123768</v>
      </c>
      <c r="T17">
        <f t="shared" si="0"/>
        <v>568.9308661538787</v>
      </c>
      <c r="U17" s="23">
        <f t="shared" si="2"/>
        <v>0.89570439439309169</v>
      </c>
      <c r="V17">
        <f t="shared" si="3"/>
        <v>9.2780212981247237E-2</v>
      </c>
    </row>
    <row r="18" spans="1:26" x14ac:dyDescent="0.2">
      <c r="A18" s="17">
        <v>44362.472222222219</v>
      </c>
      <c r="B18" s="1" t="s">
        <v>25</v>
      </c>
      <c r="C18">
        <v>50</v>
      </c>
      <c r="D18">
        <v>1.36</v>
      </c>
      <c r="E18">
        <v>816.59619999999995</v>
      </c>
      <c r="F18">
        <v>1.32</v>
      </c>
      <c r="G18">
        <v>15.856199999999999</v>
      </c>
      <c r="H18">
        <v>2.516</v>
      </c>
      <c r="I18">
        <v>8.5716000000000001</v>
      </c>
      <c r="J18">
        <v>3</v>
      </c>
      <c r="L18" s="20">
        <v>160</v>
      </c>
      <c r="M18" s="20">
        <v>30</v>
      </c>
      <c r="N18" s="22">
        <v>2.5</v>
      </c>
      <c r="O18" s="20">
        <v>0.8</v>
      </c>
      <c r="P18" s="20">
        <v>3</v>
      </c>
      <c r="Q18" s="20">
        <v>1</v>
      </c>
      <c r="R18" s="20">
        <f t="shared" si="1"/>
        <v>128.9</v>
      </c>
      <c r="S18" s="21">
        <f>((E18-CH4_std_curves!$J$20)/CH4_std_curves!$I$20)/C18</f>
        <v>2.5751359924492583</v>
      </c>
      <c r="T18">
        <f t="shared" si="0"/>
        <v>331.93502942670943</v>
      </c>
      <c r="U18" s="23">
        <f t="shared" si="2"/>
        <v>0.52258663081585888</v>
      </c>
      <c r="V18">
        <f t="shared" si="3"/>
        <v>5.4131362100886628E-2</v>
      </c>
    </row>
    <row r="19" spans="1:26" x14ac:dyDescent="0.2">
      <c r="A19" s="16">
        <v>44362</v>
      </c>
      <c r="B19" t="s">
        <v>26</v>
      </c>
      <c r="C19">
        <v>50</v>
      </c>
      <c r="D19">
        <v>1.353</v>
      </c>
      <c r="E19">
        <v>699.70479999999998</v>
      </c>
      <c r="F19">
        <v>1.3160000000000001</v>
      </c>
      <c r="G19">
        <v>13.7676</v>
      </c>
      <c r="H19">
        <v>2.5129999999999999</v>
      </c>
      <c r="I19">
        <v>9.5204000000000004</v>
      </c>
      <c r="J19">
        <v>3</v>
      </c>
      <c r="L19" s="20">
        <v>160</v>
      </c>
      <c r="M19" s="20">
        <v>30</v>
      </c>
      <c r="N19" s="22">
        <v>2.5</v>
      </c>
      <c r="O19" s="20">
        <v>0.8</v>
      </c>
      <c r="P19" s="20">
        <v>3</v>
      </c>
      <c r="Q19" s="20">
        <v>1</v>
      </c>
      <c r="R19" s="20">
        <f t="shared" si="1"/>
        <v>128.9</v>
      </c>
      <c r="S19" s="21">
        <f>((E19-CH4_std_curves!$J$20)/CH4_std_curves!$I$20)/C19</f>
        <v>2.2120147373123396</v>
      </c>
      <c r="T19">
        <f t="shared" si="0"/>
        <v>285.12869963956058</v>
      </c>
      <c r="U19" s="23">
        <f t="shared" si="2"/>
        <v>0.44889642033530797</v>
      </c>
      <c r="V19">
        <f t="shared" si="3"/>
        <v>4.6498270797755266E-2</v>
      </c>
    </row>
    <row r="20" spans="1:26" x14ac:dyDescent="0.2">
      <c r="A20" s="17">
        <v>44362.5</v>
      </c>
      <c r="B20" t="s">
        <v>20</v>
      </c>
      <c r="C20">
        <v>30</v>
      </c>
      <c r="D20">
        <v>1.353</v>
      </c>
      <c r="E20">
        <v>868.56259999999997</v>
      </c>
      <c r="F20">
        <v>1.3160000000000001</v>
      </c>
      <c r="G20">
        <v>17.175799999999999</v>
      </c>
      <c r="H20" t="s">
        <v>33</v>
      </c>
      <c r="I20" t="s">
        <v>33</v>
      </c>
      <c r="J20">
        <v>3</v>
      </c>
      <c r="L20" s="20">
        <v>160</v>
      </c>
      <c r="M20" s="20">
        <v>30</v>
      </c>
      <c r="N20" s="22">
        <v>0</v>
      </c>
      <c r="O20" s="20">
        <v>0.8</v>
      </c>
      <c r="P20" s="20">
        <v>5</v>
      </c>
      <c r="Q20" s="20">
        <v>0</v>
      </c>
      <c r="R20" s="20">
        <f t="shared" si="1"/>
        <v>134</v>
      </c>
      <c r="S20" s="21">
        <f>((E20-CH4_std_curves!$J$20)/CH4_std_curves!$I$20)/C20</f>
        <v>4.5609479645313291</v>
      </c>
      <c r="T20">
        <f t="shared" si="0"/>
        <v>611.16702724719812</v>
      </c>
      <c r="U20" s="23">
        <f t="shared" si="2"/>
        <v>0.96219949484234135</v>
      </c>
      <c r="V20">
        <f t="shared" si="3"/>
        <v>9.9668009469139965E-2</v>
      </c>
    </row>
    <row r="21" spans="1:26" x14ac:dyDescent="0.2">
      <c r="A21" s="16">
        <v>44364</v>
      </c>
      <c r="B21" t="s">
        <v>27</v>
      </c>
      <c r="C21">
        <v>50</v>
      </c>
      <c r="D21">
        <v>1.36</v>
      </c>
      <c r="E21">
        <v>182.1002</v>
      </c>
      <c r="F21" t="s">
        <v>33</v>
      </c>
      <c r="G21" t="s">
        <v>33</v>
      </c>
      <c r="H21">
        <v>2.52</v>
      </c>
      <c r="I21">
        <v>17.993600000000001</v>
      </c>
      <c r="J21">
        <v>4</v>
      </c>
      <c r="L21" s="20">
        <v>160</v>
      </c>
      <c r="M21" s="20">
        <v>30</v>
      </c>
      <c r="N21" s="22">
        <v>2.5</v>
      </c>
      <c r="O21" s="20">
        <v>0.8</v>
      </c>
      <c r="P21" s="20">
        <v>2</v>
      </c>
      <c r="Q21" s="20">
        <v>1</v>
      </c>
      <c r="R21" s="20">
        <f t="shared" si="1"/>
        <v>128.1</v>
      </c>
      <c r="S21" s="21">
        <f>((E21-CH4_std_curves!$J$25)/CH4_std_curves!$I$25)/C21</f>
        <v>0.59753892499101924</v>
      </c>
      <c r="T21">
        <f t="shared" si="0"/>
        <v>76.544736291349565</v>
      </c>
      <c r="U21" s="23">
        <f t="shared" si="2"/>
        <v>0.12050929338271894</v>
      </c>
      <c r="V21">
        <f t="shared" si="3"/>
        <v>1.2482776657408467E-2</v>
      </c>
    </row>
    <row r="22" spans="1:26" x14ac:dyDescent="0.2">
      <c r="A22" s="18">
        <v>44364</v>
      </c>
      <c r="B22" t="s">
        <v>28</v>
      </c>
      <c r="C22">
        <v>80</v>
      </c>
      <c r="D22">
        <v>1.353</v>
      </c>
      <c r="E22">
        <v>178.2166</v>
      </c>
      <c r="F22" t="s">
        <v>33</v>
      </c>
      <c r="G22" t="s">
        <v>33</v>
      </c>
      <c r="H22">
        <v>2.5059999999999998</v>
      </c>
      <c r="I22">
        <v>32.416499999999999</v>
      </c>
      <c r="J22">
        <v>4</v>
      </c>
      <c r="L22" s="20">
        <v>160</v>
      </c>
      <c r="M22" s="20">
        <v>30</v>
      </c>
      <c r="N22" s="22">
        <v>2.5</v>
      </c>
      <c r="O22" s="20">
        <v>0.8</v>
      </c>
      <c r="P22" s="20">
        <v>2</v>
      </c>
      <c r="Q22" s="20">
        <v>1</v>
      </c>
      <c r="R22" s="20">
        <f t="shared" si="1"/>
        <v>128.1</v>
      </c>
      <c r="S22" s="21">
        <f>((E22-CH4_std_curves!$J$25)/CH4_std_curves!$I$25)/C22</f>
        <v>0.36619831160477989</v>
      </c>
      <c r="T22">
        <f t="shared" si="0"/>
        <v>46.910003716572305</v>
      </c>
      <c r="U22" s="23">
        <f t="shared" si="2"/>
        <v>7.3853431004683112E-2</v>
      </c>
      <c r="V22">
        <f t="shared" si="3"/>
        <v>7.649998259362337E-3</v>
      </c>
    </row>
    <row r="23" spans="1:26" x14ac:dyDescent="0.2">
      <c r="A23" s="17">
        <v>44368.479166666664</v>
      </c>
      <c r="B23" t="s">
        <v>29</v>
      </c>
      <c r="C23">
        <v>50</v>
      </c>
      <c r="D23">
        <v>1.3540000000000001</v>
      </c>
      <c r="E23">
        <v>162.78</v>
      </c>
      <c r="F23" t="s">
        <v>33</v>
      </c>
      <c r="G23" t="s">
        <v>33</v>
      </c>
      <c r="H23">
        <v>2.5099999999999998</v>
      </c>
      <c r="I23">
        <v>18.185600000000001</v>
      </c>
      <c r="J23">
        <v>5</v>
      </c>
      <c r="L23" s="20">
        <v>160</v>
      </c>
      <c r="M23" s="20">
        <v>30</v>
      </c>
      <c r="N23" s="22">
        <v>2.5</v>
      </c>
      <c r="O23" s="20">
        <v>0.8</v>
      </c>
      <c r="P23" s="20">
        <v>3</v>
      </c>
      <c r="Q23" s="20">
        <v>0</v>
      </c>
      <c r="R23" s="20">
        <f t="shared" si="1"/>
        <v>129.9</v>
      </c>
      <c r="S23" s="21">
        <f>((E23-CH4_std_curves!$J$33)/CH4_std_curves!$I$33)/C23</f>
        <v>0.61990499604881533</v>
      </c>
      <c r="T23">
        <f t="shared" si="0"/>
        <v>80.525658986741121</v>
      </c>
      <c r="U23" s="23">
        <f t="shared" si="2"/>
        <v>0.12677671560241091</v>
      </c>
      <c r="V23">
        <f t="shared" si="3"/>
        <v>1.3131978304767167E-2</v>
      </c>
    </row>
    <row r="24" spans="1:26" x14ac:dyDescent="0.2">
      <c r="A24" s="17">
        <v>44368.494444444441</v>
      </c>
      <c r="B24" t="s">
        <v>30</v>
      </c>
      <c r="C24">
        <v>80</v>
      </c>
      <c r="D24">
        <v>1.36</v>
      </c>
      <c r="E24">
        <v>277.16250000000002</v>
      </c>
      <c r="F24">
        <v>1.323</v>
      </c>
      <c r="G24">
        <v>5.4787999999999997</v>
      </c>
      <c r="H24">
        <v>2.5059999999999998</v>
      </c>
      <c r="I24">
        <v>32.674199999999999</v>
      </c>
      <c r="J24">
        <v>5</v>
      </c>
      <c r="L24" s="20">
        <v>160</v>
      </c>
      <c r="M24" s="20">
        <v>30</v>
      </c>
      <c r="N24" s="22">
        <v>2.5</v>
      </c>
      <c r="O24" s="20">
        <v>0.8</v>
      </c>
      <c r="P24" s="20">
        <v>3</v>
      </c>
      <c r="Q24" s="20">
        <v>0</v>
      </c>
      <c r="R24" s="20">
        <f t="shared" si="1"/>
        <v>129.9</v>
      </c>
      <c r="S24" s="21">
        <f>((E24-CH4_std_curves!$J$33)/CH4_std_curves!$I$33)/C24</f>
        <v>0.58112556067008769</v>
      </c>
      <c r="T24">
        <f t="shared" si="0"/>
        <v>75.488210331044399</v>
      </c>
      <c r="U24" s="23">
        <f t="shared" si="2"/>
        <v>0.11884593672247445</v>
      </c>
      <c r="V24">
        <f t="shared" si="3"/>
        <v>1.2310480321510921E-2</v>
      </c>
    </row>
    <row r="25" spans="1:26" x14ac:dyDescent="0.2">
      <c r="A25" s="18">
        <v>44368</v>
      </c>
      <c r="B25" t="s">
        <v>20</v>
      </c>
      <c r="C25">
        <v>30</v>
      </c>
      <c r="D25">
        <v>1.35</v>
      </c>
      <c r="E25">
        <v>802.00379999999996</v>
      </c>
      <c r="F25">
        <v>1.3129999999999999</v>
      </c>
      <c r="G25">
        <v>15.902200000000001</v>
      </c>
      <c r="H25" t="s">
        <v>33</v>
      </c>
      <c r="I25" t="s">
        <v>33</v>
      </c>
      <c r="J25">
        <v>5</v>
      </c>
      <c r="L25" s="20">
        <v>160</v>
      </c>
      <c r="M25" s="20">
        <v>30</v>
      </c>
      <c r="N25" s="22">
        <v>0</v>
      </c>
      <c r="O25" s="20">
        <v>0.8</v>
      </c>
      <c r="P25" s="20">
        <v>7</v>
      </c>
      <c r="Q25" s="20">
        <v>0</v>
      </c>
      <c r="R25" s="20">
        <f t="shared" si="1"/>
        <v>135.6</v>
      </c>
      <c r="S25" s="21">
        <f>((E25-CH4_std_curves!$J$33)/CH4_std_curves!$I$33)/C25</f>
        <v>3.9195844158431479</v>
      </c>
      <c r="T25">
        <f t="shared" si="0"/>
        <v>531.49564678833087</v>
      </c>
      <c r="U25" s="23">
        <f t="shared" si="2"/>
        <v>0.83676772478072192</v>
      </c>
      <c r="V25">
        <f t="shared" si="3"/>
        <v>8.6675345356090422E-2</v>
      </c>
    </row>
    <row r="26" spans="1:26" x14ac:dyDescent="0.2">
      <c r="A26" s="17">
        <v>44502.560416666667</v>
      </c>
      <c r="B26" t="s">
        <v>43</v>
      </c>
      <c r="C26">
        <v>30</v>
      </c>
      <c r="D26">
        <v>1.36</v>
      </c>
      <c r="E26">
        <v>778.16049999999996</v>
      </c>
      <c r="F26">
        <v>1.323</v>
      </c>
      <c r="G26">
        <v>15.2179</v>
      </c>
      <c r="H26" t="s">
        <v>33</v>
      </c>
      <c r="I26" t="s">
        <v>33</v>
      </c>
      <c r="J26">
        <v>1</v>
      </c>
      <c r="K26" t="s">
        <v>63</v>
      </c>
      <c r="L26" s="20">
        <v>160</v>
      </c>
      <c r="M26" s="20">
        <v>30</v>
      </c>
      <c r="N26" s="22">
        <v>2.5</v>
      </c>
      <c r="O26" s="20">
        <v>0.8</v>
      </c>
      <c r="P26" s="20">
        <v>0</v>
      </c>
      <c r="Q26" s="20">
        <v>1</v>
      </c>
      <c r="R26" s="20">
        <f t="shared" si="1"/>
        <v>126.5</v>
      </c>
      <c r="S26" s="21">
        <f>((E26-CH4_std_curves!$J$38)/CH4_std_curves!$I$38)/C26</f>
        <v>3.9626292099541756</v>
      </c>
      <c r="T26">
        <f t="shared" ref="T26:T34" si="4">S26*1000/1000*R26</f>
        <v>501.27259505920318</v>
      </c>
      <c r="U26" s="24">
        <f t="shared" si="2"/>
        <v>0.78918563378123741</v>
      </c>
      <c r="V26">
        <f t="shared" si="3"/>
        <v>8.1746624938215801E-2</v>
      </c>
      <c r="W26">
        <f>AVERAGE(U26:U29)</f>
        <v>0.86586673542335602</v>
      </c>
      <c r="X26">
        <f>STDEV(U26:U29)</f>
        <v>7.1464868770093198E-2</v>
      </c>
    </row>
    <row r="27" spans="1:26" x14ac:dyDescent="0.2">
      <c r="A27" s="17">
        <v>44502.574305555558</v>
      </c>
      <c r="B27" t="s">
        <v>44</v>
      </c>
      <c r="C27">
        <v>30</v>
      </c>
      <c r="D27">
        <v>1.3560000000000001</v>
      </c>
      <c r="E27">
        <v>813.89400000000001</v>
      </c>
      <c r="F27">
        <v>1.32</v>
      </c>
      <c r="G27">
        <v>16.086500000000001</v>
      </c>
      <c r="H27" t="s">
        <v>33</v>
      </c>
      <c r="I27" t="s">
        <v>33</v>
      </c>
      <c r="J27">
        <v>1</v>
      </c>
      <c r="L27" s="20">
        <v>160</v>
      </c>
      <c r="M27" s="20">
        <v>30</v>
      </c>
      <c r="N27" s="22">
        <v>2.5</v>
      </c>
      <c r="O27" s="20">
        <v>0.8</v>
      </c>
      <c r="P27" s="20">
        <v>0</v>
      </c>
      <c r="Q27" s="20">
        <v>1</v>
      </c>
      <c r="R27" s="20">
        <f>L27-M27-N27+(O27*P27)-Q27</f>
        <v>126.5</v>
      </c>
      <c r="S27" s="21">
        <f>((E27-CH4_std_curves!$J$38)/CH4_std_curves!$I$38)/C27</f>
        <v>4.1413278696100404</v>
      </c>
      <c r="T27">
        <f t="shared" si="4"/>
        <v>523.87797550567007</v>
      </c>
      <c r="U27" s="24">
        <f t="shared" si="2"/>
        <v>0.82477473573963178</v>
      </c>
      <c r="V27">
        <f t="shared" si="3"/>
        <v>8.5433069350212346E-2</v>
      </c>
    </row>
    <row r="28" spans="1:26" x14ac:dyDescent="0.2">
      <c r="A28" s="17">
        <v>44502.635416666664</v>
      </c>
      <c r="B28" t="s">
        <v>45</v>
      </c>
      <c r="C28">
        <v>30</v>
      </c>
      <c r="D28">
        <v>1.3560000000000001</v>
      </c>
      <c r="E28">
        <v>893.97379999999998</v>
      </c>
      <c r="F28">
        <v>1.323</v>
      </c>
      <c r="G28">
        <v>17.5107</v>
      </c>
      <c r="H28" t="s">
        <v>33</v>
      </c>
      <c r="I28" t="s">
        <v>33</v>
      </c>
      <c r="J28">
        <v>1</v>
      </c>
      <c r="L28" s="20">
        <v>160</v>
      </c>
      <c r="M28" s="20">
        <v>30</v>
      </c>
      <c r="N28" s="22">
        <v>2.5</v>
      </c>
      <c r="O28" s="20">
        <v>0.8</v>
      </c>
      <c r="P28" s="20">
        <v>0</v>
      </c>
      <c r="Q28" s="20">
        <v>1</v>
      </c>
      <c r="R28" s="20">
        <f>L28-M28-N28+(O28*P28)-Q28</f>
        <v>126.5</v>
      </c>
      <c r="S28" s="21">
        <f>((E28-CH4_std_curves!$J$38)/CH4_std_curves!$I$38)/C28</f>
        <v>4.5417966992939416</v>
      </c>
      <c r="T28">
        <f t="shared" si="4"/>
        <v>574.53728246068363</v>
      </c>
      <c r="U28" s="24">
        <f t="shared" si="2"/>
        <v>0.90453093558033693</v>
      </c>
      <c r="V28">
        <f t="shared" si="3"/>
        <v>9.3694497176308317E-2</v>
      </c>
    </row>
    <row r="29" spans="1:26" x14ac:dyDescent="0.2">
      <c r="A29" s="17">
        <v>44502.65</v>
      </c>
      <c r="B29" t="s">
        <v>46</v>
      </c>
      <c r="C29">
        <v>30</v>
      </c>
      <c r="D29">
        <v>1.353</v>
      </c>
      <c r="E29">
        <v>934.58259999999996</v>
      </c>
      <c r="F29">
        <v>1.3160000000000001</v>
      </c>
      <c r="G29">
        <v>18.392600000000002</v>
      </c>
      <c r="H29" t="s">
        <v>33</v>
      </c>
      <c r="I29" t="s">
        <v>33</v>
      </c>
      <c r="J29">
        <v>1</v>
      </c>
      <c r="L29" s="20">
        <v>160</v>
      </c>
      <c r="M29" s="20">
        <v>30</v>
      </c>
      <c r="N29" s="22">
        <v>2.5</v>
      </c>
      <c r="O29" s="20">
        <v>0.8</v>
      </c>
      <c r="P29" s="20">
        <v>0</v>
      </c>
      <c r="Q29" s="20">
        <v>1</v>
      </c>
      <c r="R29" s="20">
        <f t="shared" ref="R29:R34" si="5">L29-M29-N29+(O29*P29)-Q29</f>
        <v>126.5</v>
      </c>
      <c r="S29" s="21">
        <f>((E29-CH4_std_curves!$J$38)/CH4_std_curves!$I$38)/C29</f>
        <v>4.7448761102173904</v>
      </c>
      <c r="T29">
        <f t="shared" si="4"/>
        <v>600.22682794249988</v>
      </c>
      <c r="U29" s="24">
        <f t="shared" si="2"/>
        <v>0.94497563659221773</v>
      </c>
      <c r="V29">
        <f t="shared" si="3"/>
        <v>9.7883901624176151E-2</v>
      </c>
      <c r="Y29">
        <f>AVERAGE(T26:T29)</f>
        <v>549.97867024201423</v>
      </c>
      <c r="Z29">
        <f>STDEV(T26:T29)</f>
        <v>45.392843825994277</v>
      </c>
    </row>
    <row r="30" spans="1:26" x14ac:dyDescent="0.2">
      <c r="A30" s="17">
        <v>44502.663888888892</v>
      </c>
      <c r="B30" t="s">
        <v>47</v>
      </c>
      <c r="C30">
        <v>30</v>
      </c>
      <c r="D30">
        <v>1.363</v>
      </c>
      <c r="E30">
        <v>746.34109999999998</v>
      </c>
      <c r="F30">
        <v>1.3260000000000001</v>
      </c>
      <c r="G30">
        <v>14.6701</v>
      </c>
      <c r="H30" t="s">
        <v>33</v>
      </c>
      <c r="I30" t="s">
        <v>33</v>
      </c>
      <c r="J30">
        <v>2</v>
      </c>
      <c r="L30" s="20">
        <v>160</v>
      </c>
      <c r="M30" s="20">
        <v>30</v>
      </c>
      <c r="N30" s="22">
        <v>2.5</v>
      </c>
      <c r="O30" s="20">
        <v>0.8</v>
      </c>
      <c r="P30" s="20">
        <v>0</v>
      </c>
      <c r="Q30" s="20">
        <v>1</v>
      </c>
      <c r="R30" s="20">
        <f t="shared" si="5"/>
        <v>126.5</v>
      </c>
      <c r="S30" s="21">
        <f>((E30-CH4_std_curves!$J$38)/CH4_std_curves!$I$38)/C30</f>
        <v>3.8035044633983164</v>
      </c>
      <c r="T30">
        <f t="shared" si="4"/>
        <v>481.14331461988701</v>
      </c>
      <c r="U30" s="25">
        <f t="shared" si="2"/>
        <v>0.7574948150577725</v>
      </c>
      <c r="V30">
        <f t="shared" si="3"/>
        <v>7.846397842099577E-2</v>
      </c>
      <c r="W30">
        <f>AVERAGE(U30:U33)</f>
        <v>0.70762993516715667</v>
      </c>
      <c r="X30">
        <f>STDEV(U30:U33)</f>
        <v>4.5446783226346786E-2</v>
      </c>
    </row>
    <row r="31" spans="1:26" x14ac:dyDescent="0.2">
      <c r="A31" s="17">
        <v>44502.678472222222</v>
      </c>
      <c r="B31" t="s">
        <v>48</v>
      </c>
      <c r="C31">
        <v>30</v>
      </c>
      <c r="D31">
        <v>1.3660000000000001</v>
      </c>
      <c r="E31">
        <v>715.04139999999995</v>
      </c>
      <c r="F31">
        <v>1.33</v>
      </c>
      <c r="G31">
        <v>14.0288</v>
      </c>
      <c r="H31" t="s">
        <v>33</v>
      </c>
      <c r="I31" t="s">
        <v>33</v>
      </c>
      <c r="J31">
        <v>2</v>
      </c>
      <c r="L31" s="20">
        <v>160</v>
      </c>
      <c r="M31" s="20">
        <v>30</v>
      </c>
      <c r="N31" s="22">
        <v>2.5</v>
      </c>
      <c r="O31" s="20">
        <v>0.8</v>
      </c>
      <c r="P31" s="20">
        <v>0</v>
      </c>
      <c r="Q31" s="20">
        <v>1</v>
      </c>
      <c r="R31" s="20">
        <f t="shared" si="5"/>
        <v>126.5</v>
      </c>
      <c r="S31" s="21">
        <f>((E31-CH4_std_curves!$J$38)/CH4_std_curves!$I$38)/C31</f>
        <v>3.6469786700214946</v>
      </c>
      <c r="T31">
        <f t="shared" si="4"/>
        <v>461.34280175771909</v>
      </c>
      <c r="U31" s="25">
        <f t="shared" si="2"/>
        <v>0.7263215962416153</v>
      </c>
      <c r="V31">
        <f t="shared" si="3"/>
        <v>7.523494672350832E-2</v>
      </c>
    </row>
    <row r="32" spans="1:26" x14ac:dyDescent="0.2">
      <c r="A32" s="17">
        <v>44502.692361111112</v>
      </c>
      <c r="B32" t="s">
        <v>49</v>
      </c>
      <c r="C32">
        <v>30</v>
      </c>
      <c r="D32">
        <v>1.3660000000000001</v>
      </c>
      <c r="E32">
        <v>639.28930000000003</v>
      </c>
      <c r="F32">
        <v>1.33</v>
      </c>
      <c r="G32">
        <v>12.629099999999999</v>
      </c>
      <c r="H32" t="s">
        <v>33</v>
      </c>
      <c r="I32" t="s">
        <v>33</v>
      </c>
      <c r="J32">
        <v>2</v>
      </c>
      <c r="L32" s="20">
        <v>160</v>
      </c>
      <c r="M32" s="20">
        <v>30</v>
      </c>
      <c r="N32" s="22">
        <v>2.5</v>
      </c>
      <c r="O32" s="20">
        <v>0.8</v>
      </c>
      <c r="P32" s="20">
        <v>0</v>
      </c>
      <c r="Q32" s="20">
        <v>1</v>
      </c>
      <c r="R32" s="20">
        <f t="shared" si="5"/>
        <v>126.5</v>
      </c>
      <c r="S32" s="21">
        <f>((E32-CH4_std_curves!$J$38)/CH4_std_curves!$I$38)/C32</f>
        <v>3.268152114097306</v>
      </c>
      <c r="T32">
        <f t="shared" si="4"/>
        <v>413.4212424333092</v>
      </c>
      <c r="U32" s="25">
        <f t="shared" si="2"/>
        <v>0.65087560829018354</v>
      </c>
      <c r="V32">
        <f t="shared" si="3"/>
        <v>6.741998581170279E-2</v>
      </c>
    </row>
    <row r="33" spans="1:26" x14ac:dyDescent="0.2">
      <c r="A33" s="17">
        <v>44502.705555555556</v>
      </c>
      <c r="B33" t="s">
        <v>50</v>
      </c>
      <c r="C33">
        <v>30</v>
      </c>
      <c r="D33">
        <v>1.363</v>
      </c>
      <c r="E33">
        <v>684.42380000000003</v>
      </c>
      <c r="F33">
        <v>1.3260000000000001</v>
      </c>
      <c r="G33">
        <v>13.4253</v>
      </c>
      <c r="H33" t="s">
        <v>33</v>
      </c>
      <c r="I33" t="s">
        <v>33</v>
      </c>
      <c r="J33">
        <v>2</v>
      </c>
      <c r="L33" s="20">
        <v>160</v>
      </c>
      <c r="M33" s="20">
        <v>30</v>
      </c>
      <c r="N33" s="22">
        <v>2.5</v>
      </c>
      <c r="O33" s="20">
        <v>0.8</v>
      </c>
      <c r="P33" s="20">
        <v>0</v>
      </c>
      <c r="Q33" s="20">
        <v>1</v>
      </c>
      <c r="R33" s="20">
        <f t="shared" si="5"/>
        <v>126.5</v>
      </c>
      <c r="S33" s="21">
        <f>((E33-CH4_std_curves!$J$38)/CH4_std_curves!$I$38)/C33</f>
        <v>3.4938639714367103</v>
      </c>
      <c r="T33">
        <f t="shared" si="4"/>
        <v>441.97379238674387</v>
      </c>
      <c r="U33" s="25">
        <f t="shared" si="2"/>
        <v>0.69582772107905533</v>
      </c>
      <c r="V33">
        <f t="shared" si="3"/>
        <v>7.2076283832139001E-2</v>
      </c>
      <c r="Y33">
        <f>AVERAGE(T30:T33)</f>
        <v>449.47028779941479</v>
      </c>
      <c r="Z33">
        <f>STDEV(T30:T33)</f>
        <v>28.866753257800561</v>
      </c>
    </row>
    <row r="34" spans="1:26" x14ac:dyDescent="0.2">
      <c r="A34" s="17">
        <v>44502.72152777778</v>
      </c>
      <c r="B34" t="s">
        <v>51</v>
      </c>
      <c r="C34">
        <v>30</v>
      </c>
      <c r="D34">
        <v>1.35</v>
      </c>
      <c r="E34">
        <v>425.8544</v>
      </c>
      <c r="F34">
        <v>1.3129999999999999</v>
      </c>
      <c r="G34">
        <v>8.1363000000000003</v>
      </c>
      <c r="H34">
        <v>2.5230000000000001</v>
      </c>
      <c r="I34">
        <v>6.3269000000000002</v>
      </c>
      <c r="J34">
        <v>3</v>
      </c>
      <c r="L34" s="20">
        <v>160</v>
      </c>
      <c r="M34" s="20">
        <v>30</v>
      </c>
      <c r="N34" s="22">
        <v>2.5</v>
      </c>
      <c r="O34" s="20">
        <v>0.8</v>
      </c>
      <c r="P34" s="20">
        <v>0</v>
      </c>
      <c r="Q34" s="20">
        <v>1</v>
      </c>
      <c r="R34" s="20">
        <f t="shared" si="5"/>
        <v>126.5</v>
      </c>
      <c r="S34" s="21">
        <f>((E34-CH4_std_curves!$J$38)/CH4_std_curves!$I$38)/C34</f>
        <v>2.2007914986025061</v>
      </c>
      <c r="T34">
        <f t="shared" si="4"/>
        <v>278.400124573217</v>
      </c>
      <c r="U34" s="26">
        <f t="shared" si="2"/>
        <v>0.43830319255761579</v>
      </c>
      <c r="V34">
        <f t="shared" si="3"/>
        <v>4.540098698902828E-2</v>
      </c>
      <c r="W34">
        <f>AVERAGE(U34:U37)</f>
        <v>0.39773699726635481</v>
      </c>
      <c r="X34">
        <f>STDEV(U34:U37)</f>
        <v>9.6736353563012772E-2</v>
      </c>
    </row>
    <row r="35" spans="1:26" x14ac:dyDescent="0.2">
      <c r="A35" s="17">
        <v>44502.734722222223</v>
      </c>
      <c r="B35" t="s">
        <v>52</v>
      </c>
      <c r="C35">
        <v>30</v>
      </c>
      <c r="D35">
        <v>1.3560000000000001</v>
      </c>
      <c r="E35">
        <v>390.01400000000001</v>
      </c>
      <c r="F35">
        <v>1.32</v>
      </c>
      <c r="G35">
        <v>7.6715999999999998</v>
      </c>
      <c r="H35">
        <v>2.52</v>
      </c>
      <c r="I35">
        <v>6.6467000000000001</v>
      </c>
      <c r="J35">
        <v>3</v>
      </c>
      <c r="K35" t="s">
        <v>63</v>
      </c>
      <c r="L35" s="20">
        <v>160</v>
      </c>
      <c r="M35" s="20">
        <v>30</v>
      </c>
      <c r="N35" s="22">
        <v>2.5</v>
      </c>
      <c r="O35" s="20">
        <v>0.8</v>
      </c>
      <c r="P35" s="20">
        <v>0</v>
      </c>
      <c r="Q35" s="20">
        <v>1</v>
      </c>
      <c r="R35" s="20">
        <f t="shared" ref="R35:R45" si="6">L35-M35-N35+(O35*P35)-Q35</f>
        <v>126.5</v>
      </c>
      <c r="S35" s="21">
        <f>((E35-CH4_std_curves!$J$38)/CH4_std_curves!$I$38)/C35</f>
        <v>2.0215582457297105</v>
      </c>
      <c r="T35">
        <f t="shared" ref="T35:T45" si="7">S35*1000/1000*R35</f>
        <v>255.72711808480838</v>
      </c>
      <c r="U35" s="26">
        <f t="shared" si="2"/>
        <v>0.40260762257903443</v>
      </c>
      <c r="V35">
        <f t="shared" si="3"/>
        <v>4.1703514244860469E-2</v>
      </c>
    </row>
    <row r="36" spans="1:26" x14ac:dyDescent="0.2">
      <c r="A36" s="17">
        <v>44503.703472222223</v>
      </c>
      <c r="B36" t="s">
        <v>53</v>
      </c>
      <c r="C36">
        <v>30</v>
      </c>
      <c r="D36">
        <v>1.3560000000000001</v>
      </c>
      <c r="E36">
        <v>480.41629999999998</v>
      </c>
      <c r="F36">
        <v>1.32</v>
      </c>
      <c r="G36">
        <v>9.3699999999999992</v>
      </c>
      <c r="H36" t="s">
        <v>33</v>
      </c>
      <c r="I36" t="s">
        <v>33</v>
      </c>
      <c r="J36">
        <v>3</v>
      </c>
      <c r="K36" t="s">
        <v>64</v>
      </c>
      <c r="L36" s="20">
        <v>160</v>
      </c>
      <c r="M36" s="20">
        <v>30</v>
      </c>
      <c r="N36" s="22">
        <v>2.5</v>
      </c>
      <c r="O36" s="20">
        <v>0.8</v>
      </c>
      <c r="P36" s="20">
        <v>0</v>
      </c>
      <c r="Q36" s="20">
        <v>1</v>
      </c>
      <c r="R36" s="20">
        <f t="shared" si="6"/>
        <v>126.5</v>
      </c>
      <c r="S36" s="21">
        <f>((E36-CH4_std_curves!$J$43)/CH4_std_curves!$I$43)/C36</f>
        <v>2.4485754526433317</v>
      </c>
      <c r="T36">
        <f t="shared" si="7"/>
        <v>309.74479475938148</v>
      </c>
      <c r="U36" s="26">
        <f t="shared" si="2"/>
        <v>0.48765111951462509</v>
      </c>
      <c r="V36">
        <f t="shared" si="3"/>
        <v>5.0512618909017523E-2</v>
      </c>
    </row>
    <row r="37" spans="1:26" x14ac:dyDescent="0.2">
      <c r="A37" s="17">
        <v>44503.718055555553</v>
      </c>
      <c r="B37" t="s">
        <v>54</v>
      </c>
      <c r="C37">
        <v>30</v>
      </c>
      <c r="D37">
        <v>1.35</v>
      </c>
      <c r="E37">
        <v>260.44420000000002</v>
      </c>
      <c r="F37">
        <v>1.3129999999999999</v>
      </c>
      <c r="G37">
        <v>5.1178999999999997</v>
      </c>
      <c r="H37">
        <v>2.5099999999999998</v>
      </c>
      <c r="I37">
        <v>8.8131000000000004</v>
      </c>
      <c r="J37">
        <v>3</v>
      </c>
      <c r="L37" s="20">
        <v>160</v>
      </c>
      <c r="M37" s="20">
        <v>30</v>
      </c>
      <c r="N37" s="22">
        <v>2.5</v>
      </c>
      <c r="O37" s="20">
        <v>0.8</v>
      </c>
      <c r="P37" s="20">
        <v>0</v>
      </c>
      <c r="Q37" s="20">
        <v>1</v>
      </c>
      <c r="R37" s="20">
        <f t="shared" si="6"/>
        <v>126.5</v>
      </c>
      <c r="S37" s="21">
        <f>((E37-CH4_std_curves!$J$43)/CH4_std_curves!$I$43)/C37</f>
        <v>1.3174829837238633</v>
      </c>
      <c r="T37">
        <f t="shared" si="7"/>
        <v>166.66159744106869</v>
      </c>
      <c r="U37" s="26">
        <f t="shared" si="2"/>
        <v>0.26238605441414398</v>
      </c>
      <c r="V37">
        <f t="shared" si="3"/>
        <v>2.7178870801843603E-2</v>
      </c>
      <c r="Y37">
        <f>AVERAGE(T34:T37)</f>
        <v>252.63340871461887</v>
      </c>
      <c r="Z37">
        <f>STDEV(T34:T37)</f>
        <v>61.444710739042449</v>
      </c>
    </row>
    <row r="38" spans="1:26" x14ac:dyDescent="0.2">
      <c r="A38" s="17">
        <v>44503.73333333333</v>
      </c>
      <c r="B38" t="s">
        <v>55</v>
      </c>
      <c r="C38">
        <v>30</v>
      </c>
      <c r="D38">
        <v>1.3759999999999999</v>
      </c>
      <c r="E38">
        <v>369.19380000000001</v>
      </c>
      <c r="F38">
        <v>1.34</v>
      </c>
      <c r="G38">
        <v>7.1871999999999998</v>
      </c>
      <c r="H38">
        <v>2.5299999999999998</v>
      </c>
      <c r="I38">
        <v>7.5804</v>
      </c>
      <c r="J38">
        <v>4</v>
      </c>
      <c r="L38" s="20">
        <v>160</v>
      </c>
      <c r="M38" s="20">
        <v>30</v>
      </c>
      <c r="N38" s="22">
        <v>2.5</v>
      </c>
      <c r="O38" s="20">
        <v>0.8</v>
      </c>
      <c r="P38" s="20">
        <v>0</v>
      </c>
      <c r="Q38" s="20">
        <v>1</v>
      </c>
      <c r="R38" s="20">
        <f t="shared" si="6"/>
        <v>126.5</v>
      </c>
      <c r="S38" s="21">
        <f>((E38-CH4_std_curves!$J$43)/CH4_std_curves!$I$43)/C38</f>
        <v>1.8766714151567796</v>
      </c>
      <c r="T38">
        <f t="shared" si="7"/>
        <v>237.39893401733261</v>
      </c>
      <c r="U38" s="27">
        <f t="shared" si="2"/>
        <v>0.3737523855245497</v>
      </c>
      <c r="V38">
        <f t="shared" si="3"/>
        <v>3.8714587254775223E-2</v>
      </c>
      <c r="W38">
        <f>AVERAGE(U38:U41)</f>
        <v>0.17884102965406101</v>
      </c>
      <c r="X38">
        <f>STDEV(U38:U41)</f>
        <v>0.13074761501718413</v>
      </c>
    </row>
    <row r="39" spans="1:26" x14ac:dyDescent="0.2">
      <c r="A39" s="17">
        <v>44503.746527777781</v>
      </c>
      <c r="B39" t="s">
        <v>56</v>
      </c>
      <c r="C39">
        <v>30</v>
      </c>
      <c r="D39">
        <v>1.35</v>
      </c>
      <c r="E39">
        <v>135.0778</v>
      </c>
      <c r="F39" t="s">
        <v>33</v>
      </c>
      <c r="G39" t="s">
        <v>33</v>
      </c>
      <c r="H39">
        <v>2.5099999999999998</v>
      </c>
      <c r="I39">
        <v>11.7539</v>
      </c>
      <c r="J39">
        <v>4</v>
      </c>
      <c r="L39" s="20">
        <v>160</v>
      </c>
      <c r="M39" s="20">
        <v>30</v>
      </c>
      <c r="N39" s="22">
        <v>2.5</v>
      </c>
      <c r="O39" s="20">
        <v>0.8</v>
      </c>
      <c r="P39" s="20">
        <v>0</v>
      </c>
      <c r="Q39" s="20">
        <v>1</v>
      </c>
      <c r="R39" s="20">
        <f t="shared" si="6"/>
        <v>126.5</v>
      </c>
      <c r="S39" s="21">
        <f>((E39-CH4_std_curves!$J$43)/CH4_std_curves!$I$43)/C39</f>
        <v>0.67285127408638812</v>
      </c>
      <c r="T39">
        <f t="shared" si="7"/>
        <v>85.115686171928104</v>
      </c>
      <c r="U39" s="27">
        <f t="shared" si="2"/>
        <v>0.13400309013179659</v>
      </c>
      <c r="V39">
        <f t="shared" si="3"/>
        <v>1.3880511606731099E-2</v>
      </c>
    </row>
    <row r="40" spans="1:26" x14ac:dyDescent="0.2">
      <c r="A40" s="17">
        <v>44503.759722222225</v>
      </c>
      <c r="B40" t="s">
        <v>57</v>
      </c>
      <c r="C40">
        <v>30</v>
      </c>
      <c r="D40">
        <v>1.3560000000000001</v>
      </c>
      <c r="E40">
        <v>102.2826</v>
      </c>
      <c r="F40" t="s">
        <v>33</v>
      </c>
      <c r="G40" t="s">
        <v>33</v>
      </c>
      <c r="H40">
        <v>2.5129999999999999</v>
      </c>
      <c r="I40">
        <v>11.952199999999999</v>
      </c>
      <c r="J40">
        <v>4</v>
      </c>
      <c r="L40" s="20">
        <v>160</v>
      </c>
      <c r="M40" s="20">
        <v>30</v>
      </c>
      <c r="N40" s="22">
        <v>2.5</v>
      </c>
      <c r="O40" s="20">
        <v>0.8</v>
      </c>
      <c r="P40" s="20">
        <v>0</v>
      </c>
      <c r="Q40" s="20">
        <v>1</v>
      </c>
      <c r="R40" s="20">
        <f t="shared" si="6"/>
        <v>126.5</v>
      </c>
      <c r="S40" s="21">
        <f>((E40-CH4_std_curves!$J$43)/CH4_std_curves!$I$43)/C40</f>
        <v>0.50421896236727581</v>
      </c>
      <c r="T40">
        <f t="shared" si="7"/>
        <v>63.783698739460391</v>
      </c>
      <c r="U40" s="27">
        <f t="shared" si="2"/>
        <v>0.10041877256159884</v>
      </c>
      <c r="V40">
        <f t="shared" si="3"/>
        <v>1.0401729816111333E-2</v>
      </c>
    </row>
    <row r="41" spans="1:26" x14ac:dyDescent="0.2">
      <c r="A41" s="17">
        <v>44503.771527777775</v>
      </c>
      <c r="B41" t="s">
        <v>58</v>
      </c>
      <c r="C41">
        <v>30</v>
      </c>
      <c r="D41">
        <v>1.343</v>
      </c>
      <c r="E41">
        <v>108.8946</v>
      </c>
      <c r="F41" t="s">
        <v>33</v>
      </c>
      <c r="G41" t="s">
        <v>33</v>
      </c>
      <c r="H41">
        <v>2.4929999999999999</v>
      </c>
      <c r="I41">
        <v>12.5799</v>
      </c>
      <c r="J41">
        <v>4</v>
      </c>
      <c r="L41" s="20">
        <v>160</v>
      </c>
      <c r="M41" s="20">
        <v>30</v>
      </c>
      <c r="N41" s="22">
        <v>2.5</v>
      </c>
      <c r="O41" s="20">
        <v>0.8</v>
      </c>
      <c r="P41" s="20">
        <v>0</v>
      </c>
      <c r="Q41" s="20">
        <v>1</v>
      </c>
      <c r="R41" s="20">
        <f t="shared" si="6"/>
        <v>126.5</v>
      </c>
      <c r="S41" s="21">
        <f>((E41-CH4_std_curves!$J$43)/CH4_std_curves!$I$43)/C41</f>
        <v>0.53821774405138723</v>
      </c>
      <c r="T41">
        <f t="shared" si="7"/>
        <v>68.084544622500488</v>
      </c>
      <c r="U41" s="27">
        <f t="shared" si="2"/>
        <v>0.10718987039829896</v>
      </c>
      <c r="V41">
        <f t="shared" si="3"/>
        <v>1.1103103956216529E-2</v>
      </c>
      <c r="Y41">
        <f>AVERAGE(T38:T41)</f>
        <v>113.5957158878054</v>
      </c>
      <c r="Z41">
        <f>STDEV(T38:T41)</f>
        <v>83.047883124077828</v>
      </c>
    </row>
    <row r="42" spans="1:26" x14ac:dyDescent="0.2">
      <c r="A42" s="17">
        <v>44503.784722222219</v>
      </c>
      <c r="B42" t="s">
        <v>59</v>
      </c>
      <c r="C42">
        <v>30</v>
      </c>
      <c r="D42">
        <v>1.3660000000000001</v>
      </c>
      <c r="E42">
        <v>75.080600000000004</v>
      </c>
      <c r="F42" t="s">
        <v>33</v>
      </c>
      <c r="G42" t="s">
        <v>33</v>
      </c>
      <c r="H42">
        <v>2.52</v>
      </c>
      <c r="I42">
        <v>12.7507</v>
      </c>
      <c r="J42">
        <v>5</v>
      </c>
      <c r="K42" t="s">
        <v>65</v>
      </c>
      <c r="L42" s="20">
        <v>160</v>
      </c>
      <c r="M42" s="20">
        <v>30</v>
      </c>
      <c r="N42" s="22">
        <v>2.5</v>
      </c>
      <c r="O42" s="20">
        <v>0.8</v>
      </c>
      <c r="P42" s="20">
        <v>0</v>
      </c>
      <c r="Q42" s="20">
        <v>1</v>
      </c>
      <c r="R42" s="20">
        <f t="shared" si="6"/>
        <v>126.5</v>
      </c>
      <c r="S42" s="21">
        <f>((E42-CH4_std_curves!$J$43)/CH4_std_curves!$I$43)/C42</f>
        <v>0.36434678157913325</v>
      </c>
      <c r="T42">
        <f t="shared" si="7"/>
        <v>46.089867869760347</v>
      </c>
      <c r="U42" s="28">
        <f t="shared" si="2"/>
        <v>7.2562238479034327E-2</v>
      </c>
      <c r="V42">
        <f t="shared" si="3"/>
        <v>7.5162519940996106E-3</v>
      </c>
      <c r="W42">
        <f>AVERAGE(U42:U45)</f>
        <v>9.3813418142276631E-2</v>
      </c>
      <c r="X42">
        <f>STDEV(U42:U45)</f>
        <v>1.7920073395310751E-2</v>
      </c>
    </row>
    <row r="43" spans="1:26" x14ac:dyDescent="0.2">
      <c r="A43" s="17">
        <v>44503.799305555556</v>
      </c>
      <c r="B43" t="s">
        <v>60</v>
      </c>
      <c r="C43">
        <v>40</v>
      </c>
      <c r="D43">
        <v>1.363</v>
      </c>
      <c r="E43">
        <v>150.7912</v>
      </c>
      <c r="F43" t="s">
        <v>33</v>
      </c>
      <c r="G43" t="s">
        <v>33</v>
      </c>
      <c r="H43">
        <v>2.5230000000000001</v>
      </c>
      <c r="I43">
        <v>17.277699999999999</v>
      </c>
      <c r="J43">
        <v>5</v>
      </c>
      <c r="L43" s="20">
        <v>160</v>
      </c>
      <c r="M43" s="20">
        <v>30</v>
      </c>
      <c r="N43" s="22">
        <v>2.5</v>
      </c>
      <c r="O43" s="20">
        <v>0.8</v>
      </c>
      <c r="P43" s="20">
        <v>0</v>
      </c>
      <c r="Q43" s="20">
        <v>1</v>
      </c>
      <c r="R43" s="20">
        <f t="shared" si="6"/>
        <v>126.5</v>
      </c>
      <c r="S43" s="21">
        <f>((E43-CH4_std_curves!$J$43)/CH4_std_curves!$I$43)/C43</f>
        <v>0.56523696465225892</v>
      </c>
      <c r="T43">
        <f t="shared" si="7"/>
        <v>71.502476028510756</v>
      </c>
      <c r="U43" s="28">
        <f t="shared" si="2"/>
        <v>0.11257093928069903</v>
      </c>
      <c r="V43">
        <f t="shared" si="3"/>
        <v>1.1660494005993081E-2</v>
      </c>
    </row>
    <row r="44" spans="1:26" x14ac:dyDescent="0.2">
      <c r="A44" s="17">
        <v>44503.813194444447</v>
      </c>
      <c r="B44" t="s">
        <v>61</v>
      </c>
      <c r="C44">
        <v>40</v>
      </c>
      <c r="D44">
        <v>1.353</v>
      </c>
      <c r="E44">
        <v>139.5214</v>
      </c>
      <c r="F44" t="s">
        <v>33</v>
      </c>
      <c r="G44" t="s">
        <v>33</v>
      </c>
      <c r="H44">
        <v>2.5059999999999998</v>
      </c>
      <c r="I44">
        <v>18.268000000000001</v>
      </c>
      <c r="J44">
        <v>5</v>
      </c>
      <c r="L44" s="20">
        <v>160</v>
      </c>
      <c r="M44" s="20">
        <v>30</v>
      </c>
      <c r="N44" s="22">
        <v>2.5</v>
      </c>
      <c r="O44" s="20">
        <v>0.8</v>
      </c>
      <c r="P44" s="20">
        <v>0</v>
      </c>
      <c r="Q44" s="20">
        <v>1</v>
      </c>
      <c r="R44" s="20">
        <f t="shared" si="6"/>
        <v>126.5</v>
      </c>
      <c r="S44" s="21">
        <f>((E44-CH4_std_curves!$J$43)/CH4_std_curves!$I$43)/C44</f>
        <v>0.52177513731292147</v>
      </c>
      <c r="T44">
        <f t="shared" si="7"/>
        <v>66.004554870084561</v>
      </c>
      <c r="U44" s="28">
        <f t="shared" si="2"/>
        <v>0.10391520897216421</v>
      </c>
      <c r="V44">
        <f t="shared" si="3"/>
        <v>1.0763903002799167E-2</v>
      </c>
    </row>
    <row r="45" spans="1:26" x14ac:dyDescent="0.2">
      <c r="A45" s="17">
        <v>44503.825694444444</v>
      </c>
      <c r="B45" t="s">
        <v>62</v>
      </c>
      <c r="C45">
        <v>40</v>
      </c>
      <c r="D45">
        <v>1.343</v>
      </c>
      <c r="E45">
        <v>116.46299999999999</v>
      </c>
      <c r="F45" t="s">
        <v>33</v>
      </c>
      <c r="G45" t="s">
        <v>33</v>
      </c>
      <c r="H45">
        <v>2.5</v>
      </c>
      <c r="I45">
        <v>17.681999999999999</v>
      </c>
      <c r="J45">
        <v>5</v>
      </c>
      <c r="L45" s="20">
        <v>160</v>
      </c>
      <c r="M45" s="20">
        <v>30</v>
      </c>
      <c r="N45" s="22">
        <v>2.5</v>
      </c>
      <c r="O45" s="20">
        <v>0.8</v>
      </c>
      <c r="P45" s="20">
        <v>0</v>
      </c>
      <c r="Q45" s="20">
        <v>1</v>
      </c>
      <c r="R45" s="20">
        <f t="shared" si="6"/>
        <v>126.5</v>
      </c>
      <c r="S45" s="21">
        <f>((E45-CH4_std_curves!$J$43)/CH4_std_curves!$I$43)/C45</f>
        <v>0.43285073763223697</v>
      </c>
      <c r="T45">
        <f t="shared" si="7"/>
        <v>54.755618310477978</v>
      </c>
      <c r="U45" s="28">
        <f t="shared" si="2"/>
        <v>8.620528583720892E-2</v>
      </c>
      <c r="V45">
        <f t="shared" si="3"/>
        <v>8.9294468466964427E-3</v>
      </c>
      <c r="Y45">
        <f>AVERAGE(T42:T45)</f>
        <v>59.588129269708418</v>
      </c>
      <c r="Z45">
        <f>STDEV(T42:T45)</f>
        <v>11.382419179983263</v>
      </c>
    </row>
    <row r="46" spans="1:26" x14ac:dyDescent="0.2">
      <c r="A46" s="17"/>
    </row>
    <row r="47" spans="1:26" x14ac:dyDescent="0.2">
      <c r="A47" s="17"/>
    </row>
    <row r="48" spans="1:26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  <row r="60" spans="1:1" x14ac:dyDescent="0.2">
      <c r="A60" s="17"/>
    </row>
    <row r="61" spans="1:1" x14ac:dyDescent="0.2">
      <c r="A61" s="17"/>
    </row>
    <row r="62" spans="1:1" x14ac:dyDescent="0.2">
      <c r="A62" s="17"/>
    </row>
    <row r="63" spans="1:1" x14ac:dyDescent="0.2">
      <c r="A63" s="17"/>
    </row>
    <row r="64" spans="1:1" x14ac:dyDescent="0.2">
      <c r="A64" s="17"/>
    </row>
    <row r="65" spans="1:1" x14ac:dyDescent="0.2">
      <c r="A65" s="17"/>
    </row>
    <row r="66" spans="1:1" x14ac:dyDescent="0.2">
      <c r="A66" s="17"/>
    </row>
    <row r="67" spans="1:1" x14ac:dyDescent="0.2">
      <c r="A67" s="17"/>
    </row>
    <row r="68" spans="1:1" x14ac:dyDescent="0.2">
      <c r="A68" s="17"/>
    </row>
    <row r="69" spans="1:1" x14ac:dyDescent="0.2">
      <c r="A69" s="17"/>
    </row>
    <row r="70" spans="1:1" x14ac:dyDescent="0.2">
      <c r="A70" s="17"/>
    </row>
    <row r="71" spans="1:1" x14ac:dyDescent="0.2">
      <c r="A71" s="17"/>
    </row>
    <row r="72" spans="1:1" x14ac:dyDescent="0.2">
      <c r="A72" s="17"/>
    </row>
    <row r="73" spans="1:1" x14ac:dyDescent="0.2">
      <c r="A73" s="17"/>
    </row>
    <row r="74" spans="1:1" x14ac:dyDescent="0.2">
      <c r="A74" s="17"/>
    </row>
    <row r="75" spans="1:1" x14ac:dyDescent="0.2">
      <c r="A75" s="17"/>
    </row>
    <row r="76" spans="1:1" x14ac:dyDescent="0.2">
      <c r="A76" s="17"/>
    </row>
    <row r="77" spans="1:1" x14ac:dyDescent="0.2">
      <c r="A77" s="17"/>
    </row>
    <row r="78" spans="1:1" x14ac:dyDescent="0.2">
      <c r="A78" s="17"/>
    </row>
    <row r="79" spans="1:1" x14ac:dyDescent="0.2">
      <c r="A79" s="17"/>
    </row>
    <row r="80" spans="1:1" x14ac:dyDescent="0.2">
      <c r="A80" s="17"/>
    </row>
    <row r="81" spans="1:1" x14ac:dyDescent="0.2">
      <c r="A81" s="17"/>
    </row>
    <row r="82" spans="1:1" x14ac:dyDescent="0.2">
      <c r="A82" s="17"/>
    </row>
    <row r="83" spans="1:1" x14ac:dyDescent="0.2">
      <c r="A83" s="17"/>
    </row>
    <row r="84" spans="1:1" x14ac:dyDescent="0.2">
      <c r="A84" s="17"/>
    </row>
    <row r="85" spans="1:1" x14ac:dyDescent="0.2">
      <c r="A85" s="17"/>
    </row>
    <row r="86" spans="1:1" x14ac:dyDescent="0.2">
      <c r="A86" s="17"/>
    </row>
    <row r="87" spans="1:1" x14ac:dyDescent="0.2">
      <c r="A87" s="17"/>
    </row>
    <row r="88" spans="1:1" x14ac:dyDescent="0.2">
      <c r="A88" s="17"/>
    </row>
    <row r="89" spans="1:1" x14ac:dyDescent="0.2">
      <c r="A89" s="17"/>
    </row>
    <row r="90" spans="1:1" x14ac:dyDescent="0.2">
      <c r="A90" s="17"/>
    </row>
    <row r="91" spans="1:1" x14ac:dyDescent="0.2">
      <c r="A91" s="17"/>
    </row>
    <row r="92" spans="1:1" x14ac:dyDescent="0.2">
      <c r="A92" s="17"/>
    </row>
    <row r="93" spans="1:1" x14ac:dyDescent="0.2">
      <c r="A93" s="17"/>
    </row>
    <row r="94" spans="1:1" x14ac:dyDescent="0.2">
      <c r="A94" s="17"/>
    </row>
    <row r="95" spans="1:1" x14ac:dyDescent="0.2">
      <c r="A95" s="17"/>
    </row>
    <row r="96" spans="1:1" x14ac:dyDescent="0.2">
      <c r="A96" s="17"/>
    </row>
    <row r="97" spans="1:1" x14ac:dyDescent="0.2">
      <c r="A97" s="17"/>
    </row>
    <row r="98" spans="1:1" x14ac:dyDescent="0.2">
      <c r="A98" s="17"/>
    </row>
    <row r="99" spans="1:1" x14ac:dyDescent="0.2">
      <c r="A99" s="17"/>
    </row>
    <row r="100" spans="1:1" x14ac:dyDescent="0.2">
      <c r="A100" s="17"/>
    </row>
    <row r="101" spans="1:1" x14ac:dyDescent="0.2">
      <c r="A101" s="17"/>
    </row>
    <row r="102" spans="1:1" x14ac:dyDescent="0.2">
      <c r="A102" s="17"/>
    </row>
    <row r="103" spans="1:1" x14ac:dyDescent="0.2">
      <c r="A103" s="17"/>
    </row>
    <row r="104" spans="1:1" x14ac:dyDescent="0.2">
      <c r="A104" s="17"/>
    </row>
    <row r="105" spans="1:1" x14ac:dyDescent="0.2">
      <c r="A105" s="17"/>
    </row>
    <row r="106" spans="1:1" x14ac:dyDescent="0.2">
      <c r="A106" s="17"/>
    </row>
    <row r="107" spans="1:1" x14ac:dyDescent="0.2">
      <c r="A107" s="17"/>
    </row>
    <row r="108" spans="1:1" x14ac:dyDescent="0.2">
      <c r="A108" s="17"/>
    </row>
    <row r="109" spans="1:1" x14ac:dyDescent="0.2">
      <c r="A109" s="17"/>
    </row>
    <row r="110" spans="1:1" x14ac:dyDescent="0.2">
      <c r="A110" s="17"/>
    </row>
    <row r="111" spans="1:1" x14ac:dyDescent="0.2">
      <c r="A111" s="17"/>
    </row>
    <row r="112" spans="1:1" x14ac:dyDescent="0.2">
      <c r="A112" s="17"/>
    </row>
    <row r="113" spans="1:1" x14ac:dyDescent="0.2">
      <c r="A113" s="1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SampleList!$A$1:$A$11</xm:f>
          </x14:formula1>
          <xm:sqref>B1:B25 B182:B1048576</xm:sqref>
        </x14:dataValidation>
        <x14:dataValidation type="list" allowBlank="1" showInputMessage="1" showErrorMessage="1" xr:uid="{00000000-0002-0000-0000-000001000000}">
          <x14:formula1>
            <xm:f>SampleList!$A$1:$A$31</xm:f>
          </x14:formula1>
          <xm:sqref>B26:B181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topLeftCell="E31" workbookViewId="0">
      <selection activeCell="I43" sqref="I43"/>
    </sheetView>
  </sheetViews>
  <sheetFormatPr baseColWidth="10" defaultColWidth="11" defaultRowHeight="16" x14ac:dyDescent="0.2"/>
  <cols>
    <col min="1" max="1" width="14.33203125" customWidth="1"/>
    <col min="2" max="2" width="12.5" customWidth="1"/>
  </cols>
  <sheetData>
    <row r="1" spans="1:10" ht="85" x14ac:dyDescent="0.2">
      <c r="A1" s="9" t="s">
        <v>18</v>
      </c>
      <c r="B1" s="10" t="s">
        <v>9</v>
      </c>
      <c r="C1" s="10" t="s">
        <v>10</v>
      </c>
      <c r="D1" s="9" t="s">
        <v>11</v>
      </c>
      <c r="E1" s="9" t="s">
        <v>12</v>
      </c>
      <c r="F1" s="11" t="s">
        <v>13</v>
      </c>
      <c r="G1" s="12" t="s">
        <v>14</v>
      </c>
      <c r="H1" s="13" t="s">
        <v>15</v>
      </c>
      <c r="I1" s="11" t="s">
        <v>16</v>
      </c>
      <c r="J1" s="9" t="s">
        <v>17</v>
      </c>
    </row>
    <row r="2" spans="1:10" x14ac:dyDescent="0.2">
      <c r="A2" s="16">
        <v>44356</v>
      </c>
      <c r="B2">
        <v>24.1</v>
      </c>
      <c r="C2" s="4">
        <f t="shared" ref="C2:C47" si="0">1/100</f>
        <v>0.01</v>
      </c>
      <c r="D2">
        <v>50</v>
      </c>
      <c r="E2" s="5">
        <f t="shared" ref="E2:E19" si="1">(D2/1000000)*(1/$B$2)*$C$2</f>
        <v>2.0746887966804982E-8</v>
      </c>
      <c r="F2" s="2">
        <f t="shared" ref="F2:F19" si="2">E2*(10^9)</f>
        <v>20.74688796680498</v>
      </c>
      <c r="G2" s="6">
        <v>1.36</v>
      </c>
      <c r="H2" s="7">
        <v>111.5412</v>
      </c>
      <c r="I2" s="3">
        <f>SLOPE(H2:H6,F2:F6)</f>
        <v>5.9376252148780493</v>
      </c>
      <c r="J2" s="8">
        <f>INTERCEPT(H2:H6,F2:F6)</f>
        <v>42.863730487804673</v>
      </c>
    </row>
    <row r="3" spans="1:10" x14ac:dyDescent="0.2">
      <c r="A3" s="16">
        <v>44356</v>
      </c>
      <c r="B3">
        <v>24.1</v>
      </c>
      <c r="C3" s="4">
        <f t="shared" si="0"/>
        <v>0.01</v>
      </c>
      <c r="D3">
        <v>100</v>
      </c>
      <c r="E3" s="5">
        <f t="shared" si="1"/>
        <v>4.1493775933609963E-8</v>
      </c>
      <c r="F3" s="2">
        <f t="shared" si="2"/>
        <v>41.49377593360996</v>
      </c>
      <c r="G3" s="6">
        <v>1.3460000000000001</v>
      </c>
      <c r="H3" s="7">
        <v>360.57279999999997</v>
      </c>
      <c r="J3" s="2"/>
    </row>
    <row r="4" spans="1:10" x14ac:dyDescent="0.2">
      <c r="A4" s="16">
        <v>44356</v>
      </c>
      <c r="B4">
        <v>24.1</v>
      </c>
      <c r="C4" s="4">
        <f t="shared" si="0"/>
        <v>0.01</v>
      </c>
      <c r="D4">
        <v>200</v>
      </c>
      <c r="E4" s="5">
        <f t="shared" si="1"/>
        <v>8.2987551867219927E-8</v>
      </c>
      <c r="F4" s="2">
        <f t="shared" si="2"/>
        <v>82.987551867219921</v>
      </c>
      <c r="G4" s="6">
        <v>1.35</v>
      </c>
      <c r="H4" s="7">
        <v>528.6771</v>
      </c>
      <c r="J4" s="2"/>
    </row>
    <row r="5" spans="1:10" x14ac:dyDescent="0.2">
      <c r="A5" s="16">
        <v>44356</v>
      </c>
      <c r="B5">
        <v>24.1</v>
      </c>
      <c r="C5" s="4">
        <f t="shared" si="0"/>
        <v>0.01</v>
      </c>
      <c r="D5">
        <v>300</v>
      </c>
      <c r="E5" s="5">
        <f t="shared" si="1"/>
        <v>1.2448132780082988E-7</v>
      </c>
      <c r="F5" s="2">
        <f t="shared" si="2"/>
        <v>124.48132780082987</v>
      </c>
      <c r="G5" s="6">
        <v>1.37</v>
      </c>
      <c r="H5" s="7">
        <v>772.63890000000004</v>
      </c>
      <c r="J5" s="2"/>
    </row>
    <row r="6" spans="1:10" x14ac:dyDescent="0.2">
      <c r="A6" s="16">
        <v>44356</v>
      </c>
      <c r="B6">
        <v>24.1</v>
      </c>
      <c r="C6" s="4">
        <f t="shared" si="0"/>
        <v>0.01</v>
      </c>
      <c r="D6">
        <v>400</v>
      </c>
      <c r="E6" s="5">
        <f t="shared" si="1"/>
        <v>1.6597510373443985E-7</v>
      </c>
      <c r="F6" s="2">
        <f t="shared" si="2"/>
        <v>165.97510373443984</v>
      </c>
      <c r="G6" s="6">
        <v>1.3660000000000001</v>
      </c>
      <c r="H6" s="7">
        <v>1027.8208</v>
      </c>
      <c r="J6" s="2"/>
    </row>
    <row r="7" spans="1:10" x14ac:dyDescent="0.2">
      <c r="A7" s="16">
        <v>44358</v>
      </c>
      <c r="B7">
        <v>24.1</v>
      </c>
      <c r="C7" s="4">
        <f t="shared" si="0"/>
        <v>0.01</v>
      </c>
      <c r="D7">
        <v>50</v>
      </c>
      <c r="E7" s="5">
        <f t="shared" si="1"/>
        <v>2.0746887966804982E-8</v>
      </c>
      <c r="F7" s="2">
        <f t="shared" si="2"/>
        <v>20.74688796680498</v>
      </c>
      <c r="G7" s="6">
        <v>1.393</v>
      </c>
      <c r="H7" s="7">
        <v>110.26439999999999</v>
      </c>
      <c r="I7" s="3">
        <f>SLOPE(H7:H11,F7:F11)</f>
        <v>6.6912282471951219</v>
      </c>
      <c r="J7" s="8">
        <f>INTERCEPT(H7:H11,F7:F11)</f>
        <v>-25.74682378048783</v>
      </c>
    </row>
    <row r="8" spans="1:10" x14ac:dyDescent="0.2">
      <c r="A8" s="16">
        <v>44358</v>
      </c>
      <c r="B8">
        <v>24.1</v>
      </c>
      <c r="C8" s="4">
        <f t="shared" si="0"/>
        <v>0.01</v>
      </c>
      <c r="D8">
        <v>100</v>
      </c>
      <c r="E8" s="5">
        <f t="shared" si="1"/>
        <v>4.1493775933609963E-8</v>
      </c>
      <c r="F8" s="2">
        <f t="shared" si="2"/>
        <v>41.49377593360996</v>
      </c>
      <c r="G8" s="6">
        <v>1.353</v>
      </c>
      <c r="H8" s="7">
        <v>244.93940000000001</v>
      </c>
      <c r="J8" s="2"/>
    </row>
    <row r="9" spans="1:10" x14ac:dyDescent="0.2">
      <c r="A9" s="16">
        <v>44358</v>
      </c>
      <c r="B9">
        <v>24.1</v>
      </c>
      <c r="C9" s="4">
        <f t="shared" si="0"/>
        <v>0.01</v>
      </c>
      <c r="D9">
        <v>200</v>
      </c>
      <c r="E9" s="5">
        <f t="shared" si="1"/>
        <v>8.2987551867219927E-8</v>
      </c>
      <c r="F9" s="2">
        <f t="shared" si="2"/>
        <v>82.987551867219921</v>
      </c>
      <c r="G9" s="6">
        <v>1.3560000000000001</v>
      </c>
      <c r="H9" s="7">
        <v>543.97709999999995</v>
      </c>
      <c r="J9" s="2"/>
    </row>
    <row r="10" spans="1:10" x14ac:dyDescent="0.2">
      <c r="A10" s="16">
        <v>44358</v>
      </c>
      <c r="B10">
        <v>24.1</v>
      </c>
      <c r="C10" s="4">
        <f t="shared" si="0"/>
        <v>0.01</v>
      </c>
      <c r="D10">
        <v>300</v>
      </c>
      <c r="E10" s="5">
        <f t="shared" si="1"/>
        <v>1.2448132780082988E-7</v>
      </c>
      <c r="F10" s="2">
        <f t="shared" si="2"/>
        <v>124.48132780082987</v>
      </c>
      <c r="G10" s="6">
        <v>1.36</v>
      </c>
      <c r="H10" s="7">
        <v>809.02819999999997</v>
      </c>
      <c r="J10" s="2"/>
    </row>
    <row r="11" spans="1:10" x14ac:dyDescent="0.2">
      <c r="A11" s="16">
        <v>44358</v>
      </c>
      <c r="B11">
        <v>24.1</v>
      </c>
      <c r="C11" s="4">
        <f t="shared" si="0"/>
        <v>0.01</v>
      </c>
      <c r="D11">
        <v>400</v>
      </c>
      <c r="E11" s="5">
        <f t="shared" si="1"/>
        <v>1.6597510373443985E-7</v>
      </c>
      <c r="F11" s="2">
        <f t="shared" si="2"/>
        <v>165.97510373443984</v>
      </c>
      <c r="G11" s="6">
        <v>1.36</v>
      </c>
      <c r="H11" s="7">
        <v>1078.3222000000001</v>
      </c>
      <c r="J11" s="2"/>
    </row>
    <row r="12" spans="1:10" x14ac:dyDescent="0.2">
      <c r="A12" s="16">
        <v>44360</v>
      </c>
      <c r="B12">
        <v>24.1</v>
      </c>
      <c r="C12" s="4">
        <f t="shared" si="0"/>
        <v>0.01</v>
      </c>
      <c r="D12">
        <v>50</v>
      </c>
      <c r="E12" s="5">
        <f t="shared" si="1"/>
        <v>2.0746887966804982E-8</v>
      </c>
      <c r="F12" s="2">
        <f t="shared" si="2"/>
        <v>20.74688796680498</v>
      </c>
      <c r="G12" s="6">
        <v>1.3460000000000001</v>
      </c>
      <c r="H12" s="7">
        <v>112.5784</v>
      </c>
      <c r="I12" s="3">
        <f>SLOPE(H12:H14,F12:F14)</f>
        <v>6.4605306041860473</v>
      </c>
      <c r="J12" s="8">
        <f>INTERCEPT(H12:H14,F12:F14)</f>
        <v>-18.081583720930269</v>
      </c>
    </row>
    <row r="13" spans="1:10" x14ac:dyDescent="0.2">
      <c r="A13" s="16">
        <v>44360</v>
      </c>
      <c r="B13">
        <v>24.1</v>
      </c>
      <c r="C13" s="4">
        <f t="shared" si="0"/>
        <v>0.01</v>
      </c>
      <c r="D13">
        <v>100</v>
      </c>
      <c r="E13" s="5">
        <f t="shared" si="1"/>
        <v>4.1493775933609963E-8</v>
      </c>
      <c r="F13" s="2">
        <f t="shared" si="2"/>
        <v>41.49377593360996</v>
      </c>
      <c r="G13" s="6">
        <v>1.3460000000000001</v>
      </c>
      <c r="H13" s="7">
        <v>253.9288</v>
      </c>
      <c r="J13" s="2"/>
    </row>
    <row r="14" spans="1:10" x14ac:dyDescent="0.2">
      <c r="A14" s="16">
        <v>44360</v>
      </c>
      <c r="B14">
        <v>24.1</v>
      </c>
      <c r="C14" s="4">
        <f t="shared" si="0"/>
        <v>0.01</v>
      </c>
      <c r="D14">
        <v>400</v>
      </c>
      <c r="E14" s="5">
        <f t="shared" si="1"/>
        <v>1.6597510373443985E-7</v>
      </c>
      <c r="F14" s="2">
        <f t="shared" si="2"/>
        <v>165.97510373443984</v>
      </c>
      <c r="G14" s="6">
        <v>1.3660000000000001</v>
      </c>
      <c r="H14" s="7">
        <v>1053.643</v>
      </c>
      <c r="J14" s="2"/>
    </row>
    <row r="15" spans="1:10" x14ac:dyDescent="0.2">
      <c r="A15" s="16">
        <v>44361</v>
      </c>
      <c r="B15">
        <v>24.1</v>
      </c>
      <c r="C15" s="4">
        <f t="shared" si="0"/>
        <v>0.01</v>
      </c>
      <c r="D15">
        <v>50</v>
      </c>
      <c r="E15" s="5">
        <f t="shared" si="1"/>
        <v>2.0746887966804982E-8</v>
      </c>
      <c r="F15" s="2">
        <f t="shared" si="2"/>
        <v>20.74688796680498</v>
      </c>
      <c r="G15" s="6">
        <v>1.3460000000000001</v>
      </c>
      <c r="H15" s="7">
        <v>110.43259999999999</v>
      </c>
      <c r="I15" s="3">
        <f>SLOPE(H15:H19,F15:F19)</f>
        <v>6.4397581197560978</v>
      </c>
      <c r="J15" s="8">
        <f>INTERCEPT(H15:H19,F15:F19)</f>
        <v>-17.272789024390477</v>
      </c>
    </row>
    <row r="16" spans="1:10" x14ac:dyDescent="0.2">
      <c r="A16" s="16">
        <v>44361</v>
      </c>
      <c r="B16">
        <v>24.1</v>
      </c>
      <c r="C16" s="4">
        <f t="shared" si="0"/>
        <v>0.01</v>
      </c>
      <c r="D16">
        <v>100</v>
      </c>
      <c r="E16" s="5">
        <f t="shared" si="1"/>
        <v>4.1493775933609963E-8</v>
      </c>
      <c r="F16" s="2">
        <f t="shared" si="2"/>
        <v>41.49377593360996</v>
      </c>
      <c r="G16" s="6">
        <v>1.35</v>
      </c>
      <c r="H16" s="7">
        <v>253.2407</v>
      </c>
      <c r="J16" s="2"/>
    </row>
    <row r="17" spans="1:10" x14ac:dyDescent="0.2">
      <c r="A17" s="16">
        <v>44361</v>
      </c>
      <c r="B17">
        <v>24.1</v>
      </c>
      <c r="C17" s="4">
        <f t="shared" si="0"/>
        <v>0.01</v>
      </c>
      <c r="D17">
        <v>200</v>
      </c>
      <c r="E17" s="5">
        <f t="shared" si="1"/>
        <v>8.2987551867219927E-8</v>
      </c>
      <c r="F17" s="2">
        <f t="shared" si="2"/>
        <v>82.987551867219921</v>
      </c>
      <c r="G17" s="6">
        <v>1.4</v>
      </c>
      <c r="H17" s="7">
        <v>522.85680000000002</v>
      </c>
      <c r="J17" s="2"/>
    </row>
    <row r="18" spans="1:10" x14ac:dyDescent="0.2">
      <c r="A18" s="16">
        <v>44361</v>
      </c>
      <c r="B18">
        <v>24.1</v>
      </c>
      <c r="C18" s="4">
        <f t="shared" si="0"/>
        <v>0.01</v>
      </c>
      <c r="D18">
        <v>300</v>
      </c>
      <c r="E18" s="5">
        <f t="shared" si="1"/>
        <v>1.2448132780082988E-7</v>
      </c>
      <c r="F18" s="2">
        <f t="shared" si="2"/>
        <v>124.48132780082987</v>
      </c>
      <c r="G18" s="6">
        <v>1.53</v>
      </c>
      <c r="H18" s="7">
        <v>783.6748</v>
      </c>
      <c r="J18" s="2"/>
    </row>
    <row r="19" spans="1:10" x14ac:dyDescent="0.2">
      <c r="A19" s="16">
        <v>44361</v>
      </c>
      <c r="B19">
        <v>24.1</v>
      </c>
      <c r="C19" s="4">
        <f t="shared" si="0"/>
        <v>0.01</v>
      </c>
      <c r="D19">
        <v>400</v>
      </c>
      <c r="E19" s="5">
        <f t="shared" si="1"/>
        <v>1.6597510373443985E-7</v>
      </c>
      <c r="F19" s="2">
        <f t="shared" si="2"/>
        <v>165.97510373443984</v>
      </c>
      <c r="G19" s="6">
        <v>1.3560000000000001</v>
      </c>
      <c r="H19" s="7">
        <v>1049.1349</v>
      </c>
      <c r="J19" s="2"/>
    </row>
    <row r="20" spans="1:10" x14ac:dyDescent="0.2">
      <c r="A20" s="16">
        <v>44362</v>
      </c>
      <c r="B20">
        <v>24.1</v>
      </c>
      <c r="C20" s="4">
        <f t="shared" si="0"/>
        <v>0.01</v>
      </c>
      <c r="D20">
        <v>50</v>
      </c>
      <c r="E20" s="5">
        <f t="shared" ref="E20:E29" si="3">(D20/1000000)*(1/$B$2)*$C$2</f>
        <v>2.0746887966804982E-8</v>
      </c>
      <c r="F20" s="2">
        <f t="shared" ref="F20:F29" si="4">E20*(10^9)</f>
        <v>20.74688796680498</v>
      </c>
      <c r="G20" s="6">
        <v>1.353</v>
      </c>
      <c r="H20" s="7">
        <v>114.56019999999999</v>
      </c>
      <c r="I20" s="3">
        <f>SLOPE(H20:H24,F20:F24)</f>
        <v>6.4381469465853653</v>
      </c>
      <c r="J20" s="8">
        <f>INTERCEPT(H20:H24,F20:F24)</f>
        <v>-12.358996341463467</v>
      </c>
    </row>
    <row r="21" spans="1:10" x14ac:dyDescent="0.2">
      <c r="A21" s="16">
        <v>44362</v>
      </c>
      <c r="B21">
        <v>24.1</v>
      </c>
      <c r="C21" s="4">
        <f t="shared" si="0"/>
        <v>0.01</v>
      </c>
      <c r="D21">
        <v>100</v>
      </c>
      <c r="E21" s="5">
        <f t="shared" si="3"/>
        <v>4.1493775933609963E-8</v>
      </c>
      <c r="F21" s="2">
        <f t="shared" si="4"/>
        <v>41.49377593360996</v>
      </c>
      <c r="G21" s="6">
        <v>1.353</v>
      </c>
      <c r="H21" s="7">
        <v>256.06779999999998</v>
      </c>
      <c r="J21" s="2"/>
    </row>
    <row r="22" spans="1:10" x14ac:dyDescent="0.2">
      <c r="A22" s="16">
        <v>44362</v>
      </c>
      <c r="B22">
        <v>24.1</v>
      </c>
      <c r="C22" s="4">
        <f t="shared" si="0"/>
        <v>0.01</v>
      </c>
      <c r="D22">
        <v>200</v>
      </c>
      <c r="E22" s="5">
        <f t="shared" si="3"/>
        <v>8.2987551867219927E-8</v>
      </c>
      <c r="F22" s="2">
        <f t="shared" si="4"/>
        <v>82.987551867219921</v>
      </c>
      <c r="G22" s="6">
        <v>1.353</v>
      </c>
      <c r="H22" s="7">
        <v>532.24720000000002</v>
      </c>
      <c r="J22" s="2"/>
    </row>
    <row r="23" spans="1:10" x14ac:dyDescent="0.2">
      <c r="A23" s="16">
        <v>44362</v>
      </c>
      <c r="B23">
        <v>24.1</v>
      </c>
      <c r="C23" s="4">
        <f t="shared" si="0"/>
        <v>0.01</v>
      </c>
      <c r="D23">
        <v>300</v>
      </c>
      <c r="E23" s="5">
        <f t="shared" si="3"/>
        <v>1.2448132780082988E-7</v>
      </c>
      <c r="F23" s="2">
        <f t="shared" si="4"/>
        <v>124.48132780082987</v>
      </c>
      <c r="G23" s="6">
        <v>1.363</v>
      </c>
      <c r="H23" s="7">
        <v>787.86159999999995</v>
      </c>
      <c r="J23" s="2"/>
    </row>
    <row r="24" spans="1:10" x14ac:dyDescent="0.2">
      <c r="A24" s="16">
        <v>44362</v>
      </c>
      <c r="B24">
        <v>24.1</v>
      </c>
      <c r="C24" s="4">
        <f t="shared" si="0"/>
        <v>0.01</v>
      </c>
      <c r="D24">
        <v>400</v>
      </c>
      <c r="E24" s="5">
        <f t="shared" si="3"/>
        <v>1.6597510373443985E-7</v>
      </c>
      <c r="F24" s="2">
        <f t="shared" si="4"/>
        <v>165.97510373443984</v>
      </c>
      <c r="G24" s="6">
        <v>1.36</v>
      </c>
      <c r="H24" s="7">
        <v>1052.47</v>
      </c>
      <c r="J24" s="2"/>
    </row>
    <row r="25" spans="1:10" x14ac:dyDescent="0.2">
      <c r="A25" s="16">
        <v>44364</v>
      </c>
      <c r="B25">
        <v>24.1</v>
      </c>
      <c r="C25" s="4">
        <f t="shared" si="0"/>
        <v>0.01</v>
      </c>
      <c r="D25">
        <v>50</v>
      </c>
      <c r="E25" s="5">
        <f t="shared" si="3"/>
        <v>2.0746887966804982E-8</v>
      </c>
      <c r="F25" s="2">
        <f t="shared" si="4"/>
        <v>20.74688796680498</v>
      </c>
      <c r="G25" s="6">
        <v>1.3560000000000001</v>
      </c>
      <c r="H25" s="7">
        <v>114.62179999999999</v>
      </c>
      <c r="I25" s="3">
        <f>SLOPE(H25:H29,F25:F29)</f>
        <v>6.6834018897560972</v>
      </c>
      <c r="J25" s="8">
        <f>INTERCEPT(H25:H29,F25:F29)</f>
        <v>-17.57943902439024</v>
      </c>
    </row>
    <row r="26" spans="1:10" x14ac:dyDescent="0.2">
      <c r="A26" s="16">
        <v>44364</v>
      </c>
      <c r="B26">
        <v>24.1</v>
      </c>
      <c r="C26" s="4">
        <f t="shared" si="0"/>
        <v>0.01</v>
      </c>
      <c r="D26">
        <v>100</v>
      </c>
      <c r="E26" s="5">
        <f t="shared" si="3"/>
        <v>4.1493775933609963E-8</v>
      </c>
      <c r="F26" s="2">
        <f t="shared" si="4"/>
        <v>41.49377593360996</v>
      </c>
      <c r="G26" s="6">
        <v>1.3560000000000001</v>
      </c>
      <c r="H26" s="7">
        <v>266.92020000000002</v>
      </c>
    </row>
    <row r="27" spans="1:10" x14ac:dyDescent="0.2">
      <c r="A27" s="16">
        <v>44364</v>
      </c>
      <c r="B27">
        <v>24.1</v>
      </c>
      <c r="C27" s="4">
        <f t="shared" si="0"/>
        <v>0.01</v>
      </c>
      <c r="D27">
        <v>200</v>
      </c>
      <c r="E27" s="5">
        <f t="shared" si="3"/>
        <v>8.2987551867219927E-8</v>
      </c>
      <c r="F27" s="2">
        <f t="shared" si="4"/>
        <v>82.987551867219921</v>
      </c>
      <c r="G27" s="6">
        <v>1.36</v>
      </c>
      <c r="H27" s="7">
        <v>539.45000000000005</v>
      </c>
    </row>
    <row r="28" spans="1:10" x14ac:dyDescent="0.2">
      <c r="A28" s="16">
        <v>44364</v>
      </c>
      <c r="B28">
        <v>24.1</v>
      </c>
      <c r="C28" s="4">
        <f t="shared" si="0"/>
        <v>0.01</v>
      </c>
      <c r="D28">
        <v>300</v>
      </c>
      <c r="E28" s="5">
        <f t="shared" si="3"/>
        <v>1.2448132780082988E-7</v>
      </c>
      <c r="F28" s="2">
        <f t="shared" si="4"/>
        <v>124.48132780082987</v>
      </c>
      <c r="G28" s="6">
        <v>1.3560000000000001</v>
      </c>
      <c r="H28" s="7">
        <v>810.6635</v>
      </c>
    </row>
    <row r="29" spans="1:10" x14ac:dyDescent="0.2">
      <c r="A29" s="16">
        <v>44364</v>
      </c>
      <c r="B29">
        <v>24.1</v>
      </c>
      <c r="C29" s="4">
        <f t="shared" si="0"/>
        <v>0.01</v>
      </c>
      <c r="D29">
        <v>400</v>
      </c>
      <c r="E29" s="5">
        <f t="shared" si="3"/>
        <v>1.6597510373443985E-7</v>
      </c>
      <c r="F29" s="2">
        <f t="shared" si="4"/>
        <v>165.97510373443984</v>
      </c>
      <c r="G29" s="6">
        <v>1.37</v>
      </c>
      <c r="H29" s="7">
        <v>1092.3028999999999</v>
      </c>
    </row>
    <row r="30" spans="1:10" x14ac:dyDescent="0.2">
      <c r="A30" s="16">
        <v>44366</v>
      </c>
      <c r="B30">
        <v>24.1</v>
      </c>
      <c r="C30" s="4">
        <f t="shared" si="0"/>
        <v>0.01</v>
      </c>
      <c r="D30">
        <v>50</v>
      </c>
      <c r="E30" s="5">
        <f t="shared" ref="E30:E37" si="5">(D30/1000000)*(1/$B$2)*$C$2</f>
        <v>2.0746887966804982E-8</v>
      </c>
      <c r="F30" s="2">
        <f t="shared" ref="F30:F37" si="6">E30*(10^9)</f>
        <v>20.74688796680498</v>
      </c>
      <c r="G30" s="6">
        <v>1.3360000000000001</v>
      </c>
      <c r="H30" s="7">
        <v>109.3048</v>
      </c>
      <c r="I30" s="3">
        <f>SLOPE(H30:H32,F30:F32)</f>
        <v>6.4121279400000004</v>
      </c>
      <c r="J30" s="8">
        <f>INTERCEPT(H30:H34,F30:F34)</f>
        <v>-20.565866666666693</v>
      </c>
    </row>
    <row r="31" spans="1:10" x14ac:dyDescent="0.2">
      <c r="A31" s="16">
        <v>44366</v>
      </c>
      <c r="B31">
        <v>24.1</v>
      </c>
      <c r="C31" s="4">
        <f t="shared" si="0"/>
        <v>0.01</v>
      </c>
      <c r="D31">
        <v>100</v>
      </c>
      <c r="E31" s="5">
        <f t="shared" si="5"/>
        <v>4.1493775933609963E-8</v>
      </c>
      <c r="F31" s="2">
        <f t="shared" si="6"/>
        <v>41.49377593360996</v>
      </c>
      <c r="G31" s="6">
        <v>1.3360000000000001</v>
      </c>
      <c r="H31" s="7">
        <v>258.81400000000002</v>
      </c>
    </row>
    <row r="32" spans="1:10" x14ac:dyDescent="0.2">
      <c r="A32" s="16">
        <v>44366</v>
      </c>
      <c r="B32">
        <v>24.1</v>
      </c>
      <c r="C32" s="4">
        <f t="shared" si="0"/>
        <v>0.01</v>
      </c>
      <c r="D32">
        <v>200</v>
      </c>
      <c r="E32" s="5">
        <f t="shared" si="5"/>
        <v>8.2987551867219927E-8</v>
      </c>
      <c r="F32" s="2">
        <f t="shared" si="6"/>
        <v>82.987551867219921</v>
      </c>
      <c r="G32" s="6">
        <v>1.3460000000000001</v>
      </c>
      <c r="H32" s="7">
        <v>511.69540000000001</v>
      </c>
    </row>
    <row r="33" spans="1:10" x14ac:dyDescent="0.2">
      <c r="A33" s="16">
        <v>44368</v>
      </c>
      <c r="B33">
        <v>24.1</v>
      </c>
      <c r="C33" s="4">
        <f t="shared" si="0"/>
        <v>0.01</v>
      </c>
      <c r="D33">
        <v>50</v>
      </c>
      <c r="E33" s="5">
        <f t="shared" si="5"/>
        <v>2.0746887966804982E-8</v>
      </c>
      <c r="F33" s="2">
        <f t="shared" si="6"/>
        <v>20.74688796680498</v>
      </c>
      <c r="G33" s="6">
        <v>1.34</v>
      </c>
      <c r="H33" s="7">
        <v>107.1785</v>
      </c>
      <c r="I33" s="3">
        <f>SLOPE(H33:H37,F33:F37)</f>
        <v>7.3819950262195135</v>
      </c>
      <c r="J33" s="8">
        <f>INTERCEPT(H33:H37,F33:F37)</f>
        <v>-66.026779878049069</v>
      </c>
    </row>
    <row r="34" spans="1:10" x14ac:dyDescent="0.2">
      <c r="A34" s="16">
        <v>44368</v>
      </c>
      <c r="B34">
        <v>24.1</v>
      </c>
      <c r="C34" s="4">
        <f t="shared" si="0"/>
        <v>0.01</v>
      </c>
      <c r="D34">
        <v>100</v>
      </c>
      <c r="E34" s="5">
        <f t="shared" si="5"/>
        <v>4.1493775933609963E-8</v>
      </c>
      <c r="F34" s="2">
        <f t="shared" si="6"/>
        <v>41.49377593360996</v>
      </c>
      <c r="G34" s="6">
        <v>1.3460000000000001</v>
      </c>
      <c r="H34" s="7">
        <v>255.02379999999999</v>
      </c>
    </row>
    <row r="35" spans="1:10" x14ac:dyDescent="0.2">
      <c r="A35" s="16">
        <v>44368</v>
      </c>
      <c r="B35">
        <v>24.1</v>
      </c>
      <c r="C35" s="4">
        <f t="shared" si="0"/>
        <v>0.01</v>
      </c>
      <c r="D35">
        <v>200</v>
      </c>
      <c r="E35" s="5">
        <f t="shared" si="5"/>
        <v>8.2987551867219927E-8</v>
      </c>
      <c r="F35" s="2">
        <f t="shared" si="6"/>
        <v>82.987551867219921</v>
      </c>
      <c r="G35" s="6">
        <v>1.42</v>
      </c>
      <c r="H35" s="7">
        <v>521.35860000000002</v>
      </c>
    </row>
    <row r="36" spans="1:10" x14ac:dyDescent="0.2">
      <c r="A36" s="16">
        <v>44368</v>
      </c>
      <c r="B36">
        <v>24.1</v>
      </c>
      <c r="C36" s="4">
        <f t="shared" si="0"/>
        <v>0.01</v>
      </c>
      <c r="D36">
        <v>300</v>
      </c>
      <c r="E36" s="5">
        <f t="shared" si="5"/>
        <v>1.2448132780082988E-7</v>
      </c>
      <c r="F36" s="2">
        <f t="shared" si="6"/>
        <v>124.48132780082987</v>
      </c>
      <c r="G36" s="6">
        <v>1.3460000000000001</v>
      </c>
      <c r="H36" s="7">
        <v>788.93769999999995</v>
      </c>
    </row>
    <row r="37" spans="1:10" x14ac:dyDescent="0.2">
      <c r="A37" s="16">
        <v>44368</v>
      </c>
      <c r="B37">
        <v>24.1</v>
      </c>
      <c r="C37" s="4">
        <f t="shared" si="0"/>
        <v>0.01</v>
      </c>
      <c r="D37">
        <v>400</v>
      </c>
      <c r="E37" s="5">
        <f t="shared" si="5"/>
        <v>1.6597510373443985E-7</v>
      </c>
      <c r="F37" s="2">
        <f t="shared" si="6"/>
        <v>165.97510373443984</v>
      </c>
      <c r="G37" s="6">
        <v>1.373</v>
      </c>
      <c r="H37" s="7">
        <v>1213.5894000000001</v>
      </c>
    </row>
    <row r="38" spans="1:10" x14ac:dyDescent="0.2">
      <c r="A38" s="16">
        <v>44502</v>
      </c>
      <c r="B38">
        <v>24.1</v>
      </c>
      <c r="C38" s="4">
        <f t="shared" si="0"/>
        <v>0.01</v>
      </c>
      <c r="D38">
        <v>50</v>
      </c>
      <c r="E38" s="5">
        <f t="shared" ref="E38:E47" si="7">(D38/1000000)*(1/$B$2)*$C$2</f>
        <v>2.0746887966804982E-8</v>
      </c>
      <c r="F38" s="2">
        <f t="shared" ref="F38:F47" si="8">E38*(10^9)</f>
        <v>20.74688796680498</v>
      </c>
      <c r="G38">
        <v>1.353</v>
      </c>
      <c r="H38">
        <v>117.68340000000001</v>
      </c>
      <c r="I38" s="3">
        <f>SLOPE(H38:H42,F38:F42)</f>
        <v>6.6655042010975603</v>
      </c>
      <c r="J38" s="8">
        <f>INTERCEPT(H38:H42,F38:F42)</f>
        <v>-14.227149390243994</v>
      </c>
    </row>
    <row r="39" spans="1:10" x14ac:dyDescent="0.2">
      <c r="A39" s="16">
        <v>44502</v>
      </c>
      <c r="B39">
        <v>24.1</v>
      </c>
      <c r="C39" s="4">
        <f t="shared" si="0"/>
        <v>0.01</v>
      </c>
      <c r="D39">
        <v>100</v>
      </c>
      <c r="E39" s="5">
        <f t="shared" si="7"/>
        <v>4.1493775933609963E-8</v>
      </c>
      <c r="F39" s="2">
        <f t="shared" si="8"/>
        <v>41.49377593360996</v>
      </c>
      <c r="G39">
        <v>1.3560000000000001</v>
      </c>
      <c r="H39">
        <v>269.02980000000002</v>
      </c>
    </row>
    <row r="40" spans="1:10" x14ac:dyDescent="0.2">
      <c r="A40" s="16">
        <v>44502</v>
      </c>
      <c r="B40">
        <v>24.1</v>
      </c>
      <c r="C40" s="4">
        <f t="shared" si="0"/>
        <v>0.01</v>
      </c>
      <c r="D40">
        <v>200</v>
      </c>
      <c r="E40" s="5">
        <f t="shared" si="7"/>
        <v>8.2987551867219927E-8</v>
      </c>
      <c r="F40" s="2">
        <f t="shared" si="8"/>
        <v>82.987551867219921</v>
      </c>
      <c r="G40">
        <v>1.363</v>
      </c>
      <c r="H40">
        <v>541.02409999999998</v>
      </c>
    </row>
    <row r="41" spans="1:10" x14ac:dyDescent="0.2">
      <c r="A41" s="16">
        <v>44502</v>
      </c>
      <c r="B41">
        <v>24.1</v>
      </c>
      <c r="C41" s="4">
        <f t="shared" si="0"/>
        <v>0.01</v>
      </c>
      <c r="D41">
        <v>300</v>
      </c>
      <c r="E41" s="5">
        <f t="shared" si="7"/>
        <v>1.2448132780082988E-7</v>
      </c>
      <c r="F41" s="2">
        <f t="shared" si="8"/>
        <v>124.48132780082987</v>
      </c>
      <c r="G41">
        <v>1.3560000000000001</v>
      </c>
      <c r="H41">
        <v>813.59159999999997</v>
      </c>
    </row>
    <row r="42" spans="1:10" x14ac:dyDescent="0.2">
      <c r="A42" s="16">
        <v>44502</v>
      </c>
      <c r="B42">
        <v>24.1</v>
      </c>
      <c r="C42" s="4">
        <f t="shared" si="0"/>
        <v>0.01</v>
      </c>
      <c r="D42">
        <v>400</v>
      </c>
      <c r="E42" s="5">
        <f t="shared" si="7"/>
        <v>1.6597510373443985E-7</v>
      </c>
      <c r="F42" s="2">
        <f t="shared" si="8"/>
        <v>165.97510373443984</v>
      </c>
      <c r="G42">
        <v>1.37</v>
      </c>
      <c r="H42">
        <v>1091.5932</v>
      </c>
    </row>
    <row r="43" spans="1:10" x14ac:dyDescent="0.2">
      <c r="A43" s="16">
        <v>44503</v>
      </c>
      <c r="B43">
        <v>24.1</v>
      </c>
      <c r="C43" s="4">
        <f t="shared" si="0"/>
        <v>0.01</v>
      </c>
      <c r="D43">
        <v>50</v>
      </c>
      <c r="E43" s="5">
        <f t="shared" si="7"/>
        <v>2.0746887966804982E-8</v>
      </c>
      <c r="F43" s="2">
        <f t="shared" si="8"/>
        <v>20.74688796680498</v>
      </c>
      <c r="G43">
        <v>1.3460000000000001</v>
      </c>
      <c r="H43">
        <v>135.87950000000001</v>
      </c>
      <c r="I43" s="3">
        <f>SLOPE(H43:H47,F43:F47)</f>
        <v>6.482585230487806</v>
      </c>
      <c r="J43" s="8">
        <f>INTERCEPT(H43:H47,F43:F47)</f>
        <v>4.2233280487803313</v>
      </c>
    </row>
    <row r="44" spans="1:10" x14ac:dyDescent="0.2">
      <c r="B44">
        <v>24.1</v>
      </c>
      <c r="C44" s="4">
        <f t="shared" si="0"/>
        <v>0.01</v>
      </c>
      <c r="D44">
        <v>100</v>
      </c>
      <c r="E44" s="5">
        <f t="shared" si="7"/>
        <v>4.1493775933609963E-8</v>
      </c>
      <c r="F44" s="2">
        <f t="shared" si="8"/>
        <v>41.49377593360996</v>
      </c>
      <c r="G44">
        <v>1.343</v>
      </c>
      <c r="H44">
        <v>275.40789999999998</v>
      </c>
    </row>
    <row r="45" spans="1:10" x14ac:dyDescent="0.2">
      <c r="B45">
        <v>24.1</v>
      </c>
      <c r="C45" s="4">
        <f t="shared" si="0"/>
        <v>0.01</v>
      </c>
      <c r="D45">
        <v>200</v>
      </c>
      <c r="E45" s="5">
        <f t="shared" si="7"/>
        <v>8.2987551867219927E-8</v>
      </c>
      <c r="F45" s="2">
        <f t="shared" si="8"/>
        <v>82.987551867219921</v>
      </c>
      <c r="G45">
        <v>1.36</v>
      </c>
      <c r="H45">
        <v>544.57330000000002</v>
      </c>
    </row>
    <row r="46" spans="1:10" x14ac:dyDescent="0.2">
      <c r="B46">
        <v>24.1</v>
      </c>
      <c r="C46" s="4">
        <f t="shared" si="0"/>
        <v>0.01</v>
      </c>
      <c r="D46">
        <v>300</v>
      </c>
      <c r="E46" s="5">
        <f t="shared" si="7"/>
        <v>1.2448132780082988E-7</v>
      </c>
      <c r="F46" s="2">
        <f t="shared" si="8"/>
        <v>124.48132780082987</v>
      </c>
      <c r="G46">
        <v>1.36</v>
      </c>
      <c r="H46">
        <v>809.76959999999997</v>
      </c>
    </row>
    <row r="47" spans="1:10" x14ac:dyDescent="0.2">
      <c r="B47">
        <v>24.1</v>
      </c>
      <c r="C47" s="4">
        <f t="shared" si="0"/>
        <v>0.01</v>
      </c>
      <c r="D47">
        <v>400</v>
      </c>
      <c r="E47" s="5">
        <f t="shared" si="7"/>
        <v>1.6597510373443985E-7</v>
      </c>
      <c r="F47" s="2">
        <f t="shared" si="8"/>
        <v>165.97510373443984</v>
      </c>
      <c r="G47">
        <v>1.363</v>
      </c>
      <c r="H47">
        <v>1079.8492000000001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opLeftCell="F14" workbookViewId="0">
      <selection activeCell="G27" sqref="G27"/>
    </sheetView>
  </sheetViews>
  <sheetFormatPr baseColWidth="10" defaultColWidth="11" defaultRowHeight="16" x14ac:dyDescent="0.2"/>
  <cols>
    <col min="1" max="1" width="14.33203125" customWidth="1"/>
    <col min="2" max="2" width="12.5" customWidth="1"/>
  </cols>
  <sheetData>
    <row r="1" spans="1:10" ht="85" x14ac:dyDescent="0.2">
      <c r="A1" s="9" t="s">
        <v>18</v>
      </c>
      <c r="B1" s="10" t="s">
        <v>9</v>
      </c>
      <c r="C1" s="10" t="s">
        <v>10</v>
      </c>
      <c r="D1" s="9" t="s">
        <v>11</v>
      </c>
      <c r="E1" s="9" t="s">
        <v>12</v>
      </c>
      <c r="F1" s="11" t="s">
        <v>13</v>
      </c>
      <c r="G1" s="12" t="s">
        <v>14</v>
      </c>
      <c r="H1" s="13" t="s">
        <v>15</v>
      </c>
      <c r="I1" s="11" t="s">
        <v>16</v>
      </c>
      <c r="J1" s="9" t="s">
        <v>17</v>
      </c>
    </row>
    <row r="2" spans="1:10" x14ac:dyDescent="0.2">
      <c r="A2" s="16">
        <v>44362</v>
      </c>
      <c r="B2">
        <v>24.1</v>
      </c>
      <c r="C2" s="4">
        <f t="shared" ref="C2:C26" si="0">5/100</f>
        <v>0.05</v>
      </c>
      <c r="D2">
        <v>50</v>
      </c>
      <c r="E2" s="5">
        <f t="shared" ref="E2:E16" si="1">(D2/1000000)*(1/$B$2)*$C$2</f>
        <v>1.037344398340249E-7</v>
      </c>
      <c r="F2" s="2">
        <f t="shared" ref="F2:F16" si="2">E2*(10^9)</f>
        <v>103.7344398340249</v>
      </c>
      <c r="G2" s="6">
        <v>2.52</v>
      </c>
      <c r="H2" s="7">
        <v>15.959199999999999</v>
      </c>
      <c r="I2" s="3">
        <f>SLOPE(H2:H6,F2:F6)</f>
        <v>0.18920286339024392</v>
      </c>
      <c r="J2" s="8">
        <f>INTERCEPT(H2:H6,F2:F6)</f>
        <v>-2.6387628048780414</v>
      </c>
    </row>
    <row r="3" spans="1:10" x14ac:dyDescent="0.2">
      <c r="A3" s="16">
        <v>44362</v>
      </c>
      <c r="B3">
        <v>24.1</v>
      </c>
      <c r="C3" s="4">
        <f t="shared" si="0"/>
        <v>0.05</v>
      </c>
      <c r="D3">
        <v>100</v>
      </c>
      <c r="E3" s="5">
        <f t="shared" si="1"/>
        <v>2.074688796680498E-7</v>
      </c>
      <c r="F3" s="2">
        <f t="shared" si="2"/>
        <v>207.46887966804979</v>
      </c>
      <c r="G3" s="6">
        <v>2.5129999999999999</v>
      </c>
      <c r="H3" s="7">
        <v>37.764099999999999</v>
      </c>
      <c r="J3" s="2"/>
    </row>
    <row r="4" spans="1:10" x14ac:dyDescent="0.2">
      <c r="A4" s="16">
        <v>44362</v>
      </c>
      <c r="B4">
        <v>24.1</v>
      </c>
      <c r="C4" s="4">
        <f t="shared" si="0"/>
        <v>0.05</v>
      </c>
      <c r="D4">
        <v>200</v>
      </c>
      <c r="E4" s="5">
        <f t="shared" si="1"/>
        <v>4.1493775933609961E-7</v>
      </c>
      <c r="F4" s="2">
        <f t="shared" si="2"/>
        <v>414.93775933609959</v>
      </c>
      <c r="G4" s="6">
        <v>2.496</v>
      </c>
      <c r="H4" s="7">
        <v>75.640600000000006</v>
      </c>
      <c r="J4" s="2"/>
    </row>
    <row r="5" spans="1:10" x14ac:dyDescent="0.2">
      <c r="A5" s="16">
        <v>44362</v>
      </c>
      <c r="B5">
        <v>24.1</v>
      </c>
      <c r="C5" s="4">
        <f t="shared" si="0"/>
        <v>0.05</v>
      </c>
      <c r="D5">
        <v>300</v>
      </c>
      <c r="E5" s="5">
        <f t="shared" si="1"/>
        <v>6.2240663900414941E-7</v>
      </c>
      <c r="F5" s="2">
        <f t="shared" si="2"/>
        <v>622.40663900414938</v>
      </c>
      <c r="G5" s="6">
        <v>2.496</v>
      </c>
      <c r="H5" s="7">
        <v>115.7321</v>
      </c>
      <c r="J5" s="2"/>
    </row>
    <row r="6" spans="1:10" x14ac:dyDescent="0.2">
      <c r="A6" s="16">
        <v>44362</v>
      </c>
      <c r="B6">
        <v>24.1</v>
      </c>
      <c r="C6" s="4">
        <f t="shared" si="0"/>
        <v>0.05</v>
      </c>
      <c r="D6">
        <v>400</v>
      </c>
      <c r="E6" s="5">
        <f t="shared" si="1"/>
        <v>8.2987551867219922E-7</v>
      </c>
      <c r="F6" s="2">
        <f t="shared" si="2"/>
        <v>829.87551867219918</v>
      </c>
      <c r="G6" s="6">
        <v>2.496</v>
      </c>
      <c r="H6" s="7">
        <v>153.8741</v>
      </c>
      <c r="J6" s="2"/>
    </row>
    <row r="7" spans="1:10" x14ac:dyDescent="0.2">
      <c r="A7" s="16">
        <v>44364</v>
      </c>
      <c r="B7">
        <v>24.1</v>
      </c>
      <c r="C7" s="4">
        <f t="shared" si="0"/>
        <v>0.05</v>
      </c>
      <c r="D7">
        <v>50</v>
      </c>
      <c r="E7" s="5">
        <f t="shared" si="1"/>
        <v>1.037344398340249E-7</v>
      </c>
      <c r="F7" s="2">
        <f t="shared" si="2"/>
        <v>103.7344398340249</v>
      </c>
      <c r="G7" s="6">
        <v>2.516</v>
      </c>
      <c r="H7" s="7">
        <v>15.920999999999999</v>
      </c>
      <c r="I7" s="3">
        <f>SLOPE(H7:H11,F7:F11)</f>
        <v>0.1939464428780488</v>
      </c>
      <c r="J7" s="8">
        <f>INTERCEPT(H7:H11,F7:F11)</f>
        <v>-0.40164756097561849</v>
      </c>
    </row>
    <row r="8" spans="1:10" x14ac:dyDescent="0.2">
      <c r="A8" s="16">
        <v>44364</v>
      </c>
      <c r="B8">
        <v>24.1</v>
      </c>
      <c r="C8" s="4">
        <f t="shared" si="0"/>
        <v>0.05</v>
      </c>
      <c r="D8">
        <v>100</v>
      </c>
      <c r="E8" s="5">
        <f t="shared" si="1"/>
        <v>2.074688796680498E-7</v>
      </c>
      <c r="F8" s="2">
        <f t="shared" si="2"/>
        <v>207.46887966804979</v>
      </c>
      <c r="G8" s="6">
        <v>2.5</v>
      </c>
      <c r="H8" s="7">
        <v>38.808</v>
      </c>
      <c r="J8" s="2"/>
    </row>
    <row r="9" spans="1:10" x14ac:dyDescent="0.2">
      <c r="A9" s="16">
        <v>44364</v>
      </c>
      <c r="B9">
        <v>24.1</v>
      </c>
      <c r="C9" s="4">
        <f t="shared" si="0"/>
        <v>0.05</v>
      </c>
      <c r="D9">
        <v>200</v>
      </c>
      <c r="E9" s="5">
        <f t="shared" si="1"/>
        <v>4.1493775933609961E-7</v>
      </c>
      <c r="F9" s="2">
        <f t="shared" si="2"/>
        <v>414.93775933609959</v>
      </c>
      <c r="G9" s="6">
        <v>2.5059999999999998</v>
      </c>
      <c r="H9" s="7">
        <v>87.499799999999993</v>
      </c>
      <c r="J9" s="2"/>
    </row>
    <row r="10" spans="1:10" x14ac:dyDescent="0.2">
      <c r="A10" s="16">
        <v>44364</v>
      </c>
      <c r="B10">
        <v>24.1</v>
      </c>
      <c r="C10" s="4">
        <f t="shared" si="0"/>
        <v>0.05</v>
      </c>
      <c r="D10">
        <v>300</v>
      </c>
      <c r="E10" s="5">
        <f t="shared" si="1"/>
        <v>6.2240663900414941E-7</v>
      </c>
      <c r="F10" s="2">
        <f t="shared" si="2"/>
        <v>622.40663900414938</v>
      </c>
      <c r="G10" s="6">
        <v>2.5</v>
      </c>
      <c r="H10" s="7">
        <v>121.83199999999999</v>
      </c>
      <c r="J10" s="2"/>
    </row>
    <row r="11" spans="1:10" x14ac:dyDescent="0.2">
      <c r="A11" s="16">
        <v>44364</v>
      </c>
      <c r="B11">
        <v>24.1</v>
      </c>
      <c r="C11" s="4">
        <f t="shared" si="0"/>
        <v>0.05</v>
      </c>
      <c r="D11">
        <v>400</v>
      </c>
      <c r="E11" s="5">
        <f t="shared" si="1"/>
        <v>8.2987551867219922E-7</v>
      </c>
      <c r="F11" s="2">
        <f t="shared" si="2"/>
        <v>829.87551867219918</v>
      </c>
      <c r="G11" s="6">
        <v>2.633</v>
      </c>
      <c r="H11" s="7">
        <v>156.42840000000001</v>
      </c>
      <c r="J11" s="2"/>
    </row>
    <row r="12" spans="1:10" x14ac:dyDescent="0.2">
      <c r="A12" s="18">
        <v>44368</v>
      </c>
      <c r="B12">
        <v>24.1</v>
      </c>
      <c r="C12" s="4">
        <f t="shared" si="0"/>
        <v>0.05</v>
      </c>
      <c r="D12">
        <v>50</v>
      </c>
      <c r="E12" s="5">
        <f t="shared" si="1"/>
        <v>1.037344398340249E-7</v>
      </c>
      <c r="F12" s="2">
        <f t="shared" si="2"/>
        <v>103.7344398340249</v>
      </c>
      <c r="G12" s="6">
        <v>2.5609999999999999</v>
      </c>
      <c r="H12" s="7">
        <v>16.1036</v>
      </c>
      <c r="I12" s="3">
        <f>SLOPE(H12:H16,F12:F16)</f>
        <v>0.18645800270731705</v>
      </c>
      <c r="J12" s="8">
        <f>INTERCEPT(H12:H16,F12:F16)</f>
        <v>-2.7877091463414416</v>
      </c>
    </row>
    <row r="13" spans="1:10" x14ac:dyDescent="0.2">
      <c r="A13" s="18">
        <v>44368</v>
      </c>
      <c r="B13">
        <v>24.1</v>
      </c>
      <c r="C13" s="4">
        <f t="shared" si="0"/>
        <v>0.05</v>
      </c>
      <c r="D13">
        <v>100</v>
      </c>
      <c r="E13" s="5">
        <f t="shared" si="1"/>
        <v>2.074688796680498E-7</v>
      </c>
      <c r="F13" s="2">
        <f t="shared" si="2"/>
        <v>207.46887966804979</v>
      </c>
      <c r="G13" s="6">
        <v>2.5099999999999998</v>
      </c>
      <c r="H13" s="7">
        <v>36.386299999999999</v>
      </c>
      <c r="J13" s="2"/>
    </row>
    <row r="14" spans="1:10" x14ac:dyDescent="0.2">
      <c r="A14" s="18">
        <v>44368</v>
      </c>
      <c r="B14">
        <v>24.1</v>
      </c>
      <c r="C14" s="4">
        <f t="shared" si="0"/>
        <v>0.05</v>
      </c>
      <c r="D14">
        <v>200</v>
      </c>
      <c r="E14" s="5">
        <f t="shared" si="1"/>
        <v>4.1493775933609961E-7</v>
      </c>
      <c r="F14" s="2">
        <f t="shared" si="2"/>
        <v>414.93775933609959</v>
      </c>
      <c r="G14" s="6">
        <v>2.5099999999999998</v>
      </c>
      <c r="H14" s="7">
        <v>74.535200000000003</v>
      </c>
      <c r="J14" s="2"/>
    </row>
    <row r="15" spans="1:10" x14ac:dyDescent="0.2">
      <c r="A15" s="18">
        <v>44368</v>
      </c>
      <c r="B15">
        <v>24.1</v>
      </c>
      <c r="C15" s="4">
        <f t="shared" si="0"/>
        <v>0.05</v>
      </c>
      <c r="D15">
        <v>300</v>
      </c>
      <c r="E15" s="5">
        <f t="shared" si="1"/>
        <v>6.2240663900414941E-7</v>
      </c>
      <c r="F15" s="2">
        <f t="shared" si="2"/>
        <v>622.40663900414938</v>
      </c>
      <c r="G15" s="6">
        <v>2.5129999999999999</v>
      </c>
      <c r="H15" s="7">
        <v>113.4646</v>
      </c>
      <c r="J15" s="2"/>
    </row>
    <row r="16" spans="1:10" x14ac:dyDescent="0.2">
      <c r="A16" s="18">
        <v>44368</v>
      </c>
      <c r="B16">
        <v>24.1</v>
      </c>
      <c r="C16" s="4">
        <f t="shared" si="0"/>
        <v>0.05</v>
      </c>
      <c r="D16">
        <v>400</v>
      </c>
      <c r="E16" s="5">
        <f t="shared" si="1"/>
        <v>8.2987551867219922E-7</v>
      </c>
      <c r="F16" s="2">
        <f t="shared" si="2"/>
        <v>829.87551867219918</v>
      </c>
      <c r="G16" s="6">
        <v>2.4929999999999999</v>
      </c>
      <c r="H16" s="7">
        <v>151.75620000000001</v>
      </c>
      <c r="J16" s="2"/>
    </row>
    <row r="17" spans="1:10" x14ac:dyDescent="0.2">
      <c r="A17" s="16">
        <v>44502</v>
      </c>
      <c r="B17">
        <v>24.1</v>
      </c>
      <c r="C17" s="4">
        <f t="shared" si="0"/>
        <v>0.05</v>
      </c>
      <c r="D17">
        <v>50</v>
      </c>
      <c r="E17" s="5">
        <f t="shared" ref="E17:E26" si="3">(D17/1000000)*(1/$B$2)*$C$2</f>
        <v>1.037344398340249E-7</v>
      </c>
      <c r="F17" s="2">
        <f t="shared" ref="F17:F26" si="4">E17*(10^9)</f>
        <v>103.7344398340249</v>
      </c>
      <c r="G17">
        <v>2.516</v>
      </c>
      <c r="H17">
        <v>16.389199999999999</v>
      </c>
      <c r="I17" s="3">
        <f>SLOPE(H17:H21,F17:F21)</f>
        <v>0.19048333165853654</v>
      </c>
      <c r="J17" s="8">
        <f>INTERCEPT(H17:H21,F17:F21)</f>
        <v>-1.7388231707316777</v>
      </c>
    </row>
    <row r="18" spans="1:10" x14ac:dyDescent="0.2">
      <c r="B18">
        <v>24.1</v>
      </c>
      <c r="C18" s="4">
        <f t="shared" si="0"/>
        <v>0.05</v>
      </c>
      <c r="D18">
        <v>100</v>
      </c>
      <c r="E18" s="5">
        <f t="shared" si="3"/>
        <v>2.074688796680498E-7</v>
      </c>
      <c r="F18" s="2">
        <f t="shared" si="4"/>
        <v>207.46887966804979</v>
      </c>
      <c r="G18">
        <v>2.516</v>
      </c>
      <c r="H18">
        <v>38.999499999999998</v>
      </c>
    </row>
    <row r="19" spans="1:10" x14ac:dyDescent="0.2">
      <c r="B19">
        <v>24.1</v>
      </c>
      <c r="C19" s="4">
        <f t="shared" si="0"/>
        <v>0.05</v>
      </c>
      <c r="D19">
        <v>200</v>
      </c>
      <c r="E19" s="5">
        <f t="shared" si="3"/>
        <v>4.1493775933609961E-7</v>
      </c>
      <c r="F19" s="2">
        <f t="shared" si="4"/>
        <v>414.93775933609959</v>
      </c>
      <c r="G19">
        <v>2.5099999999999998</v>
      </c>
      <c r="H19">
        <v>78.399500000000003</v>
      </c>
    </row>
    <row r="20" spans="1:10" x14ac:dyDescent="0.2">
      <c r="B20">
        <v>24.1</v>
      </c>
      <c r="C20" s="4">
        <f t="shared" si="0"/>
        <v>0.05</v>
      </c>
      <c r="D20">
        <v>300</v>
      </c>
      <c r="E20" s="5">
        <f t="shared" si="3"/>
        <v>6.2240663900414941E-7</v>
      </c>
      <c r="F20" s="2">
        <f t="shared" si="4"/>
        <v>622.40663900414938</v>
      </c>
      <c r="G20">
        <v>2.516</v>
      </c>
      <c r="H20">
        <v>116.67400000000001</v>
      </c>
    </row>
    <row r="21" spans="1:10" x14ac:dyDescent="0.2">
      <c r="B21">
        <v>24.1</v>
      </c>
      <c r="C21" s="4">
        <f t="shared" si="0"/>
        <v>0.05</v>
      </c>
      <c r="D21">
        <v>400</v>
      </c>
      <c r="E21" s="5">
        <f t="shared" si="3"/>
        <v>8.2987551867219922E-7</v>
      </c>
      <c r="F21" s="2">
        <f t="shared" si="4"/>
        <v>829.87551867219918</v>
      </c>
      <c r="G21">
        <v>2.5129999999999999</v>
      </c>
      <c r="H21">
        <v>155.797</v>
      </c>
    </row>
    <row r="22" spans="1:10" x14ac:dyDescent="0.2">
      <c r="A22" s="16">
        <v>44503</v>
      </c>
      <c r="B22">
        <v>24.1</v>
      </c>
      <c r="C22" s="4">
        <f t="shared" si="0"/>
        <v>0.05</v>
      </c>
      <c r="D22">
        <v>50</v>
      </c>
      <c r="E22" s="5">
        <f t="shared" si="3"/>
        <v>1.037344398340249E-7</v>
      </c>
      <c r="F22" s="2">
        <f t="shared" si="4"/>
        <v>103.7344398340249</v>
      </c>
      <c r="G22">
        <v>2.5129999999999999</v>
      </c>
      <c r="H22">
        <v>18.5914</v>
      </c>
      <c r="I22" s="3">
        <f>SLOPE(H22:H26,F22:F26)</f>
        <v>0.18760798417073168</v>
      </c>
      <c r="J22" s="8">
        <f>INTERCEPT(H22:H26,F22:F26)</f>
        <v>-0.75073841463412805</v>
      </c>
    </row>
    <row r="23" spans="1:10" x14ac:dyDescent="0.2">
      <c r="A23" s="16">
        <v>44503</v>
      </c>
      <c r="B23">
        <v>24.1</v>
      </c>
      <c r="C23" s="4">
        <f t="shared" si="0"/>
        <v>0.05</v>
      </c>
      <c r="D23">
        <v>100</v>
      </c>
      <c r="E23" s="5">
        <f t="shared" si="3"/>
        <v>2.074688796680498E-7</v>
      </c>
      <c r="F23" s="2">
        <f t="shared" si="4"/>
        <v>207.46887966804979</v>
      </c>
      <c r="G23">
        <v>2.5</v>
      </c>
      <c r="H23">
        <v>38.619999999999997</v>
      </c>
    </row>
    <row r="24" spans="1:10" x14ac:dyDescent="0.2">
      <c r="A24" s="16">
        <v>44503</v>
      </c>
      <c r="B24">
        <v>24.1</v>
      </c>
      <c r="C24" s="4">
        <f t="shared" si="0"/>
        <v>0.05</v>
      </c>
      <c r="D24">
        <v>200</v>
      </c>
      <c r="E24" s="5">
        <f t="shared" si="3"/>
        <v>4.1493775933609961E-7</v>
      </c>
      <c r="F24" s="2">
        <f t="shared" si="4"/>
        <v>414.93775933609959</v>
      </c>
      <c r="G24">
        <v>2.5030000000000001</v>
      </c>
      <c r="H24">
        <v>76.695999999999998</v>
      </c>
    </row>
    <row r="25" spans="1:10" x14ac:dyDescent="0.2">
      <c r="A25" s="16">
        <v>44503</v>
      </c>
      <c r="B25">
        <v>24.1</v>
      </c>
      <c r="C25" s="4">
        <f t="shared" si="0"/>
        <v>0.05</v>
      </c>
      <c r="D25">
        <v>300</v>
      </c>
      <c r="E25" s="5">
        <f t="shared" si="3"/>
        <v>6.2240663900414941E-7</v>
      </c>
      <c r="F25" s="2">
        <f t="shared" si="4"/>
        <v>622.40663900414938</v>
      </c>
      <c r="G25">
        <v>2.4860000000000002</v>
      </c>
      <c r="H25">
        <v>115.8892</v>
      </c>
    </row>
    <row r="26" spans="1:10" x14ac:dyDescent="0.2">
      <c r="A26" s="16">
        <v>44503</v>
      </c>
      <c r="B26">
        <v>24.1</v>
      </c>
      <c r="C26" s="4">
        <f t="shared" si="0"/>
        <v>0.05</v>
      </c>
      <c r="D26">
        <v>400</v>
      </c>
      <c r="E26" s="5">
        <f t="shared" si="3"/>
        <v>8.2987551867219922E-7</v>
      </c>
      <c r="F26" s="2">
        <f t="shared" si="4"/>
        <v>829.87551867219918</v>
      </c>
      <c r="G26">
        <v>2.496</v>
      </c>
      <c r="H26">
        <v>155.13929999999999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1"/>
  <sheetViews>
    <sheetView topLeftCell="A16" workbookViewId="0">
      <selection activeCell="A32" sqref="A32"/>
    </sheetView>
  </sheetViews>
  <sheetFormatPr baseColWidth="10" defaultColWidth="11" defaultRowHeight="16" x14ac:dyDescent="0.2"/>
  <sheetData>
    <row r="1" spans="1:1" x14ac:dyDescent="0.2">
      <c r="A1" s="1" t="s">
        <v>20</v>
      </c>
    </row>
    <row r="2" spans="1:1" x14ac:dyDescent="0.2">
      <c r="A2" s="1" t="s">
        <v>21</v>
      </c>
    </row>
    <row r="3" spans="1:1" x14ac:dyDescent="0.2">
      <c r="A3" s="1" t="s">
        <v>22</v>
      </c>
    </row>
    <row r="4" spans="1:1" x14ac:dyDescent="0.2">
      <c r="A4" s="1" t="s">
        <v>23</v>
      </c>
    </row>
    <row r="5" spans="1:1" x14ac:dyDescent="0.2">
      <c r="A5" s="1" t="s">
        <v>24</v>
      </c>
    </row>
    <row r="6" spans="1:1" x14ac:dyDescent="0.2">
      <c r="A6" s="1" t="s">
        <v>25</v>
      </c>
    </row>
    <row r="7" spans="1:1" x14ac:dyDescent="0.2">
      <c r="A7" s="1" t="s">
        <v>26</v>
      </c>
    </row>
    <row r="8" spans="1:1" x14ac:dyDescent="0.2">
      <c r="A8" s="1" t="s">
        <v>27</v>
      </c>
    </row>
    <row r="9" spans="1:1" x14ac:dyDescent="0.2">
      <c r="A9" s="1" t="s">
        <v>28</v>
      </c>
    </row>
    <row r="10" spans="1:1" x14ac:dyDescent="0.2">
      <c r="A10" s="1" t="s">
        <v>29</v>
      </c>
    </row>
    <row r="11" spans="1:1" x14ac:dyDescent="0.2">
      <c r="A11" s="1" t="s">
        <v>30</v>
      </c>
    </row>
    <row r="12" spans="1:1" x14ac:dyDescent="0.2">
      <c r="A12" s="1" t="s">
        <v>43</v>
      </c>
    </row>
    <row r="13" spans="1:1" x14ac:dyDescent="0.2">
      <c r="A13" s="1" t="s">
        <v>44</v>
      </c>
    </row>
    <row r="14" spans="1:1" x14ac:dyDescent="0.2">
      <c r="A14" s="1" t="s">
        <v>45</v>
      </c>
    </row>
    <row r="15" spans="1:1" x14ac:dyDescent="0.2">
      <c r="A15" s="1" t="s">
        <v>46</v>
      </c>
    </row>
    <row r="16" spans="1:1" x14ac:dyDescent="0.2">
      <c r="A16" s="1" t="s">
        <v>47</v>
      </c>
    </row>
    <row r="17" spans="1:1" x14ac:dyDescent="0.2">
      <c r="A17" s="1" t="s">
        <v>48</v>
      </c>
    </row>
    <row r="18" spans="1:1" x14ac:dyDescent="0.2">
      <c r="A18" s="1" t="s">
        <v>49</v>
      </c>
    </row>
    <row r="19" spans="1:1" x14ac:dyDescent="0.2">
      <c r="A19" s="1" t="s">
        <v>50</v>
      </c>
    </row>
    <row r="20" spans="1:1" x14ac:dyDescent="0.2">
      <c r="A20" s="1" t="s">
        <v>51</v>
      </c>
    </row>
    <row r="21" spans="1:1" x14ac:dyDescent="0.2">
      <c r="A21" s="1" t="s">
        <v>52</v>
      </c>
    </row>
    <row r="22" spans="1:1" x14ac:dyDescent="0.2">
      <c r="A22" s="1" t="s">
        <v>53</v>
      </c>
    </row>
    <row r="23" spans="1:1" x14ac:dyDescent="0.2">
      <c r="A23" s="1" t="s">
        <v>54</v>
      </c>
    </row>
    <row r="24" spans="1:1" x14ac:dyDescent="0.2">
      <c r="A24" s="1" t="s">
        <v>55</v>
      </c>
    </row>
    <row r="25" spans="1:1" x14ac:dyDescent="0.2">
      <c r="A25" s="1" t="s">
        <v>56</v>
      </c>
    </row>
    <row r="26" spans="1:1" x14ac:dyDescent="0.2">
      <c r="A26" s="1" t="s">
        <v>57</v>
      </c>
    </row>
    <row r="27" spans="1:1" x14ac:dyDescent="0.2">
      <c r="A27" s="1" t="s">
        <v>58</v>
      </c>
    </row>
    <row r="28" spans="1:1" x14ac:dyDescent="0.2">
      <c r="A28" s="1" t="s">
        <v>59</v>
      </c>
    </row>
    <row r="29" spans="1:1" x14ac:dyDescent="0.2">
      <c r="A29" s="1" t="s">
        <v>60</v>
      </c>
    </row>
    <row r="30" spans="1:1" x14ac:dyDescent="0.2">
      <c r="A30" s="1" t="s">
        <v>61</v>
      </c>
    </row>
    <row r="31" spans="1:1" x14ac:dyDescent="0.2">
      <c r="A31" s="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SampleMeasurements</vt:lpstr>
      <vt:lpstr>CH4_std_curves</vt:lpstr>
      <vt:lpstr>CO2_std_curves</vt:lpstr>
      <vt:lpstr>SampleList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Jiawen Li</cp:lastModifiedBy>
  <dcterms:created xsi:type="dcterms:W3CDTF">2021-05-10T01:36:15Z</dcterms:created>
  <dcterms:modified xsi:type="dcterms:W3CDTF">2023-06-05T01:03:45Z</dcterms:modified>
</cp:coreProperties>
</file>